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"/>
    </mc:Choice>
  </mc:AlternateContent>
  <bookViews>
    <workbookView xWindow="-120" yWindow="-120" windowWidth="20745" windowHeight="11160" firstSheet="2" activeTab="3"/>
  </bookViews>
  <sheets>
    <sheet name="IRR (3)" sheetId="4" state="hidden" r:id="rId1"/>
    <sheet name="IRR (2)" sheetId="2" state="hidden" r:id="rId2"/>
    <sheet name="Summary" sheetId="8" r:id="rId3"/>
    <sheet name="IRR" sheetId="1" r:id="rId4"/>
    <sheet name="Sheet2" sheetId="7" r:id="rId5"/>
    <sheet name="PARAMETER" sheetId="5" r:id="rId6"/>
    <sheet name="BoQ Renovasi Revo Town Square " sheetId="10" r:id="rId7"/>
    <sheet name="Summary BR" sheetId="9" r:id="rId8"/>
  </sheets>
  <externalReferences>
    <externalReference r:id="rId9"/>
  </externalReferences>
  <definedNames>
    <definedName name="_xlnm._FilterDatabase" localSheetId="6" hidden="1">'BoQ Renovasi Revo Town Square '!$A$16:$J$22</definedName>
    <definedName name="jk" localSheetId="7">#REF!</definedName>
    <definedName name="jk">#REF!</definedName>
    <definedName name="_xlnm.Print_Area" localSheetId="6">'BoQ Renovasi Revo Town Square '!$B$1:$J$27</definedName>
    <definedName name="_xlnm.Print_Area" localSheetId="3">IRR!$A$1:$M$55</definedName>
    <definedName name="_xlnm.Print_Area" localSheetId="1">'IRR (2)'!$B$1:$R$79</definedName>
    <definedName name="_xlnm.Print_Area" localSheetId="0">'IRR (3)'!$B$1:$R$82</definedName>
    <definedName name="_xlnm.Print_Area" localSheetId="2">Summary!$A$2:$N$37</definedName>
    <definedName name="_xlnm.Print_Titles" localSheetId="6">'BoQ Renovasi Revo Town Square '!$1:$5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J19" i="1"/>
  <c r="I16" i="1"/>
  <c r="I20" i="1" l="1"/>
  <c r="H20" i="1"/>
  <c r="I22" i="1" l="1"/>
  <c r="H22" i="1"/>
  <c r="M22" i="1"/>
  <c r="H16" i="1"/>
  <c r="H21" i="10" l="1"/>
  <c r="I21" i="10" s="1"/>
  <c r="H19" i="10"/>
  <c r="E19" i="10"/>
  <c r="I19" i="10" s="1"/>
  <c r="H18" i="10"/>
  <c r="I18" i="10" s="1"/>
  <c r="E18" i="10"/>
  <c r="H15" i="10"/>
  <c r="I15" i="10" s="1"/>
  <c r="H14" i="10"/>
  <c r="I14" i="10" s="1"/>
  <c r="H12" i="10"/>
  <c r="I12" i="10" s="1"/>
  <c r="I10" i="10"/>
  <c r="H10" i="10"/>
  <c r="H9" i="10"/>
  <c r="I9" i="10" s="1"/>
  <c r="I22" i="10" s="1"/>
  <c r="F26" i="9" l="1"/>
  <c r="F28" i="9"/>
  <c r="I19" i="1"/>
  <c r="K19" i="1" s="1"/>
  <c r="L19" i="1" s="1"/>
  <c r="F25" i="9" l="1"/>
  <c r="F24" i="9"/>
  <c r="F23" i="9"/>
  <c r="I24" i="1" l="1"/>
  <c r="J24" i="1"/>
  <c r="K24" i="1"/>
  <c r="L24" i="1"/>
  <c r="H24" i="1"/>
  <c r="J16" i="1"/>
  <c r="M25" i="1"/>
  <c r="K16" i="1" l="1"/>
  <c r="J20" i="1"/>
  <c r="M24" i="1"/>
  <c r="I23" i="1"/>
  <c r="J23" i="1"/>
  <c r="K23" i="1"/>
  <c r="L23" i="1"/>
  <c r="H23" i="1"/>
  <c r="M23" i="1" s="1"/>
  <c r="D15" i="9"/>
  <c r="C15" i="9"/>
  <c r="L16" i="1" l="1"/>
  <c r="L20" i="1" s="1"/>
  <c r="K20" i="1"/>
  <c r="D12" i="9"/>
  <c r="C12" i="9"/>
  <c r="I26" i="1"/>
  <c r="J26" i="1"/>
  <c r="K26" i="1"/>
  <c r="L26" i="1"/>
  <c r="I10" i="5" l="1"/>
  <c r="I15" i="5" s="1"/>
  <c r="J15" i="5" s="1"/>
  <c r="F15" i="5"/>
  <c r="H14" i="5"/>
  <c r="F14" i="5"/>
  <c r="G13" i="5"/>
  <c r="J13" i="5" s="1"/>
  <c r="F12" i="5"/>
  <c r="J12" i="5" s="1"/>
  <c r="F11" i="5"/>
  <c r="J11" i="5" s="1"/>
  <c r="D11" i="5"/>
  <c r="I12" i="5" l="1"/>
  <c r="I14" i="5"/>
  <c r="J14" i="5" s="1"/>
  <c r="J16" i="5" s="1"/>
  <c r="K16" i="5" s="1"/>
  <c r="M26" i="1" l="1"/>
  <c r="M17" i="1"/>
  <c r="M18" i="1"/>
  <c r="M19" i="1"/>
  <c r="M11" i="8"/>
  <c r="M9" i="8"/>
  <c r="H27" i="1" l="1"/>
  <c r="H28" i="1" s="1"/>
  <c r="H50" i="1" l="1"/>
  <c r="H55" i="1" s="1"/>
  <c r="I39" i="1"/>
  <c r="J39" i="1"/>
  <c r="K39" i="1"/>
  <c r="L39" i="1"/>
  <c r="D2" i="7"/>
  <c r="D4" i="7"/>
  <c r="D3" i="7"/>
  <c r="J52" i="1" l="1"/>
  <c r="K52" i="1" s="1"/>
  <c r="L52" i="1" s="1"/>
  <c r="K53" i="1"/>
  <c r="L53" i="1" s="1"/>
  <c r="L54" i="1"/>
  <c r="I51" i="1"/>
  <c r="J51" i="1" s="1"/>
  <c r="K51" i="1" s="1"/>
  <c r="L51" i="1" s="1"/>
  <c r="M16" i="1" l="1"/>
  <c r="M20" i="1" s="1"/>
  <c r="B2" i="5"/>
  <c r="B5" i="5" l="1"/>
  <c r="H34" i="1" s="1"/>
  <c r="B4" i="5"/>
  <c r="C2" i="5" s="1"/>
  <c r="D2" i="5" s="1"/>
  <c r="E2" i="5" s="1"/>
  <c r="F2" i="5" s="1"/>
  <c r="Q38" i="2"/>
  <c r="P38" i="2"/>
  <c r="O38" i="2"/>
  <c r="I78" i="2"/>
  <c r="I82" i="2" s="1"/>
  <c r="H81" i="4"/>
  <c r="H83" i="4" s="1"/>
  <c r="L68" i="4"/>
  <c r="K62" i="4"/>
  <c r="L62" i="4" s="1"/>
  <c r="M62" i="4" s="1"/>
  <c r="N62" i="4" s="1"/>
  <c r="O62" i="4" s="1"/>
  <c r="P62" i="4" s="1"/>
  <c r="J61" i="4"/>
  <c r="K61" i="4" s="1"/>
  <c r="L61" i="4" s="1"/>
  <c r="M61" i="4" s="1"/>
  <c r="N61" i="4" s="1"/>
  <c r="O61" i="4" s="1"/>
  <c r="P61" i="4" s="1"/>
  <c r="I60" i="4"/>
  <c r="J60" i="4" s="1"/>
  <c r="K60" i="4" s="1"/>
  <c r="L60" i="4" s="1"/>
  <c r="M60" i="4" s="1"/>
  <c r="N60" i="4" s="1"/>
  <c r="O60" i="4" s="1"/>
  <c r="P60" i="4" s="1"/>
  <c r="H59" i="4"/>
  <c r="I59" i="4" s="1"/>
  <c r="L58" i="4"/>
  <c r="K58" i="4"/>
  <c r="J58" i="4"/>
  <c r="I58" i="4"/>
  <c r="H58" i="4"/>
  <c r="Q43" i="4"/>
  <c r="P43" i="4"/>
  <c r="O43" i="4"/>
  <c r="N43" i="4"/>
  <c r="M43" i="4"/>
  <c r="L43" i="4"/>
  <c r="K43" i="4"/>
  <c r="J43" i="4"/>
  <c r="I43" i="4"/>
  <c r="H43" i="4"/>
  <c r="G43" i="4"/>
  <c r="G44" i="4" s="1"/>
  <c r="Q35" i="4"/>
  <c r="R29" i="4"/>
  <c r="Q28" i="4"/>
  <c r="P28" i="4"/>
  <c r="O28" i="4"/>
  <c r="N28" i="4"/>
  <c r="M28" i="4"/>
  <c r="L28" i="4"/>
  <c r="K28" i="4"/>
  <c r="J28" i="4"/>
  <c r="I28" i="4"/>
  <c r="M27" i="4"/>
  <c r="M24" i="4"/>
  <c r="M30" i="4" s="1"/>
  <c r="L24" i="4"/>
  <c r="K24" i="4"/>
  <c r="K30" i="4" s="1"/>
  <c r="K31" i="4" s="1"/>
  <c r="K32" i="4" s="1"/>
  <c r="J24" i="4"/>
  <c r="I24" i="4"/>
  <c r="H24" i="4"/>
  <c r="R23" i="4"/>
  <c r="N22" i="4"/>
  <c r="O22" i="4" s="1"/>
  <c r="P22" i="4" s="1"/>
  <c r="Q22" i="4" s="1"/>
  <c r="N21" i="4"/>
  <c r="N20" i="4"/>
  <c r="H78" i="2"/>
  <c r="H81" i="2" s="1"/>
  <c r="L65" i="2"/>
  <c r="K59" i="2"/>
  <c r="L59" i="2" s="1"/>
  <c r="M59" i="2" s="1"/>
  <c r="N59" i="2" s="1"/>
  <c r="O59" i="2" s="1"/>
  <c r="P59" i="2" s="1"/>
  <c r="J58" i="2"/>
  <c r="K58" i="2" s="1"/>
  <c r="L58" i="2" s="1"/>
  <c r="M58" i="2" s="1"/>
  <c r="N58" i="2" s="1"/>
  <c r="O58" i="2" s="1"/>
  <c r="P58" i="2" s="1"/>
  <c r="I57" i="2"/>
  <c r="J57" i="2" s="1"/>
  <c r="K57" i="2" s="1"/>
  <c r="L57" i="2" s="1"/>
  <c r="M57" i="2" s="1"/>
  <c r="N57" i="2" s="1"/>
  <c r="O57" i="2" s="1"/>
  <c r="P57" i="2" s="1"/>
  <c r="H56" i="2"/>
  <c r="H66" i="2" s="1"/>
  <c r="H35" i="2" s="1"/>
  <c r="L55" i="2"/>
  <c r="K55" i="2"/>
  <c r="J55" i="2"/>
  <c r="I55" i="2"/>
  <c r="H55" i="2"/>
  <c r="Q43" i="2"/>
  <c r="P43" i="2"/>
  <c r="O43" i="2"/>
  <c r="N43" i="2"/>
  <c r="M43" i="2"/>
  <c r="L43" i="2"/>
  <c r="K43" i="2"/>
  <c r="J43" i="2"/>
  <c r="I43" i="2"/>
  <c r="H43" i="2"/>
  <c r="G43" i="2"/>
  <c r="G44" i="2" s="1"/>
  <c r="Q35" i="2"/>
  <c r="H30" i="2"/>
  <c r="H31" i="2" s="1"/>
  <c r="H32" i="2" s="1"/>
  <c r="R29" i="2"/>
  <c r="Q28" i="2"/>
  <c r="P28" i="2"/>
  <c r="O28" i="2"/>
  <c r="R28" i="2" s="1"/>
  <c r="N28" i="2"/>
  <c r="M28" i="2"/>
  <c r="L28" i="2"/>
  <c r="K28" i="2"/>
  <c r="J28" i="2"/>
  <c r="I28" i="2"/>
  <c r="M27" i="2"/>
  <c r="M24" i="2"/>
  <c r="M30" i="2" s="1"/>
  <c r="L24" i="2"/>
  <c r="L30" i="2" s="1"/>
  <c r="K24" i="2"/>
  <c r="J24" i="2"/>
  <c r="I24" i="2"/>
  <c r="H24" i="2"/>
  <c r="R23" i="2"/>
  <c r="N22" i="2"/>
  <c r="N21" i="2"/>
  <c r="O21" i="2" s="1"/>
  <c r="P21" i="2" s="1"/>
  <c r="Q21" i="2" s="1"/>
  <c r="N20" i="2"/>
  <c r="O20" i="2" s="1"/>
  <c r="P20" i="2" s="1"/>
  <c r="Q20" i="2" s="1"/>
  <c r="C5" i="5" l="1"/>
  <c r="I34" i="1" s="1"/>
  <c r="G2" i="5"/>
  <c r="G5" i="5" s="1"/>
  <c r="G45" i="4"/>
  <c r="G46" i="4" s="1"/>
  <c r="G47" i="4" s="1"/>
  <c r="G48" i="4" s="1"/>
  <c r="I84" i="2"/>
  <c r="R28" i="4"/>
  <c r="N24" i="2"/>
  <c r="N30" i="2" s="1"/>
  <c r="I80" i="2"/>
  <c r="J82" i="2" s="1"/>
  <c r="N24" i="4"/>
  <c r="N30" i="4" s="1"/>
  <c r="L31" i="2"/>
  <c r="K33" i="4"/>
  <c r="J59" i="4"/>
  <c r="I69" i="4"/>
  <c r="I35" i="4" s="1"/>
  <c r="H84" i="4"/>
  <c r="H30" i="4"/>
  <c r="M31" i="4"/>
  <c r="N27" i="4"/>
  <c r="I30" i="4"/>
  <c r="I31" i="4" s="1"/>
  <c r="I32" i="4" s="1"/>
  <c r="H69" i="4"/>
  <c r="H35" i="4" s="1"/>
  <c r="R22" i="4"/>
  <c r="J30" i="4"/>
  <c r="J31" i="4" s="1"/>
  <c r="J32" i="4" s="1"/>
  <c r="L30" i="4"/>
  <c r="L31" i="4" s="1"/>
  <c r="L32" i="4" s="1"/>
  <c r="M32" i="4"/>
  <c r="O20" i="4"/>
  <c r="O21" i="4"/>
  <c r="P21" i="4" s="1"/>
  <c r="Q21" i="4" s="1"/>
  <c r="I56" i="2"/>
  <c r="J56" i="2" s="1"/>
  <c r="K56" i="2" s="1"/>
  <c r="R21" i="2"/>
  <c r="H83" i="2"/>
  <c r="H85" i="2" s="1"/>
  <c r="H38" i="2" s="1"/>
  <c r="H36" i="2"/>
  <c r="H33" i="2"/>
  <c r="G45" i="2"/>
  <c r="L32" i="2"/>
  <c r="H80" i="2"/>
  <c r="I81" i="2" s="1"/>
  <c r="I83" i="2" s="1"/>
  <c r="I85" i="2" s="1"/>
  <c r="I38" i="2" s="1"/>
  <c r="N27" i="2"/>
  <c r="I30" i="2"/>
  <c r="I31" i="2" s="1"/>
  <c r="I32" i="2" s="1"/>
  <c r="O22" i="2"/>
  <c r="J30" i="2"/>
  <c r="J31" i="2" s="1"/>
  <c r="J32" i="2" s="1"/>
  <c r="M31" i="2"/>
  <c r="M32" i="2" s="1"/>
  <c r="K30" i="2"/>
  <c r="K31" i="2" s="1"/>
  <c r="K32" i="2" s="1"/>
  <c r="R20" i="2"/>
  <c r="D5" i="5" l="1"/>
  <c r="J34" i="1" s="1"/>
  <c r="K84" i="2"/>
  <c r="K82" i="2"/>
  <c r="J84" i="2"/>
  <c r="J66" i="2"/>
  <c r="J35" i="2" s="1"/>
  <c r="I66" i="2"/>
  <c r="I35" i="2" s="1"/>
  <c r="L33" i="4"/>
  <c r="J33" i="4"/>
  <c r="I36" i="4"/>
  <c r="I33" i="4"/>
  <c r="O27" i="4"/>
  <c r="N31" i="4"/>
  <c r="N32" i="4" s="1"/>
  <c r="H31" i="4"/>
  <c r="H32" i="4" s="1"/>
  <c r="P20" i="4"/>
  <c r="O24" i="4"/>
  <c r="K59" i="4"/>
  <c r="J69" i="4"/>
  <c r="J35" i="4" s="1"/>
  <c r="J36" i="4" s="1"/>
  <c r="M33" i="4"/>
  <c r="H85" i="4"/>
  <c r="I84" i="4"/>
  <c r="R21" i="4"/>
  <c r="H39" i="2"/>
  <c r="H40" i="2" s="1"/>
  <c r="H41" i="2" s="1"/>
  <c r="H44" i="2" s="1"/>
  <c r="J36" i="2"/>
  <c r="J33" i="2"/>
  <c r="K33" i="2"/>
  <c r="P22" i="2"/>
  <c r="O24" i="2"/>
  <c r="M33" i="2"/>
  <c r="O27" i="2"/>
  <c r="N31" i="2"/>
  <c r="N32" i="2" s="1"/>
  <c r="J81" i="2"/>
  <c r="J83" i="2" s="1"/>
  <c r="J85" i="2" s="1"/>
  <c r="J38" i="2" s="1"/>
  <c r="I36" i="2"/>
  <c r="I39" i="2" s="1"/>
  <c r="I33" i="2"/>
  <c r="L56" i="2"/>
  <c r="K66" i="2"/>
  <c r="K35" i="2" s="1"/>
  <c r="K36" i="2" s="1"/>
  <c r="L33" i="2"/>
  <c r="F5" i="5" l="1"/>
  <c r="L34" i="1" s="1"/>
  <c r="E5" i="5"/>
  <c r="K34" i="1" s="1"/>
  <c r="L82" i="2"/>
  <c r="L84" i="2"/>
  <c r="O30" i="4"/>
  <c r="H36" i="4"/>
  <c r="H39" i="4" s="1"/>
  <c r="H33" i="4"/>
  <c r="Q20" i="4"/>
  <c r="Q24" i="4" s="1"/>
  <c r="P24" i="4"/>
  <c r="L59" i="4"/>
  <c r="K69" i="4"/>
  <c r="K35" i="4" s="1"/>
  <c r="K36" i="4" s="1"/>
  <c r="I39" i="4"/>
  <c r="N33" i="4"/>
  <c r="P27" i="4"/>
  <c r="R27" i="4"/>
  <c r="J84" i="4"/>
  <c r="I85" i="4"/>
  <c r="H45" i="2"/>
  <c r="P27" i="2"/>
  <c r="O30" i="2"/>
  <c r="J39" i="2"/>
  <c r="N33" i="2"/>
  <c r="M56" i="2"/>
  <c r="L66" i="2"/>
  <c r="L35" i="2" s="1"/>
  <c r="Q22" i="2"/>
  <c r="P24" i="2"/>
  <c r="I40" i="2"/>
  <c r="I41" i="2" s="1"/>
  <c r="I44" i="2" s="1"/>
  <c r="K83" i="2"/>
  <c r="K81" i="2"/>
  <c r="H39" i="1"/>
  <c r="G39" i="1"/>
  <c r="M39" i="1" l="1"/>
  <c r="K85" i="2"/>
  <c r="K38" i="2" s="1"/>
  <c r="K39" i="2" s="1"/>
  <c r="K40" i="2" s="1"/>
  <c r="K41" i="2" s="1"/>
  <c r="K44" i="2" s="1"/>
  <c r="R20" i="4"/>
  <c r="R24" i="4" s="1"/>
  <c r="M82" i="2"/>
  <c r="M84" i="2" s="1"/>
  <c r="I40" i="4"/>
  <c r="I41" i="4" s="1"/>
  <c r="I44" i="4" s="1"/>
  <c r="M59" i="4"/>
  <c r="L69" i="4"/>
  <c r="L35" i="4" s="1"/>
  <c r="L36" i="4" s="1"/>
  <c r="P30" i="4"/>
  <c r="P31" i="4" s="1"/>
  <c r="P32" i="4" s="1"/>
  <c r="Q30" i="4"/>
  <c r="Q31" i="4" s="1"/>
  <c r="Q32" i="4" s="1"/>
  <c r="H40" i="4"/>
  <c r="H41" i="4" s="1"/>
  <c r="H44" i="4" s="1"/>
  <c r="O31" i="4"/>
  <c r="O32" i="4" s="1"/>
  <c r="E24" i="4"/>
  <c r="K84" i="4"/>
  <c r="K85" i="4" s="1"/>
  <c r="J85" i="4"/>
  <c r="J39" i="4" s="1"/>
  <c r="P30" i="2"/>
  <c r="P31" i="2" s="1"/>
  <c r="P32" i="2" s="1"/>
  <c r="J40" i="2"/>
  <c r="J41" i="2" s="1"/>
  <c r="J44" i="2" s="1"/>
  <c r="L36" i="2"/>
  <c r="L81" i="2"/>
  <c r="L83" i="2" s="1"/>
  <c r="L85" i="2" s="1"/>
  <c r="L38" i="2" s="1"/>
  <c r="O31" i="2"/>
  <c r="O32" i="2" s="1"/>
  <c r="Q24" i="2"/>
  <c r="R22" i="2"/>
  <c r="R24" i="2" s="1"/>
  <c r="R27" i="2"/>
  <c r="N56" i="2"/>
  <c r="M66" i="2"/>
  <c r="M35" i="2" s="1"/>
  <c r="M36" i="2" s="1"/>
  <c r="I45" i="2"/>
  <c r="I46" i="2" s="1"/>
  <c r="H46" i="2"/>
  <c r="H2" i="5" l="1"/>
  <c r="N82" i="2"/>
  <c r="N84" i="2" s="1"/>
  <c r="N85" i="2" s="1"/>
  <c r="N38" i="2" s="1"/>
  <c r="H45" i="4"/>
  <c r="H46" i="4" s="1"/>
  <c r="H47" i="4" s="1"/>
  <c r="P33" i="4"/>
  <c r="Q33" i="4"/>
  <c r="Q36" i="4"/>
  <c r="Q39" i="4" s="1"/>
  <c r="R30" i="4"/>
  <c r="R31" i="4" s="1"/>
  <c r="R32" i="4" s="1"/>
  <c r="O33" i="4"/>
  <c r="J40" i="4"/>
  <c r="J41" i="4" s="1"/>
  <c r="J44" i="4" s="1"/>
  <c r="L84" i="4"/>
  <c r="L85" i="4" s="1"/>
  <c r="L39" i="4" s="1"/>
  <c r="N59" i="4"/>
  <c r="M69" i="4"/>
  <c r="M35" i="4" s="1"/>
  <c r="K39" i="4"/>
  <c r="P33" i="2"/>
  <c r="Q30" i="2"/>
  <c r="O33" i="2"/>
  <c r="E24" i="2"/>
  <c r="M81" i="2"/>
  <c r="M83" i="2" s="1"/>
  <c r="M85" i="2" s="1"/>
  <c r="M38" i="2" s="1"/>
  <c r="L39" i="2"/>
  <c r="J45" i="2"/>
  <c r="J46" i="2" s="1"/>
  <c r="O56" i="2"/>
  <c r="N66" i="2"/>
  <c r="N35" i="2" s="1"/>
  <c r="N36" i="2" s="1"/>
  <c r="M13" i="8"/>
  <c r="I2" i="5" l="1"/>
  <c r="H5" i="5"/>
  <c r="N39" i="2"/>
  <c r="H48" i="4"/>
  <c r="L40" i="4"/>
  <c r="L41" i="4" s="1"/>
  <c r="L44" i="4" s="1"/>
  <c r="M84" i="4"/>
  <c r="M85" i="4" s="1"/>
  <c r="R38" i="4" s="1"/>
  <c r="M36" i="4"/>
  <c r="N69" i="4"/>
  <c r="N35" i="4" s="1"/>
  <c r="N36" i="4" s="1"/>
  <c r="N39" i="4" s="1"/>
  <c r="O59" i="4"/>
  <c r="R33" i="4"/>
  <c r="G54" i="4" s="1"/>
  <c r="Q40" i="4"/>
  <c r="Q41" i="4" s="1"/>
  <c r="Q44" i="4" s="1"/>
  <c r="K40" i="4"/>
  <c r="K41" i="4" s="1"/>
  <c r="K44" i="4" s="1"/>
  <c r="I45" i="4"/>
  <c r="I46" i="4" s="1"/>
  <c r="I47" i="4" s="1"/>
  <c r="R38" i="2"/>
  <c r="M39" i="2"/>
  <c r="K45" i="2"/>
  <c r="K46" i="2" s="1"/>
  <c r="L40" i="2"/>
  <c r="L41" i="2" s="1"/>
  <c r="L44" i="2" s="1"/>
  <c r="Q31" i="2"/>
  <c r="Q32" i="2" s="1"/>
  <c r="R30" i="2"/>
  <c r="R31" i="2" s="1"/>
  <c r="R32" i="2" s="1"/>
  <c r="N40" i="2"/>
  <c r="N41" i="2" s="1"/>
  <c r="N44" i="2" s="1"/>
  <c r="O66" i="2"/>
  <c r="O35" i="2" s="1"/>
  <c r="O36" i="2" s="1"/>
  <c r="O39" i="2" s="1"/>
  <c r="P56" i="2"/>
  <c r="P66" i="2" s="1"/>
  <c r="P35" i="2" s="1"/>
  <c r="J2" i="5" l="1"/>
  <c r="J5" i="5" s="1"/>
  <c r="I5" i="5"/>
  <c r="I48" i="4"/>
  <c r="I49" i="4" s="1"/>
  <c r="H49" i="4"/>
  <c r="O69" i="4"/>
  <c r="O35" i="4" s="1"/>
  <c r="O36" i="4" s="1"/>
  <c r="O39" i="4" s="1"/>
  <c r="P59" i="4"/>
  <c r="P69" i="4" s="1"/>
  <c r="P35" i="4" s="1"/>
  <c r="M39" i="4"/>
  <c r="N40" i="4"/>
  <c r="N41" i="4" s="1"/>
  <c r="N44" i="4" s="1"/>
  <c r="J45" i="4"/>
  <c r="J46" i="4" s="1"/>
  <c r="J47" i="4" s="1"/>
  <c r="M40" i="2"/>
  <c r="M41" i="2" s="1"/>
  <c r="M44" i="2" s="1"/>
  <c r="O40" i="2"/>
  <c r="O41" i="2" s="1"/>
  <c r="O44" i="2" s="1"/>
  <c r="L45" i="2"/>
  <c r="L46" i="2" s="1"/>
  <c r="R35" i="2"/>
  <c r="P67" i="2" s="1"/>
  <c r="P36" i="2"/>
  <c r="P39" i="2" s="1"/>
  <c r="R33" i="2"/>
  <c r="G51" i="2" s="1"/>
  <c r="Q36" i="2"/>
  <c r="Q39" i="2" s="1"/>
  <c r="R39" i="2" s="1"/>
  <c r="Q33" i="2"/>
  <c r="K2" i="5" l="1"/>
  <c r="K5" i="5" s="1"/>
  <c r="R36" i="2"/>
  <c r="J48" i="4"/>
  <c r="K45" i="4"/>
  <c r="K46" i="4" s="1"/>
  <c r="K47" i="4" s="1"/>
  <c r="P36" i="4"/>
  <c r="P39" i="4" s="1"/>
  <c r="R39" i="4" s="1"/>
  <c r="R35" i="4"/>
  <c r="M40" i="4"/>
  <c r="M41" i="4" s="1"/>
  <c r="M44" i="4" s="1"/>
  <c r="O40" i="4"/>
  <c r="O41" i="4" s="1"/>
  <c r="O44" i="4" s="1"/>
  <c r="M45" i="2"/>
  <c r="Q40" i="2"/>
  <c r="P40" i="2"/>
  <c r="P41" i="2" s="1"/>
  <c r="P44" i="2" s="1"/>
  <c r="G40" i="1"/>
  <c r="H32" i="1"/>
  <c r="J49" i="4" l="1"/>
  <c r="K48" i="4"/>
  <c r="K49" i="4" s="1"/>
  <c r="L45" i="4"/>
  <c r="L46" i="4" s="1"/>
  <c r="P40" i="4"/>
  <c r="R40" i="4" s="1"/>
  <c r="P70" i="4"/>
  <c r="R36" i="4"/>
  <c r="R40" i="2"/>
  <c r="R41" i="2" s="1"/>
  <c r="N45" i="2"/>
  <c r="N46" i="2" s="1"/>
  <c r="Q41" i="2"/>
  <c r="Q44" i="2" s="1"/>
  <c r="M46" i="2"/>
  <c r="I50" i="1"/>
  <c r="I55" i="1" s="1"/>
  <c r="I32" i="1" l="1"/>
  <c r="J50" i="1"/>
  <c r="J55" i="1" s="1"/>
  <c r="L47" i="4"/>
  <c r="L48" i="4" s="1"/>
  <c r="P41" i="4"/>
  <c r="P44" i="4" s="1"/>
  <c r="R41" i="4"/>
  <c r="M45" i="4"/>
  <c r="M46" i="4" s="1"/>
  <c r="M47" i="4" s="1"/>
  <c r="G50" i="2"/>
  <c r="G49" i="2"/>
  <c r="O45" i="2"/>
  <c r="O46" i="2"/>
  <c r="J49" i="1"/>
  <c r="K49" i="1"/>
  <c r="L49" i="1"/>
  <c r="K50" i="1" l="1"/>
  <c r="K55" i="1" s="1"/>
  <c r="J32" i="1"/>
  <c r="M48" i="4"/>
  <c r="L49" i="4"/>
  <c r="G53" i="4"/>
  <c r="N45" i="4"/>
  <c r="N46" i="4" s="1"/>
  <c r="N47" i="4" s="1"/>
  <c r="P45" i="2"/>
  <c r="L27" i="1"/>
  <c r="L28" i="1" s="1"/>
  <c r="K27" i="1"/>
  <c r="K28" i="1" s="1"/>
  <c r="J27" i="1"/>
  <c r="J28" i="1" s="1"/>
  <c r="I27" i="1"/>
  <c r="I28" i="1" s="1"/>
  <c r="G41" i="1"/>
  <c r="M27" i="1" l="1"/>
  <c r="M28" i="1" s="1"/>
  <c r="J29" i="1"/>
  <c r="L29" i="1"/>
  <c r="L30" i="1" s="1"/>
  <c r="I29" i="1"/>
  <c r="K29" i="1"/>
  <c r="K30" i="1" s="1"/>
  <c r="L50" i="1"/>
  <c r="L55" i="1" s="1"/>
  <c r="K32" i="1"/>
  <c r="N48" i="4"/>
  <c r="N49" i="4" s="1"/>
  <c r="M49" i="4"/>
  <c r="O45" i="4"/>
  <c r="O46" i="4" s="1"/>
  <c r="O47" i="4" s="1"/>
  <c r="Q45" i="2"/>
  <c r="Q46" i="2" s="1"/>
  <c r="P46" i="2"/>
  <c r="H29" i="1"/>
  <c r="H30" i="1" s="1"/>
  <c r="M12" i="8" l="1"/>
  <c r="M29" i="1"/>
  <c r="M30" i="1" s="1"/>
  <c r="I33" i="1"/>
  <c r="I35" i="1" s="1"/>
  <c r="I36" i="1" s="1"/>
  <c r="I37" i="1" s="1"/>
  <c r="I40" i="1" s="1"/>
  <c r="I30" i="1"/>
  <c r="J30" i="1"/>
  <c r="J33" i="1"/>
  <c r="J35" i="1" s="1"/>
  <c r="J36" i="1" s="1"/>
  <c r="J37" i="1" s="1"/>
  <c r="J40" i="1" s="1"/>
  <c r="O48" i="4"/>
  <c r="O49" i="4" s="1"/>
  <c r="P45" i="4"/>
  <c r="P46" i="4" s="1"/>
  <c r="P47" i="4" s="1"/>
  <c r="G52" i="2"/>
  <c r="H33" i="1"/>
  <c r="H35" i="1" s="1"/>
  <c r="H36" i="1" s="1"/>
  <c r="K33" i="1"/>
  <c r="I49" i="1"/>
  <c r="H49" i="1"/>
  <c r="G46" i="1" l="1"/>
  <c r="M17" i="8" s="1"/>
  <c r="P48" i="4"/>
  <c r="P49" i="4" s="1"/>
  <c r="H37" i="1"/>
  <c r="H40" i="1" s="1"/>
  <c r="Q45" i="4"/>
  <c r="Q46" i="4" s="1"/>
  <c r="Q47" i="4" s="1"/>
  <c r="G52" i="4" s="1"/>
  <c r="K35" i="1"/>
  <c r="K36" i="1" s="1"/>
  <c r="K37" i="1" s="1"/>
  <c r="K40" i="1" s="1"/>
  <c r="Q48" i="4" l="1"/>
  <c r="Q49" i="4" s="1"/>
  <c r="G55" i="4" s="1"/>
  <c r="R46" i="4"/>
  <c r="H41" i="1"/>
  <c r="H42" i="1" s="1"/>
  <c r="L32" i="1"/>
  <c r="I41" i="1" l="1"/>
  <c r="J41" i="1" s="1"/>
  <c r="J42" i="1" s="1"/>
  <c r="L33" i="1"/>
  <c r="K41" i="1" l="1"/>
  <c r="K42" i="1" s="1"/>
  <c r="I42" i="1"/>
  <c r="L35" i="1"/>
  <c r="L36" i="1" s="1"/>
  <c r="M34" i="1" l="1"/>
  <c r="L37" i="1"/>
  <c r="L40" i="1" s="1"/>
  <c r="G44" i="1" s="1"/>
  <c r="M40" i="1" l="1"/>
  <c r="M32" i="1"/>
  <c r="M33" i="1" s="1"/>
  <c r="L41" i="1"/>
  <c r="L42" i="1" l="1"/>
  <c r="M35" i="1"/>
  <c r="M36" i="1" l="1"/>
  <c r="M37" i="1" s="1"/>
  <c r="M15" i="8" l="1"/>
  <c r="G45" i="1"/>
  <c r="M16" i="8" s="1"/>
  <c r="G47" i="1" l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0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<sst xmlns="http://schemas.openxmlformats.org/spreadsheetml/2006/main" count="443" uniqueCount="255">
  <si>
    <t>Assumption:</t>
  </si>
  <si>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</si>
  <si>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</si>
  <si>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</si>
  <si>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</si>
  <si>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</si>
  <si>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</si>
  <si>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</si>
  <si>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</si>
  <si>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</si>
  <si>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</si>
  <si>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</si>
  <si>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</si>
  <si>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</si>
  <si>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</si>
  <si>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</si>
  <si>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</si>
  <si>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</si>
  <si>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</si>
  <si>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</si>
  <si>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</si>
  <si>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</si>
  <si>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</si>
  <si>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</si>
  <si>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</si>
  <si>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</si>
  <si>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</si>
  <si>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</si>
  <si>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</si>
  <si>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</si>
  <si>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</si>
  <si>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</si>
  <si>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</si>
  <si>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</si>
  <si>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</si>
  <si>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</si>
  <si>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</si>
  <si>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</si>
  <si>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</si>
  <si>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</si>
  <si>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</si>
  <si>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</si>
  <si>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</si>
  <si>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</si>
  <si>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</si>
  <si>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</si>
  <si>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</si>
  <si>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</si>
  <si>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Maintenance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</si>
  <si>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</si>
  <si>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</si>
  <si>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</si>
  <si>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</si>
  <si>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</si>
  <si>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</si>
  <si>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</si>
  <si>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</si>
  <si>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</si>
  <si>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</si>
  <si>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</si>
  <si>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</si>
  <si>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</si>
  <si>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</si>
  <si>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AEON DELTAMAS</t>
  </si>
  <si>
    <t>loan</t>
  </si>
  <si>
    <t>Period  (thn)</t>
  </si>
  <si>
    <t>Installment/thn</t>
  </si>
  <si>
    <t>Loan balance</t>
  </si>
  <si>
    <t>Interest</t>
  </si>
  <si>
    <t>Deposito Rate</t>
  </si>
  <si>
    <t>Accumulated FCF after Interest</t>
  </si>
  <si>
    <t>FCFF after Interest</t>
  </si>
  <si>
    <t>Loan balance1</t>
  </si>
  <si>
    <t>Loan balance2</t>
  </si>
  <si>
    <t>Interest1</t>
  </si>
  <si>
    <t>Interest2</t>
  </si>
  <si>
    <t>Total Interest</t>
  </si>
  <si>
    <t>loan u/ capex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</si>
  <si>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</si>
  <si>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</si>
  <si>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</si>
  <si>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</si>
  <si>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</si>
  <si>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</si>
  <si>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</si>
  <si>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</si>
  <si>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</si>
  <si>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Capex</t>
  </si>
  <si>
    <t>Total Opex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</si>
  <si>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</si>
  <si>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</si>
  <si>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</si>
  <si>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</si>
  <si>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</si>
  <si>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</si>
  <si>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</si>
  <si>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</si>
  <si>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</si>
  <si>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</si>
  <si>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</si>
  <si>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</si>
  <si>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</si>
  <si>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</si>
  <si>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</si>
  <si>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IBC / DAS</t>
  </si>
  <si>
    <t>Status P&amp;L</t>
  </si>
  <si>
    <t>Mall</t>
  </si>
  <si>
    <t>Interest rate /year</t>
  </si>
  <si>
    <t>Payback (year)</t>
  </si>
  <si>
    <t xml:space="preserve"> Tsel (06 Mei 2020 - 05 Mei 2023) Rp.792.000.000/3th </t>
  </si>
  <si>
    <t xml:space="preserve"> XL (17 Nov 2019 - 16 Nov 2024) Rp.1.405.815.000/5th </t>
  </si>
  <si>
    <t xml:space="preserve"> H3i (18 Jan 2018 - 17 Jan 2023)Rp.1.287.360.000/5th </t>
  </si>
  <si>
    <t>Broadband</t>
  </si>
  <si>
    <t>Revo Town Squre</t>
  </si>
  <si>
    <t>Revo Town Bekasi</t>
  </si>
  <si>
    <t>Renewal</t>
  </si>
  <si>
    <t xml:space="preserve">Tanggal P&amp;L:  </t>
  </si>
  <si>
    <t xml:space="preserve">Jl. A Yani, </t>
  </si>
  <si>
    <t>RT.005/RW.002</t>
  </si>
  <si>
    <t>Pekayon Jaya, Bekasi</t>
  </si>
  <si>
    <t>Jawa Barat</t>
  </si>
  <si>
    <t>Prepared by</t>
  </si>
  <si>
    <t>Revenue</t>
  </si>
  <si>
    <t>Alfredo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</si>
  <si>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</si>
  <si>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</si>
  <si>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</si>
  <si>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</si>
  <si>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</si>
  <si>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</si>
  <si>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</si>
  <si>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</si>
  <si>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</si>
  <si>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</si>
  <si>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</si>
  <si>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</si>
  <si>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</si>
  <si>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</si>
  <si>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</si>
  <si>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</si>
  <si>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</si>
  <si>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</si>
  <si>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</si>
  <si>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</si>
  <si>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</si>
  <si>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</si>
  <si>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</si>
  <si>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</si>
  <si>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</si>
  <si>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</si>
  <si>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</si>
  <si>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</si>
  <si>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</si>
  <si>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</si>
  <si>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</si>
  <si>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</si>
  <si>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</si>
  <si>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</si>
  <si>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</si>
  <si>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</si>
  <si>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</si>
  <si>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</si>
  <si>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</si>
  <si>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</si>
  <si>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</si>
  <si>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</si>
  <si>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</si>
  <si>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</si>
  <si>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</si>
  <si>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</si>
  <si>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</si>
  <si>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</si>
  <si>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</si>
  <si>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</si>
  <si>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</si>
  <si>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 xml:space="preserve">IBC </t>
  </si>
  <si>
    <t>2.</t>
  </si>
  <si>
    <t>Obyek Sewa</t>
  </si>
  <si>
    <t>3.</t>
  </si>
  <si>
    <t>Periode Sewa</t>
  </si>
  <si>
    <t>4.</t>
  </si>
  <si>
    <t>Harga Sewa / Masa sewa</t>
  </si>
  <si>
    <t>Harga Sewa / tahun</t>
  </si>
  <si>
    <t>5.</t>
  </si>
  <si>
    <t>Operator Joint</t>
  </si>
  <si>
    <t>6.</t>
  </si>
  <si>
    <t>Kenaikan/ Penurunan Harga</t>
  </si>
  <si>
    <t>Note :</t>
  </si>
  <si>
    <t>: Revo Town</t>
  </si>
  <si>
    <t>: PT. Kilap Propertindo</t>
  </si>
  <si>
    <t>: Jln. Ahmad Yani  Bekasi Selatan</t>
  </si>
  <si>
    <t>: (021) 82432212</t>
  </si>
  <si>
    <t>12 Sep 2018 s/d 11 Sep 2023 ( 5 th)</t>
  </si>
  <si>
    <t>: 158 titik antenna,  unit pole, RBS room 40 m2</t>
  </si>
  <si>
    <t>12 Sep 2023 s/d 11 Sep 2028 ( 5 th)</t>
  </si>
  <si>
    <t>XL (17 Nov 19 - 16 Nov 24)</t>
  </si>
  <si>
    <t>Tidak mengalami perubahan</t>
  </si>
  <si>
    <t>NO :  0004/02/IRR/IBC/V/2023</t>
  </si>
  <si>
    <t>Rev Share to ISP (Moratel) 50%</t>
  </si>
  <si>
    <t>Rev Share to BM 5% from 50% IBS's</t>
  </si>
  <si>
    <t xml:space="preserve"> Tsel (06 Mei 2015 - 05 Mei 2020) </t>
  </si>
  <si>
    <t xml:space="preserve"> XL (17 Nov 2014 - 16 Nov 2019) </t>
  </si>
  <si>
    <t xml:space="preserve"> H3i (20 Jan 2018 - 19 Jan 2023) </t>
  </si>
  <si>
    <t xml:space="preserve"> Isat (31 Agt 2016- 30 Agt 2021)  </t>
  </si>
  <si>
    <t xml:space="preserve"> Drop </t>
  </si>
  <si>
    <t>Tsel (6 Mei 20 - 5 Mei 23)</t>
  </si>
  <si>
    <t>Tsel (6 Mei 23 - 5 Mei 24)</t>
  </si>
  <si>
    <t>H3I (18 Jan 18 - 17 Jan 23)</t>
  </si>
  <si>
    <t>DROP</t>
  </si>
  <si>
    <t>IOH (18 Jan 23 - 17 Jan 28)</t>
  </si>
  <si>
    <t>Indosat ( 31 Aug 16 - 30 Aug 21)</t>
  </si>
  <si>
    <t>IOH-H3I</t>
  </si>
  <si>
    <t>Target To Achieve by Commercial:</t>
  </si>
  <si>
    <t>Oprt IOH ditargetkan tetap pada nilai sebelumnya mengingat prospek LRT</t>
  </si>
  <si>
    <t>Oprt XL tetap akan dipertahankan 150jt/thn dengan ekspektasi bisa dinaikan karena prospek LRT</t>
  </si>
  <si>
    <t>Oprt Tsel meskipun extend 1 thn tetap dihitung 5 thn karena prospek LRT di Revo</t>
  </si>
  <si>
    <t xml:space="preserve">Erosion Price </t>
  </si>
  <si>
    <t>BOQ - RENOVASI - REVO TOWN SQUARE BEKASI</t>
  </si>
  <si>
    <t>PT. Infrastruktur Bisnis Sejahtera</t>
  </si>
  <si>
    <t>NO.</t>
  </si>
  <si>
    <t>ITEM WORK</t>
  </si>
  <si>
    <t>UoM</t>
  </si>
  <si>
    <t>Volume</t>
  </si>
  <si>
    <t>UNIT PRICE MATERIAL</t>
  </si>
  <si>
    <t>UNIT PRICE JASA</t>
  </si>
  <si>
    <t>UNIT PRICE MATERIAL+JASA</t>
  </si>
  <si>
    <t>TOTAL PRICE</t>
  </si>
  <si>
    <t>REMARKS</t>
  </si>
  <si>
    <t>*</t>
  </si>
  <si>
    <t>BOQ KABEL YANG HILANG (PART 2)</t>
  </si>
  <si>
    <t>I.</t>
  </si>
  <si>
    <t>RF</t>
  </si>
  <si>
    <t>D</t>
  </si>
  <si>
    <t>CONNECTORS (LOW PIM)</t>
  </si>
  <si>
    <t>N-male connector for 7/8" feeder cable 800-3000 MHz</t>
  </si>
  <si>
    <t>PCS</t>
  </si>
  <si>
    <t>N-male connector for 1 1/4" feeder cable 800-5000 MHz</t>
  </si>
  <si>
    <t>E</t>
  </si>
  <si>
    <t>JUMPER CABLES (LOW PIM)</t>
  </si>
  <si>
    <r>
      <t xml:space="preserve">1m 1/2" superflexible jumper cable with N-male and N-female connector 800-3000 MHz </t>
    </r>
    <r>
      <rPr>
        <b/>
        <sz val="10"/>
        <rFont val="Arial"/>
        <family val="2"/>
      </rPr>
      <t>(NM-NM)</t>
    </r>
  </si>
  <si>
    <t>H</t>
  </si>
  <si>
    <t>FEEDER</t>
  </si>
  <si>
    <t>7/8" Feeder Cable</t>
  </si>
  <si>
    <t>M</t>
  </si>
  <si>
    <t>1 1/4" Feeder Cable</t>
  </si>
  <si>
    <t>II.</t>
  </si>
  <si>
    <t>CME</t>
  </si>
  <si>
    <t>B</t>
  </si>
  <si>
    <t>FEEDER HANGER &amp; CLAMP</t>
  </si>
  <si>
    <t>Clamp for Feeder Cable 7/8" feeder for Indoor (Stainless Steel)</t>
  </si>
  <si>
    <t>Clamp for Feeder Cable 1 1/4" Indoor (Steinless Steel)</t>
  </si>
  <si>
    <t>III.</t>
  </si>
  <si>
    <t>IMPLEMENTATION SERVICES</t>
  </si>
  <si>
    <t>Delivery Material Inbuilding (Loading &amp; Unloading)</t>
  </si>
  <si>
    <t>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</si>
</sst>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-[$Rp-421]* #,##0_-;\-[$Rp-421]* #,##0_-;_-[$Rp-421]* &quot;-&quot;??_-;_-@_-"/>
    <numFmt numFmtId="171" formatCode="_([$Rp-421]* #,##0_);_([$Rp-421]* \(#,##0\);_([$Rp-421]* &quot;-&quot;_);_(@_)"/>
    <numFmt numFmtId="172" formatCode="_(&quot;$&quot;* #,##0.00_);_(&quot;$&quot;* \(#,##0.00\);_(&quot;$&quot;* &quot;-&quot;??_);_(@_)"/>
    <numFmt numFmtId="173" formatCode="_([$IDR]\ * #,##0_);_([$IDR]\ * \(#,##0\);_([$IDR]\ * &quot;-&quot;_);_(@_)"/>
    <numFmt numFmtId="174" formatCode="_([$Rp-421]* #,##0_);_([$Rp-421]* \(#,##0\);_([$Rp-421]* &quot;-&quot;??_);_(@_)"/>
    <numFmt numFmtId="175" formatCode="_([$Rp-421]* #,##0.00_);_([$Rp-421]* \(#,##0.00\);_([$Rp-421]* &quot;-&quot;??_);_(@_)"/>
  </numFmts>
  <fonts count="5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4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alibri"/>
      <family val="2"/>
      <charset val="1"/>
      <scheme val="minor"/>
    </font>
    <font>
      <sz val="10"/>
      <name val="Arial"/>
      <family val="2"/>
    </font>
    <font>
      <b/>
      <sz val="15"/>
      <name val="Arial"/>
      <family val="2"/>
    </font>
    <font>
      <sz val="12"/>
      <name val="Times New Roman"/>
      <family val="1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i/>
      <sz val="10"/>
      <color rgb="FFFF000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22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sz val="10"/>
      <color rgb="FFFF0000"/>
      <name val="Arial"/>
      <family val="2"/>
    </font>
    <font>
      <sz val="10"/>
      <name val="Courier New"/>
      <family val="3"/>
    </font>
    <font>
      <sz val="12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9">
    <xf numFmtId="0" fontId="0" fillId="0" borderId="0"/>
    <xf numFmtId="166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23" fillId="0" borderId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7" fillId="0" borderId="0"/>
    <xf numFmtId="166" fontId="3" fillId="0" borderId="0" applyFont="0" applyFill="0" applyBorder="0" applyAlignment="0" applyProtection="0"/>
    <xf numFmtId="0" fontId="23" fillId="0" borderId="0"/>
    <xf numFmtId="164" fontId="23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0" fillId="0" borderId="0"/>
    <xf numFmtId="166" fontId="40" fillId="0" borderId="0" applyFont="0" applyFill="0" applyBorder="0" applyAlignment="0" applyProtection="0"/>
    <xf numFmtId="0" fontId="48" fillId="0" borderId="0"/>
    <xf numFmtId="0" fontId="1" fillId="0" borderId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4" fillId="0" borderId="0"/>
  </cellStyleXfs>
  <cellXfs count="305">
    <xf numFmtId="0" fontId="0" fillId="0" borderId="0" xfId="0"/>
    <xf numFmtId="0" fontId="8" fillId="0" borderId="0" xfId="0" applyFont="1"/>
    <xf numFmtId="0" fontId="0" fillId="0" borderId="0" xfId="0" applyAlignment="1">
      <alignment vertical="center"/>
    </xf>
    <xf numFmtId="0" fontId="9" fillId="0" borderId="0" xfId="0" applyFont="1"/>
    <xf numFmtId="0" fontId="0" fillId="3" borderId="0" xfId="0" applyFill="1"/>
    <xf numFmtId="9" fontId="10" fillId="0" borderId="0" xfId="2" applyNumberFormat="1" applyFont="1"/>
    <xf numFmtId="10" fontId="10" fillId="0" borderId="0" xfId="2" applyNumberFormat="1" applyFont="1"/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3" fillId="0" borderId="0" xfId="0" applyNumberFormat="1" applyFont="1" applyBorder="1"/>
    <xf numFmtId="41" fontId="10" fillId="0" borderId="0" xfId="0" applyNumberFormat="1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1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/>
    </xf>
    <xf numFmtId="166" fontId="17" fillId="0" borderId="0" xfId="1" applyFont="1"/>
    <xf numFmtId="41" fontId="0" fillId="0" borderId="2" xfId="2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9" fontId="18" fillId="0" borderId="0" xfId="3" applyFont="1" applyAlignment="1">
      <alignment vertical="center"/>
    </xf>
    <xf numFmtId="0" fontId="0" fillId="0" borderId="0" xfId="0" applyFill="1" applyBorder="1"/>
    <xf numFmtId="38" fontId="12" fillId="0" borderId="0" xfId="0" applyNumberFormat="1" applyFont="1" applyAlignment="1">
      <alignment vertical="center"/>
    </xf>
    <xf numFmtId="38" fontId="0" fillId="0" borderId="0" xfId="0" applyNumberForma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6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8" fillId="0" borderId="4" xfId="0" applyFont="1" applyBorder="1"/>
    <xf numFmtId="0" fontId="0" fillId="0" borderId="4" xfId="0" applyBorder="1"/>
    <xf numFmtId="167" fontId="8" fillId="0" borderId="4" xfId="0" applyNumberFormat="1" applyFont="1" applyBorder="1" applyAlignment="1">
      <alignment vertical="center"/>
    </xf>
    <xf numFmtId="0" fontId="0" fillId="0" borderId="0" xfId="0" applyBorder="1"/>
    <xf numFmtId="41" fontId="15" fillId="0" borderId="0" xfId="0" applyNumberFormat="1" applyFont="1" applyBorder="1"/>
    <xf numFmtId="41" fontId="14" fillId="0" borderId="0" xfId="0" applyNumberFormat="1" applyFont="1" applyBorder="1"/>
    <xf numFmtId="167" fontId="8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7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8" fillId="3" borderId="0" xfId="0" applyNumberFormat="1" applyFont="1" applyFill="1" applyBorder="1" applyAlignment="1">
      <alignment vertical="center"/>
    </xf>
    <xf numFmtId="0" fontId="8" fillId="3" borderId="0" xfId="0" applyFont="1" applyFill="1" applyBorder="1"/>
    <xf numFmtId="9" fontId="18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8" fillId="0" borderId="0" xfId="0" applyFont="1" applyBorder="1" applyAlignment="1">
      <alignment horizontal="center"/>
    </xf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0" fontId="21" fillId="0" borderId="0" xfId="0" applyFont="1" applyBorder="1"/>
    <xf numFmtId="41" fontId="21" fillId="0" borderId="9" xfId="0" applyNumberFormat="1" applyFont="1" applyBorder="1"/>
    <xf numFmtId="9" fontId="21" fillId="0" borderId="9" xfId="3" applyFont="1" applyBorder="1"/>
    <xf numFmtId="0" fontId="21" fillId="0" borderId="10" xfId="0" applyFont="1" applyBorder="1"/>
    <xf numFmtId="0" fontId="21" fillId="0" borderId="2" xfId="0" applyFont="1" applyBorder="1"/>
    <xf numFmtId="168" fontId="21" fillId="0" borderId="11" xfId="1" applyNumberFormat="1" applyFont="1" applyBorder="1"/>
    <xf numFmtId="0" fontId="8" fillId="0" borderId="12" xfId="0" applyFont="1" applyBorder="1"/>
    <xf numFmtId="41" fontId="8" fillId="0" borderId="12" xfId="0" applyNumberFormat="1" applyFont="1" applyBorder="1" applyAlignment="1">
      <alignment vertical="center"/>
    </xf>
    <xf numFmtId="167" fontId="7" fillId="0" borderId="0" xfId="17" applyNumberFormat="1" applyFont="1"/>
    <xf numFmtId="41" fontId="0" fillId="0" borderId="0" xfId="2" applyFont="1" applyAlignment="1">
      <alignment vertical="center"/>
    </xf>
    <xf numFmtId="41" fontId="7" fillId="0" borderId="0" xfId="2" applyFont="1" applyFill="1"/>
    <xf numFmtId="167" fontId="0" fillId="4" borderId="0" xfId="0" applyNumberFormat="1" applyFill="1" applyAlignment="1">
      <alignment vertical="center"/>
    </xf>
    <xf numFmtId="0" fontId="21" fillId="5" borderId="1" xfId="0" applyFont="1" applyFill="1" applyBorder="1" applyAlignment="1">
      <alignment horizontal="center"/>
    </xf>
    <xf numFmtId="0" fontId="12" fillId="5" borderId="0" xfId="0" applyFont="1" applyFill="1"/>
    <xf numFmtId="41" fontId="12" fillId="5" borderId="0" xfId="0" applyNumberFormat="1" applyFont="1" applyFill="1" applyAlignment="1">
      <alignment vertical="center"/>
    </xf>
    <xf numFmtId="41" fontId="21" fillId="5" borderId="12" xfId="0" applyNumberFormat="1" applyFont="1" applyFill="1" applyBorder="1" applyAlignment="1">
      <alignment vertical="center"/>
    </xf>
    <xf numFmtId="166" fontId="22" fillId="5" borderId="0" xfId="1" applyFont="1" applyFill="1"/>
    <xf numFmtId="41" fontId="12" fillId="5" borderId="0" xfId="0" applyNumberFormat="1" applyFont="1" applyFill="1" applyBorder="1" applyAlignment="1">
      <alignment vertical="center"/>
    </xf>
    <xf numFmtId="41" fontId="8" fillId="5" borderId="0" xfId="0" applyNumberFormat="1" applyFont="1" applyFill="1" applyAlignment="1">
      <alignment vertical="center"/>
    </xf>
    <xf numFmtId="9" fontId="18" fillId="5" borderId="0" xfId="3" applyFont="1" applyFill="1" applyAlignment="1">
      <alignment vertical="center"/>
    </xf>
    <xf numFmtId="41" fontId="12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6" fontId="0" fillId="5" borderId="2" xfId="1" applyFont="1" applyFill="1" applyBorder="1"/>
    <xf numFmtId="38" fontId="0" fillId="5" borderId="0" xfId="0" applyNumberFormat="1" applyFill="1"/>
    <xf numFmtId="167" fontId="16" fillId="5" borderId="0" xfId="1" applyNumberFormat="1" applyFont="1" applyFill="1"/>
    <xf numFmtId="0" fontId="12" fillId="0" borderId="0" xfId="0" applyFont="1"/>
    <xf numFmtId="41" fontId="21" fillId="0" borderId="4" xfId="0" applyNumberFormat="1" applyFont="1" applyBorder="1"/>
    <xf numFmtId="41" fontId="21" fillId="0" borderId="0" xfId="0" applyNumberFormat="1" applyFont="1" applyBorder="1"/>
    <xf numFmtId="41" fontId="24" fillId="0" borderId="0" xfId="0" applyNumberFormat="1" applyFont="1" applyBorder="1"/>
    <xf numFmtId="41" fontId="8" fillId="5" borderId="12" xfId="0" applyNumberFormat="1" applyFont="1" applyFill="1" applyBorder="1" applyAlignment="1">
      <alignment vertical="center"/>
    </xf>
    <xf numFmtId="41" fontId="21" fillId="0" borderId="0" xfId="0" applyNumberFormat="1" applyFont="1" applyFill="1" applyBorder="1"/>
    <xf numFmtId="41" fontId="15" fillId="0" borderId="0" xfId="0" applyNumberFormat="1" applyFont="1" applyFill="1" applyBorder="1"/>
    <xf numFmtId="41" fontId="21" fillId="0" borderId="0" xfId="0" applyNumberFormat="1" applyFont="1"/>
    <xf numFmtId="0" fontId="21" fillId="0" borderId="0" xfId="0" applyFont="1"/>
    <xf numFmtId="41" fontId="0" fillId="0" borderId="0" xfId="0" applyNumberFormat="1" applyAlignment="1">
      <alignment horizontal="right" vertical="center"/>
    </xf>
    <xf numFmtId="168" fontId="16" fillId="0" borderId="0" xfId="1" applyNumberFormat="1" applyFont="1"/>
    <xf numFmtId="167" fontId="0" fillId="0" borderId="0" xfId="0" applyNumberFormat="1" applyFill="1" applyAlignment="1">
      <alignment vertical="center"/>
    </xf>
    <xf numFmtId="41" fontId="0" fillId="5" borderId="0" xfId="2" applyFont="1" applyFill="1" applyBorder="1"/>
    <xf numFmtId="9" fontId="25" fillId="0" borderId="0" xfId="0" applyNumberFormat="1" applyFont="1"/>
    <xf numFmtId="9" fontId="21" fillId="0" borderId="7" xfId="0" applyNumberFormat="1" applyFont="1" applyBorder="1"/>
    <xf numFmtId="0" fontId="26" fillId="0" borderId="0" xfId="0" applyFont="1" applyAlignment="1">
      <alignment horizontal="right" vertical="top"/>
    </xf>
    <xf numFmtId="9" fontId="0" fillId="0" borderId="0" xfId="0" applyNumberFormat="1"/>
    <xf numFmtId="41" fontId="0" fillId="0" borderId="0" xfId="2" applyFont="1" applyFill="1"/>
    <xf numFmtId="0" fontId="25" fillId="0" borderId="0" xfId="0" applyFont="1"/>
    <xf numFmtId="38" fontId="25" fillId="0" borderId="0" xfId="0" applyNumberFormat="1" applyFont="1"/>
    <xf numFmtId="167" fontId="27" fillId="0" borderId="0" xfId="1" applyNumberFormat="1" applyFont="1"/>
    <xf numFmtId="168" fontId="27" fillId="0" borderId="0" xfId="1" applyNumberFormat="1" applyFont="1"/>
    <xf numFmtId="167" fontId="27" fillId="5" borderId="0" xfId="1" applyNumberFormat="1" applyFont="1" applyFill="1"/>
    <xf numFmtId="41" fontId="25" fillId="0" borderId="0" xfId="0" applyNumberFormat="1" applyFont="1" applyAlignment="1">
      <alignment vertical="center"/>
    </xf>
    <xf numFmtId="41" fontId="25" fillId="0" borderId="0" xfId="0" applyNumberFormat="1" applyFont="1"/>
    <xf numFmtId="41" fontId="0" fillId="0" borderId="0" xfId="2" applyFont="1"/>
    <xf numFmtId="0" fontId="0" fillId="0" borderId="0" xfId="0" applyFont="1"/>
    <xf numFmtId="0" fontId="8" fillId="0" borderId="0" xfId="0" applyFont="1" applyBorder="1"/>
    <xf numFmtId="0" fontId="0" fillId="0" borderId="18" xfId="0" applyFont="1" applyBorder="1"/>
    <xf numFmtId="0" fontId="0" fillId="0" borderId="0" xfId="0" applyFont="1" applyBorder="1"/>
    <xf numFmtId="0" fontId="0" fillId="0" borderId="19" xfId="0" applyFont="1" applyBorder="1"/>
    <xf numFmtId="0" fontId="0" fillId="0" borderId="16" xfId="0" applyFont="1" applyBorder="1"/>
    <xf numFmtId="0" fontId="0" fillId="0" borderId="1" xfId="0" applyFont="1" applyBorder="1"/>
    <xf numFmtId="0" fontId="0" fillId="0" borderId="17" xfId="0" applyFont="1" applyBorder="1"/>
    <xf numFmtId="0" fontId="29" fillId="0" borderId="0" xfId="0" applyFont="1"/>
    <xf numFmtId="0" fontId="28" fillId="0" borderId="0" xfId="0" applyFont="1" applyBorder="1"/>
    <xf numFmtId="0" fontId="0" fillId="0" borderId="19" xfId="2" applyNumberFormat="1" applyFont="1" applyBorder="1" applyAlignment="1">
      <alignment horizontal="left"/>
    </xf>
    <xf numFmtId="0" fontId="0" fillId="0" borderId="1" xfId="0" applyFont="1" applyBorder="1" applyAlignment="1">
      <alignment horizontal="left" indent="1"/>
    </xf>
    <xf numFmtId="9" fontId="8" fillId="0" borderId="15" xfId="2" applyNumberFormat="1" applyFont="1" applyBorder="1"/>
    <xf numFmtId="41" fontId="8" fillId="0" borderId="19" xfId="2" applyFont="1" applyBorder="1"/>
    <xf numFmtId="9" fontId="8" fillId="0" borderId="19" xfId="2" applyNumberFormat="1" applyFont="1" applyBorder="1"/>
    <xf numFmtId="169" fontId="8" fillId="0" borderId="17" xfId="2" applyNumberFormat="1" applyFont="1" applyBorder="1"/>
    <xf numFmtId="0" fontId="30" fillId="0" borderId="17" xfId="0" applyFont="1" applyBorder="1" applyAlignment="1">
      <alignment vertical="center" wrapText="1"/>
    </xf>
    <xf numFmtId="41" fontId="31" fillId="0" borderId="0" xfId="2" applyFont="1"/>
    <xf numFmtId="0" fontId="31" fillId="0" borderId="0" xfId="0" applyFont="1"/>
    <xf numFmtId="165" fontId="31" fillId="0" borderId="0" xfId="0" applyNumberFormat="1" applyFont="1"/>
    <xf numFmtId="0" fontId="30" fillId="0" borderId="23" xfId="0" applyFont="1" applyBorder="1" applyAlignment="1">
      <alignment vertical="center" wrapText="1"/>
    </xf>
    <xf numFmtId="41" fontId="7" fillId="0" borderId="0" xfId="2" applyFont="1" applyBorder="1" applyAlignment="1">
      <alignment horizontal="center"/>
    </xf>
    <xf numFmtId="41" fontId="0" fillId="0" borderId="0" xfId="2" applyFont="1" applyAlignment="1">
      <alignment horizontal="right" vertical="center"/>
    </xf>
    <xf numFmtId="0" fontId="0" fillId="0" borderId="18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1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18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8" fillId="0" borderId="13" xfId="0" applyFont="1" applyBorder="1" applyAlignment="1">
      <alignment horizontal="left"/>
    </xf>
    <xf numFmtId="0" fontId="8" fillId="0" borderId="18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28" fillId="0" borderId="0" xfId="0" applyFont="1" applyBorder="1" applyAlignment="1"/>
    <xf numFmtId="0" fontId="29" fillId="0" borderId="0" xfId="0" applyFont="1" applyBorder="1" applyAlignment="1"/>
    <xf numFmtId="41" fontId="0" fillId="0" borderId="0" xfId="2" applyFont="1" applyBorder="1"/>
    <xf numFmtId="0" fontId="0" fillId="0" borderId="15" xfId="0" applyFont="1" applyBorder="1"/>
    <xf numFmtId="0" fontId="0" fillId="0" borderId="19" xfId="0" applyFont="1" applyBorder="1" applyAlignment="1">
      <alignment horizontal="left" vertical="justify" wrapText="1"/>
    </xf>
    <xf numFmtId="167" fontId="0" fillId="0" borderId="0" xfId="18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8" applyNumberFormat="1" applyFont="1" applyFill="1" applyBorder="1" applyAlignment="1" applyProtection="1">
      <alignment horizontal="center"/>
      <protection locked="0"/>
    </xf>
    <xf numFmtId="167" fontId="0" fillId="0" borderId="0" xfId="18" applyNumberFormat="1" applyFont="1" applyBorder="1"/>
    <xf numFmtId="0" fontId="8" fillId="0" borderId="24" xfId="0" applyFont="1" applyBorder="1" applyAlignment="1">
      <alignment horizontal="left"/>
    </xf>
    <xf numFmtId="0" fontId="0" fillId="0" borderId="24" xfId="0" applyFont="1" applyBorder="1"/>
    <xf numFmtId="0" fontId="8" fillId="0" borderId="13" xfId="0" applyFont="1" applyBorder="1"/>
    <xf numFmtId="0" fontId="0" fillId="0" borderId="14" xfId="0" applyFont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6" borderId="25" xfId="0" applyFill="1" applyBorder="1"/>
    <xf numFmtId="0" fontId="0" fillId="6" borderId="0" xfId="0" applyFill="1" applyAlignment="1">
      <alignment horizontal="center"/>
    </xf>
    <xf numFmtId="0" fontId="0" fillId="6" borderId="25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5" xfId="0" applyBorder="1"/>
    <xf numFmtId="167" fontId="0" fillId="7" borderId="25" xfId="0" applyNumberFormat="1" applyFill="1" applyBorder="1"/>
    <xf numFmtId="167" fontId="0" fillId="0" borderId="25" xfId="0" applyNumberFormat="1" applyBorder="1" applyAlignment="1">
      <alignment horizontal="center"/>
    </xf>
    <xf numFmtId="167" fontId="0" fillId="0" borderId="25" xfId="1" applyNumberFormat="1" applyFont="1" applyBorder="1"/>
    <xf numFmtId="167" fontId="0" fillId="0" borderId="25" xfId="0" applyNumberFormat="1" applyBorder="1"/>
    <xf numFmtId="167" fontId="0" fillId="8" borderId="25" xfId="1" applyNumberFormat="1" applyFont="1" applyFill="1" applyBorder="1"/>
    <xf numFmtId="167" fontId="0" fillId="5" borderId="2" xfId="1" applyNumberFormat="1" applyFont="1" applyFill="1" applyBorder="1"/>
    <xf numFmtId="14" fontId="28" fillId="0" borderId="0" xfId="0" applyNumberFormat="1" applyFont="1" applyBorder="1" applyAlignment="1"/>
    <xf numFmtId="0" fontId="23" fillId="0" borderId="0" xfId="19" applyFont="1"/>
    <xf numFmtId="0" fontId="35" fillId="0" borderId="0" xfId="19" applyFont="1"/>
    <xf numFmtId="49" fontId="36" fillId="0" borderId="0" xfId="19" applyNumberFormat="1" applyFont="1" applyBorder="1" applyAlignment="1">
      <alignment wrapText="1"/>
    </xf>
    <xf numFmtId="0" fontId="23" fillId="0" borderId="25" xfId="19" applyFont="1" applyBorder="1" applyAlignment="1">
      <alignment horizontal="center" vertical="center"/>
    </xf>
    <xf numFmtId="0" fontId="23" fillId="0" borderId="25" xfId="19" applyFont="1" applyBorder="1"/>
    <xf numFmtId="49" fontId="23" fillId="0" borderId="25" xfId="19" applyNumberFormat="1" applyFont="1" applyBorder="1" applyAlignment="1">
      <alignment wrapText="1"/>
    </xf>
    <xf numFmtId="0" fontId="23" fillId="0" borderId="25" xfId="19" applyFont="1" applyBorder="1" applyAlignment="1">
      <alignment horizontal="left"/>
    </xf>
    <xf numFmtId="164" fontId="0" fillId="0" borderId="25" xfId="20" applyFont="1" applyBorder="1"/>
    <xf numFmtId="0" fontId="23" fillId="0" borderId="27" xfId="19" applyFont="1" applyBorder="1" applyAlignment="1">
      <alignment horizontal="center" vertical="center"/>
    </xf>
    <xf numFmtId="0" fontId="23" fillId="0" borderId="27" xfId="19" applyFont="1" applyBorder="1" applyAlignment="1">
      <alignment vertical="center"/>
    </xf>
    <xf numFmtId="165" fontId="23" fillId="0" borderId="0" xfId="21" applyFont="1"/>
    <xf numFmtId="165" fontId="23" fillId="0" borderId="0" xfId="19" applyNumberFormat="1" applyFont="1"/>
    <xf numFmtId="164" fontId="23" fillId="0" borderId="0" xfId="19" applyNumberFormat="1" applyFont="1"/>
    <xf numFmtId="0" fontId="39" fillId="0" borderId="25" xfId="19" applyFont="1" applyBorder="1" applyAlignment="1">
      <alignment horizontal="left"/>
    </xf>
    <xf numFmtId="164" fontId="12" fillId="0" borderId="25" xfId="20" applyFont="1" applyBorder="1"/>
    <xf numFmtId="0" fontId="30" fillId="0" borderId="20" xfId="0" applyFont="1" applyBorder="1" applyAlignment="1">
      <alignment vertical="center" wrapText="1"/>
    </xf>
    <xf numFmtId="0" fontId="30" fillId="0" borderId="30" xfId="0" applyFont="1" applyBorder="1" applyAlignment="1">
      <alignment vertical="center" wrapText="1"/>
    </xf>
    <xf numFmtId="0" fontId="30" fillId="0" borderId="31" xfId="0" applyFont="1" applyBorder="1" applyAlignment="1">
      <alignment vertical="center" wrapText="1"/>
    </xf>
    <xf numFmtId="41" fontId="23" fillId="0" borderId="0" xfId="2" applyFont="1"/>
    <xf numFmtId="164" fontId="12" fillId="0" borderId="10" xfId="20" applyFont="1" applyBorder="1" applyAlignment="1">
      <alignment wrapText="1"/>
    </xf>
    <xf numFmtId="164" fontId="12" fillId="0" borderId="29" xfId="20" applyFont="1" applyBorder="1" applyAlignment="1">
      <alignment wrapText="1"/>
    </xf>
    <xf numFmtId="164" fontId="12" fillId="0" borderId="25" xfId="20" applyFont="1" applyBorder="1" applyAlignment="1">
      <alignment wrapText="1"/>
    </xf>
    <xf numFmtId="164" fontId="12" fillId="0" borderId="26" xfId="20" applyFont="1" applyBorder="1" applyAlignment="1">
      <alignment wrapText="1"/>
    </xf>
    <xf numFmtId="41" fontId="23" fillId="0" borderId="0" xfId="19" applyNumberFormat="1" applyFont="1"/>
    <xf numFmtId="0" fontId="40" fillId="5" borderId="0" xfId="22" applyFill="1" applyAlignment="1">
      <alignment vertical="center"/>
    </xf>
    <xf numFmtId="170" fontId="40" fillId="5" borderId="0" xfId="22" applyNumberFormat="1" applyFill="1" applyAlignment="1">
      <alignment vertical="center"/>
    </xf>
    <xf numFmtId="0" fontId="42" fillId="0" borderId="0" xfId="22" applyFont="1" applyAlignment="1">
      <alignment vertical="center"/>
    </xf>
    <xf numFmtId="0" fontId="44" fillId="0" borderId="0" xfId="22" applyFont="1" applyAlignment="1">
      <alignment horizontal="left" vertical="center"/>
    </xf>
    <xf numFmtId="0" fontId="44" fillId="0" borderId="0" xfId="22" applyFont="1" applyAlignment="1">
      <alignment vertical="center" wrapText="1"/>
    </xf>
    <xf numFmtId="171" fontId="45" fillId="0" borderId="0" xfId="23" applyNumberFormat="1" applyFont="1" applyFill="1" applyAlignment="1">
      <alignment horizontal="center" vertical="center"/>
    </xf>
    <xf numFmtId="0" fontId="40" fillId="0" borderId="0" xfId="22" applyAlignment="1">
      <alignment vertical="center"/>
    </xf>
    <xf numFmtId="170" fontId="40" fillId="0" borderId="0" xfId="22" applyNumberFormat="1" applyAlignment="1">
      <alignment vertical="center"/>
    </xf>
    <xf numFmtId="0" fontId="46" fillId="0" borderId="0" xfId="22" applyFont="1" applyAlignment="1">
      <alignment horizontal="left" vertical="center"/>
    </xf>
    <xf numFmtId="0" fontId="47" fillId="0" borderId="0" xfId="22" applyFont="1" applyAlignment="1">
      <alignment vertical="center" wrapText="1"/>
    </xf>
    <xf numFmtId="171" fontId="46" fillId="0" borderId="0" xfId="23" applyNumberFormat="1" applyFont="1" applyFill="1" applyAlignment="1">
      <alignment horizontal="center" vertical="center"/>
    </xf>
    <xf numFmtId="0" fontId="47" fillId="8" borderId="25" xfId="24" applyFont="1" applyFill="1" applyBorder="1" applyAlignment="1">
      <alignment horizontal="center" vertical="center" wrapText="1"/>
    </xf>
    <xf numFmtId="170" fontId="47" fillId="8" borderId="25" xfId="24" applyNumberFormat="1" applyFont="1" applyFill="1" applyBorder="1" applyAlignment="1">
      <alignment horizontal="center" vertical="center" wrapText="1"/>
    </xf>
    <xf numFmtId="0" fontId="49" fillId="10" borderId="25" xfId="24" applyFont="1" applyFill="1" applyBorder="1" applyAlignment="1">
      <alignment horizontal="center" vertical="center" wrapText="1"/>
    </xf>
    <xf numFmtId="0" fontId="47" fillId="10" borderId="25" xfId="24" applyFont="1" applyFill="1" applyBorder="1" applyAlignment="1">
      <alignment horizontal="center" vertical="center" wrapText="1"/>
    </xf>
    <xf numFmtId="170" fontId="47" fillId="10" borderId="25" xfId="24" applyNumberFormat="1" applyFont="1" applyFill="1" applyBorder="1" applyAlignment="1">
      <alignment horizontal="center" vertical="center" wrapText="1"/>
    </xf>
    <xf numFmtId="0" fontId="47" fillId="6" borderId="25" xfId="24" applyFont="1" applyFill="1" applyBorder="1" applyAlignment="1">
      <alignment horizontal="center" vertical="center"/>
    </xf>
    <xf numFmtId="0" fontId="44" fillId="6" borderId="25" xfId="24" applyFont="1" applyFill="1" applyBorder="1" applyAlignment="1">
      <alignment horizontal="left" vertical="center" wrapText="1"/>
    </xf>
    <xf numFmtId="0" fontId="50" fillId="6" borderId="25" xfId="24" applyFont="1" applyFill="1" applyBorder="1" applyAlignment="1">
      <alignment horizontal="center" vertical="center"/>
    </xf>
    <xf numFmtId="170" fontId="47" fillId="6" borderId="25" xfId="24" applyNumberFormat="1" applyFont="1" applyFill="1" applyBorder="1" applyAlignment="1">
      <alignment horizontal="center" vertical="center"/>
    </xf>
    <xf numFmtId="170" fontId="51" fillId="6" borderId="25" xfId="25" applyNumberFormat="1" applyFont="1" applyFill="1" applyBorder="1"/>
    <xf numFmtId="0" fontId="51" fillId="6" borderId="25" xfId="25" applyFont="1" applyFill="1" applyBorder="1"/>
    <xf numFmtId="0" fontId="1" fillId="0" borderId="0" xfId="25"/>
    <xf numFmtId="0" fontId="47" fillId="5" borderId="25" xfId="24" applyFont="1" applyFill="1" applyBorder="1" applyAlignment="1">
      <alignment horizontal="center" vertical="center"/>
    </xf>
    <xf numFmtId="0" fontId="47" fillId="5" borderId="25" xfId="24" applyFont="1" applyFill="1" applyBorder="1" applyAlignment="1">
      <alignment horizontal="left" vertical="center" wrapText="1"/>
    </xf>
    <xf numFmtId="0" fontId="40" fillId="5" borderId="25" xfId="22" applyFill="1" applyBorder="1" applyAlignment="1">
      <alignment horizontal="center" vertical="center"/>
    </xf>
    <xf numFmtId="0" fontId="40" fillId="5" borderId="25" xfId="26" applyNumberFormat="1" applyFont="1" applyFill="1" applyBorder="1" applyAlignment="1">
      <alignment horizontal="center" vertical="center"/>
    </xf>
    <xf numFmtId="170" fontId="40" fillId="5" borderId="25" xfId="26" applyNumberFormat="1" applyFont="1" applyFill="1" applyBorder="1" applyAlignment="1">
      <alignment horizontal="center" vertical="center"/>
    </xf>
    <xf numFmtId="170" fontId="40" fillId="5" borderId="25" xfId="22" applyNumberFormat="1" applyFill="1" applyBorder="1" applyAlignment="1">
      <alignment horizontal="center" vertical="center"/>
    </xf>
    <xf numFmtId="173" fontId="52" fillId="5" borderId="25" xfId="22" applyNumberFormat="1" applyFont="1" applyFill="1" applyBorder="1" applyAlignment="1">
      <alignment horizontal="center" vertical="center"/>
    </xf>
    <xf numFmtId="170" fontId="40" fillId="5" borderId="25" xfId="22" applyNumberFormat="1" applyFill="1" applyBorder="1" applyAlignment="1">
      <alignment vertical="center"/>
    </xf>
    <xf numFmtId="0" fontId="40" fillId="11" borderId="25" xfId="24" applyFont="1" applyFill="1" applyBorder="1" applyAlignment="1">
      <alignment horizontal="center" vertical="center"/>
    </xf>
    <xf numFmtId="0" fontId="40" fillId="11" borderId="25" xfId="24" applyFont="1" applyFill="1" applyBorder="1" applyAlignment="1">
      <alignment horizontal="left" vertical="center" wrapText="1"/>
    </xf>
    <xf numFmtId="0" fontId="40" fillId="11" borderId="25" xfId="22" applyFill="1" applyBorder="1" applyAlignment="1">
      <alignment horizontal="center" vertical="center"/>
    </xf>
    <xf numFmtId="0" fontId="40" fillId="11" borderId="25" xfId="26" applyNumberFormat="1" applyFont="1" applyFill="1" applyBorder="1" applyAlignment="1">
      <alignment horizontal="center" vertical="center"/>
    </xf>
    <xf numFmtId="170" fontId="40" fillId="11" borderId="25" xfId="26" applyNumberFormat="1" applyFont="1" applyFill="1" applyBorder="1" applyAlignment="1">
      <alignment horizontal="center" vertical="center"/>
    </xf>
    <xf numFmtId="170" fontId="40" fillId="11" borderId="25" xfId="22" applyNumberFormat="1" applyFill="1" applyBorder="1" applyAlignment="1">
      <alignment vertical="center"/>
    </xf>
    <xf numFmtId="0" fontId="51" fillId="11" borderId="25" xfId="25" applyFont="1" applyFill="1" applyBorder="1"/>
    <xf numFmtId="174" fontId="40" fillId="11" borderId="25" xfId="26" applyNumberFormat="1" applyFont="1" applyFill="1" applyBorder="1" applyAlignment="1">
      <alignment horizontal="center" vertical="center"/>
    </xf>
    <xf numFmtId="0" fontId="44" fillId="5" borderId="25" xfId="24" applyFont="1" applyFill="1" applyBorder="1" applyAlignment="1">
      <alignment horizontal="center" vertical="center"/>
    </xf>
    <xf numFmtId="0" fontId="44" fillId="5" borderId="25" xfId="24" applyFont="1" applyFill="1" applyBorder="1" applyAlignment="1">
      <alignment horizontal="left" vertical="center" wrapText="1"/>
    </xf>
    <xf numFmtId="0" fontId="47" fillId="5" borderId="25" xfId="26" applyNumberFormat="1" applyFont="1" applyFill="1" applyBorder="1" applyAlignment="1">
      <alignment horizontal="center" vertical="center"/>
    </xf>
    <xf numFmtId="170" fontId="47" fillId="5" borderId="25" xfId="26" applyNumberFormat="1" applyFont="1" applyFill="1" applyBorder="1" applyAlignment="1">
      <alignment horizontal="center" vertical="center"/>
    </xf>
    <xf numFmtId="0" fontId="51" fillId="11" borderId="25" xfId="24" applyFont="1" applyFill="1" applyBorder="1" applyAlignment="1">
      <alignment horizontal="center" vertical="center"/>
    </xf>
    <xf numFmtId="0" fontId="51" fillId="11" borderId="25" xfId="24" applyFont="1" applyFill="1" applyBorder="1" applyAlignment="1">
      <alignment vertical="center" wrapText="1"/>
    </xf>
    <xf numFmtId="0" fontId="47" fillId="0" borderId="25" xfId="24" applyFont="1" applyBorder="1" applyAlignment="1">
      <alignment horizontal="center" vertical="center"/>
    </xf>
    <xf numFmtId="0" fontId="44" fillId="0" borderId="25" xfId="24" applyFont="1" applyBorder="1" applyAlignment="1">
      <alignment horizontal="left" vertical="center" wrapText="1"/>
    </xf>
    <xf numFmtId="0" fontId="40" fillId="0" borderId="25" xfId="22" applyBorder="1" applyAlignment="1">
      <alignment horizontal="center" vertical="center"/>
    </xf>
    <xf numFmtId="0" fontId="53" fillId="0" borderId="25" xfId="22" applyFont="1" applyBorder="1" applyAlignment="1">
      <alignment horizontal="center" vertical="center"/>
    </xf>
    <xf numFmtId="170" fontId="40" fillId="0" borderId="25" xfId="27" applyNumberFormat="1" applyFont="1" applyFill="1" applyBorder="1" applyAlignment="1">
      <alignment horizontal="center" vertical="center"/>
    </xf>
    <xf numFmtId="0" fontId="51" fillId="0" borderId="25" xfId="25" applyFont="1" applyBorder="1"/>
    <xf numFmtId="170" fontId="51" fillId="0" borderId="25" xfId="25" applyNumberFormat="1" applyFont="1" applyBorder="1"/>
    <xf numFmtId="0" fontId="40" fillId="11" borderId="25" xfId="28" applyFont="1" applyFill="1" applyBorder="1" applyAlignment="1">
      <alignment horizontal="center" vertical="center" wrapText="1"/>
    </xf>
    <xf numFmtId="1" fontId="40" fillId="11" borderId="25" xfId="22" applyNumberFormat="1" applyFill="1" applyBorder="1" applyAlignment="1">
      <alignment horizontal="center" vertical="center"/>
    </xf>
    <xf numFmtId="42" fontId="40" fillId="11" borderId="25" xfId="22" applyNumberFormat="1" applyFill="1" applyBorder="1" applyAlignment="1">
      <alignment horizontal="center" vertical="center"/>
    </xf>
    <xf numFmtId="0" fontId="1" fillId="11" borderId="0" xfId="25" applyFill="1"/>
    <xf numFmtId="174" fontId="40" fillId="11" borderId="25" xfId="27" applyNumberFormat="1" applyFont="1" applyFill="1" applyBorder="1" applyAlignment="1">
      <alignment horizontal="center" vertical="center"/>
    </xf>
    <xf numFmtId="170" fontId="47" fillId="6" borderId="25" xfId="27" applyNumberFormat="1" applyFont="1" applyFill="1" applyBorder="1" applyAlignment="1">
      <alignment horizontal="center" vertical="center"/>
    </xf>
    <xf numFmtId="173" fontId="47" fillId="6" borderId="25" xfId="27" applyNumberFormat="1" applyFont="1" applyFill="1" applyBorder="1" applyAlignment="1">
      <alignment horizontal="center" vertical="center"/>
    </xf>
    <xf numFmtId="0" fontId="51" fillId="11" borderId="25" xfId="24" quotePrefix="1" applyFont="1" applyFill="1" applyBorder="1" applyAlignment="1">
      <alignment horizontal="left" vertical="center" wrapText="1"/>
    </xf>
    <xf numFmtId="170" fontId="40" fillId="11" borderId="25" xfId="27" applyNumberFormat="1" applyFont="1" applyFill="1" applyBorder="1" applyAlignment="1">
      <alignment horizontal="center" vertical="center"/>
    </xf>
    <xf numFmtId="0" fontId="40" fillId="8" borderId="25" xfId="28" applyFont="1" applyFill="1" applyBorder="1" applyAlignment="1">
      <alignment horizontal="center" vertical="center"/>
    </xf>
    <xf numFmtId="0" fontId="51" fillId="8" borderId="25" xfId="28" applyFont="1" applyFill="1" applyBorder="1" applyAlignment="1">
      <alignment vertical="center" wrapText="1"/>
    </xf>
    <xf numFmtId="0" fontId="40" fillId="8" borderId="25" xfId="22" applyFill="1" applyBorder="1" applyAlignment="1">
      <alignment horizontal="center" vertical="center"/>
    </xf>
    <xf numFmtId="175" fontId="40" fillId="8" borderId="25" xfId="28" applyNumberFormat="1" applyFont="1" applyFill="1" applyBorder="1" applyAlignment="1">
      <alignment horizontal="center" vertical="center"/>
    </xf>
    <xf numFmtId="0" fontId="51" fillId="8" borderId="25" xfId="25" applyFont="1" applyFill="1" applyBorder="1"/>
    <xf numFmtId="174" fontId="47" fillId="8" borderId="25" xfId="24" applyNumberFormat="1" applyFont="1" applyFill="1" applyBorder="1" applyAlignment="1">
      <alignment vertical="center" wrapText="1"/>
    </xf>
    <xf numFmtId="0" fontId="55" fillId="0" borderId="0" xfId="22" applyFont="1" applyAlignment="1">
      <alignment vertical="center" wrapText="1"/>
    </xf>
    <xf numFmtId="41" fontId="8" fillId="0" borderId="12" xfId="0" applyNumberFormat="1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6" xfId="0" applyFont="1" applyFill="1" applyBorder="1" applyAlignment="1" applyProtection="1">
      <alignment horizontal="left" indent="1"/>
    </xf>
    <xf numFmtId="0" fontId="8" fillId="0" borderId="1" xfId="0" applyFont="1" applyFill="1" applyBorder="1" applyAlignment="1" applyProtection="1">
      <alignment horizontal="left" indent="1"/>
    </xf>
    <xf numFmtId="0" fontId="8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8" fillId="0" borderId="0" xfId="0" applyFont="1" applyBorder="1" applyAlignment="1">
      <alignment horizontal="left"/>
    </xf>
    <xf numFmtId="0" fontId="8" fillId="0" borderId="13" xfId="0" applyFont="1" applyFill="1" applyBorder="1" applyAlignment="1" applyProtection="1">
      <alignment horizontal="left" indent="1"/>
    </xf>
    <xf numFmtId="0" fontId="8" fillId="0" borderId="14" xfId="0" applyFont="1" applyFill="1" applyBorder="1" applyAlignment="1" applyProtection="1">
      <alignment horizontal="left" indent="1"/>
    </xf>
    <xf numFmtId="0" fontId="8" fillId="0" borderId="18" xfId="0" applyFont="1" applyFill="1" applyBorder="1" applyAlignment="1" applyProtection="1">
      <alignment horizontal="left" indent="1"/>
    </xf>
    <xf numFmtId="0" fontId="8" fillId="0" borderId="0" xfId="0" applyFont="1" applyFill="1" applyBorder="1" applyAlignment="1" applyProtection="1">
      <alignment horizontal="left" indent="1"/>
    </xf>
    <xf numFmtId="0" fontId="8" fillId="0" borderId="14" xfId="0" applyFont="1" applyBorder="1" applyAlignment="1">
      <alignment horizontal="center"/>
    </xf>
    <xf numFmtId="0" fontId="0" fillId="0" borderId="0" xfId="0" applyFont="1" applyFill="1" applyBorder="1" applyAlignment="1" applyProtection="1">
      <alignment horizontal="left" indent="1"/>
    </xf>
    <xf numFmtId="0" fontId="0" fillId="0" borderId="1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28" fillId="0" borderId="20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22" xfId="0" applyFont="1" applyBorder="1" applyAlignment="1">
      <alignment horizontal="center"/>
    </xf>
    <xf numFmtId="0" fontId="0" fillId="0" borderId="13" xfId="0" applyFont="1" applyBorder="1" applyAlignment="1">
      <alignment horizontal="left" indent="1"/>
    </xf>
    <xf numFmtId="0" fontId="0" fillId="0" borderId="14" xfId="0" applyFont="1" applyBorder="1" applyAlignment="1">
      <alignment horizontal="left" indent="1"/>
    </xf>
    <xf numFmtId="0" fontId="8" fillId="0" borderId="14" xfId="0" applyFont="1" applyBorder="1" applyAlignment="1">
      <alignment horizontal="left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1" fillId="5" borderId="0" xfId="22" applyFont="1" applyFill="1" applyAlignment="1">
      <alignment horizontal="left" vertical="center"/>
    </xf>
    <xf numFmtId="0" fontId="43" fillId="5" borderId="0" xfId="22" applyFont="1" applyFill="1" applyAlignment="1">
      <alignment horizontal="left" vertical="center"/>
    </xf>
    <xf numFmtId="0" fontId="39" fillId="0" borderId="10" xfId="19" applyFont="1" applyBorder="1" applyAlignment="1">
      <alignment horizontal="center"/>
    </xf>
    <xf numFmtId="0" fontId="39" fillId="0" borderId="11" xfId="19" applyFont="1" applyBorder="1" applyAlignment="1">
      <alignment horizontal="center"/>
    </xf>
    <xf numFmtId="0" fontId="34" fillId="0" borderId="0" xfId="19" applyFont="1" applyAlignment="1">
      <alignment horizontal="center"/>
    </xf>
    <xf numFmtId="0" fontId="37" fillId="9" borderId="25" xfId="19" applyFont="1" applyFill="1" applyBorder="1" applyAlignment="1">
      <alignment horizontal="center" vertical="center"/>
    </xf>
    <xf numFmtId="0" fontId="38" fillId="9" borderId="27" xfId="19" applyFont="1" applyFill="1" applyBorder="1" applyAlignment="1">
      <alignment horizontal="center" vertical="center"/>
    </xf>
    <xf numFmtId="0" fontId="38" fillId="9" borderId="29" xfId="19" applyFont="1" applyFill="1" applyBorder="1" applyAlignment="1">
      <alignment horizontal="center" vertical="center"/>
    </xf>
    <xf numFmtId="0" fontId="23" fillId="0" borderId="27" xfId="19" applyFont="1" applyBorder="1" applyAlignment="1">
      <alignment horizontal="center" vertical="center"/>
    </xf>
    <xf numFmtId="0" fontId="23" fillId="0" borderId="29" xfId="19" applyFont="1" applyBorder="1" applyAlignment="1">
      <alignment horizontal="center" vertical="center"/>
    </xf>
  </cellXfs>
  <cellStyles count="29">
    <cellStyle name="Comma" xfId="1" builtinId="3"/>
    <cellStyle name="Comma [0]" xfId="2" builtinId="6"/>
    <cellStyle name="Comma [0] 2" xfId="9"/>
    <cellStyle name="Comma [0] 3" xfId="21"/>
    <cellStyle name="Comma 2" xfId="7"/>
    <cellStyle name="Comma 2 3" xfId="23"/>
    <cellStyle name="Comma 3" xfId="10"/>
    <cellStyle name="Comma 3 2" xfId="11"/>
    <cellStyle name="Comma 4" xfId="12"/>
    <cellStyle name="Comma 5" xfId="18"/>
    <cellStyle name="Currency [0] 2" xfId="20"/>
    <cellStyle name="Currency [0] 3" xfId="27"/>
    <cellStyle name="Currency 2" xfId="26"/>
    <cellStyle name="Normal" xfId="0" builtinId="0"/>
    <cellStyle name="Normal 2" xfId="5"/>
    <cellStyle name="Normal 2 2" xfId="6"/>
    <cellStyle name="Normal 2 2 2 2 3" xfId="17"/>
    <cellStyle name="Normal 2 7" xfId="22"/>
    <cellStyle name="Normal 3" xfId="13"/>
    <cellStyle name="Normal 3 2" xfId="14"/>
    <cellStyle name="Normal 3 3" xfId="19"/>
    <cellStyle name="Normal 4" xfId="25"/>
    <cellStyle name="Normal_BoQ Indoor INTI - Virtual" xfId="24"/>
    <cellStyle name="Normal_BoQ_Sudirman Place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77</xdr:row>
      <xdr:rowOff>31750</xdr:rowOff>
    </xdr:from>
    <xdr:to>
      <xdr:col>3</xdr:col>
      <xdr:colOff>1842500</xdr:colOff>
      <xdr:row>77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EEC6D48B-E57E-45EA-913B-EFDFAAC35246}"/>
            </a:ext>
          </a:extLst>
        </xdr:cNvPr>
        <xdr:cNvCxnSpPr/>
      </xdr:nvCxnSpPr>
      <xdr:spPr>
        <a:xfrm flipV="1">
          <a:off x="620395" y="15012670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77</xdr:row>
      <xdr:rowOff>41275</xdr:rowOff>
    </xdr:from>
    <xdr:to>
      <xdr:col>6</xdr:col>
      <xdr:colOff>931275</xdr:colOff>
      <xdr:row>77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53C6473-91E1-4A35-B9BE-5903657E293C}"/>
            </a:ext>
          </a:extLst>
        </xdr:cNvPr>
        <xdr:cNvCxnSpPr/>
      </xdr:nvCxnSpPr>
      <xdr:spPr>
        <a:xfrm flipV="1">
          <a:off x="2921000" y="15024100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77</xdr:row>
      <xdr:rowOff>50800</xdr:rowOff>
    </xdr:from>
    <xdr:to>
      <xdr:col>8</xdr:col>
      <xdr:colOff>623300</xdr:colOff>
      <xdr:row>77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5B19F57-5E03-4914-89DA-07A1FAA52932}"/>
            </a:ext>
          </a:extLst>
        </xdr:cNvPr>
        <xdr:cNvCxnSpPr/>
      </xdr:nvCxnSpPr>
      <xdr:spPr>
        <a:xfrm flipV="1">
          <a:off x="5240020" y="150374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77</xdr:row>
      <xdr:rowOff>28575</xdr:rowOff>
    </xdr:from>
    <xdr:to>
      <xdr:col>10</xdr:col>
      <xdr:colOff>426450</xdr:colOff>
      <xdr:row>77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F17D26C-84D4-4CD7-A61C-B5CBD3E7765C}"/>
            </a:ext>
          </a:extLst>
        </xdr:cNvPr>
        <xdr:cNvCxnSpPr/>
      </xdr:nvCxnSpPr>
      <xdr:spPr>
        <a:xfrm flipV="1">
          <a:off x="7590790" y="15009495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77</xdr:row>
      <xdr:rowOff>38100</xdr:rowOff>
    </xdr:from>
    <xdr:to>
      <xdr:col>12</xdr:col>
      <xdr:colOff>308975</xdr:colOff>
      <xdr:row>77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6F58EC0E-AEA0-4427-9F80-9CAD9B12B0EC}"/>
            </a:ext>
          </a:extLst>
        </xdr:cNvPr>
        <xdr:cNvCxnSpPr/>
      </xdr:nvCxnSpPr>
      <xdr:spPr>
        <a:xfrm flipV="1">
          <a:off x="9885045" y="15020925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77</xdr:row>
      <xdr:rowOff>15875</xdr:rowOff>
    </xdr:from>
    <xdr:to>
      <xdr:col>14</xdr:col>
      <xdr:colOff>128000</xdr:colOff>
      <xdr:row>77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9A8A1DD-64CD-41E5-9C41-068ECE37E787}"/>
            </a:ext>
          </a:extLst>
        </xdr:cNvPr>
        <xdr:cNvCxnSpPr/>
      </xdr:nvCxnSpPr>
      <xdr:spPr>
        <a:xfrm flipV="1">
          <a:off x="12145645" y="1500251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75</xdr:row>
      <xdr:rowOff>63500</xdr:rowOff>
    </xdr:from>
    <xdr:to>
      <xdr:col>3</xdr:col>
      <xdr:colOff>1190625</xdr:colOff>
      <xdr:row>76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1F6973F-5980-4C7B-86F0-86174B1CD8B8}"/>
            </a:ext>
          </a:extLst>
        </xdr:cNvPr>
        <xdr:cNvSpPr txBox="1"/>
      </xdr:nvSpPr>
      <xdr:spPr>
        <a:xfrm>
          <a:off x="1415415" y="14642465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75</xdr:row>
      <xdr:rowOff>88900</xdr:rowOff>
    </xdr:from>
    <xdr:to>
      <xdr:col>6</xdr:col>
      <xdr:colOff>215900</xdr:colOff>
      <xdr:row>76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CFA84890-9EFC-4D80-9654-676CDEBDF6D3}"/>
            </a:ext>
          </a:extLst>
        </xdr:cNvPr>
        <xdr:cNvSpPr txBox="1"/>
      </xdr:nvSpPr>
      <xdr:spPr>
        <a:xfrm>
          <a:off x="3648075" y="14675485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75</xdr:row>
      <xdr:rowOff>98425</xdr:rowOff>
    </xdr:from>
    <xdr:to>
      <xdr:col>8</xdr:col>
      <xdr:colOff>142875</xdr:colOff>
      <xdr:row>77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ED867C1-A457-4450-9CF6-E8EEBE406157}"/>
            </a:ext>
          </a:extLst>
        </xdr:cNvPr>
        <xdr:cNvSpPr txBox="1"/>
      </xdr:nvSpPr>
      <xdr:spPr>
        <a:xfrm>
          <a:off x="5974080" y="14677390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75</xdr:row>
      <xdr:rowOff>79375</xdr:rowOff>
    </xdr:from>
    <xdr:to>
      <xdr:col>9</xdr:col>
      <xdr:colOff>1031875</xdr:colOff>
      <xdr:row>77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1D001F2E-3598-41C9-9673-2A0C2361E680}"/>
            </a:ext>
          </a:extLst>
        </xdr:cNvPr>
        <xdr:cNvSpPr txBox="1"/>
      </xdr:nvSpPr>
      <xdr:spPr>
        <a:xfrm>
          <a:off x="8075930" y="14662150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75</xdr:row>
      <xdr:rowOff>111125</xdr:rowOff>
    </xdr:from>
    <xdr:to>
      <xdr:col>11</xdr:col>
      <xdr:colOff>841375</xdr:colOff>
      <xdr:row>77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F6C54FE-3956-43F1-BF96-C25BAB8C65AC}"/>
            </a:ext>
          </a:extLst>
        </xdr:cNvPr>
        <xdr:cNvSpPr txBox="1"/>
      </xdr:nvSpPr>
      <xdr:spPr>
        <a:xfrm>
          <a:off x="10646410" y="14693900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75</xdr:row>
      <xdr:rowOff>73025</xdr:rowOff>
    </xdr:from>
    <xdr:to>
      <xdr:col>13</xdr:col>
      <xdr:colOff>803275</xdr:colOff>
      <xdr:row>77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225B87E5-23A9-41D4-8088-8CA21B31C198}"/>
            </a:ext>
          </a:extLst>
        </xdr:cNvPr>
        <xdr:cNvSpPr txBox="1"/>
      </xdr:nvSpPr>
      <xdr:spPr>
        <a:xfrm>
          <a:off x="12516485" y="14655800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74</xdr:row>
      <xdr:rowOff>31750</xdr:rowOff>
    </xdr:from>
    <xdr:to>
      <xdr:col>3</xdr:col>
      <xdr:colOff>1842500</xdr:colOff>
      <xdr:row>74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900ECF5-D03C-4F2A-8652-03800416EA6D}"/>
            </a:ext>
          </a:extLst>
        </xdr:cNvPr>
        <xdr:cNvCxnSpPr/>
      </xdr:nvCxnSpPr>
      <xdr:spPr>
        <a:xfrm flipV="1">
          <a:off x="620395" y="16012795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74</xdr:row>
      <xdr:rowOff>41275</xdr:rowOff>
    </xdr:from>
    <xdr:to>
      <xdr:col>6</xdr:col>
      <xdr:colOff>931275</xdr:colOff>
      <xdr:row>74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3EF87F3-3FAB-4CFC-9A38-83DE35442800}"/>
            </a:ext>
          </a:extLst>
        </xdr:cNvPr>
        <xdr:cNvCxnSpPr/>
      </xdr:nvCxnSpPr>
      <xdr:spPr>
        <a:xfrm flipV="1">
          <a:off x="2921000" y="16024225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74</xdr:row>
      <xdr:rowOff>50800</xdr:rowOff>
    </xdr:from>
    <xdr:to>
      <xdr:col>8</xdr:col>
      <xdr:colOff>623300</xdr:colOff>
      <xdr:row>74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D1A4C850-B5D0-4540-BB9C-3F1A900CA3DA}"/>
            </a:ext>
          </a:extLst>
        </xdr:cNvPr>
        <xdr:cNvCxnSpPr/>
      </xdr:nvCxnSpPr>
      <xdr:spPr>
        <a:xfrm flipV="1">
          <a:off x="5240020" y="1603756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74</xdr:row>
      <xdr:rowOff>28575</xdr:rowOff>
    </xdr:from>
    <xdr:to>
      <xdr:col>10</xdr:col>
      <xdr:colOff>426450</xdr:colOff>
      <xdr:row>74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1845975E-CACD-45CB-A18D-5FEB1493DC3A}"/>
            </a:ext>
          </a:extLst>
        </xdr:cNvPr>
        <xdr:cNvCxnSpPr/>
      </xdr:nvCxnSpPr>
      <xdr:spPr>
        <a:xfrm flipV="1">
          <a:off x="7590790" y="16009620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74</xdr:row>
      <xdr:rowOff>38100</xdr:rowOff>
    </xdr:from>
    <xdr:to>
      <xdr:col>12</xdr:col>
      <xdr:colOff>308975</xdr:colOff>
      <xdr:row>74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7C878BF1-EAC3-4FC1-9277-680EE5C8471C}"/>
            </a:ext>
          </a:extLst>
        </xdr:cNvPr>
        <xdr:cNvCxnSpPr/>
      </xdr:nvCxnSpPr>
      <xdr:spPr>
        <a:xfrm flipV="1">
          <a:off x="9885045" y="16021050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74</xdr:row>
      <xdr:rowOff>15875</xdr:rowOff>
    </xdr:from>
    <xdr:to>
      <xdr:col>14</xdr:col>
      <xdr:colOff>128000</xdr:colOff>
      <xdr:row>74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D69B6C8-C582-425B-B9E1-819482FB474C}"/>
            </a:ext>
          </a:extLst>
        </xdr:cNvPr>
        <xdr:cNvCxnSpPr/>
      </xdr:nvCxnSpPr>
      <xdr:spPr>
        <a:xfrm flipV="1">
          <a:off x="12145645" y="160026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72</xdr:row>
      <xdr:rowOff>63500</xdr:rowOff>
    </xdr:from>
    <xdr:to>
      <xdr:col>3</xdr:col>
      <xdr:colOff>1190625</xdr:colOff>
      <xdr:row>73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F05740B2-34A2-4FBB-9A82-E7E4E0A0AFE4}"/>
            </a:ext>
          </a:extLst>
        </xdr:cNvPr>
        <xdr:cNvSpPr txBox="1"/>
      </xdr:nvSpPr>
      <xdr:spPr>
        <a:xfrm>
          <a:off x="1415415" y="15642590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72</xdr:row>
      <xdr:rowOff>88900</xdr:rowOff>
    </xdr:from>
    <xdr:to>
      <xdr:col>6</xdr:col>
      <xdr:colOff>215900</xdr:colOff>
      <xdr:row>73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17C13A55-1BB3-4425-979C-DFCBA64B6716}"/>
            </a:ext>
          </a:extLst>
        </xdr:cNvPr>
        <xdr:cNvSpPr txBox="1"/>
      </xdr:nvSpPr>
      <xdr:spPr>
        <a:xfrm>
          <a:off x="3648075" y="15675610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72</xdr:row>
      <xdr:rowOff>98425</xdr:rowOff>
    </xdr:from>
    <xdr:to>
      <xdr:col>8</xdr:col>
      <xdr:colOff>142875</xdr:colOff>
      <xdr:row>74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C9A7F622-8784-404E-BCFE-B21336F9B812}"/>
            </a:ext>
          </a:extLst>
        </xdr:cNvPr>
        <xdr:cNvSpPr txBox="1"/>
      </xdr:nvSpPr>
      <xdr:spPr>
        <a:xfrm>
          <a:off x="5974080" y="15677515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72</xdr:row>
      <xdr:rowOff>79375</xdr:rowOff>
    </xdr:from>
    <xdr:to>
      <xdr:col>9</xdr:col>
      <xdr:colOff>1031875</xdr:colOff>
      <xdr:row>74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40F73C7-CAE8-4F0D-8ED8-969AF2E81E28}"/>
            </a:ext>
          </a:extLst>
        </xdr:cNvPr>
        <xdr:cNvSpPr txBox="1"/>
      </xdr:nvSpPr>
      <xdr:spPr>
        <a:xfrm>
          <a:off x="8075930" y="15662275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72</xdr:row>
      <xdr:rowOff>111125</xdr:rowOff>
    </xdr:from>
    <xdr:to>
      <xdr:col>11</xdr:col>
      <xdr:colOff>841375</xdr:colOff>
      <xdr:row>74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E0C2B9C-1F7A-4A99-9F18-BD863E00C979}"/>
            </a:ext>
          </a:extLst>
        </xdr:cNvPr>
        <xdr:cNvSpPr txBox="1"/>
      </xdr:nvSpPr>
      <xdr:spPr>
        <a:xfrm>
          <a:off x="10646410" y="15694025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72</xdr:row>
      <xdr:rowOff>73025</xdr:rowOff>
    </xdr:from>
    <xdr:to>
      <xdr:col>13</xdr:col>
      <xdr:colOff>803275</xdr:colOff>
      <xdr:row>74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67B35B0A-C2C7-4C25-ACA4-16EFB1C75A33}"/>
            </a:ext>
          </a:extLst>
        </xdr:cNvPr>
        <xdr:cNvSpPr txBox="1"/>
      </xdr:nvSpPr>
      <xdr:spPr>
        <a:xfrm>
          <a:off x="12516485" y="15655925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1758C218-032B-44B8-BF23-17C5687E5FDF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</xdr:colOff>
      <xdr:row>27</xdr:row>
      <xdr:rowOff>0</xdr:rowOff>
    </xdr:from>
    <xdr:to>
      <xdr:col>14</xdr:col>
      <xdr:colOff>76201</xdr:colOff>
      <xdr:row>33</xdr:row>
      <xdr:rowOff>170114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70C2AAC0-970F-491E-83EB-F3A6F14E4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1" y="5372100"/>
          <a:ext cx="10877550" cy="13702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85"/>
  <sheetViews>
    <sheetView showGridLines="0" topLeftCell="A22" zoomScale="70" zoomScaleNormal="70" workbookViewId="0">
      <selection activeCell="H36" sqref="H36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28.5" customWidth="1"/>
    <col min="5" max="5" width="7.125" bestFit="1" customWidth="1"/>
    <col min="6" max="6" width="6.125" customWidth="1"/>
    <col min="7" max="7" width="16.875" customWidth="1"/>
    <col min="8" max="8" width="17.625" style="2" customWidth="1"/>
    <col min="9" max="9" width="17.875" customWidth="1"/>
    <col min="10" max="11" width="15.625" bestFit="1" customWidth="1"/>
    <col min="12" max="12" width="16" bestFit="1" customWidth="1"/>
    <col min="13" max="17" width="16" customWidth="1"/>
    <col min="18" max="18" width="16.625" bestFit="1" customWidth="1"/>
    <col min="19" max="19" width="15.875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ht="26.25" x14ac:dyDescent="0.25">
      <c r="B1" s="1" t="s">
        <v>0</v>
      </c>
      <c r="R1" s="105" t="s">
        <v>63</v>
      </c>
    </row>
    <row r="2" spans="2:27" x14ac:dyDescent="0.25">
      <c r="B2" s="3" t="s">
        <v>1</v>
      </c>
    </row>
    <row r="3" spans="2:27" x14ac:dyDescent="0.25">
      <c r="C3" t="s">
        <v>2</v>
      </c>
      <c r="G3" s="5">
        <v>0.02</v>
      </c>
      <c r="R3" s="4"/>
      <c r="S3" s="4"/>
      <c r="T3" s="4"/>
    </row>
    <row r="4" spans="2:27" x14ac:dyDescent="0.25">
      <c r="C4" t="s">
        <v>46</v>
      </c>
      <c r="G4" s="5">
        <v>0.1</v>
      </c>
      <c r="R4" s="4"/>
      <c r="S4" s="4"/>
      <c r="T4" s="4"/>
    </row>
    <row r="5" spans="2:27" x14ac:dyDescent="0.25">
      <c r="C5" t="s">
        <v>3</v>
      </c>
      <c r="G5" s="5">
        <v>0</v>
      </c>
      <c r="H5" s="2" t="s">
        <v>4</v>
      </c>
    </row>
    <row r="6" spans="2:27" x14ac:dyDescent="0.25">
      <c r="C6" t="s">
        <v>5</v>
      </c>
      <c r="G6" s="6">
        <v>0</v>
      </c>
      <c r="H6" s="2" t="s">
        <v>4</v>
      </c>
    </row>
    <row r="7" spans="2:27" x14ac:dyDescent="0.25">
      <c r="C7" t="s">
        <v>69</v>
      </c>
      <c r="G7" s="106">
        <v>0.03</v>
      </c>
    </row>
    <row r="8" spans="2:27" x14ac:dyDescent="0.25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25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25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25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.5" thickBot="1" x14ac:dyDescent="0.3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.5" thickTop="1" x14ac:dyDescent="0.25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25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.5" thickBot="1" x14ac:dyDescent="0.3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25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25">
      <c r="N17" s="103">
        <v>0.15</v>
      </c>
      <c r="R17" s="76"/>
    </row>
    <row r="18" spans="2:25" x14ac:dyDescent="0.25">
      <c r="R18" s="76"/>
    </row>
    <row r="19" spans="2:25" x14ac:dyDescent="0.25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25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25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25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25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25">
      <c r="B24" s="69" t="s">
        <v>15</v>
      </c>
      <c r="C24" s="69"/>
      <c r="D24" s="69"/>
      <c r="E24" s="268">
        <f>SUM(H24:Q24)</f>
        <v>10500000000</v>
      </c>
      <c r="F24" s="269"/>
      <c r="G24" s="269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25">
      <c r="R25" s="76"/>
      <c r="S25" s="50"/>
      <c r="T25" s="50"/>
      <c r="U25" s="50"/>
      <c r="V25" s="50"/>
      <c r="W25" s="50"/>
      <c r="X25" s="50"/>
      <c r="Y25" s="50"/>
    </row>
    <row r="26" spans="2:25" x14ac:dyDescent="0.25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25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25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25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25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25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25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25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25">
      <c r="R34" s="76"/>
      <c r="S34" s="50"/>
      <c r="T34" s="50"/>
      <c r="U34" s="50"/>
      <c r="V34" s="50"/>
      <c r="W34" s="50"/>
      <c r="X34" s="50"/>
      <c r="Y34" s="50"/>
    </row>
    <row r="35" spans="2:25" x14ac:dyDescent="0.25">
      <c r="B35" s="17" t="s">
        <v>21</v>
      </c>
      <c r="C35" s="17"/>
      <c r="D35" s="17"/>
      <c r="E35" s="17"/>
      <c r="F35" s="17"/>
      <c r="G35" s="17"/>
      <c r="H35" s="18">
        <f>H69</f>
        <v>210000000</v>
      </c>
      <c r="I35" s="18">
        <f t="shared" ref="I35:Q35" si="12">I69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25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25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25">
      <c r="B38" s="27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102">
        <f t="shared" ref="R38:R39" si="14">SUM(H38:Q38)</f>
        <v>0</v>
      </c>
      <c r="S38" s="56"/>
      <c r="T38" s="56"/>
      <c r="U38" s="56"/>
      <c r="V38" s="56"/>
      <c r="W38" s="56"/>
      <c r="X38" s="56"/>
      <c r="Y38" s="50"/>
    </row>
    <row r="39" spans="2:25" x14ac:dyDescent="0.25">
      <c r="B39" s="27" t="s">
        <v>36</v>
      </c>
      <c r="H39" s="73">
        <f>H36-H38</f>
        <v>-210000000</v>
      </c>
      <c r="I39" s="73">
        <f t="shared" ref="I39:Q39" si="15">I36-I38</f>
        <v>543222222.22222221</v>
      </c>
      <c r="J39" s="73">
        <f t="shared" si="15"/>
        <v>543222222.22222221</v>
      </c>
      <c r="K39" s="73">
        <f t="shared" si="15"/>
        <v>491222222.22222221</v>
      </c>
      <c r="L39" s="73">
        <f t="shared" si="15"/>
        <v>491222222.22222221</v>
      </c>
      <c r="M39" s="73">
        <f t="shared" si="15"/>
        <v>551222222.22222221</v>
      </c>
      <c r="N39" s="73">
        <f t="shared" si="15"/>
        <v>363722222.22222221</v>
      </c>
      <c r="O39" s="73">
        <f t="shared" si="15"/>
        <v>363722222.22222221</v>
      </c>
      <c r="P39" s="73">
        <f t="shared" si="15"/>
        <v>363722222.22222221</v>
      </c>
      <c r="Q39" s="73">
        <f t="shared" si="15"/>
        <v>941500000</v>
      </c>
      <c r="R39" s="102">
        <f t="shared" si="14"/>
        <v>4442777777.7777786</v>
      </c>
      <c r="S39" s="56"/>
      <c r="T39" s="56"/>
      <c r="U39" s="56"/>
      <c r="V39" s="56"/>
      <c r="W39" s="56"/>
      <c r="X39" s="56"/>
      <c r="Y39" s="50"/>
    </row>
    <row r="40" spans="2:25" x14ac:dyDescent="0.25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6">IF(I39&lt;0,0,I39*$G$3)</f>
        <v>10864444.444444444</v>
      </c>
      <c r="J40" s="71">
        <f t="shared" si="16"/>
        <v>10864444.444444444</v>
      </c>
      <c r="K40" s="71">
        <f t="shared" si="16"/>
        <v>9824444.444444444</v>
      </c>
      <c r="L40" s="71">
        <f t="shared" si="16"/>
        <v>9824444.444444444</v>
      </c>
      <c r="M40" s="71">
        <f t="shared" si="16"/>
        <v>11024444.444444444</v>
      </c>
      <c r="N40" s="71">
        <f t="shared" si="16"/>
        <v>7274444.444444444</v>
      </c>
      <c r="O40" s="71">
        <f t="shared" si="16"/>
        <v>7274444.444444444</v>
      </c>
      <c r="P40" s="71">
        <f t="shared" si="16"/>
        <v>7274444.444444444</v>
      </c>
      <c r="Q40" s="71">
        <f t="shared" si="16"/>
        <v>18830000</v>
      </c>
      <c r="R40" s="85">
        <f>SUM(H40:Q40)</f>
        <v>93055555.555555567</v>
      </c>
      <c r="S40" s="58"/>
      <c r="T40" s="58"/>
      <c r="U40" s="58"/>
      <c r="V40" s="58"/>
      <c r="W40" s="58"/>
      <c r="X40" s="57"/>
      <c r="Y40" s="50"/>
    </row>
    <row r="41" spans="2:25" ht="16.5" thickBot="1" x14ac:dyDescent="0.3">
      <c r="B41" s="31" t="s">
        <v>61</v>
      </c>
      <c r="C41" s="31"/>
      <c r="D41" s="31"/>
      <c r="E41" s="31"/>
      <c r="F41" s="31"/>
      <c r="G41" s="31"/>
      <c r="H41" s="32">
        <f>H39-H40</f>
        <v>-210000000</v>
      </c>
      <c r="I41" s="32">
        <f t="shared" ref="I41:Q41" si="17">I39-I40</f>
        <v>532357777.77777779</v>
      </c>
      <c r="J41" s="32">
        <f t="shared" si="17"/>
        <v>532357777.77777779</v>
      </c>
      <c r="K41" s="32">
        <f t="shared" si="17"/>
        <v>481397777.77777779</v>
      </c>
      <c r="L41" s="32">
        <f t="shared" si="17"/>
        <v>481397777.77777779</v>
      </c>
      <c r="M41" s="32">
        <f t="shared" si="17"/>
        <v>540197777.77777779</v>
      </c>
      <c r="N41" s="32">
        <f t="shared" si="17"/>
        <v>356447777.77777779</v>
      </c>
      <c r="O41" s="32">
        <f t="shared" si="17"/>
        <v>356447777.77777779</v>
      </c>
      <c r="P41" s="32">
        <f t="shared" si="17"/>
        <v>356447777.77777779</v>
      </c>
      <c r="Q41" s="32">
        <f t="shared" si="17"/>
        <v>922670000</v>
      </c>
      <c r="R41" s="86">
        <f>R36-R40</f>
        <v>4349722222.2222233</v>
      </c>
      <c r="S41" s="56"/>
      <c r="T41" s="56"/>
      <c r="U41" s="56"/>
      <c r="V41" s="56"/>
      <c r="W41" s="56"/>
      <c r="X41" s="56"/>
      <c r="Y41" s="50"/>
    </row>
    <row r="42" spans="2:25" x14ac:dyDescent="0.25">
      <c r="R42" s="76"/>
      <c r="S42" s="50"/>
      <c r="T42" s="50"/>
      <c r="U42" s="50"/>
      <c r="V42" s="50"/>
      <c r="W42" s="50"/>
      <c r="X42" s="50"/>
      <c r="Y42" s="50"/>
    </row>
    <row r="43" spans="2:25" x14ac:dyDescent="0.25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8">-I12</f>
        <v>-250000000</v>
      </c>
      <c r="I43" s="33">
        <f t="shared" si="18"/>
        <v>0</v>
      </c>
      <c r="J43" s="33">
        <f>-K12</f>
        <v>0</v>
      </c>
      <c r="K43" s="33">
        <f t="shared" ref="K43:Q43" si="19">-L12</f>
        <v>0</v>
      </c>
      <c r="L43" s="33">
        <f t="shared" si="19"/>
        <v>0</v>
      </c>
      <c r="M43" s="33">
        <f t="shared" si="19"/>
        <v>0</v>
      </c>
      <c r="N43" s="33">
        <f t="shared" si="19"/>
        <v>0</v>
      </c>
      <c r="O43" s="33">
        <f t="shared" si="19"/>
        <v>0</v>
      </c>
      <c r="P43" s="33">
        <f t="shared" si="19"/>
        <v>0</v>
      </c>
      <c r="Q43" s="33">
        <f t="shared" si="19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25">
      <c r="B44" t="s">
        <v>25</v>
      </c>
      <c r="G44" s="30">
        <f>G43</f>
        <v>-2100000000</v>
      </c>
      <c r="H44" s="30">
        <f>H43+H41+H35</f>
        <v>-250000000</v>
      </c>
      <c r="I44" s="30">
        <f>I43+I41+I35</f>
        <v>770135555.55555558</v>
      </c>
      <c r="J44" s="30">
        <f t="shared" ref="J44:Q44" si="20">J43+J41+J35</f>
        <v>770135555.55555558</v>
      </c>
      <c r="K44" s="30">
        <f t="shared" si="20"/>
        <v>719175555.55555558</v>
      </c>
      <c r="L44" s="30">
        <f t="shared" si="20"/>
        <v>719175555.55555558</v>
      </c>
      <c r="M44" s="30">
        <f t="shared" si="20"/>
        <v>777975555.55555558</v>
      </c>
      <c r="N44" s="30">
        <f t="shared" si="20"/>
        <v>594225555.55555558</v>
      </c>
      <c r="O44" s="30">
        <f t="shared" si="20"/>
        <v>594225555.55555558</v>
      </c>
      <c r="P44" s="30">
        <f t="shared" si="20"/>
        <v>594225555.55555558</v>
      </c>
      <c r="Q44" s="30">
        <f t="shared" si="20"/>
        <v>922670000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25">
      <c r="B45" t="s">
        <v>26</v>
      </c>
      <c r="G45" s="30">
        <f>G44</f>
        <v>-2100000000</v>
      </c>
      <c r="H45" s="30">
        <f>G45+H44</f>
        <v>-2350000000</v>
      </c>
      <c r="I45" s="30">
        <f>H45+I44</f>
        <v>-1579864444.4444444</v>
      </c>
      <c r="J45" s="30">
        <f t="shared" ref="J45:Q45" si="21">I45+J44</f>
        <v>-809728888.88888884</v>
      </c>
      <c r="K45" s="30">
        <f t="shared" si="21"/>
        <v>-90553333.333333254</v>
      </c>
      <c r="L45" s="30">
        <f t="shared" si="21"/>
        <v>628622222.22222233</v>
      </c>
      <c r="M45" s="30">
        <f t="shared" si="21"/>
        <v>1406597777.7777779</v>
      </c>
      <c r="N45" s="30">
        <f t="shared" si="21"/>
        <v>2000823333.3333335</v>
      </c>
      <c r="O45" s="30">
        <f t="shared" si="21"/>
        <v>2595048888.8888893</v>
      </c>
      <c r="P45" s="30">
        <f t="shared" si="21"/>
        <v>3189274444.4444447</v>
      </c>
      <c r="Q45" s="30">
        <f t="shared" si="21"/>
        <v>4111944444.4444447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25">
      <c r="B46" t="s">
        <v>68</v>
      </c>
      <c r="G46" s="30">
        <f>IF(G45&lt;0,G45*70%*$G$4,G45*$G$7)</f>
        <v>-147000000</v>
      </c>
      <c r="H46" s="30">
        <f t="shared" ref="H46:Q46" si="22">IF(H45&lt;0,H45*70%*$G$4,H45*$G$7)</f>
        <v>-164500000</v>
      </c>
      <c r="I46" s="30">
        <f t="shared" si="22"/>
        <v>-110590511.1111111</v>
      </c>
      <c r="J46" s="30">
        <f t="shared" si="22"/>
        <v>-56681022.222222209</v>
      </c>
      <c r="K46" s="30">
        <f t="shared" si="22"/>
        <v>-6338733.3333333284</v>
      </c>
      <c r="L46" s="30">
        <f>IF(L45&lt;0,L45*70%*$G$4,L45*$G$7)</f>
        <v>18858666.666666668</v>
      </c>
      <c r="M46" s="30">
        <f t="shared" si="22"/>
        <v>42197933.333333336</v>
      </c>
      <c r="N46" s="30">
        <f t="shared" si="22"/>
        <v>60024700</v>
      </c>
      <c r="O46" s="30">
        <f t="shared" si="22"/>
        <v>77851466.666666672</v>
      </c>
      <c r="P46" s="30">
        <f t="shared" si="22"/>
        <v>95678233.333333343</v>
      </c>
      <c r="Q46" s="30">
        <f t="shared" si="22"/>
        <v>123358333.33333333</v>
      </c>
      <c r="R46" s="77">
        <f t="shared" ref="R46" si="23">SUM(H46:Q46)</f>
        <v>79859066.666666731</v>
      </c>
      <c r="S46" s="57"/>
      <c r="T46" s="57"/>
      <c r="U46" s="57"/>
      <c r="V46" s="57"/>
      <c r="W46" s="57"/>
      <c r="X46" s="57"/>
      <c r="Y46" s="50"/>
    </row>
    <row r="47" spans="2:25" x14ac:dyDescent="0.25">
      <c r="B47" t="s">
        <v>71</v>
      </c>
      <c r="G47" s="30">
        <f>G44+G46</f>
        <v>-2247000000</v>
      </c>
      <c r="H47" s="30">
        <f t="shared" ref="H47:Q47" si="24">H44+H46</f>
        <v>-414500000</v>
      </c>
      <c r="I47" s="30">
        <f t="shared" si="24"/>
        <v>659545044.44444442</v>
      </c>
      <c r="J47" s="30">
        <f t="shared" si="24"/>
        <v>713454533.33333337</v>
      </c>
      <c r="K47" s="30">
        <f t="shared" si="24"/>
        <v>712836822.22222221</v>
      </c>
      <c r="L47" s="30">
        <f t="shared" si="24"/>
        <v>738034222.22222221</v>
      </c>
      <c r="M47" s="30">
        <f t="shared" si="24"/>
        <v>820173488.88888896</v>
      </c>
      <c r="N47" s="30">
        <f t="shared" si="24"/>
        <v>654250255.55555558</v>
      </c>
      <c r="O47" s="30">
        <f t="shared" si="24"/>
        <v>672077022.22222221</v>
      </c>
      <c r="P47" s="30">
        <f t="shared" si="24"/>
        <v>689903788.88888896</v>
      </c>
      <c r="Q47" s="30">
        <f t="shared" si="24"/>
        <v>1046028333.3333334</v>
      </c>
      <c r="R47" s="88"/>
      <c r="S47" s="57"/>
      <c r="T47" s="57"/>
      <c r="U47" s="57"/>
      <c r="V47" s="57"/>
      <c r="W47" s="57"/>
      <c r="X47" s="57"/>
      <c r="Y47" s="50"/>
    </row>
    <row r="48" spans="2:25" x14ac:dyDescent="0.25">
      <c r="B48" t="s">
        <v>70</v>
      </c>
      <c r="G48" s="30">
        <f>G47</f>
        <v>-2247000000</v>
      </c>
      <c r="H48" s="30">
        <f>G48+H47</f>
        <v>-2661500000</v>
      </c>
      <c r="I48" s="30">
        <f>H48+I47</f>
        <v>-2001954955.5555556</v>
      </c>
      <c r="J48" s="30">
        <f t="shared" ref="J48" si="25">I48+J47</f>
        <v>-1288500422.2222223</v>
      </c>
      <c r="K48" s="30">
        <f t="shared" ref="K48" si="26">J48+K47</f>
        <v>-575663600.00000012</v>
      </c>
      <c r="L48" s="30">
        <f t="shared" ref="L48" si="27">K48+L47</f>
        <v>162370622.22222209</v>
      </c>
      <c r="M48" s="30">
        <f t="shared" ref="M48" si="28">L48+M47</f>
        <v>982544111.11111104</v>
      </c>
      <c r="N48" s="30">
        <f t="shared" ref="N48" si="29">M48+N47</f>
        <v>1636794366.6666665</v>
      </c>
      <c r="O48" s="30">
        <f t="shared" ref="O48" si="30">N48+O47</f>
        <v>2308871388.8888888</v>
      </c>
      <c r="P48" s="30">
        <f t="shared" ref="P48" si="31">O48+P47</f>
        <v>2998775177.7777777</v>
      </c>
      <c r="Q48" s="30">
        <f t="shared" ref="Q48" si="32">P48+Q47</f>
        <v>4044803511.1111112</v>
      </c>
      <c r="R48" s="88"/>
      <c r="S48" s="57"/>
      <c r="T48" s="57"/>
      <c r="U48" s="57"/>
      <c r="V48" s="57"/>
      <c r="W48" s="57"/>
      <c r="X48" s="57"/>
      <c r="Y48" s="50"/>
    </row>
    <row r="49" spans="2:24" x14ac:dyDescent="0.25">
      <c r="B49" t="s">
        <v>27</v>
      </c>
      <c r="G49" s="30"/>
      <c r="H49" s="34">
        <f>IF(AND(G48&lt;0,H48&gt;0),H57-(H48/H44),0)</f>
        <v>0</v>
      </c>
      <c r="I49" s="34">
        <f t="shared" ref="I49" si="33">IF(AND(H48&lt;0,I48&gt;0),I57-(I48/I44),0)</f>
        <v>0</v>
      </c>
      <c r="J49" s="34">
        <f>IF(AND(I48&lt;0,J48&gt;0),J57-(J48/J47),0)</f>
        <v>0</v>
      </c>
      <c r="K49" s="34">
        <f t="shared" ref="K49:Q49" si="34">IF(AND(J48&lt;0,K48&gt;0),K57-(K48/K47),0)</f>
        <v>0</v>
      </c>
      <c r="L49" s="34">
        <f t="shared" si="34"/>
        <v>4.7799958086857766</v>
      </c>
      <c r="M49" s="100">
        <f t="shared" si="34"/>
        <v>0</v>
      </c>
      <c r="N49" s="34">
        <f t="shared" si="34"/>
        <v>0</v>
      </c>
      <c r="O49" s="34">
        <f t="shared" si="34"/>
        <v>0</v>
      </c>
      <c r="P49" s="34">
        <f t="shared" si="34"/>
        <v>0</v>
      </c>
      <c r="Q49" s="34">
        <f t="shared" si="34"/>
        <v>0</v>
      </c>
      <c r="R49" s="89"/>
      <c r="S49" s="34"/>
      <c r="T49" s="34"/>
      <c r="U49" s="34"/>
      <c r="V49" s="34"/>
      <c r="W49" s="34"/>
      <c r="X49" s="34"/>
    </row>
    <row r="50" spans="2:24" x14ac:dyDescent="0.25">
      <c r="G50" s="30"/>
      <c r="H50" s="34"/>
      <c r="I50" s="34"/>
      <c r="J50" s="34"/>
      <c r="K50" s="34"/>
      <c r="L50" s="100"/>
      <c r="M50" s="34"/>
      <c r="N50" s="34"/>
      <c r="O50" s="34"/>
      <c r="P50" s="34"/>
      <c r="Q50" s="34"/>
      <c r="R50" s="89"/>
      <c r="S50" s="34"/>
      <c r="T50" s="34"/>
      <c r="U50" s="34"/>
      <c r="V50" s="34"/>
      <c r="W50" s="34"/>
      <c r="X50" s="34"/>
    </row>
    <row r="52" spans="2:24" x14ac:dyDescent="0.25">
      <c r="B52" s="60" t="s">
        <v>28</v>
      </c>
      <c r="C52" s="61"/>
      <c r="D52" s="61"/>
      <c r="E52" s="61"/>
      <c r="F52" s="61"/>
      <c r="G52" s="104">
        <f>IRR(G47:Q47)</f>
        <v>0.18395885593128058</v>
      </c>
    </row>
    <row r="53" spans="2:24" x14ac:dyDescent="0.25">
      <c r="B53" s="62" t="s">
        <v>29</v>
      </c>
      <c r="C53" s="63"/>
      <c r="D53" s="63"/>
      <c r="E53" s="63"/>
      <c r="F53" s="63"/>
      <c r="G53" s="64">
        <f>NPV(G4,H44:Q44)+G44</f>
        <v>1454603262.8912854</v>
      </c>
      <c r="I53" s="99"/>
      <c r="J53" s="15"/>
    </row>
    <row r="54" spans="2:24" x14ac:dyDescent="0.25">
      <c r="B54" s="62" t="s">
        <v>30</v>
      </c>
      <c r="C54" s="63"/>
      <c r="D54" s="63"/>
      <c r="E54" s="63"/>
      <c r="F54" s="63"/>
      <c r="G54" s="65">
        <f>R33</f>
        <v>0.62428571428571433</v>
      </c>
      <c r="I54" s="72"/>
    </row>
    <row r="55" spans="2:24" x14ac:dyDescent="0.25">
      <c r="B55" s="66" t="s">
        <v>31</v>
      </c>
      <c r="C55" s="67"/>
      <c r="D55" s="67"/>
      <c r="E55" s="67"/>
      <c r="F55" s="67"/>
      <c r="G55" s="68">
        <f>SUM(G49:Q49)</f>
        <v>4.7799958086857766</v>
      </c>
    </row>
    <row r="56" spans="2:24" x14ac:dyDescent="0.25">
      <c r="G56" s="35"/>
    </row>
    <row r="57" spans="2:24" x14ac:dyDescent="0.25">
      <c r="H57" s="9">
        <v>1</v>
      </c>
      <c r="I57" s="36">
        <v>2</v>
      </c>
      <c r="J57" s="9">
        <v>3</v>
      </c>
      <c r="K57" s="36">
        <v>4</v>
      </c>
      <c r="L57" s="9">
        <v>5</v>
      </c>
      <c r="M57" s="9">
        <v>6</v>
      </c>
      <c r="N57" s="36">
        <v>7</v>
      </c>
      <c r="O57" s="9">
        <v>8</v>
      </c>
      <c r="P57" s="9">
        <v>9</v>
      </c>
      <c r="Q57" s="9"/>
      <c r="R57" s="36"/>
      <c r="S57" s="9"/>
      <c r="T57" s="36"/>
      <c r="U57" s="9"/>
      <c r="V57" s="36"/>
      <c r="W57" s="9"/>
    </row>
    <row r="58" spans="2:24" x14ac:dyDescent="0.25">
      <c r="B58" s="37" t="s">
        <v>32</v>
      </c>
      <c r="E58" s="38" t="s">
        <v>33</v>
      </c>
      <c r="H58" s="38" t="str">
        <f>H15</f>
        <v>Year 1</v>
      </c>
      <c r="I58" s="38" t="str">
        <f>I15</f>
        <v>Year 2</v>
      </c>
      <c r="J58" s="38" t="str">
        <f>J15</f>
        <v>Year 3</v>
      </c>
      <c r="K58" s="38" t="str">
        <f>K15</f>
        <v>Year 4</v>
      </c>
      <c r="L58" s="38" t="str">
        <f>L15</f>
        <v>Year 5</v>
      </c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</row>
    <row r="59" spans="2:24" x14ac:dyDescent="0.25">
      <c r="D59" t="s">
        <v>7</v>
      </c>
      <c r="E59">
        <v>10</v>
      </c>
      <c r="H59" s="74">
        <f>H$12/$E59</f>
        <v>210000000</v>
      </c>
      <c r="I59" s="39">
        <f>H59</f>
        <v>210000000</v>
      </c>
      <c r="J59" s="39">
        <f t="shared" ref="J59:P62" si="35">I59</f>
        <v>210000000</v>
      </c>
      <c r="K59" s="39">
        <f t="shared" si="35"/>
        <v>210000000</v>
      </c>
      <c r="L59" s="39">
        <f t="shared" si="35"/>
        <v>210000000</v>
      </c>
      <c r="M59" s="39">
        <f t="shared" si="35"/>
        <v>210000000</v>
      </c>
      <c r="N59" s="39">
        <f t="shared" si="35"/>
        <v>210000000</v>
      </c>
      <c r="O59" s="39">
        <f t="shared" si="35"/>
        <v>210000000</v>
      </c>
      <c r="P59" s="39">
        <f t="shared" si="35"/>
        <v>210000000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25">
      <c r="D60" t="s">
        <v>8</v>
      </c>
      <c r="E60">
        <v>9</v>
      </c>
      <c r="I60" s="74">
        <f>I$12/$E60</f>
        <v>27777777.777777776</v>
      </c>
      <c r="J60" s="39">
        <f>I60</f>
        <v>27777777.777777776</v>
      </c>
      <c r="K60" s="39">
        <f t="shared" si="35"/>
        <v>27777777.777777776</v>
      </c>
      <c r="L60" s="39">
        <f t="shared" si="35"/>
        <v>27777777.777777776</v>
      </c>
      <c r="M60" s="39">
        <f t="shared" si="35"/>
        <v>27777777.777777776</v>
      </c>
      <c r="N60" s="39">
        <f t="shared" si="35"/>
        <v>27777777.777777776</v>
      </c>
      <c r="O60" s="39">
        <f t="shared" si="35"/>
        <v>27777777.777777776</v>
      </c>
      <c r="P60" s="39">
        <f t="shared" si="35"/>
        <v>27777777.777777776</v>
      </c>
      <c r="Q60" s="39"/>
      <c r="R60" s="39"/>
      <c r="S60" s="39"/>
      <c r="T60" s="39"/>
      <c r="U60" s="39"/>
      <c r="V60" s="39"/>
      <c r="W60" s="39"/>
      <c r="X60" s="40"/>
    </row>
    <row r="61" spans="2:24" x14ac:dyDescent="0.25">
      <c r="D61" t="s">
        <v>9</v>
      </c>
      <c r="E61">
        <v>8</v>
      </c>
      <c r="J61" s="74">
        <f>J$12/$E61</f>
        <v>0</v>
      </c>
      <c r="K61" s="39">
        <f>J61</f>
        <v>0</v>
      </c>
      <c r="L61" s="39">
        <f t="shared" si="35"/>
        <v>0</v>
      </c>
      <c r="M61" s="39">
        <f t="shared" si="35"/>
        <v>0</v>
      </c>
      <c r="N61" s="39">
        <f t="shared" si="35"/>
        <v>0</v>
      </c>
      <c r="O61" s="39">
        <f t="shared" si="35"/>
        <v>0</v>
      </c>
      <c r="P61" s="39">
        <f t="shared" si="35"/>
        <v>0</v>
      </c>
      <c r="Q61" s="39"/>
      <c r="R61" s="39"/>
      <c r="S61" s="39"/>
      <c r="T61" s="39"/>
      <c r="U61" s="39"/>
      <c r="V61" s="39"/>
      <c r="W61" s="39"/>
      <c r="X61" s="40"/>
    </row>
    <row r="62" spans="2:24" x14ac:dyDescent="0.25">
      <c r="D62" t="s">
        <v>10</v>
      </c>
      <c r="E62">
        <v>7</v>
      </c>
      <c r="K62" s="74">
        <f>K$12/$E62</f>
        <v>0</v>
      </c>
      <c r="L62" s="39">
        <f>K62</f>
        <v>0</v>
      </c>
      <c r="M62" s="39">
        <f t="shared" si="35"/>
        <v>0</v>
      </c>
      <c r="N62" s="39">
        <f t="shared" si="35"/>
        <v>0</v>
      </c>
      <c r="O62" s="39">
        <f t="shared" si="35"/>
        <v>0</v>
      </c>
      <c r="P62" s="39">
        <f t="shared" si="35"/>
        <v>0</v>
      </c>
      <c r="Q62" s="39"/>
      <c r="R62" s="39"/>
      <c r="S62" s="39"/>
      <c r="T62" s="39"/>
      <c r="U62" s="39"/>
      <c r="V62" s="39"/>
      <c r="W62" s="39"/>
      <c r="X62" s="40"/>
    </row>
    <row r="63" spans="2:24" x14ac:dyDescent="0.25">
      <c r="E63">
        <v>6</v>
      </c>
      <c r="L63" s="74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25">
      <c r="E64">
        <v>5</v>
      </c>
      <c r="L64" s="39"/>
      <c r="M64" s="74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40"/>
    </row>
    <row r="65" spans="2:27" x14ac:dyDescent="0.25">
      <c r="E65">
        <v>4</v>
      </c>
      <c r="L65" s="39"/>
      <c r="M65" s="39"/>
      <c r="N65" s="74"/>
      <c r="O65" s="39"/>
      <c r="P65" s="39"/>
      <c r="Q65" s="39"/>
      <c r="R65" s="39"/>
      <c r="S65" s="39"/>
      <c r="T65" s="39"/>
      <c r="U65" s="39"/>
      <c r="V65" s="39"/>
      <c r="W65" s="39"/>
      <c r="X65" s="40"/>
    </row>
    <row r="66" spans="2:27" x14ac:dyDescent="0.25">
      <c r="E66">
        <v>3</v>
      </c>
      <c r="L66" s="39"/>
      <c r="M66" s="39"/>
      <c r="N66" s="39"/>
      <c r="O66" s="74"/>
      <c r="P66" s="39"/>
      <c r="Q66" s="39"/>
      <c r="R66" s="39"/>
      <c r="S66" s="39"/>
      <c r="T66" s="39"/>
      <c r="U66" s="39"/>
      <c r="V66" s="39"/>
      <c r="W66" s="39"/>
      <c r="X66" s="40"/>
    </row>
    <row r="67" spans="2:27" x14ac:dyDescent="0.25">
      <c r="E67">
        <v>2</v>
      </c>
      <c r="L67" s="39"/>
      <c r="M67" s="39"/>
      <c r="N67" s="39"/>
      <c r="O67" s="39"/>
      <c r="P67" s="74"/>
      <c r="Q67" s="39"/>
      <c r="R67" s="39"/>
      <c r="S67" s="39"/>
      <c r="T67" s="39"/>
      <c r="U67" s="39"/>
      <c r="V67" s="39"/>
      <c r="W67" s="39"/>
      <c r="X67" s="40"/>
    </row>
    <row r="68" spans="2:27" x14ac:dyDescent="0.25">
      <c r="D68" t="s">
        <v>11</v>
      </c>
      <c r="E68">
        <v>1</v>
      </c>
      <c r="K68" s="39"/>
      <c r="L68" s="101">
        <f>L$12/$E68</f>
        <v>0</v>
      </c>
      <c r="M68" s="101"/>
      <c r="N68" s="101"/>
      <c r="O68" s="101"/>
      <c r="P68" s="101"/>
      <c r="Q68" s="101"/>
      <c r="R68" s="39"/>
      <c r="S68" s="39"/>
      <c r="T68" s="39"/>
      <c r="U68" s="39"/>
      <c r="V68" s="39"/>
      <c r="W68" s="39"/>
      <c r="X68" s="40"/>
    </row>
    <row r="69" spans="2:27" ht="16.5" thickBot="1" x14ac:dyDescent="0.3">
      <c r="B69" s="41" t="s">
        <v>34</v>
      </c>
      <c r="C69" s="42"/>
      <c r="D69" s="42"/>
      <c r="E69" s="42"/>
      <c r="F69" s="42"/>
      <c r="G69" s="42"/>
      <c r="H69" s="43">
        <f>SUM(H59:H68)</f>
        <v>210000000</v>
      </c>
      <c r="I69" s="43">
        <f t="shared" ref="I69:P69" si="36">SUM(I59:I68)</f>
        <v>237777777.77777779</v>
      </c>
      <c r="J69" s="43">
        <f t="shared" si="36"/>
        <v>237777777.77777779</v>
      </c>
      <c r="K69" s="43">
        <f t="shared" si="36"/>
        <v>237777777.77777779</v>
      </c>
      <c r="L69" s="43">
        <f t="shared" si="36"/>
        <v>237777777.77777779</v>
      </c>
      <c r="M69" s="43">
        <f t="shared" si="36"/>
        <v>237777777.77777779</v>
      </c>
      <c r="N69" s="43">
        <f t="shared" si="36"/>
        <v>237777777.77777779</v>
      </c>
      <c r="O69" s="43">
        <f t="shared" si="36"/>
        <v>237777777.77777779</v>
      </c>
      <c r="P69" s="43">
        <f t="shared" si="36"/>
        <v>237777777.77777779</v>
      </c>
      <c r="Q69" s="47"/>
      <c r="R69" s="47"/>
      <c r="S69" s="47"/>
      <c r="T69" s="47"/>
      <c r="U69" s="47"/>
      <c r="V69" s="47"/>
      <c r="W69" s="47"/>
      <c r="X69" s="47"/>
      <c r="Y69" s="44"/>
      <c r="Z69" s="44"/>
      <c r="AA69" s="44"/>
    </row>
    <row r="70" spans="2:27" ht="16.5" thickTop="1" x14ac:dyDescent="0.25">
      <c r="M70" s="40"/>
      <c r="N70" s="40"/>
      <c r="O70" s="40"/>
      <c r="P70" s="40">
        <f>SUM(H69:P69)-R35</f>
        <v>0</v>
      </c>
      <c r="Q70" s="40"/>
      <c r="X70" s="15"/>
    </row>
    <row r="72" spans="2:27" x14ac:dyDescent="0.25">
      <c r="G72" t="s">
        <v>62</v>
      </c>
    </row>
    <row r="81" spans="7:13" x14ac:dyDescent="0.25">
      <c r="G81" t="s">
        <v>64</v>
      </c>
      <c r="H81" s="72">
        <f>H12</f>
        <v>2100000000</v>
      </c>
      <c r="I81" s="15"/>
    </row>
    <row r="82" spans="7:13" x14ac:dyDescent="0.25">
      <c r="G82" t="s">
        <v>65</v>
      </c>
      <c r="H82" s="2">
        <v>5</v>
      </c>
    </row>
    <row r="83" spans="7:13" x14ac:dyDescent="0.25">
      <c r="G83" t="s">
        <v>66</v>
      </c>
      <c r="H83" s="14">
        <f>H81/H82</f>
        <v>420000000</v>
      </c>
    </row>
    <row r="84" spans="7:13" x14ac:dyDescent="0.25">
      <c r="G84" t="s">
        <v>67</v>
      </c>
      <c r="H84" s="14">
        <f>H81</f>
        <v>2100000000</v>
      </c>
      <c r="I84" s="15">
        <f>H84-$H$83</f>
        <v>1680000000</v>
      </c>
      <c r="J84" s="15">
        <f t="shared" ref="J84:M84" si="37">I84-$H$83</f>
        <v>1260000000</v>
      </c>
      <c r="K84" s="15">
        <f t="shared" si="37"/>
        <v>840000000</v>
      </c>
      <c r="L84" s="15">
        <f t="shared" si="37"/>
        <v>420000000</v>
      </c>
      <c r="M84" s="15">
        <f t="shared" si="37"/>
        <v>0</v>
      </c>
    </row>
    <row r="85" spans="7:13" x14ac:dyDescent="0.25">
      <c r="G85" t="s">
        <v>68</v>
      </c>
      <c r="H85" s="14">
        <f>H84*$G$4*6/12</f>
        <v>105000000</v>
      </c>
      <c r="I85" s="15">
        <f>AVERAGE(H84,I84)*$G$4</f>
        <v>189000000</v>
      </c>
      <c r="J85" s="15">
        <f t="shared" ref="J85:M85" si="38">AVERAGE(I84,J84)*$G$4</f>
        <v>147000000</v>
      </c>
      <c r="K85" s="15">
        <f t="shared" si="38"/>
        <v>105000000</v>
      </c>
      <c r="L85" s="15">
        <f t="shared" si="38"/>
        <v>63000000</v>
      </c>
      <c r="M85" s="15">
        <f t="shared" si="38"/>
        <v>21000000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85"/>
  <sheetViews>
    <sheetView showGridLines="0" zoomScale="70" zoomScaleNormal="70" workbookViewId="0">
      <pane xSplit="7" ySplit="17" topLeftCell="H78" activePane="bottomRight" state="frozen"/>
      <selection pane="topRight" activeCell="H1" sqref="H1"/>
      <selection pane="bottomLeft" activeCell="A18" sqref="A18"/>
      <selection pane="bottomRight" activeCell="I9" sqref="I9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28.5" customWidth="1"/>
    <col min="5" max="5" width="7.125" bestFit="1" customWidth="1"/>
    <col min="6" max="6" width="6.125" customWidth="1"/>
    <col min="7" max="7" width="16.875" customWidth="1"/>
    <col min="8" max="8" width="17.625" style="2" customWidth="1"/>
    <col min="9" max="9" width="17.875" customWidth="1"/>
    <col min="10" max="11" width="15.625" bestFit="1" customWidth="1"/>
    <col min="12" max="12" width="16" bestFit="1" customWidth="1"/>
    <col min="13" max="17" width="16" customWidth="1"/>
    <col min="18" max="18" width="16.625" bestFit="1" customWidth="1"/>
    <col min="19" max="19" width="15.875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ht="26.25" x14ac:dyDescent="0.25">
      <c r="B1" s="1" t="s">
        <v>0</v>
      </c>
      <c r="R1" s="105" t="s">
        <v>63</v>
      </c>
    </row>
    <row r="2" spans="2:27" x14ac:dyDescent="0.25">
      <c r="B2" s="3" t="s">
        <v>1</v>
      </c>
    </row>
    <row r="3" spans="2:27" x14ac:dyDescent="0.25">
      <c r="C3" t="s">
        <v>2</v>
      </c>
      <c r="G3" s="5">
        <v>0.25</v>
      </c>
      <c r="R3" s="4"/>
      <c r="S3" s="4"/>
      <c r="T3" s="4"/>
    </row>
    <row r="4" spans="2:27" x14ac:dyDescent="0.25">
      <c r="C4" t="s">
        <v>46</v>
      </c>
      <c r="G4" s="5">
        <v>0.12</v>
      </c>
      <c r="R4" s="4"/>
      <c r="S4" s="4"/>
      <c r="T4" s="4"/>
    </row>
    <row r="5" spans="2:27" x14ac:dyDescent="0.25">
      <c r="C5" t="s">
        <v>3</v>
      </c>
      <c r="G5" s="5">
        <v>0</v>
      </c>
      <c r="H5" s="2" t="s">
        <v>4</v>
      </c>
    </row>
    <row r="6" spans="2:27" x14ac:dyDescent="0.25">
      <c r="C6" t="s">
        <v>5</v>
      </c>
      <c r="G6" s="6">
        <v>0</v>
      </c>
      <c r="H6" s="2" t="s">
        <v>4</v>
      </c>
    </row>
    <row r="8" spans="2:27" x14ac:dyDescent="0.25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25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25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25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.5" thickBot="1" x14ac:dyDescent="0.3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.5" thickTop="1" x14ac:dyDescent="0.25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25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.5" thickBot="1" x14ac:dyDescent="0.3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25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25">
      <c r="N17" s="103">
        <v>0.15</v>
      </c>
      <c r="R17" s="76"/>
    </row>
    <row r="18" spans="2:25" x14ac:dyDescent="0.25">
      <c r="R18" s="76"/>
    </row>
    <row r="19" spans="2:25" x14ac:dyDescent="0.25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25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25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25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25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25">
      <c r="B24" s="69" t="s">
        <v>15</v>
      </c>
      <c r="C24" s="69"/>
      <c r="D24" s="69"/>
      <c r="E24" s="268">
        <f>SUM(H24:Q24)</f>
        <v>10500000000</v>
      </c>
      <c r="F24" s="269"/>
      <c r="G24" s="269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25">
      <c r="R25" s="76"/>
      <c r="S25" s="50"/>
      <c r="T25" s="50"/>
      <c r="U25" s="50"/>
      <c r="V25" s="50"/>
      <c r="W25" s="50"/>
      <c r="X25" s="50"/>
      <c r="Y25" s="50"/>
    </row>
    <row r="26" spans="2:25" x14ac:dyDescent="0.25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25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25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25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25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25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25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25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25">
      <c r="R34" s="76"/>
      <c r="S34" s="50"/>
      <c r="T34" s="50"/>
      <c r="U34" s="50"/>
      <c r="V34" s="50"/>
      <c r="W34" s="50"/>
      <c r="X34" s="50"/>
      <c r="Y34" s="50"/>
    </row>
    <row r="35" spans="2:25" x14ac:dyDescent="0.25">
      <c r="B35" s="17" t="s">
        <v>21</v>
      </c>
      <c r="C35" s="17"/>
      <c r="D35" s="17"/>
      <c r="E35" s="17"/>
      <c r="F35" s="17"/>
      <c r="G35" s="17"/>
      <c r="H35" s="18">
        <f>H66</f>
        <v>210000000</v>
      </c>
      <c r="I35" s="18">
        <f t="shared" ref="I35:Q35" si="12">I66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25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25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25">
      <c r="B38" s="27" t="s">
        <v>35</v>
      </c>
      <c r="H38" s="73">
        <f>H85</f>
        <v>126000000</v>
      </c>
      <c r="I38" s="73">
        <f t="shared" ref="I38:Q38" si="14">I85</f>
        <v>241800000</v>
      </c>
      <c r="J38" s="73">
        <f t="shared" si="14"/>
        <v>203400000</v>
      </c>
      <c r="K38" s="73">
        <f t="shared" si="14"/>
        <v>147000000</v>
      </c>
      <c r="L38" s="73">
        <f t="shared" si="14"/>
        <v>90600000</v>
      </c>
      <c r="M38" s="73">
        <f t="shared" si="14"/>
        <v>34200000</v>
      </c>
      <c r="N38" s="73">
        <f t="shared" si="14"/>
        <v>3000000</v>
      </c>
      <c r="O38" s="73">
        <f t="shared" si="14"/>
        <v>0</v>
      </c>
      <c r="P38" s="73">
        <f t="shared" si="14"/>
        <v>0</v>
      </c>
      <c r="Q38" s="73">
        <f t="shared" si="14"/>
        <v>0</v>
      </c>
      <c r="R38" s="102">
        <f t="shared" ref="R38:R39" si="15">SUM(H38:Q38)</f>
        <v>846000000</v>
      </c>
      <c r="S38" s="56"/>
      <c r="T38" s="56"/>
      <c r="U38" s="56"/>
      <c r="V38" s="56"/>
      <c r="W38" s="56"/>
      <c r="X38" s="56"/>
      <c r="Y38" s="50"/>
    </row>
    <row r="39" spans="2:25" x14ac:dyDescent="0.25">
      <c r="B39" s="27" t="s">
        <v>36</v>
      </c>
      <c r="H39" s="73">
        <f>H36-H38</f>
        <v>-336000000</v>
      </c>
      <c r="I39" s="73">
        <f t="shared" ref="I39:Q39" si="16">I36-I38</f>
        <v>301422222.22222221</v>
      </c>
      <c r="J39" s="73">
        <f t="shared" si="16"/>
        <v>339822222.22222221</v>
      </c>
      <c r="K39" s="73">
        <f t="shared" si="16"/>
        <v>344222222.22222221</v>
      </c>
      <c r="L39" s="73">
        <f t="shared" si="16"/>
        <v>400622222.22222221</v>
      </c>
      <c r="M39" s="73">
        <f t="shared" si="16"/>
        <v>517022222.22222221</v>
      </c>
      <c r="N39" s="73">
        <f t="shared" si="16"/>
        <v>360722222.22222221</v>
      </c>
      <c r="O39" s="73">
        <f t="shared" si="16"/>
        <v>363722222.22222221</v>
      </c>
      <c r="P39" s="73">
        <f t="shared" si="16"/>
        <v>363722222.22222221</v>
      </c>
      <c r="Q39" s="73">
        <f t="shared" si="16"/>
        <v>941500000</v>
      </c>
      <c r="R39" s="102">
        <f t="shared" si="15"/>
        <v>3596777777.7777781</v>
      </c>
      <c r="S39" s="56"/>
      <c r="T39" s="56"/>
      <c r="U39" s="56"/>
      <c r="V39" s="56"/>
      <c r="W39" s="56"/>
      <c r="X39" s="56"/>
      <c r="Y39" s="50"/>
    </row>
    <row r="40" spans="2:25" x14ac:dyDescent="0.25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7">IF(I39&lt;0,0,I39*$G$3)</f>
        <v>75355555.555555552</v>
      </c>
      <c r="J40" s="71">
        <f t="shared" si="17"/>
        <v>84955555.555555552</v>
      </c>
      <c r="K40" s="71">
        <f t="shared" si="17"/>
        <v>86055555.555555552</v>
      </c>
      <c r="L40" s="71">
        <f t="shared" si="17"/>
        <v>100155555.55555555</v>
      </c>
      <c r="M40" s="71">
        <f t="shared" si="17"/>
        <v>129255555.55555555</v>
      </c>
      <c r="N40" s="71">
        <f t="shared" si="17"/>
        <v>90180555.555555552</v>
      </c>
      <c r="O40" s="71">
        <f t="shared" si="17"/>
        <v>90930555.555555552</v>
      </c>
      <c r="P40" s="71">
        <f t="shared" si="17"/>
        <v>90930555.555555552</v>
      </c>
      <c r="Q40" s="71">
        <f t="shared" si="17"/>
        <v>235375000</v>
      </c>
      <c r="R40" s="85">
        <f>SUM(H40:Q40)</f>
        <v>983194444.44444454</v>
      </c>
      <c r="S40" s="58"/>
      <c r="T40" s="58"/>
      <c r="U40" s="58"/>
      <c r="V40" s="58"/>
      <c r="W40" s="58"/>
      <c r="X40" s="57"/>
      <c r="Y40" s="50"/>
    </row>
    <row r="41" spans="2:25" ht="16.5" thickBot="1" x14ac:dyDescent="0.3">
      <c r="B41" s="31" t="s">
        <v>61</v>
      </c>
      <c r="C41" s="31"/>
      <c r="D41" s="31"/>
      <c r="E41" s="31"/>
      <c r="F41" s="31"/>
      <c r="G41" s="31"/>
      <c r="H41" s="32">
        <f>H39-H40</f>
        <v>-336000000</v>
      </c>
      <c r="I41" s="32">
        <f t="shared" ref="I41:Q41" si="18">I39-I40</f>
        <v>226066666.66666666</v>
      </c>
      <c r="J41" s="32">
        <f t="shared" si="18"/>
        <v>254866666.66666666</v>
      </c>
      <c r="K41" s="32">
        <f t="shared" si="18"/>
        <v>258166666.66666666</v>
      </c>
      <c r="L41" s="32">
        <f t="shared" si="18"/>
        <v>300466666.66666663</v>
      </c>
      <c r="M41" s="32">
        <f t="shared" si="18"/>
        <v>387766666.66666663</v>
      </c>
      <c r="N41" s="32">
        <f t="shared" si="18"/>
        <v>270541666.66666663</v>
      </c>
      <c r="O41" s="32">
        <f t="shared" si="18"/>
        <v>272791666.66666663</v>
      </c>
      <c r="P41" s="32">
        <f t="shared" si="18"/>
        <v>272791666.66666663</v>
      </c>
      <c r="Q41" s="32">
        <f t="shared" si="18"/>
        <v>706125000</v>
      </c>
      <c r="R41" s="86">
        <f>R36-R40</f>
        <v>3459583333.333334</v>
      </c>
      <c r="S41" s="56"/>
      <c r="T41" s="56"/>
      <c r="U41" s="56"/>
      <c r="V41" s="56"/>
      <c r="W41" s="56"/>
      <c r="X41" s="56"/>
      <c r="Y41" s="50"/>
    </row>
    <row r="42" spans="2:25" x14ac:dyDescent="0.25">
      <c r="R42" s="76"/>
      <c r="S42" s="50"/>
      <c r="T42" s="50"/>
      <c r="U42" s="50"/>
      <c r="V42" s="50"/>
      <c r="W42" s="50"/>
      <c r="X42" s="50"/>
      <c r="Y42" s="50"/>
    </row>
    <row r="43" spans="2:25" x14ac:dyDescent="0.25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9">-I12</f>
        <v>-250000000</v>
      </c>
      <c r="I43" s="33">
        <f t="shared" si="19"/>
        <v>0</v>
      </c>
      <c r="J43" s="33">
        <f>-K12</f>
        <v>0</v>
      </c>
      <c r="K43" s="33">
        <f t="shared" ref="K43:Q43" si="20">-L12</f>
        <v>0</v>
      </c>
      <c r="L43" s="33">
        <f t="shared" si="20"/>
        <v>0</v>
      </c>
      <c r="M43" s="33">
        <f t="shared" si="20"/>
        <v>0</v>
      </c>
      <c r="N43" s="33">
        <f t="shared" si="20"/>
        <v>0</v>
      </c>
      <c r="O43" s="33">
        <f t="shared" si="20"/>
        <v>0</v>
      </c>
      <c r="P43" s="33">
        <f t="shared" si="20"/>
        <v>0</v>
      </c>
      <c r="Q43" s="33">
        <f t="shared" si="20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25">
      <c r="B44" t="s">
        <v>25</v>
      </c>
      <c r="G44" s="30">
        <f>G43</f>
        <v>-2100000000</v>
      </c>
      <c r="H44" s="30">
        <f>H43+H41+H35</f>
        <v>-376000000</v>
      </c>
      <c r="I44" s="30">
        <f>I43+I41+I35</f>
        <v>463844444.44444442</v>
      </c>
      <c r="J44" s="30">
        <f t="shared" ref="J44:Q44" si="21">J43+J41+J35</f>
        <v>492644444.44444442</v>
      </c>
      <c r="K44" s="30">
        <f t="shared" si="21"/>
        <v>495944444.44444442</v>
      </c>
      <c r="L44" s="30">
        <f t="shared" si="21"/>
        <v>538244444.44444442</v>
      </c>
      <c r="M44" s="30">
        <f t="shared" si="21"/>
        <v>625544444.44444442</v>
      </c>
      <c r="N44" s="30">
        <f t="shared" si="21"/>
        <v>508319444.44444442</v>
      </c>
      <c r="O44" s="30">
        <f t="shared" si="21"/>
        <v>510569444.44444442</v>
      </c>
      <c r="P44" s="30">
        <f t="shared" si="21"/>
        <v>510569444.44444442</v>
      </c>
      <c r="Q44" s="30">
        <f t="shared" si="21"/>
        <v>706125000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25">
      <c r="B45" t="s">
        <v>26</v>
      </c>
      <c r="G45" s="30">
        <f>G44</f>
        <v>-2100000000</v>
      </c>
      <c r="H45" s="30">
        <f>G45+H44</f>
        <v>-2476000000</v>
      </c>
      <c r="I45" s="30">
        <f>H45+I44</f>
        <v>-2012155555.5555556</v>
      </c>
      <c r="J45" s="30">
        <f t="shared" ref="J45:Q45" si="22">I45+J44</f>
        <v>-1519511111.1111112</v>
      </c>
      <c r="K45" s="30">
        <f t="shared" si="22"/>
        <v>-1023566666.6666667</v>
      </c>
      <c r="L45" s="30">
        <f t="shared" si="22"/>
        <v>-485322222.22222233</v>
      </c>
      <c r="M45" s="30">
        <f t="shared" si="22"/>
        <v>140222222.22222209</v>
      </c>
      <c r="N45" s="30">
        <f t="shared" si="22"/>
        <v>648541666.66666651</v>
      </c>
      <c r="O45" s="30">
        <f t="shared" si="22"/>
        <v>1159111111.1111109</v>
      </c>
      <c r="P45" s="30">
        <f t="shared" si="22"/>
        <v>1669680555.5555553</v>
      </c>
      <c r="Q45" s="30">
        <f t="shared" si="22"/>
        <v>2375805555.5555553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25">
      <c r="B46" t="s">
        <v>27</v>
      </c>
      <c r="G46" s="30"/>
      <c r="H46" s="34">
        <f t="shared" ref="H46:Q46" si="23">IF(AND(G45&lt;0,H45&gt;0),H54-(H45/H44),0)</f>
        <v>0</v>
      </c>
      <c r="I46" s="34">
        <f t="shared" si="23"/>
        <v>0</v>
      </c>
      <c r="J46" s="34">
        <f t="shared" si="23"/>
        <v>0</v>
      </c>
      <c r="K46" s="34">
        <f t="shared" si="23"/>
        <v>0</v>
      </c>
      <c r="L46" s="100">
        <f t="shared" si="23"/>
        <v>0</v>
      </c>
      <c r="M46" s="100">
        <f t="shared" si="23"/>
        <v>5.7758397129611536</v>
      </c>
      <c r="N46" s="34">
        <f t="shared" si="23"/>
        <v>0</v>
      </c>
      <c r="O46" s="34">
        <f t="shared" si="23"/>
        <v>0</v>
      </c>
      <c r="P46" s="34">
        <f t="shared" si="23"/>
        <v>0</v>
      </c>
      <c r="Q46" s="34">
        <f t="shared" si="23"/>
        <v>0</v>
      </c>
      <c r="R46" s="89"/>
      <c r="S46" s="34"/>
      <c r="T46" s="34"/>
      <c r="U46" s="34"/>
      <c r="V46" s="34"/>
      <c r="W46" s="34"/>
      <c r="X46" s="34"/>
    </row>
    <row r="47" spans="2:25" x14ac:dyDescent="0.25">
      <c r="G47" s="30"/>
      <c r="H47" s="34"/>
      <c r="I47" s="34"/>
      <c r="J47" s="34"/>
      <c r="K47" s="34"/>
      <c r="L47" s="100"/>
      <c r="M47" s="34"/>
      <c r="N47" s="34"/>
      <c r="O47" s="34"/>
      <c r="P47" s="34"/>
      <c r="Q47" s="34"/>
      <c r="R47" s="89"/>
      <c r="S47" s="34"/>
      <c r="T47" s="34"/>
      <c r="U47" s="34"/>
      <c r="V47" s="34"/>
      <c r="W47" s="34"/>
      <c r="X47" s="34"/>
    </row>
    <row r="49" spans="2:24" x14ac:dyDescent="0.25">
      <c r="B49" s="60" t="s">
        <v>28</v>
      </c>
      <c r="C49" s="61"/>
      <c r="D49" s="61"/>
      <c r="E49" s="61"/>
      <c r="F49" s="61"/>
      <c r="G49" s="104">
        <f>IRR(G44:Q44)</f>
        <v>0.12598919882236115</v>
      </c>
    </row>
    <row r="50" spans="2:24" x14ac:dyDescent="0.25">
      <c r="B50" s="62" t="s">
        <v>29</v>
      </c>
      <c r="C50" s="63"/>
      <c r="D50" s="63"/>
      <c r="E50" s="63"/>
      <c r="F50" s="63"/>
      <c r="G50" s="64">
        <f>NPV(G4,H44:Q44)+G44</f>
        <v>69848695.534912586</v>
      </c>
      <c r="I50" s="99"/>
      <c r="J50" s="15"/>
    </row>
    <row r="51" spans="2:24" x14ac:dyDescent="0.25">
      <c r="B51" s="62" t="s">
        <v>30</v>
      </c>
      <c r="C51" s="63"/>
      <c r="D51" s="63"/>
      <c r="E51" s="63"/>
      <c r="F51" s="63"/>
      <c r="G51" s="65">
        <f>R33</f>
        <v>0.62428571428571433</v>
      </c>
      <c r="I51" s="72"/>
    </row>
    <row r="52" spans="2:24" x14ac:dyDescent="0.25">
      <c r="B52" s="66" t="s">
        <v>31</v>
      </c>
      <c r="C52" s="67"/>
      <c r="D52" s="67"/>
      <c r="E52" s="67"/>
      <c r="F52" s="67"/>
      <c r="G52" s="68">
        <f>SUM(G46:Q46)</f>
        <v>5.7758397129611536</v>
      </c>
    </row>
    <row r="53" spans="2:24" x14ac:dyDescent="0.25">
      <c r="G53" s="35"/>
    </row>
    <row r="54" spans="2:24" x14ac:dyDescent="0.25">
      <c r="H54" s="9">
        <v>1</v>
      </c>
      <c r="I54" s="36">
        <v>2</v>
      </c>
      <c r="J54" s="9">
        <v>3</v>
      </c>
      <c r="K54" s="36">
        <v>4</v>
      </c>
      <c r="L54" s="9">
        <v>5</v>
      </c>
      <c r="M54" s="9">
        <v>6</v>
      </c>
      <c r="N54" s="36">
        <v>7</v>
      </c>
      <c r="O54" s="9">
        <v>8</v>
      </c>
      <c r="P54" s="9">
        <v>9</v>
      </c>
      <c r="Q54" s="9"/>
      <c r="R54" s="36"/>
      <c r="S54" s="9"/>
      <c r="T54" s="36"/>
      <c r="U54" s="9"/>
      <c r="V54" s="36"/>
      <c r="W54" s="9"/>
    </row>
    <row r="55" spans="2:24" x14ac:dyDescent="0.25">
      <c r="B55" s="37" t="s">
        <v>32</v>
      </c>
      <c r="E55" s="38" t="s">
        <v>33</v>
      </c>
      <c r="H55" s="38" t="str">
        <f>H15</f>
        <v>Year 1</v>
      </c>
      <c r="I55" s="38" t="str">
        <f>I15</f>
        <v>Year 2</v>
      </c>
      <c r="J55" s="38" t="str">
        <f>J15</f>
        <v>Year 3</v>
      </c>
      <c r="K55" s="38" t="str">
        <f>K15</f>
        <v>Year 4</v>
      </c>
      <c r="L55" s="38" t="str">
        <f>L15</f>
        <v>Year 5</v>
      </c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</row>
    <row r="56" spans="2:24" x14ac:dyDescent="0.25">
      <c r="D56" t="s">
        <v>7</v>
      </c>
      <c r="E56">
        <v>10</v>
      </c>
      <c r="H56" s="74">
        <f>H$12/$E56</f>
        <v>210000000</v>
      </c>
      <c r="I56" s="39">
        <f>H56</f>
        <v>210000000</v>
      </c>
      <c r="J56" s="39">
        <f t="shared" ref="J56:P59" si="24">I56</f>
        <v>210000000</v>
      </c>
      <c r="K56" s="39">
        <f t="shared" si="24"/>
        <v>210000000</v>
      </c>
      <c r="L56" s="39">
        <f t="shared" si="24"/>
        <v>210000000</v>
      </c>
      <c r="M56" s="39">
        <f t="shared" si="24"/>
        <v>210000000</v>
      </c>
      <c r="N56" s="39">
        <f t="shared" si="24"/>
        <v>210000000</v>
      </c>
      <c r="O56" s="39">
        <f t="shared" si="24"/>
        <v>210000000</v>
      </c>
      <c r="P56" s="39">
        <f t="shared" si="24"/>
        <v>210000000</v>
      </c>
      <c r="Q56" s="39"/>
      <c r="R56" s="39"/>
      <c r="S56" s="39"/>
      <c r="T56" s="39"/>
      <c r="U56" s="39"/>
      <c r="V56" s="39"/>
      <c r="W56" s="39"/>
      <c r="X56" s="40"/>
    </row>
    <row r="57" spans="2:24" x14ac:dyDescent="0.25">
      <c r="D57" t="s">
        <v>8</v>
      </c>
      <c r="E57">
        <v>9</v>
      </c>
      <c r="I57" s="74">
        <f>I$12/$E57</f>
        <v>27777777.777777776</v>
      </c>
      <c r="J57" s="39">
        <f>I57</f>
        <v>27777777.777777776</v>
      </c>
      <c r="K57" s="39">
        <f t="shared" si="24"/>
        <v>27777777.777777776</v>
      </c>
      <c r="L57" s="39">
        <f t="shared" si="24"/>
        <v>27777777.777777776</v>
      </c>
      <c r="M57" s="39">
        <f t="shared" si="24"/>
        <v>27777777.777777776</v>
      </c>
      <c r="N57" s="39">
        <f t="shared" si="24"/>
        <v>27777777.777777776</v>
      </c>
      <c r="O57" s="39">
        <f t="shared" si="24"/>
        <v>27777777.777777776</v>
      </c>
      <c r="P57" s="39">
        <f t="shared" si="24"/>
        <v>27777777.777777776</v>
      </c>
      <c r="Q57" s="39"/>
      <c r="R57" s="39"/>
      <c r="S57" s="39"/>
      <c r="T57" s="39"/>
      <c r="U57" s="39"/>
      <c r="V57" s="39"/>
      <c r="W57" s="39"/>
      <c r="X57" s="40"/>
    </row>
    <row r="58" spans="2:24" x14ac:dyDescent="0.25">
      <c r="D58" t="s">
        <v>9</v>
      </c>
      <c r="E58">
        <v>8</v>
      </c>
      <c r="J58" s="74">
        <f>J$12/$E58</f>
        <v>0</v>
      </c>
      <c r="K58" s="39">
        <f>J58</f>
        <v>0</v>
      </c>
      <c r="L58" s="39">
        <f t="shared" si="24"/>
        <v>0</v>
      </c>
      <c r="M58" s="39">
        <f t="shared" si="24"/>
        <v>0</v>
      </c>
      <c r="N58" s="39">
        <f t="shared" si="24"/>
        <v>0</v>
      </c>
      <c r="O58" s="39">
        <f t="shared" si="24"/>
        <v>0</v>
      </c>
      <c r="P58" s="39">
        <f t="shared" si="24"/>
        <v>0</v>
      </c>
      <c r="Q58" s="39"/>
      <c r="R58" s="39"/>
      <c r="S58" s="39"/>
      <c r="T58" s="39"/>
      <c r="U58" s="39"/>
      <c r="V58" s="39"/>
      <c r="W58" s="39"/>
      <c r="X58" s="40"/>
    </row>
    <row r="59" spans="2:24" x14ac:dyDescent="0.25">
      <c r="D59" t="s">
        <v>10</v>
      </c>
      <c r="E59">
        <v>7</v>
      </c>
      <c r="K59" s="74">
        <f>K$12/$E59</f>
        <v>0</v>
      </c>
      <c r="L59" s="39">
        <f>K59</f>
        <v>0</v>
      </c>
      <c r="M59" s="39">
        <f t="shared" si="24"/>
        <v>0</v>
      </c>
      <c r="N59" s="39">
        <f t="shared" si="24"/>
        <v>0</v>
      </c>
      <c r="O59" s="39">
        <f t="shared" si="24"/>
        <v>0</v>
      </c>
      <c r="P59" s="39">
        <f t="shared" si="24"/>
        <v>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25">
      <c r="E60">
        <v>6</v>
      </c>
      <c r="L60" s="74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40"/>
    </row>
    <row r="61" spans="2:24" x14ac:dyDescent="0.25">
      <c r="E61">
        <v>5</v>
      </c>
      <c r="L61" s="39"/>
      <c r="M61" s="74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40"/>
    </row>
    <row r="62" spans="2:24" x14ac:dyDescent="0.25">
      <c r="E62">
        <v>4</v>
      </c>
      <c r="L62" s="39"/>
      <c r="M62" s="39"/>
      <c r="N62" s="74"/>
      <c r="O62" s="39"/>
      <c r="P62" s="39"/>
      <c r="Q62" s="39"/>
      <c r="R62" s="39"/>
      <c r="S62" s="39"/>
      <c r="T62" s="39"/>
      <c r="U62" s="39"/>
      <c r="V62" s="39"/>
      <c r="W62" s="39"/>
      <c r="X62" s="40"/>
    </row>
    <row r="63" spans="2:24" x14ac:dyDescent="0.25">
      <c r="E63">
        <v>3</v>
      </c>
      <c r="L63" s="39"/>
      <c r="M63" s="39"/>
      <c r="N63" s="39"/>
      <c r="O63" s="74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25">
      <c r="E64">
        <v>2</v>
      </c>
      <c r="L64" s="39"/>
      <c r="M64" s="39"/>
      <c r="N64" s="39"/>
      <c r="O64" s="39"/>
      <c r="P64" s="74"/>
      <c r="Q64" s="39"/>
      <c r="R64" s="39"/>
      <c r="S64" s="39"/>
      <c r="T64" s="39"/>
      <c r="U64" s="39"/>
      <c r="V64" s="39"/>
      <c r="W64" s="39"/>
      <c r="X64" s="40"/>
    </row>
    <row r="65" spans="2:27" x14ac:dyDescent="0.25">
      <c r="D65" t="s">
        <v>11</v>
      </c>
      <c r="E65">
        <v>1</v>
      </c>
      <c r="K65" s="39"/>
      <c r="L65" s="101">
        <f>L$12/$E65</f>
        <v>0</v>
      </c>
      <c r="M65" s="101"/>
      <c r="N65" s="101"/>
      <c r="O65" s="101"/>
      <c r="P65" s="101"/>
      <c r="Q65" s="101"/>
      <c r="R65" s="39"/>
      <c r="S65" s="39"/>
      <c r="T65" s="39"/>
      <c r="U65" s="39"/>
      <c r="V65" s="39"/>
      <c r="W65" s="39"/>
      <c r="X65" s="40"/>
    </row>
    <row r="66" spans="2:27" ht="16.5" thickBot="1" x14ac:dyDescent="0.3">
      <c r="B66" s="41" t="s">
        <v>34</v>
      </c>
      <c r="C66" s="42"/>
      <c r="D66" s="42"/>
      <c r="E66" s="42"/>
      <c r="F66" s="42"/>
      <c r="G66" s="42"/>
      <c r="H66" s="43">
        <f>SUM(H56:H65)</f>
        <v>210000000</v>
      </c>
      <c r="I66" s="43">
        <f t="shared" ref="I66:P66" si="25">SUM(I56:I65)</f>
        <v>237777777.77777779</v>
      </c>
      <c r="J66" s="43">
        <f t="shared" si="25"/>
        <v>237777777.77777779</v>
      </c>
      <c r="K66" s="43">
        <f t="shared" si="25"/>
        <v>237777777.77777779</v>
      </c>
      <c r="L66" s="43">
        <f t="shared" si="25"/>
        <v>237777777.77777779</v>
      </c>
      <c r="M66" s="43">
        <f t="shared" si="25"/>
        <v>237777777.77777779</v>
      </c>
      <c r="N66" s="43">
        <f t="shared" si="25"/>
        <v>237777777.77777779</v>
      </c>
      <c r="O66" s="43">
        <f t="shared" si="25"/>
        <v>237777777.77777779</v>
      </c>
      <c r="P66" s="43">
        <f t="shared" si="25"/>
        <v>237777777.77777779</v>
      </c>
      <c r="Q66" s="47"/>
      <c r="R66" s="47"/>
      <c r="S66" s="47"/>
      <c r="T66" s="47"/>
      <c r="U66" s="47"/>
      <c r="V66" s="47"/>
      <c r="W66" s="47"/>
      <c r="X66" s="47"/>
      <c r="Y66" s="44"/>
      <c r="Z66" s="44"/>
      <c r="AA66" s="44"/>
    </row>
    <row r="67" spans="2:27" ht="16.5" thickTop="1" x14ac:dyDescent="0.25">
      <c r="M67" s="40"/>
      <c r="N67" s="40"/>
      <c r="O67" s="40"/>
      <c r="P67" s="40">
        <f>SUM(H66:P66)-R35</f>
        <v>0</v>
      </c>
      <c r="Q67" s="40"/>
      <c r="X67" s="15"/>
    </row>
    <row r="69" spans="2:27" x14ac:dyDescent="0.25">
      <c r="G69" t="s">
        <v>62</v>
      </c>
    </row>
    <row r="78" spans="2:27" x14ac:dyDescent="0.25">
      <c r="G78" t="s">
        <v>77</v>
      </c>
      <c r="H78" s="72">
        <f>H12</f>
        <v>2100000000</v>
      </c>
      <c r="I78" s="72">
        <f>I12</f>
        <v>250000000</v>
      </c>
    </row>
    <row r="79" spans="2:27" x14ac:dyDescent="0.25">
      <c r="G79" t="s">
        <v>65</v>
      </c>
      <c r="H79" s="2">
        <v>5</v>
      </c>
      <c r="I79" s="2">
        <v>5</v>
      </c>
    </row>
    <row r="80" spans="2:27" x14ac:dyDescent="0.25">
      <c r="G80" t="s">
        <v>66</v>
      </c>
      <c r="H80" s="14">
        <f>H78/H79</f>
        <v>420000000</v>
      </c>
      <c r="I80" s="14">
        <f>I78/I79</f>
        <v>50000000</v>
      </c>
    </row>
    <row r="81" spans="7:14" x14ac:dyDescent="0.25">
      <c r="G81" t="s">
        <v>72</v>
      </c>
      <c r="H81" s="14">
        <f>H78</f>
        <v>2100000000</v>
      </c>
      <c r="I81" s="15">
        <f>H81-$H$80</f>
        <v>1680000000</v>
      </c>
      <c r="J81" s="15">
        <f t="shared" ref="J81:M81" si="26">I81-$H$80</f>
        <v>1260000000</v>
      </c>
      <c r="K81" s="15">
        <f t="shared" si="26"/>
        <v>840000000</v>
      </c>
      <c r="L81" s="15">
        <f t="shared" si="26"/>
        <v>420000000</v>
      </c>
      <c r="M81" s="15">
        <f t="shared" si="26"/>
        <v>0</v>
      </c>
    </row>
    <row r="82" spans="7:14" x14ac:dyDescent="0.25">
      <c r="G82" t="s">
        <v>73</v>
      </c>
      <c r="I82" s="15">
        <f>I78</f>
        <v>250000000</v>
      </c>
      <c r="J82" s="15">
        <f>I82-$I$80</f>
        <v>200000000</v>
      </c>
      <c r="K82" s="15">
        <f t="shared" ref="K82:N82" si="27">J82-$I$80</f>
        <v>150000000</v>
      </c>
      <c r="L82" s="15">
        <f t="shared" si="27"/>
        <v>100000000</v>
      </c>
      <c r="M82" s="15">
        <f t="shared" si="27"/>
        <v>50000000</v>
      </c>
      <c r="N82" s="15">
        <f t="shared" si="27"/>
        <v>0</v>
      </c>
    </row>
    <row r="83" spans="7:14" x14ac:dyDescent="0.25">
      <c r="G83" t="s">
        <v>74</v>
      </c>
      <c r="H83" s="14">
        <f>H81*$G$4*6/12</f>
        <v>126000000</v>
      </c>
      <c r="I83" s="15">
        <f>AVERAGE(H81,I81)*$G$4</f>
        <v>226800000</v>
      </c>
      <c r="J83" s="15">
        <f>AVERAGE(I81,J81)*$G$4</f>
        <v>176400000</v>
      </c>
      <c r="K83" s="15">
        <f>AVERAGE(J81,K81)*$G$4</f>
        <v>126000000</v>
      </c>
      <c r="L83" s="15">
        <f>AVERAGE(K81,L81)*$G$4</f>
        <v>75600000</v>
      </c>
      <c r="M83" s="15">
        <f>AVERAGE(L81,M81)*$G$4</f>
        <v>25200000</v>
      </c>
    </row>
    <row r="84" spans="7:14" x14ac:dyDescent="0.25">
      <c r="G84" t="s">
        <v>75</v>
      </c>
      <c r="I84" s="14">
        <f>I82*$G$4*6/12</f>
        <v>15000000</v>
      </c>
      <c r="J84" s="15">
        <f>AVERAGE(I82,J82)*$G$4</f>
        <v>27000000</v>
      </c>
      <c r="K84" s="15">
        <f t="shared" ref="K84:N84" si="28">AVERAGE(J82,K82)*$G$4</f>
        <v>21000000</v>
      </c>
      <c r="L84" s="15">
        <f t="shared" si="28"/>
        <v>15000000</v>
      </c>
      <c r="M84" s="15">
        <f t="shared" si="28"/>
        <v>9000000</v>
      </c>
      <c r="N84" s="15">
        <f t="shared" si="28"/>
        <v>3000000</v>
      </c>
    </row>
    <row r="85" spans="7:14" x14ac:dyDescent="0.25">
      <c r="G85" s="1" t="s">
        <v>76</v>
      </c>
      <c r="H85" s="23">
        <f>H83+H84</f>
        <v>126000000</v>
      </c>
      <c r="I85" s="23">
        <f t="shared" ref="I85:N85" si="29">I83+I84</f>
        <v>241800000</v>
      </c>
      <c r="J85" s="23">
        <f t="shared" si="29"/>
        <v>203400000</v>
      </c>
      <c r="K85" s="23">
        <f t="shared" si="29"/>
        <v>147000000</v>
      </c>
      <c r="L85" s="23">
        <f t="shared" si="29"/>
        <v>90600000</v>
      </c>
      <c r="M85" s="23">
        <f t="shared" si="29"/>
        <v>34200000</v>
      </c>
      <c r="N85" s="23">
        <f t="shared" si="29"/>
        <v>3000000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7"/>
  <sheetViews>
    <sheetView showGridLines="0" topLeftCell="A4" zoomScale="80" zoomScaleNormal="80" workbookViewId="0">
      <selection activeCell="A2" sqref="A2:N37"/>
    </sheetView>
  </sheetViews>
  <sheetFormatPr defaultColWidth="8.625" defaultRowHeight="15.75" x14ac:dyDescent="0.25"/>
  <cols>
    <col min="1" max="1" width="4.125" style="116" customWidth="1"/>
    <col min="2" max="2" width="3" style="116" customWidth="1"/>
    <col min="3" max="3" width="19.125" style="116" customWidth="1"/>
    <col min="4" max="4" width="35.5" style="116" customWidth="1"/>
    <col min="5" max="5" width="4.125" style="116" customWidth="1"/>
    <col min="6" max="6" width="4.875" style="116" customWidth="1"/>
    <col min="7" max="7" width="17" style="116" bestFit="1" customWidth="1"/>
    <col min="8" max="8" width="8.375" style="116" customWidth="1"/>
    <col min="9" max="9" width="5.375" style="116" customWidth="1"/>
    <col min="10" max="10" width="2.125" style="116" customWidth="1"/>
    <col min="11" max="11" width="5.125" style="116" customWidth="1"/>
    <col min="12" max="12" width="18.375" style="116" bestFit="1" customWidth="1"/>
    <col min="13" max="13" width="16.5" style="116" customWidth="1"/>
    <col min="14" max="14" width="2.125" style="116" customWidth="1"/>
    <col min="15" max="16384" width="8.625" style="116"/>
  </cols>
  <sheetData>
    <row r="1" spans="2:14" x14ac:dyDescent="0.25"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2:14" ht="18.75" x14ac:dyDescent="0.3">
      <c r="B2" s="119"/>
      <c r="C2" s="125" t="s">
        <v>103</v>
      </c>
      <c r="D2" s="117" t="s">
        <v>104</v>
      </c>
      <c r="E2" s="119"/>
      <c r="F2" s="119"/>
      <c r="G2" s="119"/>
      <c r="H2" s="119"/>
      <c r="J2" s="148" t="s">
        <v>116</v>
      </c>
      <c r="K2" s="148"/>
      <c r="L2" s="148"/>
      <c r="M2" s="175">
        <v>45056</v>
      </c>
      <c r="N2" s="119"/>
    </row>
    <row r="3" spans="2:14" ht="18.75" x14ac:dyDescent="0.3">
      <c r="B3" s="119"/>
      <c r="C3" s="125"/>
      <c r="D3" s="117" t="s">
        <v>94</v>
      </c>
      <c r="E3" s="119"/>
      <c r="F3" s="119"/>
      <c r="G3" s="119"/>
      <c r="H3" s="119"/>
      <c r="J3" s="148"/>
      <c r="K3" s="148"/>
      <c r="L3" s="148"/>
      <c r="M3" s="149"/>
      <c r="N3" s="119"/>
    </row>
    <row r="4" spans="2:14" ht="18.75" x14ac:dyDescent="0.3">
      <c r="B4" s="119"/>
      <c r="C4" s="125" t="s">
        <v>105</v>
      </c>
      <c r="D4" s="117" t="s">
        <v>115</v>
      </c>
      <c r="E4" s="119"/>
      <c r="F4" s="119"/>
      <c r="G4" s="119"/>
      <c r="H4" s="119"/>
      <c r="M4" s="119"/>
      <c r="N4" s="119"/>
    </row>
    <row r="5" spans="2:14" ht="0.95" customHeight="1" thickBot="1" x14ac:dyDescent="0.3">
      <c r="B5" s="119"/>
      <c r="C5" s="117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</row>
    <row r="6" spans="2:14" s="124" customFormat="1" ht="19.5" thickBot="1" x14ac:dyDescent="0.35">
      <c r="B6" s="285" t="s">
        <v>85</v>
      </c>
      <c r="C6" s="286"/>
      <c r="D6" s="287"/>
      <c r="E6" s="285" t="s">
        <v>93</v>
      </c>
      <c r="F6" s="286"/>
      <c r="G6" s="286"/>
      <c r="H6" s="286"/>
      <c r="I6" s="286"/>
      <c r="J6" s="285" t="s">
        <v>86</v>
      </c>
      <c r="K6" s="286"/>
      <c r="L6" s="286"/>
      <c r="M6" s="286"/>
      <c r="N6" s="287"/>
    </row>
    <row r="7" spans="2:14" x14ac:dyDescent="0.25">
      <c r="B7" s="288" t="s">
        <v>83</v>
      </c>
      <c r="C7" s="289"/>
      <c r="D7" s="151" t="s">
        <v>114</v>
      </c>
      <c r="E7" s="290" t="s">
        <v>95</v>
      </c>
      <c r="F7" s="290"/>
      <c r="G7" s="290"/>
      <c r="H7" s="290"/>
      <c r="I7" s="290"/>
      <c r="J7" s="145"/>
      <c r="K7" s="289" t="s">
        <v>91</v>
      </c>
      <c r="L7" s="289"/>
      <c r="M7" s="150">
        <v>0</v>
      </c>
      <c r="N7" s="151"/>
    </row>
    <row r="8" spans="2:14" x14ac:dyDescent="0.25">
      <c r="B8" s="282" t="s">
        <v>84</v>
      </c>
      <c r="C8" s="283"/>
      <c r="D8" s="152" t="s">
        <v>117</v>
      </c>
      <c r="E8" s="284" t="s">
        <v>80</v>
      </c>
      <c r="F8" s="284"/>
      <c r="G8" s="284"/>
      <c r="H8" s="153">
        <v>158</v>
      </c>
      <c r="I8" s="119"/>
      <c r="J8" s="118"/>
      <c r="K8" s="284" t="s">
        <v>90</v>
      </c>
      <c r="L8" s="284"/>
      <c r="M8" s="154">
        <v>5</v>
      </c>
      <c r="N8" s="120"/>
    </row>
    <row r="9" spans="2:14" x14ac:dyDescent="0.25">
      <c r="B9" s="282"/>
      <c r="C9" s="283"/>
      <c r="D9" s="120" t="s">
        <v>118</v>
      </c>
      <c r="E9" s="284" t="s">
        <v>81</v>
      </c>
      <c r="F9" s="284"/>
      <c r="G9" s="284"/>
      <c r="H9" s="153">
        <v>149</v>
      </c>
      <c r="I9" s="119"/>
      <c r="J9" s="118"/>
      <c r="K9" s="284" t="s">
        <v>107</v>
      </c>
      <c r="L9" s="284"/>
      <c r="M9" s="155">
        <f>IRR!G5</f>
        <v>0.1</v>
      </c>
      <c r="N9" s="120"/>
    </row>
    <row r="10" spans="2:14" x14ac:dyDescent="0.25">
      <c r="B10" s="282"/>
      <c r="C10" s="283"/>
      <c r="D10" s="120" t="s">
        <v>119</v>
      </c>
      <c r="E10" s="284" t="s">
        <v>82</v>
      </c>
      <c r="F10" s="284"/>
      <c r="G10" s="284"/>
      <c r="H10" s="156">
        <v>8</v>
      </c>
      <c r="I10" s="119"/>
      <c r="J10" s="118"/>
      <c r="K10" s="284" t="s">
        <v>78</v>
      </c>
      <c r="L10" s="284"/>
      <c r="M10" s="150">
        <v>0</v>
      </c>
      <c r="N10" s="120"/>
    </row>
    <row r="11" spans="2:14" x14ac:dyDescent="0.25">
      <c r="B11" s="141" t="s">
        <v>97</v>
      </c>
      <c r="C11" s="142"/>
      <c r="D11" s="120" t="s">
        <v>120</v>
      </c>
      <c r="E11" s="275" t="s">
        <v>94</v>
      </c>
      <c r="F11" s="275"/>
      <c r="G11" s="275"/>
      <c r="H11" s="275"/>
      <c r="I11" s="275"/>
      <c r="J11" s="146"/>
      <c r="K11" s="281" t="s">
        <v>87</v>
      </c>
      <c r="L11" s="281"/>
      <c r="M11" s="150">
        <f>IRR!H11</f>
        <v>480913119</v>
      </c>
      <c r="N11" s="120"/>
    </row>
    <row r="12" spans="2:14" x14ac:dyDescent="0.25">
      <c r="B12" s="143" t="s">
        <v>98</v>
      </c>
      <c r="C12" s="144"/>
      <c r="D12" s="120" t="s">
        <v>106</v>
      </c>
      <c r="E12" s="274" t="s">
        <v>92</v>
      </c>
      <c r="F12" s="274"/>
      <c r="G12" s="274"/>
      <c r="H12" s="157">
        <v>0</v>
      </c>
      <c r="I12" s="119"/>
      <c r="J12" s="118"/>
      <c r="K12" s="281" t="s">
        <v>88</v>
      </c>
      <c r="L12" s="281"/>
      <c r="M12" s="150">
        <f>IRR!M28</f>
        <v>1883992920</v>
      </c>
      <c r="N12" s="120"/>
    </row>
    <row r="13" spans="2:14" x14ac:dyDescent="0.25">
      <c r="B13" s="143" t="s">
        <v>79</v>
      </c>
      <c r="C13" s="144"/>
      <c r="D13" s="120" t="s">
        <v>115</v>
      </c>
      <c r="E13" s="274" t="s">
        <v>102</v>
      </c>
      <c r="F13" s="274"/>
      <c r="G13" s="274"/>
      <c r="H13" s="157">
        <v>0</v>
      </c>
      <c r="I13" s="119"/>
      <c r="J13" s="118"/>
      <c r="K13" s="281" t="s">
        <v>89</v>
      </c>
      <c r="L13" s="281"/>
      <c r="M13" s="150">
        <f>IRR!M20</f>
        <v>3217358400</v>
      </c>
      <c r="N13" s="120"/>
    </row>
    <row r="14" spans="2:14" ht="16.5" thickBot="1" x14ac:dyDescent="0.3">
      <c r="B14" s="139" t="s">
        <v>99</v>
      </c>
      <c r="C14" s="140"/>
      <c r="D14" s="126">
        <v>5</v>
      </c>
      <c r="E14" s="274" t="s">
        <v>101</v>
      </c>
      <c r="F14" s="274"/>
      <c r="G14" s="274"/>
      <c r="H14" s="157">
        <v>0</v>
      </c>
      <c r="I14" s="119"/>
      <c r="J14" s="118"/>
      <c r="K14" s="127"/>
      <c r="L14" s="127"/>
      <c r="M14" s="119"/>
      <c r="N14" s="120"/>
    </row>
    <row r="15" spans="2:14" x14ac:dyDescent="0.25">
      <c r="B15" s="139" t="s">
        <v>100</v>
      </c>
      <c r="C15" s="140"/>
      <c r="D15" s="126">
        <v>1</v>
      </c>
      <c r="E15" s="275" t="s">
        <v>96</v>
      </c>
      <c r="F15" s="275"/>
      <c r="G15" s="275"/>
      <c r="H15" s="275"/>
      <c r="I15" s="275"/>
      <c r="J15" s="158"/>
      <c r="K15" s="276" t="s">
        <v>28</v>
      </c>
      <c r="L15" s="277"/>
      <c r="M15" s="128">
        <f>IRR!G44</f>
        <v>0.27455849167279656</v>
      </c>
      <c r="N15" s="120"/>
    </row>
    <row r="16" spans="2:14" x14ac:dyDescent="0.25">
      <c r="B16" s="118"/>
      <c r="C16" s="119"/>
      <c r="D16" s="120"/>
      <c r="E16" s="119"/>
      <c r="F16" s="119"/>
      <c r="G16" s="119"/>
      <c r="H16" s="119"/>
      <c r="I16" s="119"/>
      <c r="J16" s="159"/>
      <c r="K16" s="278" t="s">
        <v>29</v>
      </c>
      <c r="L16" s="279"/>
      <c r="M16" s="129">
        <f>IRR!G45</f>
        <v>338569282.22305393</v>
      </c>
      <c r="N16" s="120"/>
    </row>
    <row r="17" spans="2:18" x14ac:dyDescent="0.25">
      <c r="B17" s="118"/>
      <c r="C17" s="119"/>
      <c r="D17" s="120"/>
      <c r="E17" s="119"/>
      <c r="F17" s="119"/>
      <c r="G17" s="119"/>
      <c r="H17" s="119"/>
      <c r="I17" s="119"/>
      <c r="J17" s="159"/>
      <c r="K17" s="278" t="s">
        <v>30</v>
      </c>
      <c r="L17" s="279"/>
      <c r="M17" s="130">
        <f>IRR!G46</f>
        <v>0.41442864431889215</v>
      </c>
      <c r="N17" s="120"/>
      <c r="R17" s="116" t="s">
        <v>62</v>
      </c>
    </row>
    <row r="18" spans="2:18" ht="16.5" thickBot="1" x14ac:dyDescent="0.3">
      <c r="B18" s="118"/>
      <c r="C18" s="119"/>
      <c r="D18" s="120"/>
      <c r="E18" s="119"/>
      <c r="F18" s="119"/>
      <c r="G18" s="119"/>
      <c r="H18" s="119"/>
      <c r="I18" s="119"/>
      <c r="J18" s="159"/>
      <c r="K18" s="270" t="s">
        <v>108</v>
      </c>
      <c r="L18" s="271"/>
      <c r="M18" s="131">
        <f>IRR!G47</f>
        <v>3.3684150755498243</v>
      </c>
      <c r="N18" s="120"/>
      <c r="Q18" s="116" t="s">
        <v>62</v>
      </c>
    </row>
    <row r="19" spans="2:18" ht="16.5" thickBot="1" x14ac:dyDescent="0.3">
      <c r="B19" s="121"/>
      <c r="C19" s="122"/>
      <c r="D19" s="123"/>
      <c r="E19" s="122"/>
      <c r="F19" s="122" t="s">
        <v>62</v>
      </c>
      <c r="G19" s="122"/>
      <c r="H19" s="122"/>
      <c r="I19" s="122"/>
      <c r="J19" s="118"/>
      <c r="K19" s="147"/>
      <c r="L19" s="144"/>
      <c r="M19" s="144"/>
      <c r="N19" s="120"/>
    </row>
    <row r="20" spans="2:18" x14ac:dyDescent="0.25">
      <c r="B20" s="160" t="s">
        <v>212</v>
      </c>
      <c r="C20" s="161"/>
      <c r="D20" s="161"/>
      <c r="E20" s="161"/>
      <c r="F20" s="161"/>
      <c r="G20" s="161"/>
      <c r="H20" s="161"/>
      <c r="I20" s="161"/>
      <c r="J20" s="161"/>
      <c r="K20" s="161"/>
      <c r="L20" s="280" t="s">
        <v>121</v>
      </c>
      <c r="M20" s="280"/>
      <c r="N20" s="151"/>
    </row>
    <row r="21" spans="2:18" x14ac:dyDescent="0.25">
      <c r="B21" s="118" t="s">
        <v>122</v>
      </c>
      <c r="C21" s="119"/>
      <c r="D21" s="119" t="s">
        <v>215</v>
      </c>
      <c r="E21" s="119"/>
      <c r="F21" s="119"/>
      <c r="G21" s="119"/>
      <c r="H21" s="119"/>
      <c r="I21" s="119"/>
      <c r="J21" s="119"/>
      <c r="K21" s="119"/>
      <c r="L21" s="272" t="s">
        <v>123</v>
      </c>
      <c r="M21" s="273"/>
      <c r="N21" s="120"/>
    </row>
    <row r="22" spans="2:18" x14ac:dyDescent="0.25">
      <c r="B22" s="118"/>
      <c r="C22" s="119"/>
      <c r="D22" s="119" t="s">
        <v>214</v>
      </c>
      <c r="E22" s="119"/>
      <c r="F22" s="119"/>
      <c r="G22" s="119"/>
      <c r="H22" s="119"/>
      <c r="I22" s="119"/>
      <c r="J22" s="119"/>
      <c r="K22" s="119"/>
      <c r="L22" s="119"/>
      <c r="M22" s="119"/>
      <c r="N22" s="120"/>
    </row>
    <row r="23" spans="2:18" x14ac:dyDescent="0.25">
      <c r="B23" s="118"/>
      <c r="C23" s="119"/>
      <c r="D23" s="119" t="s">
        <v>213</v>
      </c>
      <c r="E23" s="119"/>
      <c r="F23" s="119"/>
      <c r="G23" s="119"/>
      <c r="H23" s="119"/>
      <c r="I23" s="119"/>
      <c r="J23" s="119"/>
      <c r="K23" s="119"/>
      <c r="L23" s="119"/>
      <c r="M23" s="119"/>
      <c r="N23" s="120"/>
    </row>
    <row r="24" spans="2:18" x14ac:dyDescent="0.25">
      <c r="B24" s="118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20"/>
    </row>
    <row r="25" spans="2:18" ht="16.5" thickBot="1" x14ac:dyDescent="0.3">
      <c r="B25" s="121"/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3"/>
    </row>
    <row r="27" spans="2:18" x14ac:dyDescent="0.25">
      <c r="B27" s="1" t="s">
        <v>124</v>
      </c>
    </row>
  </sheetData>
  <mergeCells count="29">
    <mergeCell ref="B6:D6"/>
    <mergeCell ref="E6:I6"/>
    <mergeCell ref="J6:N6"/>
    <mergeCell ref="B7:C7"/>
    <mergeCell ref="E7:I7"/>
    <mergeCell ref="K7:L7"/>
    <mergeCell ref="B8:C8"/>
    <mergeCell ref="E8:G8"/>
    <mergeCell ref="K8:L8"/>
    <mergeCell ref="B9:C9"/>
    <mergeCell ref="E9:G9"/>
    <mergeCell ref="K9:L9"/>
    <mergeCell ref="E12:G12"/>
    <mergeCell ref="K12:L12"/>
    <mergeCell ref="E13:G13"/>
    <mergeCell ref="K13:L13"/>
    <mergeCell ref="B10:C10"/>
    <mergeCell ref="E10:G10"/>
    <mergeCell ref="K10:L10"/>
    <mergeCell ref="E11:I11"/>
    <mergeCell ref="K11:L11"/>
    <mergeCell ref="K18:L18"/>
    <mergeCell ref="L21:M21"/>
    <mergeCell ref="E14:G14"/>
    <mergeCell ref="E15:I15"/>
    <mergeCell ref="K15:L15"/>
    <mergeCell ref="K16:L16"/>
    <mergeCell ref="K17:L17"/>
    <mergeCell ref="L20:M20"/>
  </mergeCells>
  <pageMargins left="0.25" right="0.25" top="0.75" bottom="0.75" header="0.3" footer="0.3"/>
  <pageSetup paperSize="9" scale="9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76"/>
  <sheetViews>
    <sheetView showGridLines="0" tabSelected="1" topLeftCell="B1" zoomScale="90" zoomScaleNormal="90" workbookViewId="0">
      <selection activeCell="H11" sqref="H11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28.5" customWidth="1"/>
    <col min="5" max="5" width="7.125" bestFit="1" customWidth="1"/>
    <col min="6" max="6" width="6.125" customWidth="1"/>
    <col min="7" max="7" width="16.875" customWidth="1"/>
    <col min="8" max="8" width="17.625" style="2" customWidth="1"/>
    <col min="9" max="9" width="17.875" customWidth="1"/>
    <col min="10" max="11" width="15.625" bestFit="1" customWidth="1"/>
    <col min="12" max="12" width="16" bestFit="1" customWidth="1"/>
    <col min="13" max="13" width="17.5" bestFit="1" customWidth="1"/>
    <col min="14" max="14" width="15.875" customWidth="1"/>
    <col min="15" max="18" width="15" bestFit="1" customWidth="1"/>
    <col min="19" max="19" width="15.625" bestFit="1" customWidth="1"/>
    <col min="20" max="20" width="11.625" bestFit="1" customWidth="1"/>
  </cols>
  <sheetData>
    <row r="1" spans="2:22" x14ac:dyDescent="0.25">
      <c r="B1" s="1" t="s">
        <v>197</v>
      </c>
    </row>
    <row r="2" spans="2:22" ht="26.25" x14ac:dyDescent="0.25">
      <c r="B2" s="1" t="s">
        <v>0</v>
      </c>
      <c r="M2" s="105" t="s">
        <v>113</v>
      </c>
    </row>
    <row r="3" spans="2:22" x14ac:dyDescent="0.25">
      <c r="B3" s="3" t="s">
        <v>1</v>
      </c>
    </row>
    <row r="4" spans="2:22" x14ac:dyDescent="0.25">
      <c r="C4" t="s">
        <v>2</v>
      </c>
      <c r="G4" s="5">
        <v>0.02</v>
      </c>
      <c r="M4" s="4"/>
      <c r="N4" s="4"/>
      <c r="O4" s="4"/>
    </row>
    <row r="5" spans="2:22" x14ac:dyDescent="0.25">
      <c r="C5" t="s">
        <v>46</v>
      </c>
      <c r="G5" s="5">
        <v>0.1</v>
      </c>
      <c r="M5" s="4"/>
      <c r="N5" s="4"/>
      <c r="O5" s="4"/>
    </row>
    <row r="6" spans="2:22" x14ac:dyDescent="0.25">
      <c r="C6" t="s">
        <v>3</v>
      </c>
      <c r="G6" s="5">
        <v>0.05</v>
      </c>
      <c r="H6" s="2" t="s">
        <v>4</v>
      </c>
    </row>
    <row r="7" spans="2:22" x14ac:dyDescent="0.25">
      <c r="C7" t="s">
        <v>5</v>
      </c>
      <c r="G7" s="6">
        <v>0</v>
      </c>
      <c r="H7" s="2" t="s">
        <v>4</v>
      </c>
    </row>
    <row r="8" spans="2:22" x14ac:dyDescent="0.25">
      <c r="C8" t="s">
        <v>216</v>
      </c>
      <c r="G8" s="106">
        <v>0.15</v>
      </c>
    </row>
    <row r="9" spans="2:22" x14ac:dyDescent="0.25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27"/>
      <c r="N9" s="45"/>
      <c r="O9" s="45"/>
      <c r="P9" s="46"/>
      <c r="Q9" s="45"/>
      <c r="R9" s="45"/>
      <c r="S9" s="45"/>
      <c r="T9" s="45"/>
      <c r="U9" s="45"/>
    </row>
    <row r="10" spans="2:22" x14ac:dyDescent="0.25">
      <c r="B10" s="1" t="s">
        <v>59</v>
      </c>
      <c r="H10"/>
      <c r="M10" s="27"/>
      <c r="N10" s="45"/>
      <c r="O10" s="45"/>
      <c r="P10" s="46"/>
      <c r="Q10" s="45"/>
      <c r="R10" s="45"/>
      <c r="S10" s="45"/>
      <c r="T10" s="45"/>
      <c r="U10" s="45"/>
    </row>
    <row r="11" spans="2:22" s="90" customFormat="1" ht="16.5" thickBot="1" x14ac:dyDescent="0.3">
      <c r="B11" s="98" t="s">
        <v>60</v>
      </c>
      <c r="G11" s="97"/>
      <c r="H11" s="91">
        <v>480913119</v>
      </c>
      <c r="I11" s="91">
        <v>0</v>
      </c>
      <c r="J11" s="91">
        <v>0</v>
      </c>
      <c r="K11" s="91">
        <v>0</v>
      </c>
      <c r="L11" s="91"/>
      <c r="M11" s="95"/>
      <c r="N11" s="92"/>
      <c r="O11" s="92"/>
      <c r="P11" s="93"/>
      <c r="Q11" s="92"/>
      <c r="R11" s="92"/>
      <c r="S11" s="92"/>
      <c r="T11" s="92"/>
      <c r="U11" s="92"/>
    </row>
    <row r="12" spans="2:22" ht="16.5" thickTop="1" x14ac:dyDescent="0.25">
      <c r="G12" s="11"/>
      <c r="M12" s="27"/>
      <c r="P12" s="44"/>
      <c r="Q12" s="44"/>
      <c r="R12" s="44"/>
      <c r="S12" s="44"/>
      <c r="T12" s="44"/>
      <c r="U12" s="44"/>
      <c r="V12" s="44"/>
    </row>
    <row r="13" spans="2:22" ht="16.5" thickBot="1" x14ac:dyDescent="0.3">
      <c r="B13" s="12" t="s">
        <v>12</v>
      </c>
      <c r="C13" s="7"/>
      <c r="D13" s="7"/>
      <c r="E13" s="7"/>
      <c r="F13" s="7"/>
      <c r="G13" s="7"/>
      <c r="H13" s="8" t="s">
        <v>7</v>
      </c>
      <c r="I13" s="13" t="s">
        <v>8</v>
      </c>
      <c r="J13" s="8" t="s">
        <v>9</v>
      </c>
      <c r="K13" s="13" t="s">
        <v>10</v>
      </c>
      <c r="L13" s="8" t="s">
        <v>11</v>
      </c>
      <c r="M13" s="75" t="s">
        <v>13</v>
      </c>
      <c r="N13" s="59"/>
      <c r="O13" s="59"/>
      <c r="P13" s="59"/>
      <c r="Q13" s="59"/>
      <c r="R13" s="59"/>
      <c r="S13" s="59"/>
      <c r="T13" s="44"/>
      <c r="U13" s="44"/>
      <c r="V13" s="44"/>
    </row>
    <row r="14" spans="2:22" x14ac:dyDescent="0.25">
      <c r="B14" t="s">
        <v>14</v>
      </c>
      <c r="H14" s="9">
        <v>12</v>
      </c>
      <c r="I14" s="9">
        <v>12</v>
      </c>
      <c r="J14" s="9">
        <v>12</v>
      </c>
      <c r="K14" s="9">
        <v>12</v>
      </c>
      <c r="L14" s="9">
        <v>12</v>
      </c>
      <c r="M14" s="76"/>
    </row>
    <row r="15" spans="2:22" x14ac:dyDescent="0.25">
      <c r="B15" s="1" t="s">
        <v>6</v>
      </c>
      <c r="E15" s="19"/>
      <c r="H15" s="20"/>
      <c r="I15" s="19"/>
      <c r="J15" s="21"/>
      <c r="K15" s="21"/>
      <c r="L15" s="21"/>
      <c r="M15" s="76"/>
    </row>
    <row r="16" spans="2:22" x14ac:dyDescent="0.25">
      <c r="C16" t="s">
        <v>37</v>
      </c>
      <c r="E16" s="16"/>
      <c r="H16" s="137">
        <f>Sheet2!D2*(1-G8)</f>
        <v>224400000</v>
      </c>
      <c r="I16" s="15">
        <f>H16*90%</f>
        <v>201960000</v>
      </c>
      <c r="J16" s="15">
        <f t="shared" ref="J16:L16" si="0">I16</f>
        <v>201960000</v>
      </c>
      <c r="K16" s="15">
        <f t="shared" si="0"/>
        <v>201960000</v>
      </c>
      <c r="L16" s="15">
        <f t="shared" si="0"/>
        <v>201960000</v>
      </c>
      <c r="M16" s="77">
        <f>SUM(H16:L16)</f>
        <v>1032240000</v>
      </c>
      <c r="N16" s="14"/>
      <c r="O16" s="14"/>
      <c r="P16" s="14"/>
      <c r="Q16" s="14"/>
      <c r="R16" s="14"/>
      <c r="S16" s="15"/>
    </row>
    <row r="17" spans="2:20" x14ac:dyDescent="0.25">
      <c r="C17" t="s">
        <v>38</v>
      </c>
      <c r="H17" s="14">
        <v>150000000</v>
      </c>
      <c r="I17" s="14">
        <v>150000000</v>
      </c>
      <c r="J17" s="14">
        <v>150000000</v>
      </c>
      <c r="K17" s="14">
        <v>150000000</v>
      </c>
      <c r="L17" s="14">
        <v>150000000</v>
      </c>
      <c r="M17" s="77">
        <f t="shared" ref="M17:M19" si="1">SUM(H17:L17)</f>
        <v>750000000</v>
      </c>
      <c r="N17" s="14"/>
      <c r="O17" s="14"/>
      <c r="P17" s="14"/>
      <c r="Q17" s="14"/>
      <c r="R17" s="14"/>
      <c r="S17" s="15"/>
    </row>
    <row r="18" spans="2:20" x14ac:dyDescent="0.25">
      <c r="C18" t="s">
        <v>112</v>
      </c>
      <c r="H18" s="14">
        <v>45000000</v>
      </c>
      <c r="I18" s="14">
        <v>45000000</v>
      </c>
      <c r="J18" s="14">
        <v>45000000</v>
      </c>
      <c r="K18" s="14">
        <v>45000000</v>
      </c>
      <c r="L18" s="14">
        <v>45000000</v>
      </c>
      <c r="M18" s="77">
        <f t="shared" si="1"/>
        <v>225000000</v>
      </c>
      <c r="N18" s="14"/>
      <c r="O18" s="14"/>
      <c r="P18" s="14"/>
      <c r="Q18" s="14"/>
      <c r="R18" s="14"/>
      <c r="S18" s="15"/>
    </row>
    <row r="19" spans="2:20" x14ac:dyDescent="0.25">
      <c r="C19" t="s">
        <v>211</v>
      </c>
      <c r="H19" s="14">
        <v>257472000</v>
      </c>
      <c r="I19" s="14">
        <f>H19</f>
        <v>257472000</v>
      </c>
      <c r="J19" s="14">
        <f>I19*90%</f>
        <v>231724800</v>
      </c>
      <c r="K19" s="14">
        <f>J19</f>
        <v>231724800</v>
      </c>
      <c r="L19" s="14">
        <f>K19</f>
        <v>231724800</v>
      </c>
      <c r="M19" s="77">
        <f t="shared" si="1"/>
        <v>1210118400</v>
      </c>
      <c r="N19" s="48"/>
      <c r="O19" s="48"/>
      <c r="P19" s="48"/>
      <c r="Q19" s="48"/>
      <c r="R19" s="48"/>
      <c r="S19" s="49"/>
      <c r="T19" s="50"/>
    </row>
    <row r="20" spans="2:20" x14ac:dyDescent="0.25">
      <c r="B20" s="69" t="s">
        <v>15</v>
      </c>
      <c r="C20" s="69"/>
      <c r="D20" s="69"/>
      <c r="E20" s="268"/>
      <c r="F20" s="269"/>
      <c r="G20" s="269"/>
      <c r="H20" s="70">
        <f>SUM(H15:H19)</f>
        <v>676872000</v>
      </c>
      <c r="I20" s="70">
        <f t="shared" ref="I20:L20" si="2">SUM(I15:I19)</f>
        <v>654432000</v>
      </c>
      <c r="J20" s="70">
        <f t="shared" si="2"/>
        <v>628684800</v>
      </c>
      <c r="K20" s="70">
        <f t="shared" si="2"/>
        <v>628684800</v>
      </c>
      <c r="L20" s="70">
        <f t="shared" si="2"/>
        <v>628684800</v>
      </c>
      <c r="M20" s="78">
        <f>SUM(M16:M19)</f>
        <v>3217358400</v>
      </c>
      <c r="N20" s="48"/>
      <c r="O20" s="48"/>
      <c r="P20" s="48"/>
      <c r="Q20" s="48"/>
      <c r="R20" s="48"/>
      <c r="S20" s="48"/>
      <c r="T20" s="50"/>
    </row>
    <row r="21" spans="2:20" x14ac:dyDescent="0.25">
      <c r="B21" s="1" t="s">
        <v>16</v>
      </c>
      <c r="E21" s="19"/>
      <c r="F21" s="19"/>
      <c r="G21" s="19"/>
      <c r="H21" s="20"/>
      <c r="I21" s="19"/>
      <c r="J21" s="21"/>
      <c r="K21" s="21"/>
      <c r="L21" s="21"/>
      <c r="M21" s="79"/>
      <c r="N21" s="51"/>
      <c r="O21" s="51"/>
      <c r="P21" s="51"/>
      <c r="Q21" s="51"/>
      <c r="R21" s="51"/>
      <c r="S21" s="50"/>
      <c r="T21" s="50"/>
    </row>
    <row r="22" spans="2:20" x14ac:dyDescent="0.25">
      <c r="C22" t="s">
        <v>47</v>
      </c>
      <c r="H22" s="14">
        <f>760000000/2</f>
        <v>380000000</v>
      </c>
      <c r="I22" s="14">
        <f>H22</f>
        <v>380000000</v>
      </c>
      <c r="J22" s="14">
        <v>240000000</v>
      </c>
      <c r="K22" s="14">
        <v>0</v>
      </c>
      <c r="L22" s="14">
        <v>0</v>
      </c>
      <c r="M22" s="80">
        <f>SUM(H22:L22)</f>
        <v>1000000000</v>
      </c>
      <c r="N22" s="48"/>
      <c r="O22" s="48"/>
      <c r="P22" s="48"/>
      <c r="Q22" s="48"/>
      <c r="R22" s="48"/>
      <c r="S22" s="49"/>
      <c r="T22" s="50"/>
    </row>
    <row r="23" spans="2:20" x14ac:dyDescent="0.25">
      <c r="C23" t="s">
        <v>198</v>
      </c>
      <c r="H23" s="14">
        <f>H18*50%</f>
        <v>22500000</v>
      </c>
      <c r="I23" s="14">
        <f>I18*50%</f>
        <v>22500000</v>
      </c>
      <c r="J23" s="14">
        <f>J18*50%</f>
        <v>22500000</v>
      </c>
      <c r="K23" s="14">
        <f>K18*50%</f>
        <v>22500000</v>
      </c>
      <c r="L23" s="14">
        <f>L18*50%</f>
        <v>22500000</v>
      </c>
      <c r="M23" s="80">
        <f>SUM(H23:L23)</f>
        <v>112500000</v>
      </c>
      <c r="N23" s="48"/>
      <c r="O23" s="48"/>
      <c r="P23" s="48"/>
      <c r="Q23" s="48"/>
      <c r="R23" s="48"/>
      <c r="S23" s="49"/>
      <c r="T23" s="50"/>
    </row>
    <row r="24" spans="2:20" x14ac:dyDescent="0.25">
      <c r="C24" t="s">
        <v>199</v>
      </c>
      <c r="H24" s="14">
        <f>(H18-(H18*50%))*5%</f>
        <v>1125000</v>
      </c>
      <c r="I24" s="14">
        <f>(I18-(I18*50%))*5%</f>
        <v>1125000</v>
      </c>
      <c r="J24" s="14">
        <f>(J18-(J18*50%))*5%</f>
        <v>1125000</v>
      </c>
      <c r="K24" s="14">
        <f>(K18-(K18*50%))*5%</f>
        <v>1125000</v>
      </c>
      <c r="L24" s="14">
        <f>(L18-(L18*50%))*5%</f>
        <v>1125000</v>
      </c>
      <c r="M24" s="80">
        <f t="shared" ref="M24:M25" si="3">SUM(H24:L24)</f>
        <v>5625000</v>
      </c>
      <c r="N24" s="48"/>
      <c r="O24" s="48"/>
      <c r="P24" s="48"/>
      <c r="Q24" s="48"/>
      <c r="R24" s="48"/>
      <c r="S24" s="49"/>
      <c r="T24" s="50"/>
    </row>
    <row r="25" spans="2:20" x14ac:dyDescent="0.25">
      <c r="C25" t="s">
        <v>17</v>
      </c>
      <c r="H25" s="14">
        <v>100000000</v>
      </c>
      <c r="I25" s="14">
        <v>100000000</v>
      </c>
      <c r="J25" s="14">
        <v>100000000</v>
      </c>
      <c r="K25" s="14">
        <v>100000000</v>
      </c>
      <c r="L25" s="14">
        <v>100000000</v>
      </c>
      <c r="M25" s="80">
        <f t="shared" si="3"/>
        <v>500000000</v>
      </c>
      <c r="N25" s="48"/>
      <c r="O25" s="48"/>
      <c r="P25" s="48"/>
      <c r="Q25" s="48"/>
      <c r="R25" s="48"/>
      <c r="S25" s="49"/>
      <c r="T25" s="50"/>
    </row>
    <row r="26" spans="2:20" x14ac:dyDescent="0.25">
      <c r="C26" t="s">
        <v>48</v>
      </c>
      <c r="H26" s="71">
        <f>PARAMETER!$B$33*3</f>
        <v>21000000</v>
      </c>
      <c r="I26" s="71">
        <f>PARAMETER!$B$33*3</f>
        <v>21000000</v>
      </c>
      <c r="J26" s="71">
        <f>PARAMETER!$B$33*3</f>
        <v>21000000</v>
      </c>
      <c r="K26" s="71">
        <f>PARAMETER!$B$33*3</f>
        <v>21000000</v>
      </c>
      <c r="L26" s="71">
        <f>PARAMETER!$B$33*3</f>
        <v>21000000</v>
      </c>
      <c r="M26" s="80">
        <f t="shared" ref="M26:M27" si="4">SUM(H26:L26)</f>
        <v>105000000</v>
      </c>
      <c r="N26" s="48"/>
      <c r="O26" s="48"/>
      <c r="P26" s="48"/>
      <c r="Q26" s="48"/>
      <c r="R26" s="48"/>
      <c r="S26" s="49"/>
      <c r="T26" s="50"/>
    </row>
    <row r="27" spans="2:20" x14ac:dyDescent="0.25">
      <c r="B27" s="17"/>
      <c r="C27" s="17" t="s">
        <v>3</v>
      </c>
      <c r="D27" s="17"/>
      <c r="E27" s="17"/>
      <c r="F27" s="17"/>
      <c r="G27" s="17"/>
      <c r="H27" s="22">
        <f>$G$6*H20</f>
        <v>33843600</v>
      </c>
      <c r="I27" s="22">
        <f>$G$6*I20</f>
        <v>32721600</v>
      </c>
      <c r="J27" s="22">
        <f>$G$6*J20</f>
        <v>31434240</v>
      </c>
      <c r="K27" s="22">
        <f>$G$6*K20</f>
        <v>31434240</v>
      </c>
      <c r="L27" s="22">
        <f>$G$6*L20</f>
        <v>31434240</v>
      </c>
      <c r="M27" s="80">
        <f t="shared" si="4"/>
        <v>160867920</v>
      </c>
      <c r="N27" s="52"/>
      <c r="O27" s="52"/>
      <c r="P27" s="52"/>
      <c r="Q27" s="52"/>
      <c r="R27" s="52"/>
      <c r="S27" s="49"/>
      <c r="T27" s="50"/>
    </row>
    <row r="28" spans="2:20" s="1" customFormat="1" x14ac:dyDescent="0.25">
      <c r="B28" s="69" t="s">
        <v>18</v>
      </c>
      <c r="C28" s="69"/>
      <c r="D28" s="69"/>
      <c r="E28" s="69"/>
      <c r="F28" s="69"/>
      <c r="G28" s="69"/>
      <c r="H28" s="70">
        <f>SUM(H22:H27)</f>
        <v>558468600</v>
      </c>
      <c r="I28" s="70">
        <f t="shared" ref="I28:L28" si="5">SUM(I22:I27)</f>
        <v>557346600</v>
      </c>
      <c r="J28" s="70">
        <f t="shared" si="5"/>
        <v>416059240</v>
      </c>
      <c r="K28" s="70">
        <f t="shared" si="5"/>
        <v>176059240</v>
      </c>
      <c r="L28" s="70">
        <f t="shared" si="5"/>
        <v>176059240</v>
      </c>
      <c r="M28" s="94">
        <f>SUM(M22:M27)</f>
        <v>1883992920</v>
      </c>
      <c r="N28" s="53"/>
      <c r="O28" s="53"/>
      <c r="P28" s="53"/>
      <c r="Q28" s="53"/>
      <c r="R28" s="53"/>
      <c r="S28" s="53"/>
      <c r="T28" s="54"/>
    </row>
    <row r="29" spans="2:20" s="1" customFormat="1" x14ac:dyDescent="0.25">
      <c r="B29" s="1" t="s">
        <v>19</v>
      </c>
      <c r="H29" s="23">
        <f t="shared" ref="H29:M29" si="6">H20-H28</f>
        <v>118403400</v>
      </c>
      <c r="I29" s="23">
        <f t="shared" si="6"/>
        <v>97085400</v>
      </c>
      <c r="J29" s="23">
        <f t="shared" si="6"/>
        <v>212625560</v>
      </c>
      <c r="K29" s="23">
        <f t="shared" si="6"/>
        <v>452625560</v>
      </c>
      <c r="L29" s="23">
        <f t="shared" si="6"/>
        <v>452625560</v>
      </c>
      <c r="M29" s="81">
        <f t="shared" si="6"/>
        <v>1333365480</v>
      </c>
      <c r="N29" s="53"/>
      <c r="O29" s="53"/>
      <c r="P29" s="53"/>
      <c r="Q29" s="53"/>
      <c r="R29" s="53"/>
      <c r="S29" s="53"/>
      <c r="T29" s="54"/>
    </row>
    <row r="30" spans="2:20" s="1" customFormat="1" x14ac:dyDescent="0.25">
      <c r="B30" s="24" t="s">
        <v>20</v>
      </c>
      <c r="C30" s="25"/>
      <c r="D30" s="25"/>
      <c r="E30" s="25"/>
      <c r="F30" s="25"/>
      <c r="G30" s="25"/>
      <c r="H30" s="26">
        <f t="shared" ref="H30:M30" si="7">H29/H20</f>
        <v>0.1749273126972308</v>
      </c>
      <c r="I30" s="26">
        <f t="shared" si="7"/>
        <v>0.14835063077600116</v>
      </c>
      <c r="J30" s="26">
        <f t="shared" si="7"/>
        <v>0.33820693613079239</v>
      </c>
      <c r="K30" s="26">
        <f t="shared" si="7"/>
        <v>0.7199562642519749</v>
      </c>
      <c r="L30" s="26">
        <f t="shared" si="7"/>
        <v>0.7199562642519749</v>
      </c>
      <c r="M30" s="82">
        <f t="shared" si="7"/>
        <v>0.41442864431889215</v>
      </c>
      <c r="N30" s="55"/>
      <c r="O30" s="55"/>
      <c r="P30" s="55"/>
      <c r="Q30" s="55"/>
      <c r="R30" s="55"/>
      <c r="S30" s="55"/>
      <c r="T30" s="54"/>
    </row>
    <row r="31" spans="2:20" x14ac:dyDescent="0.25">
      <c r="M31" s="76"/>
      <c r="N31" s="50"/>
      <c r="O31" s="50"/>
      <c r="P31" s="50"/>
      <c r="Q31" s="50"/>
      <c r="R31" s="50"/>
      <c r="S31" s="50"/>
      <c r="T31" s="50"/>
    </row>
    <row r="32" spans="2:20" x14ac:dyDescent="0.25">
      <c r="B32" s="17" t="s">
        <v>21</v>
      </c>
      <c r="C32" s="17"/>
      <c r="D32" s="17"/>
      <c r="E32" s="17"/>
      <c r="F32" s="17"/>
      <c r="G32" s="17"/>
      <c r="H32" s="18">
        <f>H55</f>
        <v>96182623.799999997</v>
      </c>
      <c r="I32" s="18">
        <f>I55</f>
        <v>96182623.799999997</v>
      </c>
      <c r="J32" s="18">
        <f>J55</f>
        <v>96182623.799999997</v>
      </c>
      <c r="K32" s="18">
        <f>K55</f>
        <v>96182623.799999997</v>
      </c>
      <c r="L32" s="18">
        <f>L55</f>
        <v>96182623.799999997</v>
      </c>
      <c r="M32" s="83">
        <f>SUM(H32:L32)</f>
        <v>480913119</v>
      </c>
      <c r="N32" s="48"/>
      <c r="O32" s="48"/>
      <c r="P32" s="48"/>
      <c r="Q32" s="48"/>
      <c r="R32" s="48"/>
      <c r="S32" s="48"/>
      <c r="T32" s="50"/>
    </row>
    <row r="33" spans="2:20" x14ac:dyDescent="0.25">
      <c r="B33" s="27" t="s">
        <v>22</v>
      </c>
      <c r="H33" s="28">
        <f>H29-H32</f>
        <v>22220776.200000003</v>
      </c>
      <c r="I33" s="28">
        <f>I29-I32</f>
        <v>902776.20000000298</v>
      </c>
      <c r="J33" s="28">
        <f t="shared" ref="J33:L33" si="8">J29-J32</f>
        <v>116442936.2</v>
      </c>
      <c r="K33" s="28">
        <f t="shared" si="8"/>
        <v>356442936.19999999</v>
      </c>
      <c r="L33" s="28">
        <f t="shared" si="8"/>
        <v>356442936.19999999</v>
      </c>
      <c r="M33" s="84">
        <f>M29-M32</f>
        <v>852452361</v>
      </c>
      <c r="N33" s="56"/>
      <c r="O33" s="56"/>
      <c r="P33" s="56"/>
      <c r="Q33" s="56"/>
      <c r="R33" s="56"/>
      <c r="S33" s="56"/>
      <c r="T33" s="50"/>
    </row>
    <row r="34" spans="2:20" x14ac:dyDescent="0.25">
      <c r="B34" s="27" t="s">
        <v>35</v>
      </c>
      <c r="H34" s="107">
        <f>PARAMETER!B$5</f>
        <v>24045655.950000003</v>
      </c>
      <c r="I34" s="107">
        <f>PARAMETER!C$5</f>
        <v>43282180.710000008</v>
      </c>
      <c r="J34" s="107">
        <f>PARAMETER!D$5</f>
        <v>33663918.329999998</v>
      </c>
      <c r="K34" s="107">
        <f>PARAMETER!E$5</f>
        <v>24045655.949999999</v>
      </c>
      <c r="L34" s="107">
        <f>PARAMETER!F$5</f>
        <v>14427393.569999997</v>
      </c>
      <c r="M34" s="102">
        <f>SUM(H34:L34)</f>
        <v>139464804.51000002</v>
      </c>
      <c r="N34" s="56"/>
      <c r="O34" s="56"/>
      <c r="P34" s="56"/>
      <c r="Q34" s="56"/>
      <c r="R34" s="56"/>
      <c r="S34" s="56"/>
      <c r="T34" s="50"/>
    </row>
    <row r="35" spans="2:20" x14ac:dyDescent="0.25">
      <c r="B35" s="27" t="s">
        <v>36</v>
      </c>
      <c r="H35" s="73">
        <f>H33-H34</f>
        <v>-1824879.75</v>
      </c>
      <c r="I35" s="73">
        <f>I33-I34</f>
        <v>-42379404.510000005</v>
      </c>
      <c r="J35" s="73">
        <f>J33-J34</f>
        <v>82779017.870000005</v>
      </c>
      <c r="K35" s="73">
        <f>K33-K34</f>
        <v>332397280.25</v>
      </c>
      <c r="L35" s="73">
        <f>L33-L34</f>
        <v>342015542.63</v>
      </c>
      <c r="M35" s="102">
        <f>SUM(H35:L35)</f>
        <v>712987556.49000001</v>
      </c>
      <c r="N35" s="56"/>
      <c r="O35" s="56"/>
      <c r="P35" s="56"/>
      <c r="Q35" s="56"/>
      <c r="R35" s="56"/>
      <c r="S35" s="56"/>
      <c r="T35" s="50"/>
    </row>
    <row r="36" spans="2:20" x14ac:dyDescent="0.25">
      <c r="B36" s="17" t="s">
        <v>23</v>
      </c>
      <c r="C36" s="17"/>
      <c r="D36" s="17"/>
      <c r="E36" s="17"/>
      <c r="F36" s="17"/>
      <c r="G36" s="17"/>
      <c r="H36" s="71">
        <f>IF(H35&lt;0,0,H35*$G$4)</f>
        <v>0</v>
      </c>
      <c r="I36" s="71">
        <f t="shared" ref="I36:L36" si="9">IF(I35&lt;0,0,I35*$G$4)</f>
        <v>0</v>
      </c>
      <c r="J36" s="71">
        <f t="shared" si="9"/>
        <v>1655580.3574000001</v>
      </c>
      <c r="K36" s="71">
        <f t="shared" si="9"/>
        <v>6647945.6050000004</v>
      </c>
      <c r="L36" s="71">
        <f t="shared" si="9"/>
        <v>6840310.8525999999</v>
      </c>
      <c r="M36" s="85">
        <f>SUM(H36:L36)</f>
        <v>15143836.815000001</v>
      </c>
      <c r="N36" s="58"/>
      <c r="O36" s="58"/>
      <c r="P36" s="58"/>
      <c r="Q36" s="58"/>
      <c r="R36" s="58"/>
      <c r="S36" s="57"/>
      <c r="T36" s="50"/>
    </row>
    <row r="37" spans="2:20" ht="16.5" thickBot="1" x14ac:dyDescent="0.3">
      <c r="B37" s="31" t="s">
        <v>61</v>
      </c>
      <c r="C37" s="31"/>
      <c r="D37" s="31"/>
      <c r="E37" s="31"/>
      <c r="F37" s="31"/>
      <c r="G37" s="31"/>
      <c r="H37" s="32">
        <f>H35-H36</f>
        <v>-1824879.75</v>
      </c>
      <c r="I37" s="32">
        <f>I35-I36</f>
        <v>-42379404.510000005</v>
      </c>
      <c r="J37" s="32">
        <f t="shared" ref="J37:L37" si="10">J35-J36</f>
        <v>81123437.512600005</v>
      </c>
      <c r="K37" s="32">
        <f t="shared" si="10"/>
        <v>325749334.64499998</v>
      </c>
      <c r="L37" s="32">
        <f t="shared" si="10"/>
        <v>335175231.77740002</v>
      </c>
      <c r="M37" s="86">
        <f>M33-M36</f>
        <v>837308524.18499994</v>
      </c>
      <c r="N37" s="56"/>
      <c r="O37" s="56"/>
      <c r="P37" s="56"/>
      <c r="Q37" s="56"/>
      <c r="R37" s="56"/>
      <c r="S37" s="56"/>
      <c r="T37" s="50"/>
    </row>
    <row r="38" spans="2:20" x14ac:dyDescent="0.25">
      <c r="M38" s="76"/>
      <c r="N38" s="50"/>
      <c r="O38" s="50"/>
      <c r="P38" s="50"/>
      <c r="Q38" s="50"/>
      <c r="R38" s="50"/>
      <c r="S38" s="50"/>
      <c r="T38" s="50"/>
    </row>
    <row r="39" spans="2:20" x14ac:dyDescent="0.25">
      <c r="B39" s="17" t="s">
        <v>24</v>
      </c>
      <c r="C39" s="17"/>
      <c r="D39" s="17"/>
      <c r="E39" s="17"/>
      <c r="F39" s="17"/>
      <c r="G39" s="33">
        <f t="shared" ref="G39:L39" si="11">-H11</f>
        <v>-480913119</v>
      </c>
      <c r="H39" s="33">
        <f t="shared" si="11"/>
        <v>0</v>
      </c>
      <c r="I39" s="33">
        <f t="shared" si="11"/>
        <v>0</v>
      </c>
      <c r="J39" s="33">
        <f t="shared" si="11"/>
        <v>0</v>
      </c>
      <c r="K39" s="33">
        <f t="shared" si="11"/>
        <v>0</v>
      </c>
      <c r="L39" s="33">
        <f t="shared" si="11"/>
        <v>0</v>
      </c>
      <c r="M39" s="174">
        <f>SUM(G39:L39)</f>
        <v>-480913119</v>
      </c>
      <c r="N39" s="57"/>
      <c r="O39" s="57"/>
      <c r="P39" s="57"/>
      <c r="Q39" s="57"/>
      <c r="R39" s="57"/>
      <c r="S39" s="57"/>
      <c r="T39" s="50"/>
    </row>
    <row r="40" spans="2:20" x14ac:dyDescent="0.25">
      <c r="B40" t="s">
        <v>25</v>
      </c>
      <c r="G40" s="30">
        <f>G39</f>
        <v>-480913119</v>
      </c>
      <c r="H40" s="30">
        <f>H39+H37+H32</f>
        <v>94357744.049999997</v>
      </c>
      <c r="I40" s="30">
        <f>I39+I37+I32</f>
        <v>53803219.289999992</v>
      </c>
      <c r="J40" s="30">
        <f>J39+J37+J32</f>
        <v>177306061.31260002</v>
      </c>
      <c r="K40" s="30">
        <f>K39+K37+K32</f>
        <v>421931958.44499999</v>
      </c>
      <c r="L40" s="30">
        <f>L39+L37+L32</f>
        <v>431357855.57740003</v>
      </c>
      <c r="M40" s="88">
        <f>SUM(G40:L40)</f>
        <v>697843719.67500007</v>
      </c>
      <c r="N40" s="57"/>
      <c r="O40" s="57"/>
      <c r="P40" s="57"/>
      <c r="Q40" s="57"/>
      <c r="R40" s="57"/>
      <c r="S40" s="57"/>
      <c r="T40" s="50"/>
    </row>
    <row r="41" spans="2:20" x14ac:dyDescent="0.25">
      <c r="B41" t="s">
        <v>26</v>
      </c>
      <c r="G41" s="30">
        <f>G40</f>
        <v>-480913119</v>
      </c>
      <c r="H41" s="30">
        <f>G41+H40</f>
        <v>-386555374.94999999</v>
      </c>
      <c r="I41" s="30">
        <f>H41+I40</f>
        <v>-332752155.65999997</v>
      </c>
      <c r="J41" s="30">
        <f t="shared" ref="J41:L41" si="12">I41+J40</f>
        <v>-155446094.34739995</v>
      </c>
      <c r="K41" s="30">
        <f t="shared" si="12"/>
        <v>266485864.09760004</v>
      </c>
      <c r="L41" s="30">
        <f t="shared" si="12"/>
        <v>697843719.67500007</v>
      </c>
      <c r="M41" s="88"/>
      <c r="N41" s="57"/>
      <c r="O41" s="57"/>
      <c r="P41" s="57"/>
      <c r="Q41" s="57"/>
      <c r="R41" s="57"/>
      <c r="S41" s="57"/>
      <c r="T41" s="50"/>
    </row>
    <row r="42" spans="2:20" x14ac:dyDescent="0.25">
      <c r="B42" t="s">
        <v>27</v>
      </c>
      <c r="G42" s="30"/>
      <c r="H42" s="34">
        <f>IF(AND(G41&lt;0,H41&gt;0),H48-(H41/H40),0)</f>
        <v>0</v>
      </c>
      <c r="I42" s="100">
        <f>IF(AND(H41&lt;0,I41&gt;0),I48-(I41/I40),0)</f>
        <v>0</v>
      </c>
      <c r="J42" s="34">
        <f>IF(AND(I41&lt;0,J41&gt;0),J48-(J41/J40),0)</f>
        <v>0</v>
      </c>
      <c r="K42" s="34">
        <f>IF(AND(J41&lt;0,K41&gt;0),K48-(K41/K40),0)</f>
        <v>3.3684150755498243</v>
      </c>
      <c r="L42" s="100">
        <f>IF(AND(K41&lt;0,L41&gt;0),L48-(L41/L40),0)</f>
        <v>0</v>
      </c>
      <c r="M42" s="89"/>
      <c r="N42" s="34"/>
      <c r="O42" s="34"/>
      <c r="P42" s="34"/>
      <c r="Q42" s="34"/>
      <c r="R42" s="34"/>
      <c r="S42" s="34"/>
    </row>
    <row r="43" spans="2:20" s="108" customFormat="1" x14ac:dyDescent="0.25">
      <c r="G43" s="109"/>
      <c r="H43" s="110"/>
      <c r="I43" s="110"/>
      <c r="J43" s="110"/>
      <c r="K43" s="110"/>
      <c r="L43" s="111"/>
      <c r="M43" s="112"/>
      <c r="N43" s="110"/>
      <c r="O43" s="110"/>
      <c r="P43" s="110"/>
      <c r="Q43" s="110"/>
      <c r="R43" s="110"/>
      <c r="S43" s="110"/>
    </row>
    <row r="44" spans="2:20" x14ac:dyDescent="0.25">
      <c r="B44" s="60" t="s">
        <v>28</v>
      </c>
      <c r="C44" s="61"/>
      <c r="D44" s="61"/>
      <c r="E44" s="61"/>
      <c r="F44" s="61"/>
      <c r="G44" s="104">
        <f>IRR(G40:L40)</f>
        <v>0.27455849167279656</v>
      </c>
    </row>
    <row r="45" spans="2:20" x14ac:dyDescent="0.25">
      <c r="B45" s="62" t="s">
        <v>29</v>
      </c>
      <c r="C45" s="63"/>
      <c r="D45" s="63"/>
      <c r="E45" s="63"/>
      <c r="F45" s="63"/>
      <c r="G45" s="64">
        <f>NPV(G5,H40:L40)+G40</f>
        <v>338569282.22305393</v>
      </c>
      <c r="H45" s="72"/>
      <c r="I45" s="138"/>
      <c r="J45" s="115"/>
    </row>
    <row r="46" spans="2:20" x14ac:dyDescent="0.25">
      <c r="B46" s="62" t="s">
        <v>30</v>
      </c>
      <c r="C46" s="63"/>
      <c r="D46" s="63"/>
      <c r="E46" s="63"/>
      <c r="F46" s="63"/>
      <c r="G46" s="65">
        <f>M30</f>
        <v>0.41442864431889215</v>
      </c>
      <c r="H46" s="72"/>
      <c r="I46" s="72"/>
      <c r="J46" s="115"/>
    </row>
    <row r="47" spans="2:20" x14ac:dyDescent="0.25">
      <c r="B47" s="66" t="s">
        <v>31</v>
      </c>
      <c r="C47" s="67"/>
      <c r="D47" s="67"/>
      <c r="E47" s="67"/>
      <c r="F47" s="67"/>
      <c r="G47" s="68">
        <f>SUM(G42:L42)</f>
        <v>3.3684150755498243</v>
      </c>
    </row>
    <row r="48" spans="2:20" x14ac:dyDescent="0.25">
      <c r="H48" s="9">
        <v>1</v>
      </c>
      <c r="I48" s="36">
        <v>2</v>
      </c>
      <c r="J48" s="9">
        <v>3</v>
      </c>
      <c r="K48" s="36">
        <v>4</v>
      </c>
      <c r="L48" s="9">
        <v>5</v>
      </c>
      <c r="M48" s="36"/>
      <c r="N48" s="9"/>
      <c r="O48" s="36"/>
      <c r="P48" s="9"/>
      <c r="Q48" s="36"/>
      <c r="R48" s="9"/>
    </row>
    <row r="49" spans="2:22" x14ac:dyDescent="0.25">
      <c r="B49" s="37" t="s">
        <v>32</v>
      </c>
      <c r="E49" s="38" t="s">
        <v>33</v>
      </c>
      <c r="H49" s="38" t="str">
        <f>H13</f>
        <v>Year 1</v>
      </c>
      <c r="I49" s="38" t="str">
        <f>I13</f>
        <v>Year 2</v>
      </c>
      <c r="J49" s="38" t="str">
        <f>J13</f>
        <v>Year 3</v>
      </c>
      <c r="K49" s="38" t="str">
        <f>K13</f>
        <v>Year 4</v>
      </c>
      <c r="L49" s="38" t="str">
        <f>L13</f>
        <v>Year 5</v>
      </c>
      <c r="M49" s="38"/>
      <c r="N49" s="38"/>
      <c r="O49" s="38"/>
      <c r="P49" s="38"/>
      <c r="Q49" s="38"/>
      <c r="R49" s="38"/>
      <c r="S49" s="38"/>
    </row>
    <row r="50" spans="2:22" x14ac:dyDescent="0.25">
      <c r="D50" t="s">
        <v>7</v>
      </c>
      <c r="E50">
        <v>5</v>
      </c>
      <c r="H50" s="74">
        <f>H$11/$E50</f>
        <v>96182623.799999997</v>
      </c>
      <c r="I50" s="39">
        <f>H50</f>
        <v>96182623.799999997</v>
      </c>
      <c r="J50" s="39">
        <f t="shared" ref="J50:L50" si="13">I50</f>
        <v>96182623.799999997</v>
      </c>
      <c r="K50" s="39">
        <f t="shared" si="13"/>
        <v>96182623.799999997</v>
      </c>
      <c r="L50" s="39">
        <f t="shared" si="13"/>
        <v>96182623.799999997</v>
      </c>
      <c r="M50" s="39"/>
      <c r="N50" s="39"/>
      <c r="O50" s="39"/>
      <c r="P50" s="39"/>
      <c r="Q50" s="39"/>
      <c r="R50" s="39"/>
      <c r="S50" s="40"/>
    </row>
    <row r="51" spans="2:22" x14ac:dyDescent="0.25">
      <c r="D51" t="s">
        <v>8</v>
      </c>
      <c r="E51">
        <v>4</v>
      </c>
      <c r="I51" s="74">
        <f>I$11/$E51</f>
        <v>0</v>
      </c>
      <c r="J51" s="39">
        <f>I51</f>
        <v>0</v>
      </c>
      <c r="K51" s="39">
        <f t="shared" ref="K51:L51" si="14">J51</f>
        <v>0</v>
      </c>
      <c r="L51" s="39">
        <f t="shared" si="14"/>
        <v>0</v>
      </c>
      <c r="M51" s="39"/>
      <c r="N51" s="39"/>
      <c r="O51" s="39"/>
      <c r="P51" s="39"/>
      <c r="Q51" s="39"/>
      <c r="R51" s="39"/>
      <c r="S51" s="40"/>
    </row>
    <row r="52" spans="2:22" x14ac:dyDescent="0.25">
      <c r="D52" t="s">
        <v>9</v>
      </c>
      <c r="E52">
        <v>3</v>
      </c>
      <c r="J52" s="74">
        <f>J$11/$E52</f>
        <v>0</v>
      </c>
      <c r="K52" s="39">
        <f>J52</f>
        <v>0</v>
      </c>
      <c r="L52" s="39">
        <f t="shared" ref="L52" si="15">K52</f>
        <v>0</v>
      </c>
      <c r="M52" s="39"/>
      <c r="N52" s="39"/>
      <c r="O52" s="39"/>
      <c r="P52" s="39"/>
      <c r="Q52" s="39"/>
      <c r="R52" s="39"/>
      <c r="S52" s="40"/>
    </row>
    <row r="53" spans="2:22" x14ac:dyDescent="0.25">
      <c r="D53" t="s">
        <v>10</v>
      </c>
      <c r="E53">
        <v>2</v>
      </c>
      <c r="K53" s="74">
        <f>K$11/$E53</f>
        <v>0</v>
      </c>
      <c r="L53" s="39">
        <f>K53</f>
        <v>0</v>
      </c>
      <c r="M53" s="39"/>
      <c r="N53" s="39"/>
      <c r="O53" s="39"/>
      <c r="P53" s="39"/>
      <c r="Q53" s="39"/>
      <c r="R53" s="39"/>
      <c r="S53" s="40"/>
    </row>
    <row r="54" spans="2:22" x14ac:dyDescent="0.25">
      <c r="D54" t="s">
        <v>11</v>
      </c>
      <c r="E54">
        <v>1</v>
      </c>
      <c r="L54" s="74">
        <f>L$11/$E54</f>
        <v>0</v>
      </c>
      <c r="M54" s="39"/>
      <c r="N54" s="39"/>
      <c r="O54" s="39"/>
      <c r="P54" s="39"/>
      <c r="Q54" s="39"/>
      <c r="R54" s="39"/>
      <c r="S54" s="40"/>
    </row>
    <row r="55" spans="2:22" ht="16.5" thickBot="1" x14ac:dyDescent="0.3">
      <c r="B55" s="41" t="s">
        <v>34</v>
      </c>
      <c r="C55" s="42"/>
      <c r="D55" s="42"/>
      <c r="E55" s="42"/>
      <c r="F55" s="42"/>
      <c r="G55" s="42"/>
      <c r="H55" s="43">
        <f>SUM(H50:H54)</f>
        <v>96182623.799999997</v>
      </c>
      <c r="I55" s="43">
        <f t="shared" ref="I55:L55" si="16">SUM(I50:I54)</f>
        <v>96182623.799999997</v>
      </c>
      <c r="J55" s="43">
        <f t="shared" si="16"/>
        <v>96182623.799999997</v>
      </c>
      <c r="K55" s="43">
        <f t="shared" si="16"/>
        <v>96182623.799999997</v>
      </c>
      <c r="L55" s="43">
        <f t="shared" si="16"/>
        <v>96182623.799999997</v>
      </c>
      <c r="M55" s="47"/>
      <c r="N55" s="47"/>
      <c r="O55" s="47"/>
      <c r="P55" s="47"/>
      <c r="Q55" s="47"/>
      <c r="R55" s="47"/>
      <c r="S55" s="47"/>
      <c r="T55" s="44"/>
      <c r="U55" s="44"/>
      <c r="V55" s="44"/>
    </row>
    <row r="56" spans="2:22" ht="16.5" thickTop="1" x14ac:dyDescent="0.25">
      <c r="S56" s="15"/>
    </row>
    <row r="58" spans="2:22" x14ac:dyDescent="0.25">
      <c r="G58" t="s">
        <v>62</v>
      </c>
    </row>
    <row r="67" spans="4:12" x14ac:dyDescent="0.25">
      <c r="H67" s="72"/>
      <c r="I67" s="15"/>
    </row>
    <row r="68" spans="4:12" x14ac:dyDescent="0.25">
      <c r="D68" t="s">
        <v>62</v>
      </c>
    </row>
    <row r="69" spans="4:12" x14ac:dyDescent="0.25">
      <c r="H69" s="14"/>
    </row>
    <row r="70" spans="4:12" x14ac:dyDescent="0.25">
      <c r="H70" s="14"/>
      <c r="I70" s="15"/>
      <c r="J70" s="15"/>
      <c r="K70" s="15"/>
      <c r="L70" s="15"/>
    </row>
    <row r="71" spans="4:12" x14ac:dyDescent="0.25">
      <c r="G71" s="108"/>
      <c r="H71" s="113"/>
      <c r="I71" s="114"/>
      <c r="J71" s="114"/>
      <c r="K71" s="114"/>
      <c r="L71" s="114"/>
    </row>
    <row r="74" spans="4:12" x14ac:dyDescent="0.25">
      <c r="H74" s="14"/>
    </row>
    <row r="76" spans="4:12" x14ac:dyDescent="0.25">
      <c r="H76" s="72"/>
      <c r="I76" s="72"/>
      <c r="J76" s="72"/>
      <c r="K76" s="72"/>
      <c r="L76" s="72"/>
    </row>
  </sheetData>
  <mergeCells count="1">
    <mergeCell ref="E20:G20"/>
  </mergeCells>
  <printOptions horizontalCentered="1" verticalCentered="1"/>
  <pageMargins left="0.7" right="0.7" top="0.75" bottom="0.75" header="0.3" footer="0.3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"/>
  <sheetViews>
    <sheetView workbookViewId="0">
      <selection activeCell="E3" sqref="E3"/>
    </sheetView>
  </sheetViews>
  <sheetFormatPr defaultColWidth="37.375" defaultRowHeight="15.75" x14ac:dyDescent="0.25"/>
  <cols>
    <col min="1" max="1" width="26" bestFit="1" customWidth="1"/>
    <col min="2" max="2" width="17.125" bestFit="1" customWidth="1"/>
    <col min="3" max="3" width="2.375" bestFit="1" customWidth="1"/>
    <col min="4" max="4" width="15.25" bestFit="1" customWidth="1"/>
  </cols>
  <sheetData>
    <row r="2" spans="1:4" ht="30.75" thickBot="1" x14ac:dyDescent="0.35">
      <c r="A2" s="132" t="s">
        <v>109</v>
      </c>
      <c r="B2" s="133">
        <v>792000000</v>
      </c>
      <c r="C2" s="134">
        <v>3</v>
      </c>
      <c r="D2" s="135">
        <f>B2/C2</f>
        <v>264000000</v>
      </c>
    </row>
    <row r="3" spans="1:4" ht="30.75" thickBot="1" x14ac:dyDescent="0.35">
      <c r="A3" s="132" t="s">
        <v>110</v>
      </c>
      <c r="B3" s="133">
        <v>1405815000</v>
      </c>
      <c r="C3" s="134">
        <v>5</v>
      </c>
      <c r="D3" s="135">
        <f t="shared" ref="D3:D4" si="0">B3/C3</f>
        <v>281163000</v>
      </c>
    </row>
    <row r="4" spans="1:4" ht="30.75" thickBot="1" x14ac:dyDescent="0.35">
      <c r="A4" s="136" t="s">
        <v>111</v>
      </c>
      <c r="B4" s="133">
        <v>1287360000</v>
      </c>
      <c r="C4" s="134">
        <v>5</v>
      </c>
      <c r="D4" s="135">
        <f t="shared" si="0"/>
        <v>257472000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3"/>
  <sheetViews>
    <sheetView workbookViewId="0">
      <selection activeCell="B2" sqref="B2"/>
    </sheetView>
  </sheetViews>
  <sheetFormatPr defaultRowHeight="15.75" x14ac:dyDescent="0.25"/>
  <cols>
    <col min="1" max="1" width="13.5" bestFit="1" customWidth="1"/>
    <col min="2" max="2" width="15.875" bestFit="1" customWidth="1"/>
    <col min="3" max="4" width="13.625" bestFit="1" customWidth="1"/>
    <col min="5" max="9" width="12.125" bestFit="1" customWidth="1"/>
    <col min="10" max="11" width="13.625" bestFit="1" customWidth="1"/>
  </cols>
  <sheetData>
    <row r="1" spans="1:11" x14ac:dyDescent="0.25"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</row>
    <row r="2" spans="1:11" x14ac:dyDescent="0.25">
      <c r="A2" t="s">
        <v>64</v>
      </c>
      <c r="B2" s="115">
        <f>IRR!$H$11+IRR!$I$11</f>
        <v>480913119</v>
      </c>
      <c r="C2" s="15">
        <f>B2-$B$4</f>
        <v>384730495.19999999</v>
      </c>
      <c r="D2" s="15">
        <f t="shared" ref="D2:F2" si="0">C2-$B$4</f>
        <v>288547871.39999998</v>
      </c>
      <c r="E2" s="15">
        <f t="shared" si="0"/>
        <v>192365247.59999996</v>
      </c>
      <c r="F2" s="15">
        <f t="shared" si="0"/>
        <v>96182623.799999967</v>
      </c>
      <c r="G2" s="15">
        <f>F2-$B$4</f>
        <v>0</v>
      </c>
      <c r="H2" s="15">
        <f>$G$2-$B$4</f>
        <v>-96182623.799999997</v>
      </c>
      <c r="I2" s="15">
        <f>$H$2-$B$4</f>
        <v>-192365247.59999999</v>
      </c>
      <c r="J2" s="15">
        <f>$I$2-$B$4</f>
        <v>-288547871.39999998</v>
      </c>
      <c r="K2" s="15">
        <f>$J$2-$B$4</f>
        <v>-384730495.19999999</v>
      </c>
    </row>
    <row r="3" spans="1:11" x14ac:dyDescent="0.25">
      <c r="A3" t="s">
        <v>65</v>
      </c>
      <c r="B3" s="115">
        <v>5</v>
      </c>
    </row>
    <row r="4" spans="1:11" x14ac:dyDescent="0.25">
      <c r="A4" t="s">
        <v>66</v>
      </c>
      <c r="B4" s="115">
        <f>$B$2/$B$3</f>
        <v>96182623.799999997</v>
      </c>
    </row>
    <row r="5" spans="1:11" x14ac:dyDescent="0.25">
      <c r="A5" t="s">
        <v>68</v>
      </c>
      <c r="B5" s="115">
        <f>(($B$2*IRR!$G$5)*6)/12</f>
        <v>24045655.950000003</v>
      </c>
      <c r="C5" s="15">
        <f>AVERAGE($B$2:$C$2)*IRR!$G$5</f>
        <v>43282180.710000008</v>
      </c>
      <c r="D5" s="15">
        <f>AVERAGE($C$2:$D$2)*IRR!$G$5</f>
        <v>33663918.329999998</v>
      </c>
      <c r="E5" s="15">
        <f>AVERAGE($D$2:$E$2)*IRR!$G$5</f>
        <v>24045655.949999999</v>
      </c>
      <c r="F5" s="15">
        <f>AVERAGE($E$2:$F$2)*IRR!$G$5</f>
        <v>14427393.569999997</v>
      </c>
      <c r="G5" s="15">
        <f>AVERAGE($F$2:$G$2)*IRR!$G$5</f>
        <v>4809131.1899999985</v>
      </c>
      <c r="H5" s="15">
        <f>AVERAGE($G$2:$H$2)*IRR!$G$5</f>
        <v>-4809131.1900000004</v>
      </c>
      <c r="I5" s="15">
        <f>AVERAGE($H$2:$I$2)*IRR!$G$5</f>
        <v>-14427393.57</v>
      </c>
      <c r="J5" s="15">
        <f>AVERAGE($I$2:$J$2)*IRR!$G$5</f>
        <v>-24045655.950000003</v>
      </c>
      <c r="K5" s="15">
        <f>AVERAGE($J$2:$K$2)*IRR!$G$5</f>
        <v>-33663918.329999998</v>
      </c>
    </row>
    <row r="9" spans="1:11" x14ac:dyDescent="0.25">
      <c r="F9" s="162" t="s">
        <v>125</v>
      </c>
      <c r="G9" s="162" t="s">
        <v>126</v>
      </c>
      <c r="H9" s="162" t="s">
        <v>127</v>
      </c>
      <c r="I9" s="163" t="s">
        <v>128</v>
      </c>
      <c r="J9" s="291" t="s">
        <v>129</v>
      </c>
      <c r="K9" s="291" t="s">
        <v>130</v>
      </c>
    </row>
    <row r="10" spans="1:11" x14ac:dyDescent="0.25">
      <c r="E10" s="164" t="s">
        <v>131</v>
      </c>
      <c r="F10" s="165">
        <v>1</v>
      </c>
      <c r="G10" s="166">
        <v>1</v>
      </c>
      <c r="H10" s="166">
        <v>1</v>
      </c>
      <c r="I10" s="167">
        <f>Summary!H9</f>
        <v>149</v>
      </c>
      <c r="J10" s="291"/>
      <c r="K10" s="291"/>
    </row>
    <row r="11" spans="1:11" x14ac:dyDescent="0.25">
      <c r="B11" s="292" t="s">
        <v>132</v>
      </c>
      <c r="C11" s="168" t="s">
        <v>133</v>
      </c>
      <c r="D11" s="169">
        <f>C22</f>
        <v>3000000</v>
      </c>
      <c r="E11" s="168" t="s">
        <v>125</v>
      </c>
      <c r="F11" s="162">
        <f>F10</f>
        <v>1</v>
      </c>
      <c r="G11" s="162"/>
      <c r="H11" s="162"/>
      <c r="I11" s="163"/>
      <c r="J11" s="170">
        <f>F11*D11</f>
        <v>3000000</v>
      </c>
    </row>
    <row r="12" spans="1:11" x14ac:dyDescent="0.25">
      <c r="B12" s="293"/>
      <c r="C12" s="168" t="s">
        <v>134</v>
      </c>
      <c r="D12" s="171">
        <v>600000</v>
      </c>
      <c r="E12" s="168" t="s">
        <v>125</v>
      </c>
      <c r="F12" s="162">
        <f>F10</f>
        <v>1</v>
      </c>
      <c r="G12" s="162"/>
      <c r="H12" s="162"/>
      <c r="I12" s="163">
        <f>IF($I$10&lt;=120,2,IF($I$10&gt;220,4,3))</f>
        <v>3</v>
      </c>
      <c r="J12" s="171">
        <f>D12*F12</f>
        <v>600000</v>
      </c>
    </row>
    <row r="13" spans="1:11" x14ac:dyDescent="0.25">
      <c r="B13" s="294"/>
      <c r="C13" s="168" t="s">
        <v>132</v>
      </c>
      <c r="D13" s="171">
        <v>200000</v>
      </c>
      <c r="E13" s="168" t="s">
        <v>135</v>
      </c>
      <c r="F13" s="162"/>
      <c r="G13" s="162">
        <f>G10</f>
        <v>1</v>
      </c>
      <c r="H13" s="162"/>
      <c r="I13" s="163"/>
      <c r="J13" s="171">
        <f>G13*D13</f>
        <v>200000</v>
      </c>
    </row>
    <row r="14" spans="1:11" x14ac:dyDescent="0.25">
      <c r="B14" s="168" t="s">
        <v>136</v>
      </c>
      <c r="C14" s="168" t="s">
        <v>136</v>
      </c>
      <c r="D14" s="171">
        <v>450000</v>
      </c>
      <c r="E14" s="168" t="s">
        <v>127</v>
      </c>
      <c r="F14" s="162">
        <f>F10</f>
        <v>1</v>
      </c>
      <c r="G14" s="162"/>
      <c r="H14" s="162">
        <f>H10</f>
        <v>1</v>
      </c>
      <c r="I14" s="163">
        <f t="shared" ref="I14:I15" si="1">IF($I$10&lt;=120,2,IF($I$10&gt;220,4,3))</f>
        <v>3</v>
      </c>
      <c r="J14" s="171">
        <f>H14*D14*I14</f>
        <v>1350000</v>
      </c>
    </row>
    <row r="15" spans="1:11" x14ac:dyDescent="0.25">
      <c r="B15" s="168" t="s">
        <v>137</v>
      </c>
      <c r="C15" s="168" t="s">
        <v>137</v>
      </c>
      <c r="D15" s="171">
        <v>120000</v>
      </c>
      <c r="E15" s="168" t="s">
        <v>125</v>
      </c>
      <c r="F15" s="162">
        <f>F10</f>
        <v>1</v>
      </c>
      <c r="G15" s="162"/>
      <c r="H15" s="162"/>
      <c r="I15" s="163">
        <f t="shared" si="1"/>
        <v>3</v>
      </c>
      <c r="J15" s="171">
        <f>I15*D15*F15</f>
        <v>360000</v>
      </c>
    </row>
    <row r="16" spans="1:11" x14ac:dyDescent="0.25">
      <c r="J16" s="172">
        <f>SUM(J11:J15)</f>
        <v>5510000</v>
      </c>
      <c r="K16" s="173">
        <f>J16*4</f>
        <v>22040000</v>
      </c>
    </row>
    <row r="19" spans="1:11" x14ac:dyDescent="0.25">
      <c r="K19" s="15"/>
    </row>
    <row r="20" spans="1:11" x14ac:dyDescent="0.25">
      <c r="B20" s="162" t="s">
        <v>138</v>
      </c>
      <c r="C20" s="162" t="s">
        <v>133</v>
      </c>
      <c r="E20" s="168" t="s">
        <v>139</v>
      </c>
      <c r="K20" s="40"/>
    </row>
    <row r="21" spans="1:11" x14ac:dyDescent="0.25">
      <c r="A21" t="s">
        <v>140</v>
      </c>
      <c r="B21" s="115">
        <v>16800000</v>
      </c>
      <c r="C21" s="115">
        <v>4000000</v>
      </c>
      <c r="E21" t="s">
        <v>141</v>
      </c>
      <c r="K21" s="15"/>
    </row>
    <row r="22" spans="1:11" x14ac:dyDescent="0.25">
      <c r="A22" t="s">
        <v>142</v>
      </c>
      <c r="B22" s="115"/>
      <c r="C22" s="115">
        <v>3000000</v>
      </c>
      <c r="E22" t="s">
        <v>143</v>
      </c>
      <c r="I22" s="115">
        <v>10000000</v>
      </c>
    </row>
    <row r="23" spans="1:11" x14ac:dyDescent="0.25">
      <c r="A23" t="s">
        <v>144</v>
      </c>
      <c r="B23" s="115">
        <v>15600000</v>
      </c>
      <c r="C23" s="115">
        <v>2500000</v>
      </c>
      <c r="E23" t="s">
        <v>143</v>
      </c>
      <c r="H23" t="s">
        <v>145</v>
      </c>
      <c r="I23" s="115">
        <v>12000000</v>
      </c>
    </row>
    <row r="24" spans="1:11" x14ac:dyDescent="0.25">
      <c r="A24" t="s">
        <v>146</v>
      </c>
      <c r="B24" s="115">
        <v>15000000</v>
      </c>
      <c r="C24" s="115">
        <v>2000000</v>
      </c>
      <c r="E24" t="s">
        <v>143</v>
      </c>
      <c r="H24" t="s">
        <v>147</v>
      </c>
      <c r="I24" s="115">
        <v>14000000</v>
      </c>
    </row>
    <row r="25" spans="1:11" x14ac:dyDescent="0.25">
      <c r="A25" t="s">
        <v>148</v>
      </c>
      <c r="B25" s="115">
        <v>15000000</v>
      </c>
      <c r="C25" s="115">
        <v>1850000</v>
      </c>
      <c r="E25" t="s">
        <v>143</v>
      </c>
      <c r="H25" t="s">
        <v>149</v>
      </c>
      <c r="I25" s="115">
        <v>14000000</v>
      </c>
    </row>
    <row r="26" spans="1:11" x14ac:dyDescent="0.25">
      <c r="A26" t="s">
        <v>150</v>
      </c>
      <c r="B26" s="115">
        <v>12000000</v>
      </c>
      <c r="C26" s="115">
        <v>1200000</v>
      </c>
      <c r="E26" t="s">
        <v>143</v>
      </c>
      <c r="H26" t="s">
        <v>140</v>
      </c>
      <c r="I26" s="115">
        <v>17000000</v>
      </c>
    </row>
    <row r="27" spans="1:11" x14ac:dyDescent="0.25">
      <c r="A27" t="s">
        <v>151</v>
      </c>
      <c r="B27" s="115">
        <v>16800000</v>
      </c>
      <c r="C27" s="115">
        <v>2000000</v>
      </c>
      <c r="E27" t="s">
        <v>143</v>
      </c>
      <c r="H27" t="s">
        <v>151</v>
      </c>
      <c r="I27" s="115">
        <v>14000000</v>
      </c>
    </row>
    <row r="28" spans="1:11" x14ac:dyDescent="0.25">
      <c r="A28" t="s">
        <v>152</v>
      </c>
      <c r="B28" s="115">
        <v>15720000</v>
      </c>
      <c r="C28" s="115">
        <v>3500000</v>
      </c>
    </row>
    <row r="29" spans="1:11" x14ac:dyDescent="0.25">
      <c r="A29" t="s">
        <v>153</v>
      </c>
      <c r="C29" s="115">
        <v>2800000</v>
      </c>
    </row>
    <row r="30" spans="1:11" x14ac:dyDescent="0.25">
      <c r="A30" t="s">
        <v>154</v>
      </c>
      <c r="B30">
        <v>0</v>
      </c>
      <c r="C30" s="115">
        <v>0</v>
      </c>
      <c r="D30" t="s">
        <v>155</v>
      </c>
    </row>
    <row r="32" spans="1:11" x14ac:dyDescent="0.25">
      <c r="B32" s="162" t="s">
        <v>156</v>
      </c>
      <c r="C32" s="162"/>
    </row>
    <row r="33" spans="1:2" x14ac:dyDescent="0.25">
      <c r="B33" s="115">
        <v>7000000</v>
      </c>
    </row>
    <row r="35" spans="1:2" x14ac:dyDescent="0.25">
      <c r="A35" s="168" t="s">
        <v>157</v>
      </c>
      <c r="B35" s="15"/>
    </row>
    <row r="36" spans="1:2" x14ac:dyDescent="0.25">
      <c r="A36" t="s">
        <v>158</v>
      </c>
    </row>
    <row r="37" spans="1:2" x14ac:dyDescent="0.25">
      <c r="A37" t="s">
        <v>159</v>
      </c>
      <c r="B37" s="115">
        <v>36000000</v>
      </c>
    </row>
    <row r="38" spans="1:2" x14ac:dyDescent="0.25">
      <c r="A38" t="s">
        <v>160</v>
      </c>
      <c r="B38" s="115">
        <v>42000000</v>
      </c>
    </row>
    <row r="39" spans="1:2" x14ac:dyDescent="0.25">
      <c r="A39" t="s">
        <v>161</v>
      </c>
      <c r="B39" s="115">
        <v>48000000</v>
      </c>
    </row>
    <row r="41" spans="1:2" x14ac:dyDescent="0.25">
      <c r="A41" t="s">
        <v>162</v>
      </c>
    </row>
    <row r="42" spans="1:2" x14ac:dyDescent="0.25">
      <c r="A42" t="s">
        <v>163</v>
      </c>
      <c r="B42" s="115">
        <v>75000000</v>
      </c>
    </row>
    <row r="43" spans="1:2" x14ac:dyDescent="0.25">
      <c r="A43" t="s">
        <v>161</v>
      </c>
      <c r="B43" s="115">
        <v>95000000</v>
      </c>
    </row>
  </sheetData>
  <mergeCells count="3">
    <mergeCell ref="J9:J10"/>
    <mergeCell ref="K9:K10"/>
    <mergeCell ref="B11:B13"/>
  </mergeCells>
  <phoneticPr fontId="24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B1:J22"/>
  <sheetViews>
    <sheetView view="pageBreakPreview" zoomScale="69" zoomScaleNormal="70" zoomScaleSheetLayoutView="69" zoomScalePageLayoutView="80" workbookViewId="0">
      <pane ySplit="5" topLeftCell="A6" activePane="bottomLeft" state="frozen"/>
      <selection pane="bottomLeft" activeCell="I22" sqref="I22"/>
    </sheetView>
  </sheetViews>
  <sheetFormatPr defaultColWidth="0.75" defaultRowHeight="15.75" x14ac:dyDescent="0.25"/>
  <cols>
    <col min="1" max="1" width="0.75" style="202" customWidth="1"/>
    <col min="2" max="2" width="6.25" style="202" customWidth="1"/>
    <col min="3" max="3" width="92.375" style="267" customWidth="1"/>
    <col min="4" max="4" width="8" style="202" bestFit="1" customWidth="1"/>
    <col min="5" max="5" width="8.875" style="202" bestFit="1" customWidth="1"/>
    <col min="6" max="8" width="18.625" style="202" customWidth="1"/>
    <col min="9" max="9" width="22.125" style="207" customWidth="1"/>
    <col min="10" max="10" width="48.125" style="202" bestFit="1" customWidth="1"/>
    <col min="11" max="209" width="8.375" style="202" customWidth="1"/>
    <col min="210" max="257" width="0.75" style="202"/>
    <col min="258" max="258" width="6.25" style="202" customWidth="1"/>
    <col min="259" max="259" width="92.375" style="202" customWidth="1"/>
    <col min="260" max="260" width="8" style="202" bestFit="1" customWidth="1"/>
    <col min="261" max="261" width="8.875" style="202" bestFit="1" customWidth="1"/>
    <col min="262" max="264" width="18.625" style="202" customWidth="1"/>
    <col min="265" max="265" width="22.125" style="202" customWidth="1"/>
    <col min="266" max="266" width="48.125" style="202" bestFit="1" customWidth="1"/>
    <col min="267" max="465" width="8.375" style="202" customWidth="1"/>
    <col min="466" max="513" width="0.75" style="202"/>
    <col min="514" max="514" width="6.25" style="202" customWidth="1"/>
    <col min="515" max="515" width="92.375" style="202" customWidth="1"/>
    <col min="516" max="516" width="8" style="202" bestFit="1" customWidth="1"/>
    <col min="517" max="517" width="8.875" style="202" bestFit="1" customWidth="1"/>
    <col min="518" max="520" width="18.625" style="202" customWidth="1"/>
    <col min="521" max="521" width="22.125" style="202" customWidth="1"/>
    <col min="522" max="522" width="48.125" style="202" bestFit="1" customWidth="1"/>
    <col min="523" max="721" width="8.375" style="202" customWidth="1"/>
    <col min="722" max="769" width="0.75" style="202"/>
    <col min="770" max="770" width="6.25" style="202" customWidth="1"/>
    <col min="771" max="771" width="92.375" style="202" customWidth="1"/>
    <col min="772" max="772" width="8" style="202" bestFit="1" customWidth="1"/>
    <col min="773" max="773" width="8.875" style="202" bestFit="1" customWidth="1"/>
    <col min="774" max="776" width="18.625" style="202" customWidth="1"/>
    <col min="777" max="777" width="22.125" style="202" customWidth="1"/>
    <col min="778" max="778" width="48.125" style="202" bestFit="1" customWidth="1"/>
    <col min="779" max="977" width="8.375" style="202" customWidth="1"/>
    <col min="978" max="1025" width="0.75" style="202"/>
    <col min="1026" max="1026" width="6.25" style="202" customWidth="1"/>
    <col min="1027" max="1027" width="92.375" style="202" customWidth="1"/>
    <col min="1028" max="1028" width="8" style="202" bestFit="1" customWidth="1"/>
    <col min="1029" max="1029" width="8.875" style="202" bestFit="1" customWidth="1"/>
    <col min="1030" max="1032" width="18.625" style="202" customWidth="1"/>
    <col min="1033" max="1033" width="22.125" style="202" customWidth="1"/>
    <col min="1034" max="1034" width="48.125" style="202" bestFit="1" customWidth="1"/>
    <col min="1035" max="1233" width="8.375" style="202" customWidth="1"/>
    <col min="1234" max="1281" width="0.75" style="202"/>
    <col min="1282" max="1282" width="6.25" style="202" customWidth="1"/>
    <col min="1283" max="1283" width="92.375" style="202" customWidth="1"/>
    <col min="1284" max="1284" width="8" style="202" bestFit="1" customWidth="1"/>
    <col min="1285" max="1285" width="8.875" style="202" bestFit="1" customWidth="1"/>
    <col min="1286" max="1288" width="18.625" style="202" customWidth="1"/>
    <col min="1289" max="1289" width="22.125" style="202" customWidth="1"/>
    <col min="1290" max="1290" width="48.125" style="202" bestFit="1" customWidth="1"/>
    <col min="1291" max="1489" width="8.375" style="202" customWidth="1"/>
    <col min="1490" max="1537" width="0.75" style="202"/>
    <col min="1538" max="1538" width="6.25" style="202" customWidth="1"/>
    <col min="1539" max="1539" width="92.375" style="202" customWidth="1"/>
    <col min="1540" max="1540" width="8" style="202" bestFit="1" customWidth="1"/>
    <col min="1541" max="1541" width="8.875" style="202" bestFit="1" customWidth="1"/>
    <col min="1542" max="1544" width="18.625" style="202" customWidth="1"/>
    <col min="1545" max="1545" width="22.125" style="202" customWidth="1"/>
    <col min="1546" max="1546" width="48.125" style="202" bestFit="1" customWidth="1"/>
    <col min="1547" max="1745" width="8.375" style="202" customWidth="1"/>
    <col min="1746" max="1793" width="0.75" style="202"/>
    <col min="1794" max="1794" width="6.25" style="202" customWidth="1"/>
    <col min="1795" max="1795" width="92.375" style="202" customWidth="1"/>
    <col min="1796" max="1796" width="8" style="202" bestFit="1" customWidth="1"/>
    <col min="1797" max="1797" width="8.875" style="202" bestFit="1" customWidth="1"/>
    <col min="1798" max="1800" width="18.625" style="202" customWidth="1"/>
    <col min="1801" max="1801" width="22.125" style="202" customWidth="1"/>
    <col min="1802" max="1802" width="48.125" style="202" bestFit="1" customWidth="1"/>
    <col min="1803" max="2001" width="8.375" style="202" customWidth="1"/>
    <col min="2002" max="2049" width="0.75" style="202"/>
    <col min="2050" max="2050" width="6.25" style="202" customWidth="1"/>
    <col min="2051" max="2051" width="92.375" style="202" customWidth="1"/>
    <col min="2052" max="2052" width="8" style="202" bestFit="1" customWidth="1"/>
    <col min="2053" max="2053" width="8.875" style="202" bestFit="1" customWidth="1"/>
    <col min="2054" max="2056" width="18.625" style="202" customWidth="1"/>
    <col min="2057" max="2057" width="22.125" style="202" customWidth="1"/>
    <col min="2058" max="2058" width="48.125" style="202" bestFit="1" customWidth="1"/>
    <col min="2059" max="2257" width="8.375" style="202" customWidth="1"/>
    <col min="2258" max="2305" width="0.75" style="202"/>
    <col min="2306" max="2306" width="6.25" style="202" customWidth="1"/>
    <col min="2307" max="2307" width="92.375" style="202" customWidth="1"/>
    <col min="2308" max="2308" width="8" style="202" bestFit="1" customWidth="1"/>
    <col min="2309" max="2309" width="8.875" style="202" bestFit="1" customWidth="1"/>
    <col min="2310" max="2312" width="18.625" style="202" customWidth="1"/>
    <col min="2313" max="2313" width="22.125" style="202" customWidth="1"/>
    <col min="2314" max="2314" width="48.125" style="202" bestFit="1" customWidth="1"/>
    <col min="2315" max="2513" width="8.375" style="202" customWidth="1"/>
    <col min="2514" max="2561" width="0.75" style="202"/>
    <col min="2562" max="2562" width="6.25" style="202" customWidth="1"/>
    <col min="2563" max="2563" width="92.375" style="202" customWidth="1"/>
    <col min="2564" max="2564" width="8" style="202" bestFit="1" customWidth="1"/>
    <col min="2565" max="2565" width="8.875" style="202" bestFit="1" customWidth="1"/>
    <col min="2566" max="2568" width="18.625" style="202" customWidth="1"/>
    <col min="2569" max="2569" width="22.125" style="202" customWidth="1"/>
    <col min="2570" max="2570" width="48.125" style="202" bestFit="1" customWidth="1"/>
    <col min="2571" max="2769" width="8.375" style="202" customWidth="1"/>
    <col min="2770" max="2817" width="0.75" style="202"/>
    <col min="2818" max="2818" width="6.25" style="202" customWidth="1"/>
    <col min="2819" max="2819" width="92.375" style="202" customWidth="1"/>
    <col min="2820" max="2820" width="8" style="202" bestFit="1" customWidth="1"/>
    <col min="2821" max="2821" width="8.875" style="202" bestFit="1" customWidth="1"/>
    <col min="2822" max="2824" width="18.625" style="202" customWidth="1"/>
    <col min="2825" max="2825" width="22.125" style="202" customWidth="1"/>
    <col min="2826" max="2826" width="48.125" style="202" bestFit="1" customWidth="1"/>
    <col min="2827" max="3025" width="8.375" style="202" customWidth="1"/>
    <col min="3026" max="3073" width="0.75" style="202"/>
    <col min="3074" max="3074" width="6.25" style="202" customWidth="1"/>
    <col min="3075" max="3075" width="92.375" style="202" customWidth="1"/>
    <col min="3076" max="3076" width="8" style="202" bestFit="1" customWidth="1"/>
    <col min="3077" max="3077" width="8.875" style="202" bestFit="1" customWidth="1"/>
    <col min="3078" max="3080" width="18.625" style="202" customWidth="1"/>
    <col min="3081" max="3081" width="22.125" style="202" customWidth="1"/>
    <col min="3082" max="3082" width="48.125" style="202" bestFit="1" customWidth="1"/>
    <col min="3083" max="3281" width="8.375" style="202" customWidth="1"/>
    <col min="3282" max="3329" width="0.75" style="202"/>
    <col min="3330" max="3330" width="6.25" style="202" customWidth="1"/>
    <col min="3331" max="3331" width="92.375" style="202" customWidth="1"/>
    <col min="3332" max="3332" width="8" style="202" bestFit="1" customWidth="1"/>
    <col min="3333" max="3333" width="8.875" style="202" bestFit="1" customWidth="1"/>
    <col min="3334" max="3336" width="18.625" style="202" customWidth="1"/>
    <col min="3337" max="3337" width="22.125" style="202" customWidth="1"/>
    <col min="3338" max="3338" width="48.125" style="202" bestFit="1" customWidth="1"/>
    <col min="3339" max="3537" width="8.375" style="202" customWidth="1"/>
    <col min="3538" max="3585" width="0.75" style="202"/>
    <col min="3586" max="3586" width="6.25" style="202" customWidth="1"/>
    <col min="3587" max="3587" width="92.375" style="202" customWidth="1"/>
    <col min="3588" max="3588" width="8" style="202" bestFit="1" customWidth="1"/>
    <col min="3589" max="3589" width="8.875" style="202" bestFit="1" customWidth="1"/>
    <col min="3590" max="3592" width="18.625" style="202" customWidth="1"/>
    <col min="3593" max="3593" width="22.125" style="202" customWidth="1"/>
    <col min="3594" max="3594" width="48.125" style="202" bestFit="1" customWidth="1"/>
    <col min="3595" max="3793" width="8.375" style="202" customWidth="1"/>
    <col min="3794" max="3841" width="0.75" style="202"/>
    <col min="3842" max="3842" width="6.25" style="202" customWidth="1"/>
    <col min="3843" max="3843" width="92.375" style="202" customWidth="1"/>
    <col min="3844" max="3844" width="8" style="202" bestFit="1" customWidth="1"/>
    <col min="3845" max="3845" width="8.875" style="202" bestFit="1" customWidth="1"/>
    <col min="3846" max="3848" width="18.625" style="202" customWidth="1"/>
    <col min="3849" max="3849" width="22.125" style="202" customWidth="1"/>
    <col min="3850" max="3850" width="48.125" style="202" bestFit="1" customWidth="1"/>
    <col min="3851" max="4049" width="8.375" style="202" customWidth="1"/>
    <col min="4050" max="4097" width="0.75" style="202"/>
    <col min="4098" max="4098" width="6.25" style="202" customWidth="1"/>
    <col min="4099" max="4099" width="92.375" style="202" customWidth="1"/>
    <col min="4100" max="4100" width="8" style="202" bestFit="1" customWidth="1"/>
    <col min="4101" max="4101" width="8.875" style="202" bestFit="1" customWidth="1"/>
    <col min="4102" max="4104" width="18.625" style="202" customWidth="1"/>
    <col min="4105" max="4105" width="22.125" style="202" customWidth="1"/>
    <col min="4106" max="4106" width="48.125" style="202" bestFit="1" customWidth="1"/>
    <col min="4107" max="4305" width="8.375" style="202" customWidth="1"/>
    <col min="4306" max="4353" width="0.75" style="202"/>
    <col min="4354" max="4354" width="6.25" style="202" customWidth="1"/>
    <col min="4355" max="4355" width="92.375" style="202" customWidth="1"/>
    <col min="4356" max="4356" width="8" style="202" bestFit="1" customWidth="1"/>
    <col min="4357" max="4357" width="8.875" style="202" bestFit="1" customWidth="1"/>
    <col min="4358" max="4360" width="18.625" style="202" customWidth="1"/>
    <col min="4361" max="4361" width="22.125" style="202" customWidth="1"/>
    <col min="4362" max="4362" width="48.125" style="202" bestFit="1" customWidth="1"/>
    <col min="4363" max="4561" width="8.375" style="202" customWidth="1"/>
    <col min="4562" max="4609" width="0.75" style="202"/>
    <col min="4610" max="4610" width="6.25" style="202" customWidth="1"/>
    <col min="4611" max="4611" width="92.375" style="202" customWidth="1"/>
    <col min="4612" max="4612" width="8" style="202" bestFit="1" customWidth="1"/>
    <col min="4613" max="4613" width="8.875" style="202" bestFit="1" customWidth="1"/>
    <col min="4614" max="4616" width="18.625" style="202" customWidth="1"/>
    <col min="4617" max="4617" width="22.125" style="202" customWidth="1"/>
    <col min="4618" max="4618" width="48.125" style="202" bestFit="1" customWidth="1"/>
    <col min="4619" max="4817" width="8.375" style="202" customWidth="1"/>
    <col min="4818" max="4865" width="0.75" style="202"/>
    <col min="4866" max="4866" width="6.25" style="202" customWidth="1"/>
    <col min="4867" max="4867" width="92.375" style="202" customWidth="1"/>
    <col min="4868" max="4868" width="8" style="202" bestFit="1" customWidth="1"/>
    <col min="4869" max="4869" width="8.875" style="202" bestFit="1" customWidth="1"/>
    <col min="4870" max="4872" width="18.625" style="202" customWidth="1"/>
    <col min="4873" max="4873" width="22.125" style="202" customWidth="1"/>
    <col min="4874" max="4874" width="48.125" style="202" bestFit="1" customWidth="1"/>
    <col min="4875" max="5073" width="8.375" style="202" customWidth="1"/>
    <col min="5074" max="5121" width="0.75" style="202"/>
    <col min="5122" max="5122" width="6.25" style="202" customWidth="1"/>
    <col min="5123" max="5123" width="92.375" style="202" customWidth="1"/>
    <col min="5124" max="5124" width="8" style="202" bestFit="1" customWidth="1"/>
    <col min="5125" max="5125" width="8.875" style="202" bestFit="1" customWidth="1"/>
    <col min="5126" max="5128" width="18.625" style="202" customWidth="1"/>
    <col min="5129" max="5129" width="22.125" style="202" customWidth="1"/>
    <col min="5130" max="5130" width="48.125" style="202" bestFit="1" customWidth="1"/>
    <col min="5131" max="5329" width="8.375" style="202" customWidth="1"/>
    <col min="5330" max="5377" width="0.75" style="202"/>
    <col min="5378" max="5378" width="6.25" style="202" customWidth="1"/>
    <col min="5379" max="5379" width="92.375" style="202" customWidth="1"/>
    <col min="5380" max="5380" width="8" style="202" bestFit="1" customWidth="1"/>
    <col min="5381" max="5381" width="8.875" style="202" bestFit="1" customWidth="1"/>
    <col min="5382" max="5384" width="18.625" style="202" customWidth="1"/>
    <col min="5385" max="5385" width="22.125" style="202" customWidth="1"/>
    <col min="5386" max="5386" width="48.125" style="202" bestFit="1" customWidth="1"/>
    <col min="5387" max="5585" width="8.375" style="202" customWidth="1"/>
    <col min="5586" max="5633" width="0.75" style="202"/>
    <col min="5634" max="5634" width="6.25" style="202" customWidth="1"/>
    <col min="5635" max="5635" width="92.375" style="202" customWidth="1"/>
    <col min="5636" max="5636" width="8" style="202" bestFit="1" customWidth="1"/>
    <col min="5637" max="5637" width="8.875" style="202" bestFit="1" customWidth="1"/>
    <col min="5638" max="5640" width="18.625" style="202" customWidth="1"/>
    <col min="5641" max="5641" width="22.125" style="202" customWidth="1"/>
    <col min="5642" max="5642" width="48.125" style="202" bestFit="1" customWidth="1"/>
    <col min="5643" max="5841" width="8.375" style="202" customWidth="1"/>
    <col min="5842" max="5889" width="0.75" style="202"/>
    <col min="5890" max="5890" width="6.25" style="202" customWidth="1"/>
    <col min="5891" max="5891" width="92.375" style="202" customWidth="1"/>
    <col min="5892" max="5892" width="8" style="202" bestFit="1" customWidth="1"/>
    <col min="5893" max="5893" width="8.875" style="202" bestFit="1" customWidth="1"/>
    <col min="5894" max="5896" width="18.625" style="202" customWidth="1"/>
    <col min="5897" max="5897" width="22.125" style="202" customWidth="1"/>
    <col min="5898" max="5898" width="48.125" style="202" bestFit="1" customWidth="1"/>
    <col min="5899" max="6097" width="8.375" style="202" customWidth="1"/>
    <col min="6098" max="6145" width="0.75" style="202"/>
    <col min="6146" max="6146" width="6.25" style="202" customWidth="1"/>
    <col min="6147" max="6147" width="92.375" style="202" customWidth="1"/>
    <col min="6148" max="6148" width="8" style="202" bestFit="1" customWidth="1"/>
    <col min="6149" max="6149" width="8.875" style="202" bestFit="1" customWidth="1"/>
    <col min="6150" max="6152" width="18.625" style="202" customWidth="1"/>
    <col min="6153" max="6153" width="22.125" style="202" customWidth="1"/>
    <col min="6154" max="6154" width="48.125" style="202" bestFit="1" customWidth="1"/>
    <col min="6155" max="6353" width="8.375" style="202" customWidth="1"/>
    <col min="6354" max="6401" width="0.75" style="202"/>
    <col min="6402" max="6402" width="6.25" style="202" customWidth="1"/>
    <col min="6403" max="6403" width="92.375" style="202" customWidth="1"/>
    <col min="6404" max="6404" width="8" style="202" bestFit="1" customWidth="1"/>
    <col min="6405" max="6405" width="8.875" style="202" bestFit="1" customWidth="1"/>
    <col min="6406" max="6408" width="18.625" style="202" customWidth="1"/>
    <col min="6409" max="6409" width="22.125" style="202" customWidth="1"/>
    <col min="6410" max="6410" width="48.125" style="202" bestFit="1" customWidth="1"/>
    <col min="6411" max="6609" width="8.375" style="202" customWidth="1"/>
    <col min="6610" max="6657" width="0.75" style="202"/>
    <col min="6658" max="6658" width="6.25" style="202" customWidth="1"/>
    <col min="6659" max="6659" width="92.375" style="202" customWidth="1"/>
    <col min="6660" max="6660" width="8" style="202" bestFit="1" customWidth="1"/>
    <col min="6661" max="6661" width="8.875" style="202" bestFit="1" customWidth="1"/>
    <col min="6662" max="6664" width="18.625" style="202" customWidth="1"/>
    <col min="6665" max="6665" width="22.125" style="202" customWidth="1"/>
    <col min="6666" max="6666" width="48.125" style="202" bestFit="1" customWidth="1"/>
    <col min="6667" max="6865" width="8.375" style="202" customWidth="1"/>
    <col min="6866" max="6913" width="0.75" style="202"/>
    <col min="6914" max="6914" width="6.25" style="202" customWidth="1"/>
    <col min="6915" max="6915" width="92.375" style="202" customWidth="1"/>
    <col min="6916" max="6916" width="8" style="202" bestFit="1" customWidth="1"/>
    <col min="6917" max="6917" width="8.875" style="202" bestFit="1" customWidth="1"/>
    <col min="6918" max="6920" width="18.625" style="202" customWidth="1"/>
    <col min="6921" max="6921" width="22.125" style="202" customWidth="1"/>
    <col min="6922" max="6922" width="48.125" style="202" bestFit="1" customWidth="1"/>
    <col min="6923" max="7121" width="8.375" style="202" customWidth="1"/>
    <col min="7122" max="7169" width="0.75" style="202"/>
    <col min="7170" max="7170" width="6.25" style="202" customWidth="1"/>
    <col min="7171" max="7171" width="92.375" style="202" customWidth="1"/>
    <col min="7172" max="7172" width="8" style="202" bestFit="1" customWidth="1"/>
    <col min="7173" max="7173" width="8.875" style="202" bestFit="1" customWidth="1"/>
    <col min="7174" max="7176" width="18.625" style="202" customWidth="1"/>
    <col min="7177" max="7177" width="22.125" style="202" customWidth="1"/>
    <col min="7178" max="7178" width="48.125" style="202" bestFit="1" customWidth="1"/>
    <col min="7179" max="7377" width="8.375" style="202" customWidth="1"/>
    <col min="7378" max="7425" width="0.75" style="202"/>
    <col min="7426" max="7426" width="6.25" style="202" customWidth="1"/>
    <col min="7427" max="7427" width="92.375" style="202" customWidth="1"/>
    <col min="7428" max="7428" width="8" style="202" bestFit="1" customWidth="1"/>
    <col min="7429" max="7429" width="8.875" style="202" bestFit="1" customWidth="1"/>
    <col min="7430" max="7432" width="18.625" style="202" customWidth="1"/>
    <col min="7433" max="7433" width="22.125" style="202" customWidth="1"/>
    <col min="7434" max="7434" width="48.125" style="202" bestFit="1" customWidth="1"/>
    <col min="7435" max="7633" width="8.375" style="202" customWidth="1"/>
    <col min="7634" max="7681" width="0.75" style="202"/>
    <col min="7682" max="7682" width="6.25" style="202" customWidth="1"/>
    <col min="7683" max="7683" width="92.375" style="202" customWidth="1"/>
    <col min="7684" max="7684" width="8" style="202" bestFit="1" customWidth="1"/>
    <col min="7685" max="7685" width="8.875" style="202" bestFit="1" customWidth="1"/>
    <col min="7686" max="7688" width="18.625" style="202" customWidth="1"/>
    <col min="7689" max="7689" width="22.125" style="202" customWidth="1"/>
    <col min="7690" max="7690" width="48.125" style="202" bestFit="1" customWidth="1"/>
    <col min="7691" max="7889" width="8.375" style="202" customWidth="1"/>
    <col min="7890" max="7937" width="0.75" style="202"/>
    <col min="7938" max="7938" width="6.25" style="202" customWidth="1"/>
    <col min="7939" max="7939" width="92.375" style="202" customWidth="1"/>
    <col min="7940" max="7940" width="8" style="202" bestFit="1" customWidth="1"/>
    <col min="7941" max="7941" width="8.875" style="202" bestFit="1" customWidth="1"/>
    <col min="7942" max="7944" width="18.625" style="202" customWidth="1"/>
    <col min="7945" max="7945" width="22.125" style="202" customWidth="1"/>
    <col min="7946" max="7946" width="48.125" style="202" bestFit="1" customWidth="1"/>
    <col min="7947" max="8145" width="8.375" style="202" customWidth="1"/>
    <col min="8146" max="8193" width="0.75" style="202"/>
    <col min="8194" max="8194" width="6.25" style="202" customWidth="1"/>
    <col min="8195" max="8195" width="92.375" style="202" customWidth="1"/>
    <col min="8196" max="8196" width="8" style="202" bestFit="1" customWidth="1"/>
    <col min="8197" max="8197" width="8.875" style="202" bestFit="1" customWidth="1"/>
    <col min="8198" max="8200" width="18.625" style="202" customWidth="1"/>
    <col min="8201" max="8201" width="22.125" style="202" customWidth="1"/>
    <col min="8202" max="8202" width="48.125" style="202" bestFit="1" customWidth="1"/>
    <col min="8203" max="8401" width="8.375" style="202" customWidth="1"/>
    <col min="8402" max="8449" width="0.75" style="202"/>
    <col min="8450" max="8450" width="6.25" style="202" customWidth="1"/>
    <col min="8451" max="8451" width="92.375" style="202" customWidth="1"/>
    <col min="8452" max="8452" width="8" style="202" bestFit="1" customWidth="1"/>
    <col min="8453" max="8453" width="8.875" style="202" bestFit="1" customWidth="1"/>
    <col min="8454" max="8456" width="18.625" style="202" customWidth="1"/>
    <col min="8457" max="8457" width="22.125" style="202" customWidth="1"/>
    <col min="8458" max="8458" width="48.125" style="202" bestFit="1" customWidth="1"/>
    <col min="8459" max="8657" width="8.375" style="202" customWidth="1"/>
    <col min="8658" max="8705" width="0.75" style="202"/>
    <col min="8706" max="8706" width="6.25" style="202" customWidth="1"/>
    <col min="8707" max="8707" width="92.375" style="202" customWidth="1"/>
    <col min="8708" max="8708" width="8" style="202" bestFit="1" customWidth="1"/>
    <col min="8709" max="8709" width="8.875" style="202" bestFit="1" customWidth="1"/>
    <col min="8710" max="8712" width="18.625" style="202" customWidth="1"/>
    <col min="8713" max="8713" width="22.125" style="202" customWidth="1"/>
    <col min="8714" max="8714" width="48.125" style="202" bestFit="1" customWidth="1"/>
    <col min="8715" max="8913" width="8.375" style="202" customWidth="1"/>
    <col min="8914" max="8961" width="0.75" style="202"/>
    <col min="8962" max="8962" width="6.25" style="202" customWidth="1"/>
    <col min="8963" max="8963" width="92.375" style="202" customWidth="1"/>
    <col min="8964" max="8964" width="8" style="202" bestFit="1" customWidth="1"/>
    <col min="8965" max="8965" width="8.875" style="202" bestFit="1" customWidth="1"/>
    <col min="8966" max="8968" width="18.625" style="202" customWidth="1"/>
    <col min="8969" max="8969" width="22.125" style="202" customWidth="1"/>
    <col min="8970" max="8970" width="48.125" style="202" bestFit="1" customWidth="1"/>
    <col min="8971" max="9169" width="8.375" style="202" customWidth="1"/>
    <col min="9170" max="9217" width="0.75" style="202"/>
    <col min="9218" max="9218" width="6.25" style="202" customWidth="1"/>
    <col min="9219" max="9219" width="92.375" style="202" customWidth="1"/>
    <col min="9220" max="9220" width="8" style="202" bestFit="1" customWidth="1"/>
    <col min="9221" max="9221" width="8.875" style="202" bestFit="1" customWidth="1"/>
    <col min="9222" max="9224" width="18.625" style="202" customWidth="1"/>
    <col min="9225" max="9225" width="22.125" style="202" customWidth="1"/>
    <col min="9226" max="9226" width="48.125" style="202" bestFit="1" customWidth="1"/>
    <col min="9227" max="9425" width="8.375" style="202" customWidth="1"/>
    <col min="9426" max="9473" width="0.75" style="202"/>
    <col min="9474" max="9474" width="6.25" style="202" customWidth="1"/>
    <col min="9475" max="9475" width="92.375" style="202" customWidth="1"/>
    <col min="9476" max="9476" width="8" style="202" bestFit="1" customWidth="1"/>
    <col min="9477" max="9477" width="8.875" style="202" bestFit="1" customWidth="1"/>
    <col min="9478" max="9480" width="18.625" style="202" customWidth="1"/>
    <col min="9481" max="9481" width="22.125" style="202" customWidth="1"/>
    <col min="9482" max="9482" width="48.125" style="202" bestFit="1" customWidth="1"/>
    <col min="9483" max="9681" width="8.375" style="202" customWidth="1"/>
    <col min="9682" max="9729" width="0.75" style="202"/>
    <col min="9730" max="9730" width="6.25" style="202" customWidth="1"/>
    <col min="9731" max="9731" width="92.375" style="202" customWidth="1"/>
    <col min="9732" max="9732" width="8" style="202" bestFit="1" customWidth="1"/>
    <col min="9733" max="9733" width="8.875" style="202" bestFit="1" customWidth="1"/>
    <col min="9734" max="9736" width="18.625" style="202" customWidth="1"/>
    <col min="9737" max="9737" width="22.125" style="202" customWidth="1"/>
    <col min="9738" max="9738" width="48.125" style="202" bestFit="1" customWidth="1"/>
    <col min="9739" max="9937" width="8.375" style="202" customWidth="1"/>
    <col min="9938" max="9985" width="0.75" style="202"/>
    <col min="9986" max="9986" width="6.25" style="202" customWidth="1"/>
    <col min="9987" max="9987" width="92.375" style="202" customWidth="1"/>
    <col min="9988" max="9988" width="8" style="202" bestFit="1" customWidth="1"/>
    <col min="9989" max="9989" width="8.875" style="202" bestFit="1" customWidth="1"/>
    <col min="9990" max="9992" width="18.625" style="202" customWidth="1"/>
    <col min="9993" max="9993" width="22.125" style="202" customWidth="1"/>
    <col min="9994" max="9994" width="48.125" style="202" bestFit="1" customWidth="1"/>
    <col min="9995" max="10193" width="8.375" style="202" customWidth="1"/>
    <col min="10194" max="10241" width="0.75" style="202"/>
    <col min="10242" max="10242" width="6.25" style="202" customWidth="1"/>
    <col min="10243" max="10243" width="92.375" style="202" customWidth="1"/>
    <col min="10244" max="10244" width="8" style="202" bestFit="1" customWidth="1"/>
    <col min="10245" max="10245" width="8.875" style="202" bestFit="1" customWidth="1"/>
    <col min="10246" max="10248" width="18.625" style="202" customWidth="1"/>
    <col min="10249" max="10249" width="22.125" style="202" customWidth="1"/>
    <col min="10250" max="10250" width="48.125" style="202" bestFit="1" customWidth="1"/>
    <col min="10251" max="10449" width="8.375" style="202" customWidth="1"/>
    <col min="10450" max="10497" width="0.75" style="202"/>
    <col min="10498" max="10498" width="6.25" style="202" customWidth="1"/>
    <col min="10499" max="10499" width="92.375" style="202" customWidth="1"/>
    <col min="10500" max="10500" width="8" style="202" bestFit="1" customWidth="1"/>
    <col min="10501" max="10501" width="8.875" style="202" bestFit="1" customWidth="1"/>
    <col min="10502" max="10504" width="18.625" style="202" customWidth="1"/>
    <col min="10505" max="10505" width="22.125" style="202" customWidth="1"/>
    <col min="10506" max="10506" width="48.125" style="202" bestFit="1" customWidth="1"/>
    <col min="10507" max="10705" width="8.375" style="202" customWidth="1"/>
    <col min="10706" max="10753" width="0.75" style="202"/>
    <col min="10754" max="10754" width="6.25" style="202" customWidth="1"/>
    <col min="10755" max="10755" width="92.375" style="202" customWidth="1"/>
    <col min="10756" max="10756" width="8" style="202" bestFit="1" customWidth="1"/>
    <col min="10757" max="10757" width="8.875" style="202" bestFit="1" customWidth="1"/>
    <col min="10758" max="10760" width="18.625" style="202" customWidth="1"/>
    <col min="10761" max="10761" width="22.125" style="202" customWidth="1"/>
    <col min="10762" max="10762" width="48.125" style="202" bestFit="1" customWidth="1"/>
    <col min="10763" max="10961" width="8.375" style="202" customWidth="1"/>
    <col min="10962" max="11009" width="0.75" style="202"/>
    <col min="11010" max="11010" width="6.25" style="202" customWidth="1"/>
    <col min="11011" max="11011" width="92.375" style="202" customWidth="1"/>
    <col min="11012" max="11012" width="8" style="202" bestFit="1" customWidth="1"/>
    <col min="11013" max="11013" width="8.875" style="202" bestFit="1" customWidth="1"/>
    <col min="11014" max="11016" width="18.625" style="202" customWidth="1"/>
    <col min="11017" max="11017" width="22.125" style="202" customWidth="1"/>
    <col min="11018" max="11018" width="48.125" style="202" bestFit="1" customWidth="1"/>
    <col min="11019" max="11217" width="8.375" style="202" customWidth="1"/>
    <col min="11218" max="11265" width="0.75" style="202"/>
    <col min="11266" max="11266" width="6.25" style="202" customWidth="1"/>
    <col min="11267" max="11267" width="92.375" style="202" customWidth="1"/>
    <col min="11268" max="11268" width="8" style="202" bestFit="1" customWidth="1"/>
    <col min="11269" max="11269" width="8.875" style="202" bestFit="1" customWidth="1"/>
    <col min="11270" max="11272" width="18.625" style="202" customWidth="1"/>
    <col min="11273" max="11273" width="22.125" style="202" customWidth="1"/>
    <col min="11274" max="11274" width="48.125" style="202" bestFit="1" customWidth="1"/>
    <col min="11275" max="11473" width="8.375" style="202" customWidth="1"/>
    <col min="11474" max="11521" width="0.75" style="202"/>
    <col min="11522" max="11522" width="6.25" style="202" customWidth="1"/>
    <col min="11523" max="11523" width="92.375" style="202" customWidth="1"/>
    <col min="11524" max="11524" width="8" style="202" bestFit="1" customWidth="1"/>
    <col min="11525" max="11525" width="8.875" style="202" bestFit="1" customWidth="1"/>
    <col min="11526" max="11528" width="18.625" style="202" customWidth="1"/>
    <col min="11529" max="11529" width="22.125" style="202" customWidth="1"/>
    <col min="11530" max="11530" width="48.125" style="202" bestFit="1" customWidth="1"/>
    <col min="11531" max="11729" width="8.375" style="202" customWidth="1"/>
    <col min="11730" max="11777" width="0.75" style="202"/>
    <col min="11778" max="11778" width="6.25" style="202" customWidth="1"/>
    <col min="11779" max="11779" width="92.375" style="202" customWidth="1"/>
    <col min="11780" max="11780" width="8" style="202" bestFit="1" customWidth="1"/>
    <col min="11781" max="11781" width="8.875" style="202" bestFit="1" customWidth="1"/>
    <col min="11782" max="11784" width="18.625" style="202" customWidth="1"/>
    <col min="11785" max="11785" width="22.125" style="202" customWidth="1"/>
    <col min="11786" max="11786" width="48.125" style="202" bestFit="1" customWidth="1"/>
    <col min="11787" max="11985" width="8.375" style="202" customWidth="1"/>
    <col min="11986" max="12033" width="0.75" style="202"/>
    <col min="12034" max="12034" width="6.25" style="202" customWidth="1"/>
    <col min="12035" max="12035" width="92.375" style="202" customWidth="1"/>
    <col min="12036" max="12036" width="8" style="202" bestFit="1" customWidth="1"/>
    <col min="12037" max="12037" width="8.875" style="202" bestFit="1" customWidth="1"/>
    <col min="12038" max="12040" width="18.625" style="202" customWidth="1"/>
    <col min="12041" max="12041" width="22.125" style="202" customWidth="1"/>
    <col min="12042" max="12042" width="48.125" style="202" bestFit="1" customWidth="1"/>
    <col min="12043" max="12241" width="8.375" style="202" customWidth="1"/>
    <col min="12242" max="12289" width="0.75" style="202"/>
    <col min="12290" max="12290" width="6.25" style="202" customWidth="1"/>
    <col min="12291" max="12291" width="92.375" style="202" customWidth="1"/>
    <col min="12292" max="12292" width="8" style="202" bestFit="1" customWidth="1"/>
    <col min="12293" max="12293" width="8.875" style="202" bestFit="1" customWidth="1"/>
    <col min="12294" max="12296" width="18.625" style="202" customWidth="1"/>
    <col min="12297" max="12297" width="22.125" style="202" customWidth="1"/>
    <col min="12298" max="12298" width="48.125" style="202" bestFit="1" customWidth="1"/>
    <col min="12299" max="12497" width="8.375" style="202" customWidth="1"/>
    <col min="12498" max="12545" width="0.75" style="202"/>
    <col min="12546" max="12546" width="6.25" style="202" customWidth="1"/>
    <col min="12547" max="12547" width="92.375" style="202" customWidth="1"/>
    <col min="12548" max="12548" width="8" style="202" bestFit="1" customWidth="1"/>
    <col min="12549" max="12549" width="8.875" style="202" bestFit="1" customWidth="1"/>
    <col min="12550" max="12552" width="18.625" style="202" customWidth="1"/>
    <col min="12553" max="12553" width="22.125" style="202" customWidth="1"/>
    <col min="12554" max="12554" width="48.125" style="202" bestFit="1" customWidth="1"/>
    <col min="12555" max="12753" width="8.375" style="202" customWidth="1"/>
    <col min="12754" max="12801" width="0.75" style="202"/>
    <col min="12802" max="12802" width="6.25" style="202" customWidth="1"/>
    <col min="12803" max="12803" width="92.375" style="202" customWidth="1"/>
    <col min="12804" max="12804" width="8" style="202" bestFit="1" customWidth="1"/>
    <col min="12805" max="12805" width="8.875" style="202" bestFit="1" customWidth="1"/>
    <col min="12806" max="12808" width="18.625" style="202" customWidth="1"/>
    <col min="12809" max="12809" width="22.125" style="202" customWidth="1"/>
    <col min="12810" max="12810" width="48.125" style="202" bestFit="1" customWidth="1"/>
    <col min="12811" max="13009" width="8.375" style="202" customWidth="1"/>
    <col min="13010" max="13057" width="0.75" style="202"/>
    <col min="13058" max="13058" width="6.25" style="202" customWidth="1"/>
    <col min="13059" max="13059" width="92.375" style="202" customWidth="1"/>
    <col min="13060" max="13060" width="8" style="202" bestFit="1" customWidth="1"/>
    <col min="13061" max="13061" width="8.875" style="202" bestFit="1" customWidth="1"/>
    <col min="13062" max="13064" width="18.625" style="202" customWidth="1"/>
    <col min="13065" max="13065" width="22.125" style="202" customWidth="1"/>
    <col min="13066" max="13066" width="48.125" style="202" bestFit="1" customWidth="1"/>
    <col min="13067" max="13265" width="8.375" style="202" customWidth="1"/>
    <col min="13266" max="13313" width="0.75" style="202"/>
    <col min="13314" max="13314" width="6.25" style="202" customWidth="1"/>
    <col min="13315" max="13315" width="92.375" style="202" customWidth="1"/>
    <col min="13316" max="13316" width="8" style="202" bestFit="1" customWidth="1"/>
    <col min="13317" max="13317" width="8.875" style="202" bestFit="1" customWidth="1"/>
    <col min="13318" max="13320" width="18.625" style="202" customWidth="1"/>
    <col min="13321" max="13321" width="22.125" style="202" customWidth="1"/>
    <col min="13322" max="13322" width="48.125" style="202" bestFit="1" customWidth="1"/>
    <col min="13323" max="13521" width="8.375" style="202" customWidth="1"/>
    <col min="13522" max="13569" width="0.75" style="202"/>
    <col min="13570" max="13570" width="6.25" style="202" customWidth="1"/>
    <col min="13571" max="13571" width="92.375" style="202" customWidth="1"/>
    <col min="13572" max="13572" width="8" style="202" bestFit="1" customWidth="1"/>
    <col min="13573" max="13573" width="8.875" style="202" bestFit="1" customWidth="1"/>
    <col min="13574" max="13576" width="18.625" style="202" customWidth="1"/>
    <col min="13577" max="13577" width="22.125" style="202" customWidth="1"/>
    <col min="13578" max="13578" width="48.125" style="202" bestFit="1" customWidth="1"/>
    <col min="13579" max="13777" width="8.375" style="202" customWidth="1"/>
    <col min="13778" max="13825" width="0.75" style="202"/>
    <col min="13826" max="13826" width="6.25" style="202" customWidth="1"/>
    <col min="13827" max="13827" width="92.375" style="202" customWidth="1"/>
    <col min="13828" max="13828" width="8" style="202" bestFit="1" customWidth="1"/>
    <col min="13829" max="13829" width="8.875" style="202" bestFit="1" customWidth="1"/>
    <col min="13830" max="13832" width="18.625" style="202" customWidth="1"/>
    <col min="13833" max="13833" width="22.125" style="202" customWidth="1"/>
    <col min="13834" max="13834" width="48.125" style="202" bestFit="1" customWidth="1"/>
    <col min="13835" max="14033" width="8.375" style="202" customWidth="1"/>
    <col min="14034" max="14081" width="0.75" style="202"/>
    <col min="14082" max="14082" width="6.25" style="202" customWidth="1"/>
    <col min="14083" max="14083" width="92.375" style="202" customWidth="1"/>
    <col min="14084" max="14084" width="8" style="202" bestFit="1" customWidth="1"/>
    <col min="14085" max="14085" width="8.875" style="202" bestFit="1" customWidth="1"/>
    <col min="14086" max="14088" width="18.625" style="202" customWidth="1"/>
    <col min="14089" max="14089" width="22.125" style="202" customWidth="1"/>
    <col min="14090" max="14090" width="48.125" style="202" bestFit="1" customWidth="1"/>
    <col min="14091" max="14289" width="8.375" style="202" customWidth="1"/>
    <col min="14290" max="14337" width="0.75" style="202"/>
    <col min="14338" max="14338" width="6.25" style="202" customWidth="1"/>
    <col min="14339" max="14339" width="92.375" style="202" customWidth="1"/>
    <col min="14340" max="14340" width="8" style="202" bestFit="1" customWidth="1"/>
    <col min="14341" max="14341" width="8.875" style="202" bestFit="1" customWidth="1"/>
    <col min="14342" max="14344" width="18.625" style="202" customWidth="1"/>
    <col min="14345" max="14345" width="22.125" style="202" customWidth="1"/>
    <col min="14346" max="14346" width="48.125" style="202" bestFit="1" customWidth="1"/>
    <col min="14347" max="14545" width="8.375" style="202" customWidth="1"/>
    <col min="14546" max="14593" width="0.75" style="202"/>
    <col min="14594" max="14594" width="6.25" style="202" customWidth="1"/>
    <col min="14595" max="14595" width="92.375" style="202" customWidth="1"/>
    <col min="14596" max="14596" width="8" style="202" bestFit="1" customWidth="1"/>
    <col min="14597" max="14597" width="8.875" style="202" bestFit="1" customWidth="1"/>
    <col min="14598" max="14600" width="18.625" style="202" customWidth="1"/>
    <col min="14601" max="14601" width="22.125" style="202" customWidth="1"/>
    <col min="14602" max="14602" width="48.125" style="202" bestFit="1" customWidth="1"/>
    <col min="14603" max="14801" width="8.375" style="202" customWidth="1"/>
    <col min="14802" max="14849" width="0.75" style="202"/>
    <col min="14850" max="14850" width="6.25" style="202" customWidth="1"/>
    <col min="14851" max="14851" width="92.375" style="202" customWidth="1"/>
    <col min="14852" max="14852" width="8" style="202" bestFit="1" customWidth="1"/>
    <col min="14853" max="14853" width="8.875" style="202" bestFit="1" customWidth="1"/>
    <col min="14854" max="14856" width="18.625" style="202" customWidth="1"/>
    <col min="14857" max="14857" width="22.125" style="202" customWidth="1"/>
    <col min="14858" max="14858" width="48.125" style="202" bestFit="1" customWidth="1"/>
    <col min="14859" max="15057" width="8.375" style="202" customWidth="1"/>
    <col min="15058" max="15105" width="0.75" style="202"/>
    <col min="15106" max="15106" width="6.25" style="202" customWidth="1"/>
    <col min="15107" max="15107" width="92.375" style="202" customWidth="1"/>
    <col min="15108" max="15108" width="8" style="202" bestFit="1" customWidth="1"/>
    <col min="15109" max="15109" width="8.875" style="202" bestFit="1" customWidth="1"/>
    <col min="15110" max="15112" width="18.625" style="202" customWidth="1"/>
    <col min="15113" max="15113" width="22.125" style="202" customWidth="1"/>
    <col min="15114" max="15114" width="48.125" style="202" bestFit="1" customWidth="1"/>
    <col min="15115" max="15313" width="8.375" style="202" customWidth="1"/>
    <col min="15314" max="15361" width="0.75" style="202"/>
    <col min="15362" max="15362" width="6.25" style="202" customWidth="1"/>
    <col min="15363" max="15363" width="92.375" style="202" customWidth="1"/>
    <col min="15364" max="15364" width="8" style="202" bestFit="1" customWidth="1"/>
    <col min="15365" max="15365" width="8.875" style="202" bestFit="1" customWidth="1"/>
    <col min="15366" max="15368" width="18.625" style="202" customWidth="1"/>
    <col min="15369" max="15369" width="22.125" style="202" customWidth="1"/>
    <col min="15370" max="15370" width="48.125" style="202" bestFit="1" customWidth="1"/>
    <col min="15371" max="15569" width="8.375" style="202" customWidth="1"/>
    <col min="15570" max="15617" width="0.75" style="202"/>
    <col min="15618" max="15618" width="6.25" style="202" customWidth="1"/>
    <col min="15619" max="15619" width="92.375" style="202" customWidth="1"/>
    <col min="15620" max="15620" width="8" style="202" bestFit="1" customWidth="1"/>
    <col min="15621" max="15621" width="8.875" style="202" bestFit="1" customWidth="1"/>
    <col min="15622" max="15624" width="18.625" style="202" customWidth="1"/>
    <col min="15625" max="15625" width="22.125" style="202" customWidth="1"/>
    <col min="15626" max="15626" width="48.125" style="202" bestFit="1" customWidth="1"/>
    <col min="15627" max="15825" width="8.375" style="202" customWidth="1"/>
    <col min="15826" max="15873" width="0.75" style="202"/>
    <col min="15874" max="15874" width="6.25" style="202" customWidth="1"/>
    <col min="15875" max="15875" width="92.375" style="202" customWidth="1"/>
    <col min="15876" max="15876" width="8" style="202" bestFit="1" customWidth="1"/>
    <col min="15877" max="15877" width="8.875" style="202" bestFit="1" customWidth="1"/>
    <col min="15878" max="15880" width="18.625" style="202" customWidth="1"/>
    <col min="15881" max="15881" width="22.125" style="202" customWidth="1"/>
    <col min="15882" max="15882" width="48.125" style="202" bestFit="1" customWidth="1"/>
    <col min="15883" max="16081" width="8.375" style="202" customWidth="1"/>
    <col min="16082" max="16129" width="0.75" style="202"/>
    <col min="16130" max="16130" width="6.25" style="202" customWidth="1"/>
    <col min="16131" max="16131" width="92.375" style="202" customWidth="1"/>
    <col min="16132" max="16132" width="8" style="202" bestFit="1" customWidth="1"/>
    <col min="16133" max="16133" width="8.875" style="202" bestFit="1" customWidth="1"/>
    <col min="16134" max="16136" width="18.625" style="202" customWidth="1"/>
    <col min="16137" max="16137" width="22.125" style="202" customWidth="1"/>
    <col min="16138" max="16138" width="48.125" style="202" bestFit="1" customWidth="1"/>
    <col min="16139" max="16337" width="8.375" style="202" customWidth="1"/>
    <col min="16338" max="16384" width="0.75" style="202"/>
  </cols>
  <sheetData>
    <row r="1" spans="2:10" ht="19.5" x14ac:dyDescent="0.25">
      <c r="B1" s="295" t="s">
        <v>217</v>
      </c>
      <c r="C1" s="295"/>
      <c r="D1" s="295"/>
      <c r="E1" s="295"/>
      <c r="F1" s="295"/>
      <c r="G1" s="295"/>
      <c r="H1" s="200"/>
      <c r="I1" s="201"/>
      <c r="J1" s="200"/>
    </row>
    <row r="2" spans="2:10" x14ac:dyDescent="0.25">
      <c r="B2" s="296"/>
      <c r="C2" s="296"/>
      <c r="D2" s="296"/>
      <c r="E2" s="296"/>
      <c r="F2" s="296"/>
      <c r="G2" s="296"/>
      <c r="H2" s="200"/>
      <c r="I2" s="201"/>
      <c r="J2" s="200"/>
    </row>
    <row r="3" spans="2:10" x14ac:dyDescent="0.25">
      <c r="B3" s="203" t="s">
        <v>218</v>
      </c>
      <c r="C3" s="204"/>
      <c r="D3" s="205"/>
      <c r="E3" s="205"/>
      <c r="F3" s="205"/>
      <c r="G3" s="205"/>
      <c r="H3" s="206"/>
      <c r="J3" s="206"/>
    </row>
    <row r="4" spans="2:10" ht="16.5" customHeight="1" x14ac:dyDescent="0.25">
      <c r="B4" s="208"/>
      <c r="C4" s="209"/>
      <c r="D4" s="210"/>
      <c r="E4" s="210"/>
      <c r="F4" s="210"/>
      <c r="G4" s="210"/>
      <c r="H4" s="206"/>
      <c r="J4" s="206"/>
    </row>
    <row r="5" spans="2:10" ht="58.5" customHeight="1" x14ac:dyDescent="0.25">
      <c r="B5" s="211" t="s">
        <v>219</v>
      </c>
      <c r="C5" s="211" t="s">
        <v>220</v>
      </c>
      <c r="D5" s="211" t="s">
        <v>221</v>
      </c>
      <c r="E5" s="211" t="s">
        <v>222</v>
      </c>
      <c r="F5" s="211" t="s">
        <v>223</v>
      </c>
      <c r="G5" s="211" t="s">
        <v>224</v>
      </c>
      <c r="H5" s="211" t="s">
        <v>225</v>
      </c>
      <c r="I5" s="212" t="s">
        <v>226</v>
      </c>
      <c r="J5" s="211" t="s">
        <v>227</v>
      </c>
    </row>
    <row r="6" spans="2:10" ht="19.5" customHeight="1" x14ac:dyDescent="0.25">
      <c r="B6" s="213" t="s">
        <v>228</v>
      </c>
      <c r="C6" s="214" t="s">
        <v>229</v>
      </c>
      <c r="D6" s="214"/>
      <c r="E6" s="214"/>
      <c r="F6" s="214"/>
      <c r="G6" s="214"/>
      <c r="H6" s="214"/>
      <c r="I6" s="215"/>
      <c r="J6" s="214"/>
    </row>
    <row r="7" spans="2:10" s="222" customFormat="1" ht="21" customHeight="1" x14ac:dyDescent="0.25">
      <c r="B7" s="216" t="s">
        <v>230</v>
      </c>
      <c r="C7" s="217" t="s">
        <v>231</v>
      </c>
      <c r="D7" s="216"/>
      <c r="E7" s="218"/>
      <c r="F7" s="219"/>
      <c r="G7" s="219"/>
      <c r="H7" s="216"/>
      <c r="I7" s="220"/>
      <c r="J7" s="221"/>
    </row>
    <row r="8" spans="2:10" s="222" customFormat="1" ht="21" customHeight="1" x14ac:dyDescent="0.25">
      <c r="B8" s="223" t="s">
        <v>232</v>
      </c>
      <c r="C8" s="224" t="s">
        <v>233</v>
      </c>
      <c r="D8" s="225"/>
      <c r="E8" s="226"/>
      <c r="F8" s="227"/>
      <c r="G8" s="228"/>
      <c r="H8" s="229"/>
      <c r="I8" s="230"/>
      <c r="J8" s="230"/>
    </row>
    <row r="9" spans="2:10" s="222" customFormat="1" ht="21" customHeight="1" x14ac:dyDescent="0.25">
      <c r="B9" s="231">
        <v>2</v>
      </c>
      <c r="C9" s="232" t="s">
        <v>234</v>
      </c>
      <c r="D9" s="233" t="s">
        <v>235</v>
      </c>
      <c r="E9" s="234">
        <v>24</v>
      </c>
      <c r="F9" s="235">
        <v>180500</v>
      </c>
      <c r="G9" s="235">
        <v>20000</v>
      </c>
      <c r="H9" s="236">
        <f t="shared" ref="H9:H10" si="0">F9+G9</f>
        <v>200500</v>
      </c>
      <c r="I9" s="236">
        <f t="shared" ref="I9:I10" si="1">E9*H9</f>
        <v>4812000</v>
      </c>
      <c r="J9" s="237"/>
    </row>
    <row r="10" spans="2:10" s="222" customFormat="1" ht="21" customHeight="1" x14ac:dyDescent="0.25">
      <c r="B10" s="231">
        <v>3</v>
      </c>
      <c r="C10" s="232" t="s">
        <v>236</v>
      </c>
      <c r="D10" s="233" t="s">
        <v>235</v>
      </c>
      <c r="E10" s="234">
        <v>64</v>
      </c>
      <c r="F10" s="235">
        <v>356250</v>
      </c>
      <c r="G10" s="235">
        <v>20000</v>
      </c>
      <c r="H10" s="236">
        <f t="shared" si="0"/>
        <v>376250</v>
      </c>
      <c r="I10" s="236">
        <f t="shared" si="1"/>
        <v>24080000</v>
      </c>
      <c r="J10" s="237"/>
    </row>
    <row r="11" spans="2:10" s="222" customFormat="1" ht="21" customHeight="1" x14ac:dyDescent="0.25">
      <c r="B11" s="223" t="s">
        <v>237</v>
      </c>
      <c r="C11" s="224" t="s">
        <v>238</v>
      </c>
      <c r="D11" s="225"/>
      <c r="E11" s="226"/>
      <c r="F11" s="227"/>
      <c r="G11" s="228"/>
      <c r="H11" s="229"/>
      <c r="I11" s="230"/>
      <c r="J11" s="230"/>
    </row>
    <row r="12" spans="2:10" s="222" customFormat="1" ht="21" customHeight="1" x14ac:dyDescent="0.25">
      <c r="B12" s="231">
        <v>2</v>
      </c>
      <c r="C12" s="232" t="s">
        <v>239</v>
      </c>
      <c r="D12" s="233" t="s">
        <v>235</v>
      </c>
      <c r="E12" s="234">
        <v>44</v>
      </c>
      <c r="F12" s="238">
        <v>170750</v>
      </c>
      <c r="G12" s="235">
        <v>20000</v>
      </c>
      <c r="H12" s="236">
        <f t="shared" ref="H12" si="2">F12+G12</f>
        <v>190750</v>
      </c>
      <c r="I12" s="236">
        <f t="shared" ref="I12" si="3">E12*H12</f>
        <v>8393000</v>
      </c>
      <c r="J12" s="237"/>
    </row>
    <row r="13" spans="2:10" s="222" customFormat="1" ht="21" customHeight="1" x14ac:dyDescent="0.25">
      <c r="B13" s="239" t="s">
        <v>240</v>
      </c>
      <c r="C13" s="240" t="s">
        <v>241</v>
      </c>
      <c r="D13" s="225"/>
      <c r="E13" s="241"/>
      <c r="F13" s="242"/>
      <c r="G13" s="242"/>
      <c r="H13" s="229"/>
      <c r="I13" s="230"/>
      <c r="J13" s="230"/>
    </row>
    <row r="14" spans="2:10" s="222" customFormat="1" ht="21" customHeight="1" x14ac:dyDescent="0.25">
      <c r="B14" s="243">
        <v>2</v>
      </c>
      <c r="C14" s="244" t="s">
        <v>242</v>
      </c>
      <c r="D14" s="233" t="s">
        <v>243</v>
      </c>
      <c r="E14" s="234">
        <v>80</v>
      </c>
      <c r="F14" s="238">
        <v>120500</v>
      </c>
      <c r="G14" s="238">
        <v>18000</v>
      </c>
      <c r="H14" s="236">
        <f t="shared" ref="H14:H15" si="4">F14+G14</f>
        <v>138500</v>
      </c>
      <c r="I14" s="236">
        <f t="shared" ref="I14:I15" si="5">E14*H14</f>
        <v>11080000</v>
      </c>
      <c r="J14" s="237"/>
    </row>
    <row r="15" spans="2:10" s="222" customFormat="1" ht="21" customHeight="1" x14ac:dyDescent="0.25">
      <c r="B15" s="243">
        <v>3</v>
      </c>
      <c r="C15" s="244" t="s">
        <v>244</v>
      </c>
      <c r="D15" s="233" t="s">
        <v>243</v>
      </c>
      <c r="E15" s="234">
        <v>495</v>
      </c>
      <c r="F15" s="238">
        <v>150500</v>
      </c>
      <c r="G15" s="238">
        <v>18000</v>
      </c>
      <c r="H15" s="236">
        <f t="shared" si="4"/>
        <v>168500</v>
      </c>
      <c r="I15" s="236">
        <f t="shared" si="5"/>
        <v>83407500</v>
      </c>
      <c r="J15" s="237"/>
    </row>
    <row r="16" spans="2:10" s="222" customFormat="1" ht="21" customHeight="1" x14ac:dyDescent="0.25">
      <c r="B16" s="216" t="s">
        <v>245</v>
      </c>
      <c r="C16" s="217" t="s">
        <v>246</v>
      </c>
      <c r="D16" s="216"/>
      <c r="E16" s="218"/>
      <c r="F16" s="219"/>
      <c r="G16" s="219"/>
      <c r="H16" s="216"/>
      <c r="I16" s="220"/>
      <c r="J16" s="221"/>
    </row>
    <row r="17" spans="2:10" s="222" customFormat="1" ht="18.95" customHeight="1" x14ac:dyDescent="0.25">
      <c r="B17" s="245" t="s">
        <v>247</v>
      </c>
      <c r="C17" s="246" t="s">
        <v>248</v>
      </c>
      <c r="D17" s="247"/>
      <c r="E17" s="248"/>
      <c r="F17" s="249"/>
      <c r="G17" s="249"/>
      <c r="H17" s="250"/>
      <c r="I17" s="251"/>
      <c r="J17" s="250"/>
    </row>
    <row r="18" spans="2:10" s="255" customFormat="1" ht="15.95" customHeight="1" x14ac:dyDescent="0.25">
      <c r="B18" s="252">
        <v>2</v>
      </c>
      <c r="C18" s="232" t="s">
        <v>249</v>
      </c>
      <c r="D18" s="233" t="s">
        <v>235</v>
      </c>
      <c r="E18" s="253">
        <f t="shared" ref="E18:E19" si="6">E14/3</f>
        <v>26.666666666666668</v>
      </c>
      <c r="F18" s="254">
        <v>25000</v>
      </c>
      <c r="G18" s="235">
        <v>20000</v>
      </c>
      <c r="H18" s="236">
        <f t="shared" ref="H18:H19" si="7">F18+G18</f>
        <v>45000</v>
      </c>
      <c r="I18" s="236">
        <f t="shared" ref="I18:I19" si="8">E18*H18</f>
        <v>1200000</v>
      </c>
      <c r="J18" s="237"/>
    </row>
    <row r="19" spans="2:10" s="255" customFormat="1" ht="15.95" customHeight="1" x14ac:dyDescent="0.25">
      <c r="B19" s="231">
        <v>3</v>
      </c>
      <c r="C19" s="232" t="s">
        <v>250</v>
      </c>
      <c r="D19" s="233" t="s">
        <v>235</v>
      </c>
      <c r="E19" s="253">
        <f t="shared" si="6"/>
        <v>165</v>
      </c>
      <c r="F19" s="256">
        <v>25000</v>
      </c>
      <c r="G19" s="235">
        <v>20000</v>
      </c>
      <c r="H19" s="236">
        <f t="shared" si="7"/>
        <v>45000</v>
      </c>
      <c r="I19" s="236">
        <f t="shared" si="8"/>
        <v>7425000</v>
      </c>
      <c r="J19" s="237"/>
    </row>
    <row r="20" spans="2:10" s="222" customFormat="1" ht="21" customHeight="1" x14ac:dyDescent="0.25">
      <c r="B20" s="216" t="s">
        <v>251</v>
      </c>
      <c r="C20" s="217" t="s">
        <v>252</v>
      </c>
      <c r="D20" s="216"/>
      <c r="E20" s="218"/>
      <c r="F20" s="257"/>
      <c r="G20" s="257"/>
      <c r="H20" s="258"/>
      <c r="I20" s="220"/>
      <c r="J20" s="221"/>
    </row>
    <row r="21" spans="2:10" s="255" customFormat="1" ht="15.95" customHeight="1" x14ac:dyDescent="0.25">
      <c r="B21" s="231">
        <v>3</v>
      </c>
      <c r="C21" s="259" t="s">
        <v>253</v>
      </c>
      <c r="D21" s="231" t="s">
        <v>254</v>
      </c>
      <c r="E21" s="231">
        <v>1</v>
      </c>
      <c r="F21" s="260"/>
      <c r="G21" s="260">
        <v>10000000</v>
      </c>
      <c r="H21" s="236">
        <f>F21+G21</f>
        <v>10000000</v>
      </c>
      <c r="I21" s="236">
        <f>E21*H21</f>
        <v>10000000</v>
      </c>
      <c r="J21" s="237"/>
    </row>
    <row r="22" spans="2:10" s="255" customFormat="1" ht="39.6" customHeight="1" x14ac:dyDescent="0.25">
      <c r="B22" s="261"/>
      <c r="C22" s="262"/>
      <c r="D22" s="261"/>
      <c r="E22" s="263"/>
      <c r="F22" s="264"/>
      <c r="G22" s="264"/>
      <c r="H22" s="265"/>
      <c r="I22" s="266">
        <f>SUM(I8:I21)</f>
        <v>150397500</v>
      </c>
      <c r="J22" s="265"/>
    </row>
  </sheetData>
  <mergeCells count="2">
    <mergeCell ref="B1:G1"/>
    <mergeCell ref="B2:G2"/>
  </mergeCells>
  <pageMargins left="0.70866141732283472" right="0.70866141732283472" top="0.35433070866141736" bottom="0.74803149606299213" header="0.31496062992125984" footer="0.31496062992125984"/>
  <pageSetup paperSize="8" scale="57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opLeftCell="A10" workbookViewId="0">
      <selection activeCell="F23" sqref="F23"/>
    </sheetView>
  </sheetViews>
  <sheetFormatPr defaultColWidth="8.125" defaultRowHeight="15" x14ac:dyDescent="0.25"/>
  <cols>
    <col min="1" max="1" width="5" style="176" customWidth="1"/>
    <col min="2" max="2" width="22.875" style="176" bestFit="1" customWidth="1"/>
    <col min="3" max="3" width="42" style="176" customWidth="1"/>
    <col min="4" max="4" width="42.875" style="176" customWidth="1"/>
    <col min="5" max="5" width="8.125" style="176"/>
    <col min="6" max="6" width="11.125" style="176" bestFit="1" customWidth="1"/>
    <col min="7" max="16384" width="8.125" style="176"/>
  </cols>
  <sheetData>
    <row r="1" spans="1:18" ht="21" x14ac:dyDescent="0.35">
      <c r="A1" s="299" t="s">
        <v>164</v>
      </c>
      <c r="B1" s="299"/>
      <c r="C1" s="299"/>
      <c r="D1" s="299"/>
    </row>
    <row r="3" spans="1:18" x14ac:dyDescent="0.25">
      <c r="A3" s="177" t="s">
        <v>165</v>
      </c>
      <c r="B3" s="177"/>
      <c r="C3" s="177" t="s">
        <v>188</v>
      </c>
    </row>
    <row r="4" spans="1:18" x14ac:dyDescent="0.25">
      <c r="A4" s="177" t="s">
        <v>166</v>
      </c>
      <c r="B4" s="177"/>
      <c r="C4" s="177" t="s">
        <v>189</v>
      </c>
    </row>
    <row r="5" spans="1:18" x14ac:dyDescent="0.25">
      <c r="A5" s="177" t="s">
        <v>167</v>
      </c>
      <c r="B5" s="177"/>
      <c r="C5" s="177" t="s">
        <v>190</v>
      </c>
    </row>
    <row r="6" spans="1:18" x14ac:dyDescent="0.25">
      <c r="A6" s="177" t="s">
        <v>168</v>
      </c>
      <c r="B6" s="177"/>
      <c r="C6" s="177" t="s">
        <v>191</v>
      </c>
    </row>
    <row r="7" spans="1:18" x14ac:dyDescent="0.25">
      <c r="A7" s="177" t="s">
        <v>169</v>
      </c>
      <c r="B7" s="177"/>
      <c r="C7" s="178" t="s">
        <v>193</v>
      </c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  <c r="R7" s="178"/>
    </row>
    <row r="9" spans="1:18" x14ac:dyDescent="0.25">
      <c r="A9" s="300" t="s">
        <v>170</v>
      </c>
      <c r="B9" s="301" t="s">
        <v>171</v>
      </c>
      <c r="C9" s="301" t="s">
        <v>172</v>
      </c>
      <c r="D9" s="301" t="s">
        <v>115</v>
      </c>
    </row>
    <row r="10" spans="1:18" x14ac:dyDescent="0.25">
      <c r="A10" s="300"/>
      <c r="B10" s="302"/>
      <c r="C10" s="302"/>
      <c r="D10" s="302"/>
    </row>
    <row r="11" spans="1:18" x14ac:dyDescent="0.25">
      <c r="A11" s="179" t="s">
        <v>173</v>
      </c>
      <c r="B11" s="180" t="s">
        <v>174</v>
      </c>
      <c r="C11" s="180" t="s">
        <v>175</v>
      </c>
      <c r="D11" s="180" t="s">
        <v>95</v>
      </c>
    </row>
    <row r="12" spans="1:18" ht="17.25" customHeight="1" x14ac:dyDescent="0.25">
      <c r="A12" s="179" t="s">
        <v>176</v>
      </c>
      <c r="B12" s="180" t="s">
        <v>177</v>
      </c>
      <c r="C12" s="181" t="str">
        <f>C7</f>
        <v>: 158 titik antenna,  unit pole, RBS room 40 m2</v>
      </c>
      <c r="D12" s="181" t="str">
        <f>C7</f>
        <v>: 158 titik antenna,  unit pole, RBS room 40 m2</v>
      </c>
    </row>
    <row r="13" spans="1:18" x14ac:dyDescent="0.25">
      <c r="A13" s="179" t="s">
        <v>178</v>
      </c>
      <c r="B13" s="180" t="s">
        <v>179</v>
      </c>
      <c r="C13" s="182" t="s">
        <v>192</v>
      </c>
      <c r="D13" s="189" t="s">
        <v>194</v>
      </c>
    </row>
    <row r="14" spans="1:18" ht="15.75" x14ac:dyDescent="0.25">
      <c r="A14" s="303" t="s">
        <v>180</v>
      </c>
      <c r="B14" s="180" t="s">
        <v>181</v>
      </c>
      <c r="C14" s="183">
        <v>760000000</v>
      </c>
      <c r="D14" s="190">
        <v>760000000</v>
      </c>
    </row>
    <row r="15" spans="1:18" ht="15.75" x14ac:dyDescent="0.25">
      <c r="A15" s="304"/>
      <c r="B15" s="180" t="s">
        <v>182</v>
      </c>
      <c r="C15" s="183">
        <f>C14/5</f>
        <v>152000000</v>
      </c>
      <c r="D15" s="190">
        <f>D14/5</f>
        <v>152000000</v>
      </c>
    </row>
    <row r="16" spans="1:18" ht="15.75" x14ac:dyDescent="0.25">
      <c r="A16" s="184" t="s">
        <v>183</v>
      </c>
      <c r="B16" s="185" t="s">
        <v>184</v>
      </c>
      <c r="C16" s="198" t="s">
        <v>210</v>
      </c>
      <c r="D16" s="197" t="s">
        <v>208</v>
      </c>
    </row>
    <row r="17" spans="1:6" ht="15.75" x14ac:dyDescent="0.25">
      <c r="A17" s="184"/>
      <c r="B17" s="185"/>
      <c r="C17" s="195" t="s">
        <v>205</v>
      </c>
      <c r="D17" s="196" t="s">
        <v>206</v>
      </c>
    </row>
    <row r="18" spans="1:6" ht="15.75" x14ac:dyDescent="0.25">
      <c r="A18" s="184"/>
      <c r="B18" s="185"/>
      <c r="C18" s="195" t="s">
        <v>195</v>
      </c>
      <c r="D18" s="196" t="s">
        <v>195</v>
      </c>
    </row>
    <row r="19" spans="1:6" ht="15.75" x14ac:dyDescent="0.25">
      <c r="A19" s="184"/>
      <c r="B19" s="185"/>
      <c r="C19" s="195" t="s">
        <v>207</v>
      </c>
      <c r="D19" s="196" t="s">
        <v>209</v>
      </c>
    </row>
    <row r="20" spans="1:6" x14ac:dyDescent="0.25">
      <c r="A20" s="179" t="s">
        <v>185</v>
      </c>
      <c r="B20" s="180" t="s">
        <v>186</v>
      </c>
      <c r="C20" s="297" t="s">
        <v>196</v>
      </c>
      <c r="D20" s="298"/>
    </row>
    <row r="22" spans="1:6" ht="15.75" thickBot="1" x14ac:dyDescent="0.3">
      <c r="B22" s="176" t="s">
        <v>187</v>
      </c>
    </row>
    <row r="23" spans="1:6" ht="15" customHeight="1" thickBot="1" x14ac:dyDescent="0.3">
      <c r="C23" s="191" t="s">
        <v>200</v>
      </c>
      <c r="D23" s="193" t="s">
        <v>109</v>
      </c>
      <c r="F23" s="194">
        <f>792000000/3</f>
        <v>264000000</v>
      </c>
    </row>
    <row r="24" spans="1:6" ht="15" customHeight="1" thickBot="1" x14ac:dyDescent="0.3">
      <c r="C24" s="191" t="s">
        <v>201</v>
      </c>
      <c r="D24" s="193" t="s">
        <v>110</v>
      </c>
      <c r="F24" s="194">
        <f>1405815000/5</f>
        <v>281163000</v>
      </c>
    </row>
    <row r="25" spans="1:6" ht="15" customHeight="1" thickBot="1" x14ac:dyDescent="0.3">
      <c r="C25" s="192" t="s">
        <v>202</v>
      </c>
      <c r="D25" s="193" t="s">
        <v>111</v>
      </c>
      <c r="F25" s="194">
        <f>1287360000/5</f>
        <v>257472000</v>
      </c>
    </row>
    <row r="26" spans="1:6" ht="15.75" thickBot="1" x14ac:dyDescent="0.3">
      <c r="C26" s="192" t="s">
        <v>203</v>
      </c>
      <c r="D26" s="193" t="s">
        <v>204</v>
      </c>
      <c r="F26" s="199">
        <f>F25*85%</f>
        <v>218851200</v>
      </c>
    </row>
    <row r="27" spans="1:6" x14ac:dyDescent="0.25">
      <c r="D27" s="187"/>
    </row>
    <row r="28" spans="1:6" x14ac:dyDescent="0.25">
      <c r="D28" s="187"/>
      <c r="F28" s="199">
        <f>F23*85%</f>
        <v>224400000</v>
      </c>
    </row>
    <row r="30" spans="1:6" x14ac:dyDescent="0.25">
      <c r="C30" s="188"/>
      <c r="D30" s="186"/>
    </row>
  </sheetData>
  <mergeCells count="7">
    <mergeCell ref="C20:D20"/>
    <mergeCell ref="A1:D1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IRR (3)</vt:lpstr>
      <vt:lpstr>IRR (2)</vt:lpstr>
      <vt:lpstr>Summary</vt:lpstr>
      <vt:lpstr>IRR</vt:lpstr>
      <vt:lpstr>Sheet2</vt:lpstr>
      <vt:lpstr>PARAMETER</vt:lpstr>
      <vt:lpstr>BoQ Renovasi Revo Town Square </vt:lpstr>
      <vt:lpstr>Summary BR</vt:lpstr>
      <vt:lpstr>'BoQ Renovasi Revo Town Square '!Print_Area</vt:lpstr>
      <vt:lpstr>IRR!Print_Area</vt:lpstr>
      <vt:lpstr>'IRR (2)'!Print_Area</vt:lpstr>
      <vt:lpstr>'IRR (3)'!Print_Area</vt:lpstr>
      <vt:lpstr>Summary!Print_Area</vt:lpstr>
      <vt:lpstr>'BoQ Renovasi Revo Town Square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2023-05-24T08:12:08Z</cp:lastPrinted>
  <dcterms:created xsi:type="dcterms:W3CDTF">2020-06-08T08:40:20Z</dcterms:created>
  <dcterms:modified xsi:type="dcterms:W3CDTF">2023-11-16T07:20:56Z</dcterms:modified>
</cp:coreProperties>
</file>