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Mall Taman Palem\"/>
    </mc:Choice>
  </mc:AlternateContent>
  <bookViews>
    <workbookView xWindow="-105" yWindow="-105" windowWidth="23250" windowHeight="12450" activeTab="1"/>
  </bookViews>
  <sheets>
    <sheet name="Summary" sheetId="8" r:id="rId1"/>
    <sheet name="IRR Approved" sheetId="1" r:id="rId2"/>
    <sheet name="PARAMETER" sheetId="5" r:id="rId3"/>
    <sheet name="Book Value" sheetId="9" r:id="rId4"/>
  </sheets>
  <externalReferences>
    <externalReference r:id="rId5"/>
  </externalReferences>
  <definedNames>
    <definedName name="jk">#REF!</definedName>
    <definedName name="_xlnm.Print_Area" localSheetId="1">'IRR Approved'!$A$1:$R$68</definedName>
    <definedName name="_xlnm.Print_Area" localSheetId="0">Summary!$B$2:$N$33</definedName>
    <definedName name="years_contract">[1]Kerlink!$D$5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5" l="1"/>
  <c r="M39" i="1" l="1"/>
  <c r="M57" i="1"/>
  <c r="N32" i="1"/>
  <c r="M32" i="1"/>
  <c r="L32" i="1"/>
  <c r="K32" i="1"/>
  <c r="J32" i="1"/>
  <c r="I32" i="1"/>
  <c r="H32" i="1"/>
  <c r="H31" i="1"/>
  <c r="Q30" i="1"/>
  <c r="P30" i="1"/>
  <c r="O30" i="1"/>
  <c r="N30" i="1"/>
  <c r="M30" i="1"/>
  <c r="L30" i="1"/>
  <c r="K30" i="1"/>
  <c r="J30" i="1"/>
  <c r="I30" i="1"/>
  <c r="H30" i="1"/>
  <c r="O31" i="1"/>
  <c r="N31" i="1"/>
  <c r="M31" i="1"/>
  <c r="L31" i="1"/>
  <c r="K31" i="1"/>
  <c r="J31" i="1"/>
  <c r="O29" i="1"/>
  <c r="N29" i="1"/>
  <c r="M29" i="1"/>
  <c r="L29" i="1"/>
  <c r="K29" i="1"/>
  <c r="J29" i="1"/>
  <c r="I29" i="1"/>
  <c r="Q24" i="1"/>
  <c r="Q31" i="1" s="1"/>
  <c r="P24" i="1"/>
  <c r="P31" i="1" s="1"/>
  <c r="O24" i="1"/>
  <c r="N24" i="1"/>
  <c r="M24" i="1"/>
  <c r="J24" i="1"/>
  <c r="I24" i="1"/>
  <c r="D6" i="9"/>
  <c r="B5" i="9"/>
  <c r="I5" i="9"/>
  <c r="G5" i="9"/>
  <c r="D5" i="9"/>
  <c r="K14" i="1"/>
  <c r="J14" i="1"/>
  <c r="I14" i="1"/>
  <c r="I9" i="9" l="1"/>
  <c r="H9" i="9"/>
  <c r="G9" i="9"/>
  <c r="F9" i="9"/>
  <c r="E9" i="9"/>
  <c r="C9" i="9"/>
  <c r="B9" i="9"/>
  <c r="F8" i="9"/>
  <c r="B8" i="9"/>
  <c r="D9" i="9"/>
  <c r="I8" i="9"/>
  <c r="H5" i="9"/>
  <c r="H8" i="9" s="1"/>
  <c r="G8" i="9"/>
  <c r="F5" i="9"/>
  <c r="E5" i="9"/>
  <c r="E8" i="9" s="1"/>
  <c r="D8" i="9"/>
  <c r="C5" i="9"/>
  <c r="C8" i="9" s="1"/>
  <c r="G13" i="1" l="1"/>
  <c r="R66" i="1"/>
  <c r="R25" i="1" l="1"/>
  <c r="Q23" i="1"/>
  <c r="P23" i="1"/>
  <c r="O22" i="1"/>
  <c r="P22" i="1"/>
  <c r="Q22" i="1"/>
  <c r="N22" i="1"/>
  <c r="L23" i="1"/>
  <c r="M23" i="1"/>
  <c r="N23" i="1"/>
  <c r="O23" i="1"/>
  <c r="K24" i="1"/>
  <c r="R24" i="1" s="1"/>
  <c r="L24" i="1"/>
  <c r="J22" i="1"/>
  <c r="K22" i="1"/>
  <c r="L22" i="1"/>
  <c r="M22" i="1"/>
  <c r="I22" i="1"/>
  <c r="K23" i="1"/>
  <c r="B2" i="5"/>
  <c r="M8" i="8"/>
  <c r="H7" i="8"/>
  <c r="R1" i="1"/>
  <c r="R22" i="1" l="1"/>
  <c r="R23" i="1"/>
  <c r="Q44" i="1"/>
  <c r="I44" i="1"/>
  <c r="J44" i="1"/>
  <c r="K44" i="1"/>
  <c r="L44" i="1"/>
  <c r="M44" i="1"/>
  <c r="N44" i="1"/>
  <c r="O44" i="1"/>
  <c r="P44" i="1"/>
  <c r="H44" i="1"/>
  <c r="R14" i="1"/>
  <c r="M12" i="8" s="1"/>
  <c r="R13" i="1"/>
  <c r="M11" i="8" s="1"/>
  <c r="C50" i="5"/>
  <c r="D41" i="5"/>
  <c r="F23" i="5"/>
  <c r="H22" i="5"/>
  <c r="F22" i="5"/>
  <c r="G21" i="5"/>
  <c r="J21" i="5" s="1"/>
  <c r="F20" i="5"/>
  <c r="J20" i="5" s="1"/>
  <c r="F19" i="5"/>
  <c r="J19" i="5" s="1"/>
  <c r="D19" i="5"/>
  <c r="R26" i="1" l="1"/>
  <c r="M6" i="8" l="1"/>
  <c r="O6" i="8" s="1"/>
  <c r="B4" i="5" l="1"/>
  <c r="H56" i="1"/>
  <c r="K60" i="1"/>
  <c r="J59" i="1"/>
  <c r="I58" i="1"/>
  <c r="C2" i="5" l="1"/>
  <c r="D2" i="5" s="1"/>
  <c r="C12" i="5" l="1"/>
  <c r="C11" i="5" s="1"/>
  <c r="C10" i="5" s="1"/>
  <c r="P29" i="1"/>
  <c r="Q29" i="1" s="1"/>
  <c r="J17" i="1"/>
  <c r="I17" i="1"/>
  <c r="I56" i="1" s="1"/>
  <c r="H57" i="1"/>
  <c r="R29" i="1" l="1"/>
  <c r="M13" i="8" s="1"/>
  <c r="K17" i="1"/>
  <c r="J56" i="1"/>
  <c r="B5" i="5"/>
  <c r="H39" i="1" s="1"/>
  <c r="L17" i="1" l="1"/>
  <c r="K56" i="1"/>
  <c r="M17" i="1" l="1"/>
  <c r="L56" i="1"/>
  <c r="D12" i="5"/>
  <c r="D11" i="5" s="1"/>
  <c r="N17" i="1" l="1"/>
  <c r="M56" i="1"/>
  <c r="D10" i="5"/>
  <c r="O17" i="1" l="1"/>
  <c r="N56" i="1"/>
  <c r="E12" i="5"/>
  <c r="E10" i="5" s="1"/>
  <c r="I31" i="1"/>
  <c r="G31" i="1"/>
  <c r="P17" i="1" l="1"/>
  <c r="O56" i="1"/>
  <c r="F12" i="5"/>
  <c r="F10" i="5" s="1"/>
  <c r="E11" i="5"/>
  <c r="Q17" i="1" l="1"/>
  <c r="Q56" i="1" s="1"/>
  <c r="P56" i="1"/>
  <c r="G12" i="5"/>
  <c r="G10" i="5" s="1"/>
  <c r="F11" i="5"/>
  <c r="G11" i="5" s="1"/>
  <c r="H12" i="5" l="1"/>
  <c r="H67" i="1"/>
  <c r="H37" i="1" s="1"/>
  <c r="G44" i="1"/>
  <c r="R44" i="1" s="1"/>
  <c r="K59" i="1"/>
  <c r="L60" i="1"/>
  <c r="L61" i="1"/>
  <c r="M62" i="1"/>
  <c r="N63" i="1"/>
  <c r="O64" i="1"/>
  <c r="P65" i="1"/>
  <c r="R65" i="1" s="1"/>
  <c r="J58" i="1"/>
  <c r="M61" i="1" l="1"/>
  <c r="N61" i="1" s="1"/>
  <c r="O61" i="1" s="1"/>
  <c r="P61" i="1" s="1"/>
  <c r="O63" i="1"/>
  <c r="P63" i="1" s="1"/>
  <c r="N62" i="1"/>
  <c r="O62" i="1" s="1"/>
  <c r="P62" i="1" s="1"/>
  <c r="P64" i="1"/>
  <c r="R64" i="1" s="1"/>
  <c r="M60" i="1"/>
  <c r="N60" i="1" s="1"/>
  <c r="O60" i="1" s="1"/>
  <c r="P60" i="1" s="1"/>
  <c r="Q60" i="1" s="1"/>
  <c r="L59" i="1"/>
  <c r="M59" i="1" s="1"/>
  <c r="N59" i="1" s="1"/>
  <c r="O59" i="1" s="1"/>
  <c r="P59" i="1" s="1"/>
  <c r="Q59" i="1" s="1"/>
  <c r="K58" i="1"/>
  <c r="L58" i="1" s="1"/>
  <c r="M58" i="1" s="1"/>
  <c r="N58" i="1" s="1"/>
  <c r="O58" i="1" s="1"/>
  <c r="P58" i="1" s="1"/>
  <c r="Q58" i="1" s="1"/>
  <c r="H11" i="5"/>
  <c r="H10" i="5"/>
  <c r="R63" i="1" l="1"/>
  <c r="R61" i="1"/>
  <c r="R58" i="1"/>
  <c r="R62" i="1"/>
  <c r="R59" i="1"/>
  <c r="R60" i="1"/>
  <c r="I12" i="5"/>
  <c r="I11" i="5" s="1"/>
  <c r="I10" i="5" l="1"/>
  <c r="C5" i="5"/>
  <c r="I23" i="5" l="1"/>
  <c r="J23" i="5" s="1"/>
  <c r="I22" i="5"/>
  <c r="J22" i="5" s="1"/>
  <c r="J24" i="5" s="1"/>
  <c r="K24" i="5" s="1"/>
  <c r="I20" i="5"/>
  <c r="J12" i="5"/>
  <c r="J11" i="5" s="1"/>
  <c r="I39" i="1"/>
  <c r="P26" i="1"/>
  <c r="P32" i="1" s="1"/>
  <c r="R31" i="1" l="1"/>
  <c r="J10" i="5"/>
  <c r="M10" i="8"/>
  <c r="D5" i="5"/>
  <c r="E2" i="5"/>
  <c r="E5" i="5" s="1"/>
  <c r="R30" i="1"/>
  <c r="P33" i="1" l="1"/>
  <c r="P34" i="1" s="1"/>
  <c r="P35" i="1" s="1"/>
  <c r="K12" i="5"/>
  <c r="J39" i="1"/>
  <c r="K39" i="1"/>
  <c r="F2" i="5"/>
  <c r="F5" i="5" s="1"/>
  <c r="M26" i="1"/>
  <c r="I26" i="1"/>
  <c r="J26" i="1"/>
  <c r="K26" i="1"/>
  <c r="F32" i="1" s="1"/>
  <c r="L26" i="1"/>
  <c r="H26" i="1"/>
  <c r="K10" i="5" l="1"/>
  <c r="K11" i="5"/>
  <c r="L39" i="1"/>
  <c r="G2" i="5"/>
  <c r="G5" i="5" s="1"/>
  <c r="N26" i="1"/>
  <c r="M33" i="1"/>
  <c r="M34" i="1" s="1"/>
  <c r="O26" i="1"/>
  <c r="O32" i="1" s="1"/>
  <c r="Q26" i="1"/>
  <c r="Q32" i="1" s="1"/>
  <c r="L33" i="1"/>
  <c r="L34" i="1" s="1"/>
  <c r="R32" i="1" l="1"/>
  <c r="Q33" i="1"/>
  <c r="Q34" i="1"/>
  <c r="R39" i="1"/>
  <c r="H2" i="5"/>
  <c r="M35" i="1"/>
  <c r="L35" i="1"/>
  <c r="Q35" i="1" l="1"/>
  <c r="N33" i="1"/>
  <c r="N34" i="1" s="1"/>
  <c r="N35" i="1" s="1"/>
  <c r="I2" i="5"/>
  <c r="H5" i="5"/>
  <c r="O33" i="1"/>
  <c r="O34" i="1" s="1"/>
  <c r="J2" i="5" l="1"/>
  <c r="J5" i="5" s="1"/>
  <c r="I5" i="5"/>
  <c r="O35" i="1"/>
  <c r="K2" i="5" l="1"/>
  <c r="K5" i="5" s="1"/>
  <c r="G26" i="1"/>
  <c r="S26" i="1" s="1"/>
  <c r="I57" i="1" l="1"/>
  <c r="I67" i="1" l="1"/>
  <c r="I37" i="1" s="1"/>
  <c r="J57" i="1"/>
  <c r="K57" i="1" l="1"/>
  <c r="J67" i="1"/>
  <c r="J37" i="1" s="1"/>
  <c r="K33" i="1"/>
  <c r="K34" i="1" s="1"/>
  <c r="K35" i="1" s="1"/>
  <c r="J33" i="1"/>
  <c r="J34" i="1" s="1"/>
  <c r="J35" i="1" s="1"/>
  <c r="G32" i="1"/>
  <c r="I33" i="1"/>
  <c r="I34" i="1" s="1"/>
  <c r="I35" i="1" s="1"/>
  <c r="H33" i="1"/>
  <c r="H34" i="1" s="1"/>
  <c r="H38" i="1" s="1"/>
  <c r="H40" i="1" s="1"/>
  <c r="M14" i="8" l="1"/>
  <c r="L57" i="1"/>
  <c r="K67" i="1"/>
  <c r="K37" i="1" s="1"/>
  <c r="I38" i="1"/>
  <c r="G33" i="1"/>
  <c r="R33" i="1" l="1"/>
  <c r="R34" i="1" s="1"/>
  <c r="G34" i="1"/>
  <c r="S33" i="1"/>
  <c r="R35" i="1"/>
  <c r="F52" i="1" s="1"/>
  <c r="M17" i="8" s="1"/>
  <c r="L67" i="1"/>
  <c r="L37" i="1" s="1"/>
  <c r="L38" i="1" s="1"/>
  <c r="H41" i="1"/>
  <c r="H42" i="1" s="1"/>
  <c r="H35" i="1"/>
  <c r="G38" i="1"/>
  <c r="J38" i="1"/>
  <c r="I40" i="1"/>
  <c r="S34" i="1" l="1"/>
  <c r="G40" i="1"/>
  <c r="I41" i="1"/>
  <c r="I42" i="1" s="1"/>
  <c r="I45" i="1" s="1"/>
  <c r="H45" i="1"/>
  <c r="N57" i="1"/>
  <c r="M67" i="1"/>
  <c r="M37" i="1" s="1"/>
  <c r="G41" i="1"/>
  <c r="J40" i="1"/>
  <c r="J41" i="1" l="1"/>
  <c r="J42" i="1" s="1"/>
  <c r="G42" i="1"/>
  <c r="O57" i="1"/>
  <c r="N67" i="1"/>
  <c r="N37" i="1" s="1"/>
  <c r="L40" i="1"/>
  <c r="L41" i="1" l="1"/>
  <c r="L42" i="1" s="1"/>
  <c r="J45" i="1"/>
  <c r="G45" i="1"/>
  <c r="P57" i="1"/>
  <c r="Q57" i="1" s="1"/>
  <c r="R57" i="1" s="1"/>
  <c r="R67" i="1" s="1"/>
  <c r="O67" i="1"/>
  <c r="O37" i="1" s="1"/>
  <c r="M38" i="1"/>
  <c r="M40" i="1" s="1"/>
  <c r="K38" i="1"/>
  <c r="M41" i="1" l="1"/>
  <c r="M42" i="1" s="1"/>
  <c r="L45" i="1"/>
  <c r="G46" i="1"/>
  <c r="Q67" i="1"/>
  <c r="Q37" i="1" s="1"/>
  <c r="P67" i="1"/>
  <c r="P37" i="1" s="1"/>
  <c r="P38" i="1" s="1"/>
  <c r="P40" i="1" s="1"/>
  <c r="N38" i="1"/>
  <c r="K40" i="1"/>
  <c r="P41" i="1" l="1"/>
  <c r="P42" i="1" s="1"/>
  <c r="M45" i="1"/>
  <c r="G47" i="1"/>
  <c r="H46" i="1"/>
  <c r="K41" i="1"/>
  <c r="K42" i="1" s="1"/>
  <c r="Q38" i="1"/>
  <c r="Q40" i="1" s="1"/>
  <c r="R37" i="1"/>
  <c r="R38" i="1" s="1"/>
  <c r="O38" i="1"/>
  <c r="N40" i="1"/>
  <c r="Q41" i="1" l="1"/>
  <c r="Q42" i="1" s="1"/>
  <c r="N41" i="1"/>
  <c r="N42" i="1" s="1"/>
  <c r="P45" i="1"/>
  <c r="S38" i="1"/>
  <c r="K45" i="1"/>
  <c r="I46" i="1"/>
  <c r="H47" i="1"/>
  <c r="O40" i="1"/>
  <c r="N45" i="1" l="1"/>
  <c r="R40" i="1"/>
  <c r="S40" i="1" s="1"/>
  <c r="Q45" i="1"/>
  <c r="I47" i="1"/>
  <c r="J46" i="1"/>
  <c r="O41" i="1"/>
  <c r="R41" i="1" s="1"/>
  <c r="O42" i="1" l="1"/>
  <c r="R42" i="1"/>
  <c r="J47" i="1"/>
  <c r="K46" i="1"/>
  <c r="S42" i="1" l="1"/>
  <c r="O45" i="1"/>
  <c r="R45" i="1" s="1"/>
  <c r="K47" i="1"/>
  <c r="L46" i="1"/>
  <c r="F51" i="1" l="1"/>
  <c r="M16" i="8" s="1"/>
  <c r="F50" i="1"/>
  <c r="M15" i="8" s="1"/>
  <c r="M46" i="1"/>
  <c r="L47" i="1"/>
  <c r="M47" i="1" l="1"/>
  <c r="N46" i="1"/>
  <c r="O46" i="1" l="1"/>
  <c r="O47" i="1" s="1"/>
  <c r="N47" i="1"/>
  <c r="P46" i="1" l="1"/>
  <c r="Q46" i="1" s="1"/>
  <c r="Q47" i="1" s="1"/>
  <c r="F53" i="1" s="1"/>
  <c r="M18" i="8" s="1"/>
</calcChain>
</file>

<file path=xl/comments1.xml><?xml version="1.0" encoding="utf-8"?>
<comments xmlns="http://schemas.openxmlformats.org/spreadsheetml/2006/main">
  <authors>
    <author xml:space="preserve"> Subianto  Kasmun </author>
  </authors>
  <commentList>
    <comment ref="I18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<sst xmlns="http://schemas.openxmlformats.org/spreadsheetml/2006/main" count="206" uniqueCount="165">
  <si>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</si>
  <si>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</si>
  <si>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</si>
  <si>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</si>
  <si>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</si>
  <si>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</si>
  <si>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</si>
  <si>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</si>
  <si>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</si>
  <si>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</si>
  <si>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</si>
  <si>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</si>
  <si>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</si>
  <si>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Total Revenues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</si>
  <si>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</si>
  <si>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</si>
  <si>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</si>
  <si>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</si>
  <si>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</si>
  <si>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</si>
  <si>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</si>
  <si>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</si>
  <si>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</si>
  <si>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</si>
  <si>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</si>
  <si>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</si>
  <si>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</si>
  <si>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</si>
  <si>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</si>
  <si>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</si>
  <si>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</si>
  <si>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</si>
  <si>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</si>
  <si>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</si>
  <si>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</si>
  <si>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Telkomsel</t>
  </si>
  <si>
    <t>XL</t>
  </si>
  <si>
    <t>Smartfren</t>
  </si>
  <si>
    <t>IOH</t>
  </si>
  <si>
    <t>Y1</t>
  </si>
  <si>
    <t>Y2</t>
  </si>
  <si>
    <t>Y3</t>
  </si>
  <si>
    <t>Y4</t>
  </si>
  <si>
    <t>Y5</t>
  </si>
  <si>
    <t>Interest Rate</t>
  </si>
  <si>
    <t>Lease to BM</t>
  </si>
  <si>
    <t>Y6</t>
  </si>
  <si>
    <t>Y7</t>
  </si>
  <si>
    <t>Y8</t>
  </si>
  <si>
    <t>Y9</t>
  </si>
  <si>
    <t>Y10</t>
  </si>
  <si>
    <t>Year 6</t>
  </si>
  <si>
    <t>Year 7</t>
  </si>
  <si>
    <t>Year 8</t>
  </si>
  <si>
    <t>Year 9</t>
  </si>
  <si>
    <t>Year 10</t>
  </si>
  <si>
    <t>CAPEX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</si>
  <si>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</si>
  <si>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</si>
  <si>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</si>
  <si>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</si>
  <si>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</si>
  <si>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</si>
  <si>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</si>
  <si>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Kurs 1USD</t>
  </si>
  <si>
    <t>Status</t>
  </si>
  <si>
    <t>Antena PKS BM</t>
  </si>
  <si>
    <t>Antena Asset</t>
  </si>
  <si>
    <t>Jumlah Pole Makro</t>
  </si>
  <si>
    <t>Site Name</t>
  </si>
  <si>
    <t>Address</t>
  </si>
  <si>
    <t>Site Information</t>
  </si>
  <si>
    <t>Financial Summary</t>
  </si>
  <si>
    <t>Total Revenue</t>
  </si>
  <si>
    <t>Contract Period (thn)</t>
  </si>
  <si>
    <t>Capex /antenna</t>
  </si>
  <si>
    <t>Cable FO (Core)</t>
  </si>
  <si>
    <t xml:space="preserve">Technical Information </t>
  </si>
  <si>
    <t>OPENET</t>
  </si>
  <si>
    <t>IBC</t>
  </si>
  <si>
    <t>OTHERS</t>
  </si>
  <si>
    <t>Area building</t>
  </si>
  <si>
    <t>Type of building</t>
  </si>
  <si>
    <t>Total floor</t>
  </si>
  <si>
    <t>No of building tower</t>
  </si>
  <si>
    <t>Drop Wire (meter)</t>
  </si>
  <si>
    <t>Cable FO (meter)</t>
  </si>
  <si>
    <t>Product :</t>
  </si>
  <si>
    <t>Status P&amp;L</t>
  </si>
  <si>
    <t>New Building</t>
  </si>
  <si>
    <t>DAS</t>
  </si>
  <si>
    <t>Interest rate /year</t>
  </si>
  <si>
    <t>Payback (year)</t>
  </si>
  <si>
    <t xml:space="preserve">Tanggal P&amp;L:  </t>
  </si>
  <si>
    <t>Prepared by</t>
  </si>
  <si>
    <t>Revenue</t>
  </si>
  <si>
    <t>Approved  by</t>
  </si>
  <si>
    <t>IBS / DAS</t>
  </si>
  <si>
    <t>Target to Achieve by Commercial:</t>
  </si>
  <si>
    <t>General Asumption</t>
  </si>
  <si>
    <t>NO :  0001/01/IRR/IBC/V/2023</t>
  </si>
  <si>
    <t>0026/03/IRR/IBC/XI/2023</t>
  </si>
  <si>
    <t>Price Adjustment after 5 year</t>
  </si>
  <si>
    <t>Citra K.</t>
  </si>
  <si>
    <t>Y0</t>
  </si>
  <si>
    <t>Year 0</t>
  </si>
  <si>
    <t>Total COGS Rent</t>
  </si>
  <si>
    <t>Total COGS Other</t>
  </si>
  <si>
    <t>Total Capex DAS</t>
  </si>
  <si>
    <t>Total Capex CME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</si>
  <si>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</si>
  <si>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</si>
  <si>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</si>
  <si>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</si>
  <si>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</si>
  <si>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</si>
  <si>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</si>
  <si>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</si>
  <si>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</si>
  <si>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</si>
  <si>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</si>
  <si>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</si>
  <si>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</si>
  <si>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</si>
  <si>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</si>
  <si>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</si>
  <si>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</si>
  <si>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</si>
  <si>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</si>
  <si>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</si>
  <si>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</si>
  <si>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</si>
  <si>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</si>
  <si>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</si>
  <si>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</si>
  <si>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</si>
  <si>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</si>
  <si>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</si>
  <si>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</si>
  <si>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</si>
  <si>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</si>
  <si>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</si>
  <si>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</si>
  <si>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</si>
  <si>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</si>
  <si>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</si>
  <si>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</si>
  <si>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</si>
  <si>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</si>
  <si>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Maintenance (RPM)</t>
  </si>
  <si>
    <t>SG&amp;A (inhouse resources)</t>
  </si>
  <si>
    <t>BTS migrasi</t>
  </si>
  <si>
    <t>Capex per antenna</t>
  </si>
  <si>
    <t>Migrasi per operator</t>
  </si>
  <si>
    <t>% increase (decrease)</t>
  </si>
  <si>
    <t>Rev/month - TSEL</t>
  </si>
  <si>
    <t>Rev/month - XL</t>
  </si>
  <si>
    <t>Rev/month - IOH</t>
  </si>
  <si>
    <t>Rev/month - SF</t>
  </si>
  <si>
    <t>Join year</t>
  </si>
  <si>
    <t>% inc (dec)</t>
  </si>
  <si>
    <t>BTS</t>
  </si>
  <si>
    <t>Mall Taman Palem</t>
  </si>
  <si>
    <t>Jakarta</t>
  </si>
  <si>
    <t>Renewal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</si>
</sst>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(&quot;$&quot;* #,##0.00_);_(&quot;$&quot;* \(#,##0.00\);_(&quot;$&quot;* &quot;-&quot;??_);_(@_)"/>
  </numFmts>
  <fonts count="3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5" tint="-0.249977111117893"/>
      <name val="Calibri"/>
      <family val="2"/>
      <scheme val="minor"/>
    </font>
    <font>
      <sz val="8"/>
      <color rgb="FF7030A0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rgb="FF7030A0"/>
      <name val="Calibri"/>
      <family val="2"/>
      <scheme val="minor"/>
    </font>
    <font>
      <b/>
      <i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3">
    <xf numFmtId="0" fontId="0" fillId="0" borderId="0"/>
    <xf numFmtId="166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4" fillId="0" borderId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0" fontId="3" fillId="0" borderId="0"/>
    <xf numFmtId="170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1" fillId="0" borderId="0"/>
    <xf numFmtId="165" fontId="3" fillId="0" borderId="0" applyFont="0" applyFill="0" applyBorder="0" applyAlignment="0" applyProtection="0"/>
    <xf numFmtId="0" fontId="2" fillId="0" borderId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21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0" fillId="3" borderId="0" xfId="0" applyFill="1"/>
    <xf numFmtId="9" fontId="12" fillId="0" borderId="0" xfId="2" applyNumberFormat="1" applyFont="1"/>
    <xf numFmtId="10" fontId="12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5" fillId="0" borderId="0" xfId="0" applyNumberFormat="1" applyFont="1" applyBorder="1"/>
    <xf numFmtId="41" fontId="12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13" fillId="0" borderId="0" xfId="0" applyFon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9" fillId="0" borderId="0" xfId="0" applyFont="1"/>
    <xf numFmtId="0" fontId="19" fillId="0" borderId="0" xfId="0" applyFont="1" applyAlignment="1">
      <alignment vertical="center"/>
    </xf>
    <xf numFmtId="166" fontId="19" fillId="0" borderId="0" xfId="1" applyFont="1"/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20" fillId="0" borderId="0" xfId="0" applyFont="1"/>
    <xf numFmtId="0" fontId="21" fillId="0" borderId="0" xfId="0" applyFont="1"/>
    <xf numFmtId="9" fontId="20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7" fontId="18" fillId="0" borderId="0" xfId="1" applyNumberFormat="1" applyFont="1"/>
    <xf numFmtId="9" fontId="0" fillId="0" borderId="0" xfId="3" applyFont="1"/>
    <xf numFmtId="0" fontId="0" fillId="0" borderId="0" xfId="0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1" fillId="0" borderId="4" xfId="0" applyFont="1" applyBorder="1"/>
    <xf numFmtId="0" fontId="0" fillId="0" borderId="4" xfId="0" applyBorder="1"/>
    <xf numFmtId="167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7" fillId="0" borderId="0" xfId="0" applyNumberFormat="1" applyFont="1" applyBorder="1"/>
    <xf numFmtId="41" fontId="16" fillId="0" borderId="0" xfId="0" applyNumberFormat="1" applyFont="1" applyBorder="1"/>
    <xf numFmtId="167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19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20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3" fillId="0" borderId="6" xfId="0" applyFont="1" applyBorder="1"/>
    <xf numFmtId="0" fontId="23" fillId="0" borderId="3" xfId="0" applyFont="1" applyBorder="1"/>
    <xf numFmtId="0" fontId="23" fillId="0" borderId="8" xfId="0" applyFont="1" applyBorder="1"/>
    <xf numFmtId="0" fontId="23" fillId="0" borderId="0" xfId="0" applyFont="1" applyBorder="1"/>
    <xf numFmtId="9" fontId="23" fillId="0" borderId="9" xfId="3" applyFont="1" applyBorder="1"/>
    <xf numFmtId="0" fontId="23" fillId="0" borderId="10" xfId="0" applyFont="1" applyBorder="1"/>
    <xf numFmtId="0" fontId="23" fillId="0" borderId="2" xfId="0" applyFont="1" applyBorder="1"/>
    <xf numFmtId="168" fontId="23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7" fontId="10" fillId="0" borderId="0" xfId="17" applyNumberFormat="1" applyFont="1"/>
    <xf numFmtId="41" fontId="0" fillId="0" borderId="0" xfId="2" applyFont="1" applyAlignment="1">
      <alignment vertical="center"/>
    </xf>
    <xf numFmtId="41" fontId="10" fillId="0" borderId="0" xfId="2" applyFont="1" applyFill="1"/>
    <xf numFmtId="167" fontId="0" fillId="4" borderId="0" xfId="0" applyNumberFormat="1" applyFill="1" applyAlignment="1">
      <alignment vertical="center"/>
    </xf>
    <xf numFmtId="0" fontId="14" fillId="0" borderId="0" xfId="0" applyFont="1"/>
    <xf numFmtId="41" fontId="23" fillId="0" borderId="0" xfId="0" applyNumberFormat="1" applyFont="1" applyBorder="1"/>
    <xf numFmtId="41" fontId="25" fillId="0" borderId="0" xfId="0" applyNumberFormat="1" applyFont="1" applyBorder="1"/>
    <xf numFmtId="0" fontId="23" fillId="0" borderId="0" xfId="0" applyFont="1"/>
    <xf numFmtId="41" fontId="0" fillId="0" borderId="0" xfId="0" applyNumberFormat="1" applyAlignment="1">
      <alignment horizontal="right" vertical="center"/>
    </xf>
    <xf numFmtId="168" fontId="18" fillId="0" borderId="0" xfId="1" applyNumberFormat="1" applyFont="1"/>
    <xf numFmtId="167" fontId="0" fillId="0" borderId="0" xfId="0" applyNumberFormat="1" applyFill="1" applyAlignment="1">
      <alignment vertical="center"/>
    </xf>
    <xf numFmtId="9" fontId="0" fillId="0" borderId="0" xfId="0" applyNumberFormat="1"/>
    <xf numFmtId="0" fontId="26" fillId="0" borderId="0" xfId="0" applyFont="1"/>
    <xf numFmtId="38" fontId="26" fillId="0" borderId="0" xfId="0" applyNumberFormat="1" applyFont="1"/>
    <xf numFmtId="167" fontId="28" fillId="0" borderId="0" xfId="1" applyNumberFormat="1" applyFont="1"/>
    <xf numFmtId="168" fontId="28" fillId="0" borderId="0" xfId="1" applyNumberFormat="1" applyFont="1"/>
    <xf numFmtId="0" fontId="26" fillId="0" borderId="0" xfId="0" applyFont="1" applyAlignment="1">
      <alignment vertical="center"/>
    </xf>
    <xf numFmtId="41" fontId="26" fillId="0" borderId="0" xfId="0" applyNumberFormat="1" applyFont="1" applyAlignment="1">
      <alignment vertical="center"/>
    </xf>
    <xf numFmtId="41" fontId="26" fillId="0" borderId="0" xfId="0" applyNumberFormat="1" applyFont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0" fillId="0" borderId="0" xfId="0" applyFont="1" applyBorder="1"/>
    <xf numFmtId="0" fontId="30" fillId="0" borderId="0" xfId="0" applyFont="1"/>
    <xf numFmtId="0" fontId="29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9" xfId="2" applyNumberFormat="1" applyFont="1" applyBorder="1"/>
    <xf numFmtId="9" fontId="11" fillId="0" borderId="18" xfId="2" applyNumberFormat="1" applyFont="1" applyBorder="1"/>
    <xf numFmtId="169" fontId="11" fillId="0" borderId="22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16" xfId="0" applyFont="1" applyBorder="1" applyAlignment="1">
      <alignment horizontal="left"/>
    </xf>
    <xf numFmtId="41" fontId="0" fillId="0" borderId="0" xfId="0" quotePrefix="1" applyNumberFormat="1" applyAlignment="1">
      <alignment vertic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9" fillId="0" borderId="0" xfId="0" applyFont="1" applyBorder="1" applyAlignment="1"/>
    <xf numFmtId="41" fontId="0" fillId="0" borderId="0" xfId="2" applyFont="1" applyBorder="1"/>
    <xf numFmtId="0" fontId="0" fillId="0" borderId="19" xfId="0" applyFont="1" applyBorder="1"/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Fill="1" applyBorder="1" applyAlignment="1" applyProtection="1">
      <alignment horizontal="center"/>
      <protection locked="0"/>
    </xf>
    <xf numFmtId="167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6" xfId="0" applyFont="1" applyBorder="1"/>
    <xf numFmtId="0" fontId="0" fillId="0" borderId="17" xfId="0" applyFont="1" applyBorder="1"/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38" fontId="23" fillId="0" borderId="9" xfId="0" applyNumberFormat="1" applyFont="1" applyBorder="1"/>
    <xf numFmtId="38" fontId="11" fillId="0" borderId="18" xfId="2" applyNumberFormat="1" applyFont="1" applyBorder="1"/>
    <xf numFmtId="9" fontId="23" fillId="5" borderId="7" xfId="0" applyNumberFormat="1" applyFont="1" applyFill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32" applyNumberFormat="1" applyFont="1" applyBorder="1"/>
    <xf numFmtId="167" fontId="0" fillId="0" borderId="24" xfId="0" applyNumberFormat="1" applyBorder="1"/>
    <xf numFmtId="167" fontId="0" fillId="8" borderId="24" xfId="32" applyNumberFormat="1" applyFont="1" applyFill="1" applyBorder="1"/>
    <xf numFmtId="9" fontId="0" fillId="0" borderId="2" xfId="3" applyFont="1" applyBorder="1"/>
    <xf numFmtId="0" fontId="11" fillId="0" borderId="12" xfId="0" applyFont="1" applyBorder="1" applyAlignment="1">
      <alignment horizontal="center"/>
    </xf>
    <xf numFmtId="0" fontId="0" fillId="9" borderId="0" xfId="0" applyFill="1"/>
    <xf numFmtId="41" fontId="34" fillId="0" borderId="0" xfId="0" applyNumberFormat="1" applyFont="1" applyBorder="1"/>
    <xf numFmtId="0" fontId="0" fillId="9" borderId="19" xfId="0" applyFont="1" applyFill="1" applyBorder="1"/>
    <xf numFmtId="0" fontId="0" fillId="9" borderId="18" xfId="0" applyFont="1" applyFill="1" applyBorder="1" applyAlignment="1">
      <alignment horizontal="left" vertical="justify" wrapText="1"/>
    </xf>
    <xf numFmtId="0" fontId="0" fillId="9" borderId="18" xfId="0" applyFont="1" applyFill="1" applyBorder="1"/>
    <xf numFmtId="0" fontId="27" fillId="9" borderId="15" xfId="0" applyFont="1" applyFill="1" applyBorder="1" applyAlignment="1">
      <alignment horizontal="right" vertical="top"/>
    </xf>
    <xf numFmtId="41" fontId="23" fillId="9" borderId="0" xfId="0" applyNumberFormat="1" applyFont="1" applyFill="1"/>
    <xf numFmtId="41" fontId="12" fillId="9" borderId="0" xfId="0" applyNumberFormat="1" applyFont="1" applyFill="1" applyBorder="1"/>
    <xf numFmtId="0" fontId="0" fillId="9" borderId="0" xfId="0" applyFont="1" applyFill="1" applyBorder="1"/>
    <xf numFmtId="0" fontId="14" fillId="9" borderId="0" xfId="0" applyFont="1" applyFill="1" applyBorder="1"/>
    <xf numFmtId="0" fontId="0" fillId="0" borderId="0" xfId="0" quotePrefix="1"/>
    <xf numFmtId="9" fontId="26" fillId="9" borderId="0" xfId="0" applyNumberFormat="1" applyFont="1" applyFill="1"/>
    <xf numFmtId="41" fontId="0" fillId="9" borderId="0" xfId="2" applyFont="1" applyFill="1" applyAlignment="1">
      <alignment vertical="center"/>
    </xf>
    <xf numFmtId="41" fontId="0" fillId="9" borderId="0" xfId="2" applyFont="1" applyFill="1"/>
    <xf numFmtId="0" fontId="22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9" fontId="0" fillId="0" borderId="0" xfId="0" applyNumberFormat="1" applyAlignment="1">
      <alignment horizontal="center"/>
    </xf>
    <xf numFmtId="41" fontId="17" fillId="0" borderId="23" xfId="0" applyNumberFormat="1" applyFont="1" applyFill="1" applyBorder="1"/>
    <xf numFmtId="167" fontId="11" fillId="0" borderId="33" xfId="0" applyNumberFormat="1" applyFont="1" applyBorder="1" applyAlignment="1">
      <alignment vertical="center"/>
    </xf>
    <xf numFmtId="0" fontId="23" fillId="0" borderId="29" xfId="0" applyFont="1" applyFill="1" applyBorder="1" applyAlignment="1">
      <alignment horizontal="center"/>
    </xf>
    <xf numFmtId="41" fontId="23" fillId="0" borderId="30" xfId="0" applyNumberFormat="1" applyFont="1" applyFill="1" applyBorder="1" applyAlignment="1">
      <alignment vertical="center"/>
    </xf>
    <xf numFmtId="41" fontId="11" fillId="0" borderId="30" xfId="0" applyNumberFormat="1" applyFont="1" applyFill="1" applyBorder="1" applyAlignment="1">
      <alignment vertical="center"/>
    </xf>
    <xf numFmtId="41" fontId="11" fillId="0" borderId="23" xfId="0" applyNumberFormat="1" applyFont="1" applyFill="1" applyBorder="1" applyAlignment="1">
      <alignment vertical="center"/>
    </xf>
    <xf numFmtId="9" fontId="20" fillId="0" borderId="23" xfId="3" applyFont="1" applyFill="1" applyBorder="1" applyAlignment="1">
      <alignment vertical="center"/>
    </xf>
    <xf numFmtId="0" fontId="11" fillId="0" borderId="25" xfId="0" applyFont="1" applyBorder="1" applyAlignment="1">
      <alignment horizontal="center"/>
    </xf>
    <xf numFmtId="41" fontId="23" fillId="0" borderId="3" xfId="0" applyNumberFormat="1" applyFont="1" applyBorder="1"/>
    <xf numFmtId="41" fontId="23" fillId="0" borderId="34" xfId="0" applyNumberFormat="1" applyFont="1" applyBorder="1"/>
    <xf numFmtId="41" fontId="23" fillId="0" borderId="6" xfId="0" applyNumberFormat="1" applyFont="1" applyBorder="1"/>
    <xf numFmtId="41" fontId="23" fillId="0" borderId="10" xfId="0" applyNumberFormat="1" applyFont="1" applyBorder="1"/>
    <xf numFmtId="41" fontId="23" fillId="0" borderId="2" xfId="0" applyNumberFormat="1" applyFont="1" applyBorder="1"/>
    <xf numFmtId="41" fontId="23" fillId="0" borderId="36" xfId="0" applyNumberFormat="1" applyFont="1" applyBorder="1"/>
    <xf numFmtId="0" fontId="23" fillId="0" borderId="37" xfId="0" applyFont="1" applyFill="1" applyBorder="1" applyAlignment="1">
      <alignment horizontal="center"/>
    </xf>
    <xf numFmtId="0" fontId="11" fillId="3" borderId="0" xfId="0" applyFont="1" applyFill="1"/>
    <xf numFmtId="0" fontId="11" fillId="0" borderId="23" xfId="0" applyFont="1" applyFill="1" applyBorder="1"/>
    <xf numFmtId="41" fontId="23" fillId="0" borderId="35" xfId="0" applyNumberFormat="1" applyFont="1" applyFill="1" applyBorder="1" applyAlignment="1">
      <alignment vertical="center"/>
    </xf>
    <xf numFmtId="41" fontId="23" fillId="0" borderId="31" xfId="0" applyNumberFormat="1" applyFont="1" applyFill="1" applyBorder="1" applyAlignment="1">
      <alignment vertical="center"/>
    </xf>
    <xf numFmtId="0" fontId="23" fillId="0" borderId="23" xfId="0" applyFont="1" applyFill="1" applyBorder="1"/>
    <xf numFmtId="41" fontId="23" fillId="0" borderId="23" xfId="0" applyNumberFormat="1" applyFont="1" applyFill="1" applyBorder="1" applyAlignment="1">
      <alignment vertical="center"/>
    </xf>
    <xf numFmtId="166" fontId="35" fillId="0" borderId="23" xfId="1" applyFont="1" applyFill="1" applyBorder="1"/>
    <xf numFmtId="38" fontId="11" fillId="0" borderId="23" xfId="0" applyNumberFormat="1" applyFont="1" applyFill="1" applyBorder="1" applyAlignment="1">
      <alignment vertical="center"/>
    </xf>
    <xf numFmtId="38" fontId="11" fillId="0" borderId="32" xfId="0" applyNumberFormat="1" applyFont="1" applyFill="1" applyBorder="1" applyAlignment="1">
      <alignment vertical="center"/>
    </xf>
    <xf numFmtId="165" fontId="11" fillId="0" borderId="31" xfId="1" applyNumberFormat="1" applyFont="1" applyFill="1" applyBorder="1"/>
    <xf numFmtId="38" fontId="11" fillId="0" borderId="23" xfId="0" applyNumberFormat="1" applyFont="1" applyFill="1" applyBorder="1"/>
    <xf numFmtId="167" fontId="36" fillId="0" borderId="23" xfId="1" applyNumberFormat="1" applyFont="1" applyFill="1" applyBorder="1"/>
    <xf numFmtId="167" fontId="37" fillId="0" borderId="23" xfId="1" applyNumberFormat="1" applyFont="1" applyFill="1" applyBorder="1"/>
    <xf numFmtId="0" fontId="38" fillId="0" borderId="23" xfId="0" applyFont="1" applyFill="1" applyBorder="1"/>
    <xf numFmtId="0" fontId="11" fillId="0" borderId="23" xfId="0" applyFont="1" applyBorder="1"/>
    <xf numFmtId="0" fontId="11" fillId="0" borderId="29" xfId="0" applyFont="1" applyBorder="1"/>
    <xf numFmtId="0" fontId="11" fillId="0" borderId="0" xfId="0" applyFont="1" applyAlignment="1">
      <alignment vertical="center"/>
    </xf>
    <xf numFmtId="0" fontId="11" fillId="9" borderId="13" xfId="0" applyFont="1" applyFill="1" applyBorder="1"/>
    <xf numFmtId="14" fontId="11" fillId="9" borderId="0" xfId="0" applyNumberFormat="1" applyFont="1" applyFill="1" applyBorder="1" applyAlignment="1"/>
    <xf numFmtId="41" fontId="0" fillId="7" borderId="0" xfId="0" applyNumberFormat="1" applyFill="1" applyAlignment="1">
      <alignment horizontal="center"/>
    </xf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0" xfId="0" quotePrefix="1" applyFont="1" applyBorder="1" applyAlignment="1">
      <alignment horizontal="left" indent="1"/>
    </xf>
    <xf numFmtId="0" fontId="11" fillId="0" borderId="0" xfId="0" applyFont="1" applyBorder="1" applyAlignment="1">
      <alignment horizontal="left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1" fillId="0" borderId="17" xfId="0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29" fillId="0" borderId="14" xfId="0" applyFont="1" applyBorder="1" applyAlignment="1">
      <alignment horizontal="center"/>
    </xf>
    <xf numFmtId="0" fontId="29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33">
    <cellStyle name="Comma" xfId="1" builtinId="3"/>
    <cellStyle name="Comma [0]" xfId="2" builtinId="6"/>
    <cellStyle name="Comma [0] 2" xfId="9"/>
    <cellStyle name="Comma [0] 3" xfId="27"/>
    <cellStyle name="Comma [0] 4" xfId="31"/>
    <cellStyle name="Comma 2" xfId="7"/>
    <cellStyle name="Comma 2 3" xfId="22"/>
    <cellStyle name="Comma 3" xfId="10"/>
    <cellStyle name="Comma 3 2" xfId="11"/>
    <cellStyle name="Comma 4" xfId="12"/>
    <cellStyle name="Comma 5" xfId="18"/>
    <cellStyle name="Comma 5 2" xfId="19"/>
    <cellStyle name="Comma 6" xfId="20"/>
    <cellStyle name="Comma 7" xfId="32"/>
    <cellStyle name="Currency [0] 2" xfId="25"/>
    <cellStyle name="Currency [0] 3" xfId="30"/>
    <cellStyle name="Currency 2" xfId="24"/>
    <cellStyle name="Currency 3" xfId="29"/>
    <cellStyle name="Normal" xfId="0" builtinId="0"/>
    <cellStyle name="Normal 2" xfId="5"/>
    <cellStyle name="Normal 2 2" xfId="6"/>
    <cellStyle name="Normal 2 2 2 2 3" xfId="17"/>
    <cellStyle name="Normal 2 7" xfId="21"/>
    <cellStyle name="Normal 3" xfId="13"/>
    <cellStyle name="Normal 3 2" xfId="14"/>
    <cellStyle name="Normal 3 3" xfId="26"/>
    <cellStyle name="Normal 4" xfId="23"/>
    <cellStyle name="Normal 5" xfId="28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24</xdr:row>
      <xdr:rowOff>79365</xdr:rowOff>
    </xdr:from>
    <xdr:to>
      <xdr:col>12</xdr:col>
      <xdr:colOff>791094</xdr:colOff>
      <xdr:row>24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C4AEE9D3-9415-45E2-8AE8-84CBEC846C3B}"/>
            </a:ext>
          </a:extLst>
        </xdr:cNvPr>
        <xdr:cNvCxnSpPr/>
      </xdr:nvCxnSpPr>
      <xdr:spPr>
        <a:xfrm flipV="1">
          <a:off x="8918586" y="456246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53474</xdr:colOff>
      <xdr:row>26</xdr:row>
      <xdr:rowOff>26639</xdr:rowOff>
    </xdr:from>
    <xdr:to>
      <xdr:col>14</xdr:col>
      <xdr:colOff>93579</xdr:colOff>
      <xdr:row>31</xdr:row>
      <xdr:rowOff>124601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01DAA2D-609D-470F-9FA5-EC3BB4E1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316" y="5353955"/>
          <a:ext cx="9404684" cy="11005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1:R26"/>
  <sheetViews>
    <sheetView showGridLines="0" zoomScale="114" zoomScaleNormal="114" workbookViewId="0">
      <selection activeCell="D1" sqref="D1"/>
    </sheetView>
  </sheetViews>
  <sheetFormatPr defaultColWidth="8.75" defaultRowHeight="15.75" x14ac:dyDescent="0.25"/>
  <cols>
    <col min="1" max="1" width="4.25" style="88" customWidth="1"/>
    <col min="2" max="2" width="3" style="88" customWidth="1"/>
    <col min="3" max="3" width="17.375" style="88" customWidth="1"/>
    <col min="4" max="4" width="20.25" style="88" customWidth="1"/>
    <col min="5" max="5" width="4.25" style="88" customWidth="1"/>
    <col min="6" max="6" width="4.875" style="88" customWidth="1"/>
    <col min="7" max="7" width="17" style="88" bestFit="1" customWidth="1"/>
    <col min="8" max="8" width="8.375" style="88" customWidth="1"/>
    <col min="9" max="9" width="3.625" style="88" customWidth="1"/>
    <col min="10" max="10" width="2.125" style="88" customWidth="1"/>
    <col min="11" max="11" width="5.125" style="88" customWidth="1"/>
    <col min="12" max="12" width="18.375" style="88" bestFit="1" customWidth="1"/>
    <col min="13" max="13" width="16.5" style="88" customWidth="1"/>
    <col min="14" max="14" width="2.125" style="88" customWidth="1"/>
    <col min="15" max="15" width="3.75" style="88" customWidth="1"/>
    <col min="16" max="16384" width="8.75" style="88"/>
  </cols>
  <sheetData>
    <row r="1" spans="2:15" x14ac:dyDescent="0.25"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2:15" ht="18.75" x14ac:dyDescent="0.3">
      <c r="B2" s="90"/>
      <c r="C2" s="92" t="s">
        <v>87</v>
      </c>
      <c r="D2" s="89" t="s">
        <v>97</v>
      </c>
      <c r="E2" s="90"/>
      <c r="F2" s="90"/>
      <c r="G2" s="90"/>
      <c r="H2" s="90"/>
      <c r="J2" s="110" t="s">
        <v>93</v>
      </c>
      <c r="K2" s="110"/>
      <c r="L2" s="110"/>
      <c r="M2" s="191"/>
      <c r="N2" s="90"/>
    </row>
    <row r="3" spans="2:15" ht="19.5" thickBot="1" x14ac:dyDescent="0.35">
      <c r="B3" s="90"/>
      <c r="C3" s="92" t="s">
        <v>88</v>
      </c>
      <c r="D3" s="89" t="s">
        <v>89</v>
      </c>
      <c r="E3" s="90"/>
      <c r="F3" s="90"/>
      <c r="G3" s="90"/>
      <c r="H3" s="90"/>
      <c r="M3" s="90"/>
      <c r="N3" s="90"/>
    </row>
    <row r="4" spans="2:15" ht="16.5" hidden="1" thickBot="1" x14ac:dyDescent="0.3">
      <c r="B4" s="90"/>
      <c r="C4" s="89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</row>
    <row r="5" spans="2:15" s="91" customFormat="1" ht="19.5" thickBot="1" x14ac:dyDescent="0.35">
      <c r="B5" s="205" t="s">
        <v>71</v>
      </c>
      <c r="C5" s="206"/>
      <c r="D5" s="207"/>
      <c r="E5" s="205" t="s">
        <v>77</v>
      </c>
      <c r="F5" s="206"/>
      <c r="G5" s="206"/>
      <c r="H5" s="206"/>
      <c r="I5" s="206"/>
      <c r="J5" s="205" t="s">
        <v>72</v>
      </c>
      <c r="K5" s="206"/>
      <c r="L5" s="206"/>
      <c r="M5" s="206"/>
      <c r="N5" s="207"/>
    </row>
    <row r="6" spans="2:15" x14ac:dyDescent="0.25">
      <c r="B6" s="208" t="s">
        <v>69</v>
      </c>
      <c r="C6" s="209"/>
      <c r="D6" s="143" t="s">
        <v>162</v>
      </c>
      <c r="E6" s="210" t="s">
        <v>79</v>
      </c>
      <c r="F6" s="210"/>
      <c r="G6" s="210"/>
      <c r="H6" s="210"/>
      <c r="I6" s="210"/>
      <c r="J6" s="105"/>
      <c r="K6" s="209" t="s">
        <v>75</v>
      </c>
      <c r="L6" s="209"/>
      <c r="M6" s="111">
        <f>M11/H7</f>
        <v>1236490.6764705882</v>
      </c>
      <c r="N6" s="112"/>
      <c r="O6" s="86">
        <f>M6-'IRR Approved'!F8</f>
        <v>1236490.6764705882</v>
      </c>
    </row>
    <row r="7" spans="2:15" x14ac:dyDescent="0.25">
      <c r="B7" s="213" t="s">
        <v>70</v>
      </c>
      <c r="C7" s="214"/>
      <c r="D7" s="144"/>
      <c r="E7" s="196" t="s">
        <v>66</v>
      </c>
      <c r="F7" s="196"/>
      <c r="G7" s="196"/>
      <c r="H7" s="113">
        <f>'IRR Approved'!$F$13</f>
        <v>136</v>
      </c>
      <c r="I7" s="90"/>
      <c r="J7" s="95"/>
      <c r="K7" s="196" t="s">
        <v>74</v>
      </c>
      <c r="L7" s="196"/>
      <c r="M7" s="114">
        <v>10</v>
      </c>
      <c r="N7" s="93"/>
    </row>
    <row r="8" spans="2:15" x14ac:dyDescent="0.25">
      <c r="B8" s="213" t="s">
        <v>81</v>
      </c>
      <c r="C8" s="214"/>
      <c r="D8" s="145" t="s">
        <v>163</v>
      </c>
      <c r="E8" s="196" t="s">
        <v>67</v>
      </c>
      <c r="F8" s="196"/>
      <c r="G8" s="196"/>
      <c r="H8" s="113">
        <v>0</v>
      </c>
      <c r="I8" s="90"/>
      <c r="J8" s="95"/>
      <c r="K8" s="196" t="s">
        <v>91</v>
      </c>
      <c r="L8" s="196"/>
      <c r="M8" s="115">
        <f>'IRR Approved'!$F$4</f>
        <v>0.1</v>
      </c>
      <c r="N8" s="93"/>
    </row>
    <row r="9" spans="2:15" x14ac:dyDescent="0.25">
      <c r="B9" s="195" t="s">
        <v>82</v>
      </c>
      <c r="C9" s="196"/>
      <c r="D9" s="145"/>
      <c r="E9" s="196" t="s">
        <v>68</v>
      </c>
      <c r="F9" s="196"/>
      <c r="G9" s="196"/>
      <c r="H9" s="116">
        <v>0</v>
      </c>
      <c r="I9" s="90"/>
      <c r="J9" s="95"/>
      <c r="K9" s="196" t="s">
        <v>64</v>
      </c>
      <c r="L9" s="196"/>
      <c r="M9" s="111">
        <v>0</v>
      </c>
      <c r="N9" s="93"/>
    </row>
    <row r="10" spans="2:15" x14ac:dyDescent="0.25">
      <c r="B10" s="107" t="s">
        <v>65</v>
      </c>
      <c r="C10" s="108"/>
      <c r="D10" s="145" t="s">
        <v>164</v>
      </c>
      <c r="E10" s="198" t="s">
        <v>78</v>
      </c>
      <c r="F10" s="198"/>
      <c r="G10" s="198"/>
      <c r="H10" s="198"/>
      <c r="I10" s="198"/>
      <c r="J10" s="102"/>
      <c r="K10" s="203" t="s">
        <v>73</v>
      </c>
      <c r="L10" s="203"/>
      <c r="M10" s="111">
        <f>'IRR Approved'!$R$26</f>
        <v>1109760000</v>
      </c>
      <c r="N10" s="93"/>
    </row>
    <row r="11" spans="2:15" x14ac:dyDescent="0.25">
      <c r="B11" s="103" t="s">
        <v>83</v>
      </c>
      <c r="C11" s="109"/>
      <c r="D11" s="94"/>
      <c r="E11" s="197" t="s">
        <v>76</v>
      </c>
      <c r="F11" s="197"/>
      <c r="G11" s="197"/>
      <c r="H11" s="117">
        <v>0</v>
      </c>
      <c r="I11" s="90"/>
      <c r="J11" s="95"/>
      <c r="K11" s="203" t="s">
        <v>108</v>
      </c>
      <c r="L11" s="203"/>
      <c r="M11" s="111">
        <f>'IRR Approved'!$R$13</f>
        <v>168162732</v>
      </c>
      <c r="N11" s="93"/>
    </row>
    <row r="12" spans="2:15" x14ac:dyDescent="0.25">
      <c r="B12" s="103" t="s">
        <v>84</v>
      </c>
      <c r="C12" s="109"/>
      <c r="D12" s="94">
        <v>1</v>
      </c>
      <c r="E12" s="197" t="s">
        <v>86</v>
      </c>
      <c r="F12" s="197"/>
      <c r="G12" s="197"/>
      <c r="H12" s="117">
        <v>0</v>
      </c>
      <c r="I12" s="90"/>
      <c r="J12" s="95"/>
      <c r="K12" s="203" t="s">
        <v>109</v>
      </c>
      <c r="L12" s="203"/>
      <c r="M12" s="87">
        <f>'IRR Approved'!$R$14</f>
        <v>0</v>
      </c>
      <c r="N12" s="93"/>
    </row>
    <row r="13" spans="2:15" x14ac:dyDescent="0.25">
      <c r="B13" s="103"/>
      <c r="C13" s="124"/>
      <c r="D13" s="94"/>
      <c r="E13" s="123"/>
      <c r="F13" s="123"/>
      <c r="G13" s="123"/>
      <c r="H13" s="117"/>
      <c r="I13" s="90"/>
      <c r="J13" s="95"/>
      <c r="K13" s="203" t="s">
        <v>106</v>
      </c>
      <c r="L13" s="203"/>
      <c r="M13" s="87">
        <f>'IRR Approved'!$R$29</f>
        <v>400000000</v>
      </c>
      <c r="N13" s="93"/>
    </row>
    <row r="14" spans="2:15" ht="16.5" thickBot="1" x14ac:dyDescent="0.3">
      <c r="B14" s="95"/>
      <c r="C14" s="90"/>
      <c r="D14" s="93"/>
      <c r="E14" s="197" t="s">
        <v>85</v>
      </c>
      <c r="F14" s="197"/>
      <c r="G14" s="197"/>
      <c r="H14" s="117">
        <v>0</v>
      </c>
      <c r="I14" s="90"/>
      <c r="J14" s="95"/>
      <c r="K14" s="203" t="s">
        <v>107</v>
      </c>
      <c r="L14" s="203"/>
      <c r="M14" s="111">
        <f>'IRR Approved'!$R$30+'IRR Approved'!$R$31+'IRR Approved'!$R$32</f>
        <v>300488000</v>
      </c>
      <c r="N14" s="93"/>
    </row>
    <row r="15" spans="2:15" x14ac:dyDescent="0.25">
      <c r="B15" s="95"/>
      <c r="C15" s="90"/>
      <c r="D15" s="93"/>
      <c r="E15" s="198" t="s">
        <v>80</v>
      </c>
      <c r="F15" s="198"/>
      <c r="G15" s="198"/>
      <c r="H15" s="198"/>
      <c r="I15" s="198"/>
      <c r="J15" s="118"/>
      <c r="K15" s="199" t="s">
        <v>26</v>
      </c>
      <c r="L15" s="200"/>
      <c r="M15" s="96">
        <f>'IRR Approved'!$F$50</f>
        <v>0.31309753874842272</v>
      </c>
      <c r="N15" s="93"/>
    </row>
    <row r="16" spans="2:15" x14ac:dyDescent="0.25">
      <c r="B16" s="95"/>
      <c r="C16" s="90"/>
      <c r="D16" s="93"/>
      <c r="E16" s="90"/>
      <c r="F16" s="90"/>
      <c r="G16" s="90"/>
      <c r="H16" s="90"/>
      <c r="I16" s="90"/>
      <c r="J16" s="119"/>
      <c r="K16" s="201" t="s">
        <v>27</v>
      </c>
      <c r="L16" s="202"/>
      <c r="M16" s="126">
        <f>'IRR Approved'!$F$51</f>
        <v>101360193.17938262</v>
      </c>
      <c r="N16" s="93"/>
    </row>
    <row r="17" spans="2:18" x14ac:dyDescent="0.25">
      <c r="B17" s="95"/>
      <c r="C17" s="90"/>
      <c r="D17" s="93"/>
      <c r="E17" s="90"/>
      <c r="F17" s="90"/>
      <c r="G17" s="90"/>
      <c r="H17" s="90"/>
      <c r="I17" s="90"/>
      <c r="J17" s="119"/>
      <c r="K17" s="201" t="s">
        <v>28</v>
      </c>
      <c r="L17" s="202"/>
      <c r="M17" s="97">
        <f>'IRR Approved'!$F$52</f>
        <v>0.36879325259515572</v>
      </c>
      <c r="N17" s="93"/>
      <c r="R17" s="88" t="s">
        <v>59</v>
      </c>
    </row>
    <row r="18" spans="2:18" ht="16.5" thickBot="1" x14ac:dyDescent="0.3">
      <c r="B18" s="95"/>
      <c r="C18" s="90"/>
      <c r="D18" s="93"/>
      <c r="E18" s="90"/>
      <c r="F18" s="90"/>
      <c r="G18" s="90"/>
      <c r="H18" s="90"/>
      <c r="I18" s="90"/>
      <c r="J18" s="119"/>
      <c r="K18" s="211" t="s">
        <v>92</v>
      </c>
      <c r="L18" s="212"/>
      <c r="M18" s="98">
        <f>'IRR Approved'!$F$53</f>
        <v>3.4247012887694215</v>
      </c>
      <c r="N18" s="93"/>
      <c r="Q18" s="88" t="s">
        <v>59</v>
      </c>
    </row>
    <row r="19" spans="2:18" ht="16.5" thickBot="1" x14ac:dyDescent="0.3">
      <c r="B19" s="99"/>
      <c r="C19" s="100"/>
      <c r="D19" s="101"/>
      <c r="E19" s="100"/>
      <c r="F19" s="100" t="s">
        <v>59</v>
      </c>
      <c r="G19" s="100"/>
      <c r="H19" s="100"/>
      <c r="I19" s="100"/>
      <c r="J19" s="95"/>
      <c r="K19" s="122"/>
      <c r="L19" s="104"/>
      <c r="M19" s="104"/>
      <c r="N19" s="93"/>
    </row>
    <row r="20" spans="2:18" x14ac:dyDescent="0.25">
      <c r="B20" s="120" t="s">
        <v>98</v>
      </c>
      <c r="C20" s="121"/>
      <c r="D20" s="121"/>
      <c r="E20" s="121"/>
      <c r="F20" s="121"/>
      <c r="G20" s="121"/>
      <c r="H20" s="121"/>
      <c r="I20" s="121"/>
      <c r="J20" s="121"/>
      <c r="K20" s="121"/>
      <c r="L20" s="204" t="s">
        <v>94</v>
      </c>
      <c r="M20" s="204"/>
      <c r="N20" s="112"/>
    </row>
    <row r="21" spans="2:18" x14ac:dyDescent="0.25">
      <c r="B21" s="95" t="s">
        <v>95</v>
      </c>
      <c r="C21" s="90"/>
      <c r="D21" s="149"/>
      <c r="E21" s="149"/>
      <c r="F21" s="149"/>
      <c r="G21" s="149"/>
      <c r="H21" s="90"/>
      <c r="I21" s="90"/>
      <c r="J21" s="90"/>
      <c r="K21" s="90"/>
      <c r="L21" s="193" t="s">
        <v>103</v>
      </c>
      <c r="M21" s="194"/>
      <c r="N21" s="93"/>
    </row>
    <row r="22" spans="2:18" x14ac:dyDescent="0.25">
      <c r="B22" s="95"/>
      <c r="C22" s="90"/>
      <c r="D22" s="149"/>
      <c r="E22" s="149"/>
      <c r="F22" s="149"/>
      <c r="G22" s="149"/>
      <c r="H22" s="90"/>
      <c r="I22" s="90"/>
      <c r="J22" s="90"/>
      <c r="K22" s="90"/>
      <c r="L22" s="90"/>
      <c r="M22" s="90"/>
      <c r="N22" s="93"/>
    </row>
    <row r="23" spans="2:18" x14ac:dyDescent="0.25">
      <c r="B23" s="95"/>
      <c r="C23" s="90"/>
      <c r="D23" s="150"/>
      <c r="E23" s="149"/>
      <c r="F23" s="149"/>
      <c r="G23" s="149"/>
      <c r="H23" s="90"/>
      <c r="I23" s="90"/>
      <c r="J23" s="90"/>
      <c r="K23" s="90"/>
      <c r="L23" s="90"/>
      <c r="M23" s="90"/>
      <c r="N23" s="93"/>
    </row>
    <row r="24" spans="2:18" x14ac:dyDescent="0.25">
      <c r="B24" s="95"/>
      <c r="C24" s="90"/>
      <c r="E24" s="90"/>
      <c r="F24" s="90"/>
      <c r="G24" s="90"/>
      <c r="H24" s="90"/>
      <c r="I24" s="90"/>
      <c r="J24" s="90"/>
      <c r="K24" s="90"/>
      <c r="L24" s="90"/>
      <c r="M24" s="90"/>
      <c r="N24" s="93"/>
    </row>
    <row r="25" spans="2:18" ht="16.5" thickBot="1" x14ac:dyDescent="0.3">
      <c r="B25" s="99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1"/>
    </row>
    <row r="26" spans="2:18" x14ac:dyDescent="0.25">
      <c r="B26" s="1" t="s">
        <v>96</v>
      </c>
    </row>
  </sheetData>
  <mergeCells count="31">
    <mergeCell ref="K18:L18"/>
    <mergeCell ref="B7:C7"/>
    <mergeCell ref="E7:G7"/>
    <mergeCell ref="K7:L7"/>
    <mergeCell ref="E8:G8"/>
    <mergeCell ref="K8:L8"/>
    <mergeCell ref="B8:C8"/>
    <mergeCell ref="K13:L13"/>
    <mergeCell ref="K12:L12"/>
    <mergeCell ref="B5:D5"/>
    <mergeCell ref="E5:I5"/>
    <mergeCell ref="J5:N5"/>
    <mergeCell ref="B6:C6"/>
    <mergeCell ref="E6:I6"/>
    <mergeCell ref="K6:L6"/>
    <mergeCell ref="L21:M21"/>
    <mergeCell ref="B9:C9"/>
    <mergeCell ref="E14:G14"/>
    <mergeCell ref="E15:I15"/>
    <mergeCell ref="K15:L15"/>
    <mergeCell ref="K16:L16"/>
    <mergeCell ref="K17:L17"/>
    <mergeCell ref="E9:G9"/>
    <mergeCell ref="K9:L9"/>
    <mergeCell ref="E10:I10"/>
    <mergeCell ref="K11:L11"/>
    <mergeCell ref="E11:G11"/>
    <mergeCell ref="K14:L14"/>
    <mergeCell ref="L20:M20"/>
    <mergeCell ref="E12:G12"/>
    <mergeCell ref="K10:L10"/>
  </mergeCells>
  <pageMargins left="0.35" right="0.4" top="0.45" bottom="0.48" header="0.5" footer="0.22"/>
  <pageSetup paperSize="9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B1:AB88"/>
  <sheetViews>
    <sheetView showGridLines="0" tabSelected="1" zoomScale="70" zoomScaleNormal="70" workbookViewId="0">
      <selection activeCell="F8" sqref="F8:F9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19.625" customWidth="1"/>
    <col min="5" max="5" width="7.125" bestFit="1" customWidth="1"/>
    <col min="6" max="6" width="16.75" customWidth="1"/>
    <col min="7" max="7" width="17.625" style="2" customWidth="1"/>
    <col min="8" max="8" width="17.75" customWidth="1"/>
    <col min="9" max="9" width="15.625" bestFit="1" customWidth="1"/>
    <col min="10" max="10" width="15.25" bestFit="1" customWidth="1"/>
    <col min="11" max="12" width="13.125" bestFit="1" customWidth="1"/>
    <col min="13" max="16" width="12.125" hidden="1" customWidth="1"/>
    <col min="17" max="17" width="16" hidden="1" customWidth="1"/>
    <col min="18" max="18" width="16.875" style="1" bestFit="1" customWidth="1"/>
    <col min="19" max="19" width="12.75" bestFit="1" customWidth="1"/>
    <col min="20" max="23" width="15" bestFit="1" customWidth="1"/>
    <col min="24" max="24" width="15.625" bestFit="1" customWidth="1"/>
    <col min="25" max="25" width="11.625" bestFit="1" customWidth="1"/>
  </cols>
  <sheetData>
    <row r="1" spans="2:27" s="1" customFormat="1" ht="27" thickBot="1" x14ac:dyDescent="0.3">
      <c r="B1" s="1" t="s">
        <v>100</v>
      </c>
      <c r="C1" s="1" t="s">
        <v>101</v>
      </c>
      <c r="G1" s="189"/>
      <c r="Q1" s="190"/>
      <c r="R1" s="146" t="str">
        <f>Summary!$D$6</f>
        <v>Mall Taman Palem</v>
      </c>
    </row>
    <row r="2" spans="2:27" x14ac:dyDescent="0.25">
      <c r="B2" s="35" t="s">
        <v>99</v>
      </c>
      <c r="I2" s="155" t="s">
        <v>159</v>
      </c>
      <c r="L2" s="156" t="s">
        <v>160</v>
      </c>
    </row>
    <row r="3" spans="2:27" x14ac:dyDescent="0.25">
      <c r="C3" t="s">
        <v>0</v>
      </c>
      <c r="F3" s="4">
        <v>0.02</v>
      </c>
      <c r="I3" s="34">
        <v>2</v>
      </c>
      <c r="J3" t="s">
        <v>155</v>
      </c>
      <c r="K3" s="153"/>
      <c r="L3" s="157">
        <v>0.1</v>
      </c>
      <c r="R3" s="173"/>
      <c r="S3" s="3"/>
      <c r="T3" s="3"/>
    </row>
    <row r="4" spans="2:27" x14ac:dyDescent="0.25">
      <c r="C4" t="s">
        <v>44</v>
      </c>
      <c r="F4" s="4">
        <v>0.1</v>
      </c>
      <c r="I4" s="34">
        <v>3</v>
      </c>
      <c r="J4" t="s">
        <v>156</v>
      </c>
      <c r="K4" s="154"/>
      <c r="L4" s="157">
        <v>0.15</v>
      </c>
      <c r="R4" s="173"/>
      <c r="S4" s="3"/>
      <c r="T4" s="3"/>
    </row>
    <row r="5" spans="2:27" x14ac:dyDescent="0.25">
      <c r="C5" t="s">
        <v>1</v>
      </c>
      <c r="F5" s="4">
        <v>0.05</v>
      </c>
      <c r="G5" s="2" t="s">
        <v>2</v>
      </c>
      <c r="I5" s="34">
        <v>4</v>
      </c>
      <c r="J5" t="s">
        <v>157</v>
      </c>
      <c r="K5" s="153">
        <v>221952000</v>
      </c>
      <c r="L5" s="157">
        <v>0.15</v>
      </c>
    </row>
    <row r="6" spans="2:27" x14ac:dyDescent="0.25">
      <c r="C6" t="s">
        <v>3</v>
      </c>
      <c r="F6" s="5">
        <v>0</v>
      </c>
      <c r="G6" s="2" t="s">
        <v>2</v>
      </c>
      <c r="J6" t="s">
        <v>158</v>
      </c>
      <c r="K6" s="154"/>
    </row>
    <row r="7" spans="2:27" x14ac:dyDescent="0.25">
      <c r="C7" t="s">
        <v>102</v>
      </c>
      <c r="F7" s="4">
        <v>0.15</v>
      </c>
    </row>
    <row r="8" spans="2:27" x14ac:dyDescent="0.25">
      <c r="C8" t="s">
        <v>152</v>
      </c>
      <c r="F8" s="148"/>
      <c r="G8" s="9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4"/>
      <c r="V8" s="43"/>
      <c r="W8" s="43"/>
      <c r="X8" s="43"/>
      <c r="Y8" s="43"/>
      <c r="Z8" s="43"/>
    </row>
    <row r="9" spans="2:27" x14ac:dyDescent="0.25">
      <c r="C9" t="s">
        <v>153</v>
      </c>
      <c r="F9" s="148"/>
      <c r="G9" s="9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4"/>
      <c r="V9" s="43"/>
      <c r="W9" s="43"/>
      <c r="X9" s="43"/>
      <c r="Y9" s="43"/>
      <c r="Z9" s="43"/>
    </row>
    <row r="10" spans="2:27" ht="16.5" thickBot="1" x14ac:dyDescent="0.3">
      <c r="G10" s="9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4"/>
      <c r="V10" s="43"/>
      <c r="W10" s="43"/>
      <c r="X10" s="43"/>
      <c r="Y10" s="43"/>
      <c r="Z10" s="43"/>
    </row>
    <row r="11" spans="2:27" s="1" customFormat="1" x14ac:dyDescent="0.25">
      <c r="G11" s="165" t="s">
        <v>104</v>
      </c>
      <c r="H11" s="140" t="s">
        <v>39</v>
      </c>
      <c r="I11" s="140" t="s">
        <v>40</v>
      </c>
      <c r="J11" s="140" t="s">
        <v>41</v>
      </c>
      <c r="K11" s="140" t="s">
        <v>42</v>
      </c>
      <c r="L11" s="140" t="s">
        <v>43</v>
      </c>
      <c r="M11" s="140" t="s">
        <v>46</v>
      </c>
      <c r="N11" s="140" t="s">
        <v>47</v>
      </c>
      <c r="O11" s="140" t="s">
        <v>48</v>
      </c>
      <c r="P11" s="140" t="s">
        <v>49</v>
      </c>
      <c r="Q11" s="140" t="s">
        <v>50</v>
      </c>
      <c r="R11" s="172" t="s">
        <v>11</v>
      </c>
      <c r="S11" s="43"/>
      <c r="T11" s="43"/>
      <c r="U11" s="142"/>
      <c r="V11" s="43"/>
      <c r="W11" s="43"/>
      <c r="X11" s="43"/>
      <c r="Y11" s="43"/>
      <c r="Z11" s="43"/>
    </row>
    <row r="12" spans="2:27" x14ac:dyDescent="0.25">
      <c r="B12" s="1" t="s">
        <v>56</v>
      </c>
      <c r="G12"/>
      <c r="R12" s="174"/>
      <c r="S12" s="43"/>
      <c r="T12" s="43"/>
      <c r="U12" s="44"/>
      <c r="V12" s="43"/>
      <c r="W12" s="43"/>
      <c r="X12" s="43"/>
      <c r="Y12" s="43"/>
      <c r="Z12" s="43"/>
    </row>
    <row r="13" spans="2:27" s="72" customFormat="1" x14ac:dyDescent="0.25">
      <c r="B13" s="75" t="s">
        <v>57</v>
      </c>
      <c r="E13" s="72" t="s">
        <v>90</v>
      </c>
      <c r="F13" s="147">
        <v>136</v>
      </c>
      <c r="G13" s="168">
        <f>SUM('Book Value'!B8:I9)</f>
        <v>168162732</v>
      </c>
      <c r="H13" s="166">
        <v>0</v>
      </c>
      <c r="I13" s="166">
        <v>0</v>
      </c>
      <c r="J13" s="166">
        <v>0</v>
      </c>
      <c r="K13" s="166"/>
      <c r="L13" s="166"/>
      <c r="M13" s="166"/>
      <c r="N13" s="166"/>
      <c r="O13" s="166"/>
      <c r="P13" s="166"/>
      <c r="Q13" s="167"/>
      <c r="R13" s="175">
        <f>SUM(G13:Q13)</f>
        <v>168162732</v>
      </c>
      <c r="S13" s="73"/>
      <c r="T13" s="73"/>
      <c r="U13" s="74"/>
      <c r="V13" s="73"/>
      <c r="W13" s="73"/>
      <c r="X13" s="73"/>
      <c r="Y13" s="73"/>
      <c r="Z13" s="73"/>
    </row>
    <row r="14" spans="2:27" s="72" customFormat="1" x14ac:dyDescent="0.25">
      <c r="B14" s="75"/>
      <c r="E14" s="72" t="s">
        <v>151</v>
      </c>
      <c r="F14" s="147"/>
      <c r="G14" s="169"/>
      <c r="H14" s="170"/>
      <c r="I14" s="170">
        <f>$F$9*0</f>
        <v>0</v>
      </c>
      <c r="J14" s="170">
        <f>$F$9*0</f>
        <v>0</v>
      </c>
      <c r="K14" s="170">
        <f>$F$9*0</f>
        <v>0</v>
      </c>
      <c r="L14" s="170"/>
      <c r="M14" s="170"/>
      <c r="N14" s="170"/>
      <c r="O14" s="170"/>
      <c r="P14" s="170"/>
      <c r="Q14" s="171"/>
      <c r="R14" s="176">
        <f>SUM(G14:Q14)</f>
        <v>0</v>
      </c>
      <c r="S14" s="73"/>
      <c r="T14" s="73"/>
      <c r="U14" s="74"/>
      <c r="V14" s="73"/>
      <c r="W14" s="73"/>
      <c r="X14" s="73"/>
      <c r="Y14" s="73"/>
      <c r="Z14" s="73"/>
    </row>
    <row r="15" spans="2:27" x14ac:dyDescent="0.25">
      <c r="F15" s="43"/>
      <c r="G15" s="73"/>
      <c r="H15" s="87"/>
      <c r="I15" s="43"/>
      <c r="J15" s="43"/>
      <c r="K15" s="43"/>
      <c r="L15" s="43"/>
      <c r="M15" s="43"/>
      <c r="N15" s="43"/>
      <c r="O15" s="43"/>
      <c r="P15" s="43"/>
      <c r="Q15" s="43"/>
      <c r="R15" s="158"/>
      <c r="S15" s="43"/>
      <c r="T15" s="43"/>
      <c r="U15" s="44"/>
      <c r="V15" s="43"/>
      <c r="W15" s="43"/>
      <c r="X15" s="43"/>
      <c r="Y15" s="43"/>
      <c r="Z15" s="43"/>
    </row>
    <row r="16" spans="2:27" x14ac:dyDescent="0.25">
      <c r="F16" s="10"/>
      <c r="R16" s="174"/>
      <c r="U16" s="42"/>
      <c r="V16" s="42"/>
      <c r="W16" s="42"/>
      <c r="X16" s="42"/>
      <c r="Y16" s="42"/>
      <c r="Z16" s="42"/>
      <c r="AA16" s="42"/>
    </row>
    <row r="17" spans="2:27" ht="16.5" thickBot="1" x14ac:dyDescent="0.3">
      <c r="B17" s="11" t="s">
        <v>10</v>
      </c>
      <c r="C17" s="6"/>
      <c r="D17" s="6"/>
      <c r="E17" s="6"/>
      <c r="F17" s="6"/>
      <c r="G17" s="7" t="s">
        <v>105</v>
      </c>
      <c r="H17" s="12">
        <v>2024</v>
      </c>
      <c r="I17" s="7">
        <f>H17+1</f>
        <v>2025</v>
      </c>
      <c r="J17" s="7">
        <f t="shared" ref="J17:Q17" si="0">I17+1</f>
        <v>2026</v>
      </c>
      <c r="K17" s="7">
        <f t="shared" si="0"/>
        <v>2027</v>
      </c>
      <c r="L17" s="7">
        <f t="shared" si="0"/>
        <v>2028</v>
      </c>
      <c r="M17" s="7">
        <f t="shared" si="0"/>
        <v>2029</v>
      </c>
      <c r="N17" s="7">
        <f t="shared" si="0"/>
        <v>2030</v>
      </c>
      <c r="O17" s="7">
        <f t="shared" si="0"/>
        <v>2031</v>
      </c>
      <c r="P17" s="7">
        <f t="shared" si="0"/>
        <v>2032</v>
      </c>
      <c r="Q17" s="7">
        <f t="shared" si="0"/>
        <v>2033</v>
      </c>
      <c r="R17" s="160" t="s">
        <v>11</v>
      </c>
      <c r="S17" s="57"/>
      <c r="T17" s="57"/>
      <c r="U17" s="57"/>
      <c r="V17" s="57"/>
      <c r="W17" s="57"/>
      <c r="X17" s="57"/>
      <c r="Y17" s="42"/>
      <c r="Z17" s="42"/>
      <c r="AA17" s="42"/>
    </row>
    <row r="18" spans="2:27" x14ac:dyDescent="0.25">
      <c r="B18" t="s">
        <v>12</v>
      </c>
      <c r="G18" s="8">
        <v>12</v>
      </c>
      <c r="H18" s="8">
        <v>12</v>
      </c>
      <c r="I18" s="8">
        <v>12</v>
      </c>
      <c r="J18" s="8">
        <v>12</v>
      </c>
      <c r="K18" s="8">
        <v>12</v>
      </c>
      <c r="L18" s="8">
        <v>12</v>
      </c>
      <c r="M18" s="8">
        <v>12</v>
      </c>
      <c r="N18" s="8">
        <v>12</v>
      </c>
      <c r="O18" s="8">
        <v>12</v>
      </c>
      <c r="P18" s="8">
        <v>12</v>
      </c>
      <c r="Q18" s="8">
        <v>12</v>
      </c>
      <c r="R18" s="177"/>
    </row>
    <row r="19" spans="2:27" x14ac:dyDescent="0.25">
      <c r="B19" s="151" t="s">
        <v>154</v>
      </c>
      <c r="M19" s="152">
        <v>0.1</v>
      </c>
      <c r="R19" s="177"/>
    </row>
    <row r="20" spans="2:27" x14ac:dyDescent="0.25">
      <c r="R20" s="177"/>
    </row>
    <row r="21" spans="2:27" x14ac:dyDescent="0.25">
      <c r="B21" s="1" t="s">
        <v>4</v>
      </c>
      <c r="E21" s="18"/>
      <c r="G21" s="19"/>
      <c r="H21" s="18"/>
      <c r="I21" s="20"/>
      <c r="J21" s="20"/>
      <c r="K21" s="20"/>
      <c r="L21" s="20"/>
      <c r="M21" s="20"/>
      <c r="N21" s="20"/>
      <c r="O21" s="20"/>
      <c r="P21" s="20"/>
      <c r="Q21" s="20"/>
      <c r="R21" s="177"/>
    </row>
    <row r="22" spans="2:27" x14ac:dyDescent="0.25">
      <c r="C22" t="s">
        <v>35</v>
      </c>
      <c r="E22" s="15"/>
      <c r="G22" s="69"/>
      <c r="H22" s="69"/>
      <c r="I22" s="69">
        <f>$K$3</f>
        <v>0</v>
      </c>
      <c r="J22" s="69">
        <f t="shared" ref="J22:M22" si="1">$K$3</f>
        <v>0</v>
      </c>
      <c r="K22" s="69">
        <f t="shared" si="1"/>
        <v>0</v>
      </c>
      <c r="L22" s="69">
        <f t="shared" si="1"/>
        <v>0</v>
      </c>
      <c r="M22" s="69">
        <f t="shared" si="1"/>
        <v>0</v>
      </c>
      <c r="N22" s="69">
        <f>$K$3*(1-$L$3)</f>
        <v>0</v>
      </c>
      <c r="O22" s="69">
        <f>$K$3*(1-$L$3)</f>
        <v>0</v>
      </c>
      <c r="P22" s="69">
        <f>$K$3*(1-$L$3)</f>
        <v>0</v>
      </c>
      <c r="Q22" s="69">
        <f>$K$3*(1-$L$3)</f>
        <v>0</v>
      </c>
      <c r="R22" s="178">
        <f>SUM($G22:Q22)</f>
        <v>0</v>
      </c>
      <c r="S22" s="13"/>
      <c r="T22" s="13"/>
      <c r="U22" s="13"/>
      <c r="V22" s="13"/>
      <c r="W22" s="13"/>
      <c r="X22" s="14"/>
    </row>
    <row r="23" spans="2:27" x14ac:dyDescent="0.25">
      <c r="C23" t="s">
        <v>36</v>
      </c>
      <c r="G23" s="13"/>
      <c r="H23" s="13"/>
      <c r="I23" s="69"/>
      <c r="J23" s="69"/>
      <c r="K23" s="69">
        <f>$K$4</f>
        <v>0</v>
      </c>
      <c r="L23" s="69">
        <f t="shared" ref="L23:O23" si="2">$K$4</f>
        <v>0</v>
      </c>
      <c r="M23" s="69">
        <f t="shared" si="2"/>
        <v>0</v>
      </c>
      <c r="N23" s="69">
        <f t="shared" si="2"/>
        <v>0</v>
      </c>
      <c r="O23" s="69">
        <f t="shared" si="2"/>
        <v>0</v>
      </c>
      <c r="P23" s="69">
        <f>$K$4*(1-$L$4)</f>
        <v>0</v>
      </c>
      <c r="Q23" s="69">
        <f>$K$4*(1-$L$4)</f>
        <v>0</v>
      </c>
      <c r="R23" s="178">
        <f>SUM($G23:Q23)</f>
        <v>0</v>
      </c>
      <c r="S23" s="13"/>
      <c r="T23" s="13"/>
      <c r="U23" s="13"/>
      <c r="V23" s="13"/>
      <c r="W23" s="13"/>
      <c r="X23" s="14"/>
    </row>
    <row r="24" spans="2:27" x14ac:dyDescent="0.25">
      <c r="C24" t="s">
        <v>38</v>
      </c>
      <c r="G24" s="13"/>
      <c r="H24" s="13">
        <v>221952000</v>
      </c>
      <c r="I24" s="69">
        <f t="shared" ref="I24:L24" si="3">$K$5</f>
        <v>221952000</v>
      </c>
      <c r="J24" s="69">
        <f t="shared" si="3"/>
        <v>221952000</v>
      </c>
      <c r="K24" s="69">
        <f t="shared" si="3"/>
        <v>221952000</v>
      </c>
      <c r="L24" s="69">
        <f t="shared" si="3"/>
        <v>221952000</v>
      </c>
      <c r="M24" s="69">
        <f>$K$5*0</f>
        <v>0</v>
      </c>
      <c r="N24" s="69">
        <f>$K$5*0</f>
        <v>0</v>
      </c>
      <c r="O24" s="69">
        <f>$K$5*(1-$L$5)*0</f>
        <v>0</v>
      </c>
      <c r="P24" s="69">
        <f>$K$5*(1-$L$5)*0</f>
        <v>0</v>
      </c>
      <c r="Q24" s="69">
        <f>$K$5*(1-$L$5)*0</f>
        <v>0</v>
      </c>
      <c r="R24" s="178">
        <f>SUM($G24:Q24)</f>
        <v>1109760000</v>
      </c>
      <c r="S24" s="13"/>
      <c r="T24" s="13"/>
      <c r="U24" s="13"/>
      <c r="V24" s="13"/>
      <c r="W24" s="13"/>
      <c r="X24" s="14"/>
    </row>
    <row r="25" spans="2:27" x14ac:dyDescent="0.25">
      <c r="C25" t="s">
        <v>37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78">
        <f>SUM($G25:Q25)</f>
        <v>0</v>
      </c>
      <c r="S25" s="46"/>
      <c r="T25" s="46"/>
      <c r="U25" s="46"/>
      <c r="V25" s="46"/>
      <c r="W25" s="46"/>
      <c r="X25" s="47"/>
      <c r="Y25" s="48"/>
    </row>
    <row r="26" spans="2:27" x14ac:dyDescent="0.25">
      <c r="B26" s="66" t="s">
        <v>13</v>
      </c>
      <c r="C26" s="66"/>
      <c r="D26" s="66"/>
      <c r="E26" s="215"/>
      <c r="F26" s="216"/>
      <c r="G26" s="67">
        <f>SUM(G22:G25)</f>
        <v>0</v>
      </c>
      <c r="H26" s="67">
        <f>SUM(H22:H25)</f>
        <v>221952000</v>
      </c>
      <c r="I26" s="67">
        <f t="shared" ref="I26:L26" si="4">SUM(I22:I25)</f>
        <v>221952000</v>
      </c>
      <c r="J26" s="67">
        <f t="shared" si="4"/>
        <v>221952000</v>
      </c>
      <c r="K26" s="67">
        <f t="shared" si="4"/>
        <v>221952000</v>
      </c>
      <c r="L26" s="67">
        <f t="shared" si="4"/>
        <v>221952000</v>
      </c>
      <c r="M26" s="67">
        <f>SUM(M22:M25)</f>
        <v>0</v>
      </c>
      <c r="N26" s="67">
        <f>SUM(N22:N25)</f>
        <v>0</v>
      </c>
      <c r="O26" s="67">
        <f t="shared" ref="O26:P26" si="5">SUM(O22:O25)</f>
        <v>0</v>
      </c>
      <c r="P26" s="67">
        <f t="shared" si="5"/>
        <v>0</v>
      </c>
      <c r="Q26" s="67">
        <f t="shared" ref="Q26" si="6">SUM(Q22:Q25)</f>
        <v>0</v>
      </c>
      <c r="R26" s="161">
        <f>SUM(R22:R25)</f>
        <v>1109760000</v>
      </c>
      <c r="S26" s="46">
        <f>SUM(G26:Q26)-R26</f>
        <v>0</v>
      </c>
      <c r="T26" s="46"/>
      <c r="U26" s="46"/>
      <c r="V26" s="46"/>
      <c r="W26" s="46"/>
      <c r="X26" s="46"/>
      <c r="Y26" s="48"/>
    </row>
    <row r="27" spans="2:27" x14ac:dyDescent="0.25">
      <c r="R27" s="177"/>
      <c r="S27" s="48"/>
      <c r="T27" s="48"/>
      <c r="U27" s="48"/>
      <c r="V27" s="48"/>
      <c r="W27" s="48"/>
      <c r="X27" s="48"/>
      <c r="Y27" s="48"/>
    </row>
    <row r="28" spans="2:27" x14ac:dyDescent="0.25">
      <c r="B28" s="1" t="s">
        <v>14</v>
      </c>
      <c r="E28" s="18"/>
      <c r="F28" s="18"/>
      <c r="G28" s="19"/>
      <c r="H28" s="18"/>
      <c r="I28" s="20"/>
      <c r="J28" s="20"/>
      <c r="K28" s="20"/>
      <c r="L28" s="20"/>
      <c r="M28" s="20"/>
      <c r="N28" s="20"/>
      <c r="O28" s="20"/>
      <c r="P28" s="20"/>
      <c r="Q28" s="20"/>
      <c r="R28" s="179"/>
      <c r="S28" s="49"/>
      <c r="T28" s="49"/>
      <c r="U28" s="49"/>
      <c r="V28" s="49"/>
      <c r="W28" s="49"/>
      <c r="X28" s="48"/>
      <c r="Y28" s="48"/>
    </row>
    <row r="29" spans="2:27" x14ac:dyDescent="0.25">
      <c r="C29" t="s">
        <v>45</v>
      </c>
      <c r="G29" s="13"/>
      <c r="H29" s="13">
        <v>80000000</v>
      </c>
      <c r="I29" s="13">
        <f t="shared" ref="I29:L30" si="7">H29</f>
        <v>80000000</v>
      </c>
      <c r="J29" s="13">
        <f t="shared" si="7"/>
        <v>80000000</v>
      </c>
      <c r="K29" s="13">
        <f t="shared" si="7"/>
        <v>80000000</v>
      </c>
      <c r="L29" s="13">
        <f t="shared" si="7"/>
        <v>80000000</v>
      </c>
      <c r="M29" s="13">
        <f>800000000*10%*0</f>
        <v>0</v>
      </c>
      <c r="N29" s="13">
        <f>800000000*30%*0</f>
        <v>0</v>
      </c>
      <c r="O29" s="13">
        <f>800000000*20%*0</f>
        <v>0</v>
      </c>
      <c r="P29" s="13">
        <f t="shared" ref="P29" si="8">O29</f>
        <v>0</v>
      </c>
      <c r="Q29" s="13">
        <f t="shared" ref="Q29" si="9">P29</f>
        <v>0</v>
      </c>
      <c r="R29" s="178">
        <f>SUM($G29:Q29)</f>
        <v>400000000</v>
      </c>
      <c r="S29" s="46"/>
      <c r="T29" s="46"/>
      <c r="U29" s="46"/>
      <c r="V29" s="46"/>
      <c r="W29" s="46"/>
      <c r="X29" s="47"/>
      <c r="Y29" s="48"/>
    </row>
    <row r="30" spans="2:27" x14ac:dyDescent="0.25">
      <c r="C30" t="s">
        <v>15</v>
      </c>
      <c r="G30" s="13"/>
      <c r="H30" s="13">
        <f>PARAMETER!B49</f>
        <v>42000000</v>
      </c>
      <c r="I30" s="13">
        <f t="shared" si="7"/>
        <v>42000000</v>
      </c>
      <c r="J30" s="13">
        <f t="shared" si="7"/>
        <v>42000000</v>
      </c>
      <c r="K30" s="13">
        <f t="shared" si="7"/>
        <v>42000000</v>
      </c>
      <c r="L30" s="13">
        <f t="shared" si="7"/>
        <v>42000000</v>
      </c>
      <c r="M30" s="13">
        <f>200000000*0.5*0</f>
        <v>0</v>
      </c>
      <c r="N30" s="13">
        <f>200000000*0.5*0</f>
        <v>0</v>
      </c>
      <c r="O30" s="13">
        <f>200000000*0.5*0</f>
        <v>0</v>
      </c>
      <c r="P30" s="13">
        <f>200000000*0.5*0</f>
        <v>0</v>
      </c>
      <c r="Q30" s="13">
        <f>200000000*0.5*0</f>
        <v>0</v>
      </c>
      <c r="R30" s="178">
        <f>SUM($G30:Q30)</f>
        <v>210000000</v>
      </c>
      <c r="S30" s="46"/>
      <c r="T30" s="46"/>
      <c r="U30" s="46"/>
      <c r="V30" s="46"/>
      <c r="W30" s="46"/>
      <c r="X30" s="47"/>
      <c r="Y30" s="48"/>
    </row>
    <row r="31" spans="2:27" x14ac:dyDescent="0.25">
      <c r="C31" t="s">
        <v>149</v>
      </c>
      <c r="G31" s="106">
        <f>IF(G22&gt;0,COUNTIF(G22:G25,"&gt;0")*7000000,
IF(G23&gt;0,COUNTIF(G22:G25,"&gt;0")*7000000,
IF(G24&gt;0,COUNTIF(G22:G25,"&gt;0")*7000000,
IF(G25&gt;0,COUNTIF(G22:G25,"&gt;0")*7000000,0))))</f>
        <v>0</v>
      </c>
      <c r="H31" s="106">
        <f>PARAMETER!B41</f>
        <v>7000000</v>
      </c>
      <c r="I31" s="106">
        <f t="shared" ref="I31:Q31" si="10">IF(I22&gt;0,COUNTIF(I22:I25,"&gt;0")*7000000,
IF(I23&gt;0,COUNTIF(I22:I25,"&gt;0")*7000000,
IF(I24&gt;0,COUNTIF(I22:I25,"&gt;0")*7000000,
IF(I25&gt;0,COUNTIF(I22:I25,"&gt;0")*7000000,0))))</f>
        <v>7000000</v>
      </c>
      <c r="J31" s="106">
        <f t="shared" si="10"/>
        <v>7000000</v>
      </c>
      <c r="K31" s="106">
        <f t="shared" si="10"/>
        <v>7000000</v>
      </c>
      <c r="L31" s="106">
        <f t="shared" si="10"/>
        <v>7000000</v>
      </c>
      <c r="M31" s="106">
        <f t="shared" si="10"/>
        <v>0</v>
      </c>
      <c r="N31" s="106">
        <f t="shared" si="10"/>
        <v>0</v>
      </c>
      <c r="O31" s="106">
        <f t="shared" si="10"/>
        <v>0</v>
      </c>
      <c r="P31" s="106">
        <f t="shared" si="10"/>
        <v>0</v>
      </c>
      <c r="Q31" s="106">
        <f t="shared" si="10"/>
        <v>0</v>
      </c>
      <c r="R31" s="178">
        <f>SUM($G31:Q31)</f>
        <v>35000000</v>
      </c>
      <c r="S31" s="46"/>
      <c r="T31" s="46"/>
      <c r="U31" s="46"/>
      <c r="V31" s="46"/>
      <c r="W31" s="46"/>
      <c r="X31" s="47"/>
      <c r="Y31" s="48"/>
    </row>
    <row r="32" spans="2:27" x14ac:dyDescent="0.25">
      <c r="B32" s="16"/>
      <c r="C32" s="16" t="s">
        <v>150</v>
      </c>
      <c r="D32" s="16"/>
      <c r="E32" s="16"/>
      <c r="F32" s="139">
        <f>H32/K26</f>
        <v>0.05</v>
      </c>
      <c r="G32" s="21">
        <f t="shared" ref="G32" si="11">$F$5*G26</f>
        <v>0</v>
      </c>
      <c r="H32" s="21">
        <f t="shared" ref="H32:Q32" si="12">H26*$F$5</f>
        <v>11097600</v>
      </c>
      <c r="I32" s="21">
        <f t="shared" si="12"/>
        <v>11097600</v>
      </c>
      <c r="J32" s="21">
        <f t="shared" si="12"/>
        <v>11097600</v>
      </c>
      <c r="K32" s="21">
        <f t="shared" si="12"/>
        <v>11097600</v>
      </c>
      <c r="L32" s="21">
        <f t="shared" si="12"/>
        <v>11097600</v>
      </c>
      <c r="M32" s="21">
        <f t="shared" si="12"/>
        <v>0</v>
      </c>
      <c r="N32" s="21">
        <f t="shared" si="12"/>
        <v>0</v>
      </c>
      <c r="O32" s="21">
        <f t="shared" si="12"/>
        <v>0</v>
      </c>
      <c r="P32" s="21">
        <f t="shared" si="12"/>
        <v>0</v>
      </c>
      <c r="Q32" s="21">
        <f t="shared" si="12"/>
        <v>0</v>
      </c>
      <c r="R32" s="178">
        <f>SUM($G32:Q32)</f>
        <v>55488000</v>
      </c>
      <c r="S32" s="50"/>
      <c r="T32" s="50"/>
      <c r="U32" s="50"/>
      <c r="V32" s="50"/>
      <c r="W32" s="50"/>
      <c r="X32" s="47"/>
      <c r="Y32" s="48"/>
    </row>
    <row r="33" spans="2:25" s="1" customFormat="1" x14ac:dyDescent="0.25">
      <c r="B33" s="66" t="s">
        <v>16</v>
      </c>
      <c r="C33" s="66"/>
      <c r="D33" s="66"/>
      <c r="E33" s="66"/>
      <c r="F33" s="66"/>
      <c r="G33" s="67">
        <f>SUM(G29:G32)</f>
        <v>0</v>
      </c>
      <c r="H33" s="67">
        <f>SUM(H29:H32)</f>
        <v>140097600</v>
      </c>
      <c r="I33" s="67">
        <f t="shared" ref="I33:Q33" si="13">SUM(I29:I32)</f>
        <v>140097600</v>
      </c>
      <c r="J33" s="67">
        <f t="shared" si="13"/>
        <v>140097600</v>
      </c>
      <c r="K33" s="67">
        <f t="shared" si="13"/>
        <v>140097600</v>
      </c>
      <c r="L33" s="67">
        <f t="shared" si="13"/>
        <v>140097600</v>
      </c>
      <c r="M33" s="67">
        <f t="shared" si="13"/>
        <v>0</v>
      </c>
      <c r="N33" s="67">
        <f t="shared" si="13"/>
        <v>0</v>
      </c>
      <c r="O33" s="67">
        <f t="shared" si="13"/>
        <v>0</v>
      </c>
      <c r="P33" s="67">
        <f t="shared" si="13"/>
        <v>0</v>
      </c>
      <c r="Q33" s="67">
        <f t="shared" si="13"/>
        <v>0</v>
      </c>
      <c r="R33" s="162">
        <f>SUM(R29:R32)</f>
        <v>700488000</v>
      </c>
      <c r="S33" s="46">
        <f>SUM(G33:Q33)-R33</f>
        <v>0</v>
      </c>
      <c r="T33" s="51"/>
      <c r="U33" s="51"/>
      <c r="V33" s="51"/>
      <c r="W33" s="51"/>
      <c r="X33" s="51"/>
      <c r="Y33" s="52"/>
    </row>
    <row r="34" spans="2:25" s="1" customFormat="1" x14ac:dyDescent="0.25">
      <c r="B34" s="1" t="s">
        <v>17</v>
      </c>
      <c r="G34" s="22">
        <f>G26-G33</f>
        <v>0</v>
      </c>
      <c r="H34" s="22">
        <f>H26-H33</f>
        <v>81854400</v>
      </c>
      <c r="I34" s="22">
        <f t="shared" ref="I34:Q34" si="14">I26-I33</f>
        <v>81854400</v>
      </c>
      <c r="J34" s="22">
        <f t="shared" si="14"/>
        <v>81854400</v>
      </c>
      <c r="K34" s="22">
        <f t="shared" si="14"/>
        <v>81854400</v>
      </c>
      <c r="L34" s="22">
        <f t="shared" si="14"/>
        <v>81854400</v>
      </c>
      <c r="M34" s="22">
        <f>M26-M33</f>
        <v>0</v>
      </c>
      <c r="N34" s="22">
        <f t="shared" si="14"/>
        <v>0</v>
      </c>
      <c r="O34" s="22">
        <f t="shared" si="14"/>
        <v>0</v>
      </c>
      <c r="P34" s="22">
        <f t="shared" si="14"/>
        <v>0</v>
      </c>
      <c r="Q34" s="22">
        <f t="shared" si="14"/>
        <v>0</v>
      </c>
      <c r="R34" s="163">
        <f>R26-R33</f>
        <v>409272000</v>
      </c>
      <c r="S34" s="46">
        <f>SUM(G34:Q34)-R34</f>
        <v>0</v>
      </c>
      <c r="T34" s="51"/>
      <c r="U34" s="51"/>
      <c r="V34" s="51"/>
      <c r="W34" s="51"/>
      <c r="X34" s="51"/>
      <c r="Y34" s="52"/>
    </row>
    <row r="35" spans="2:25" s="1" customFormat="1" x14ac:dyDescent="0.25">
      <c r="B35" s="23" t="s">
        <v>18</v>
      </c>
      <c r="C35" s="24"/>
      <c r="D35" s="24"/>
      <c r="E35" s="24"/>
      <c r="F35" s="24"/>
      <c r="G35" s="25"/>
      <c r="H35" s="25">
        <f>H34/H26</f>
        <v>0.36879325259515572</v>
      </c>
      <c r="I35" s="25">
        <f t="shared" ref="I35:Q35" si="15">I34/I26</f>
        <v>0.36879325259515572</v>
      </c>
      <c r="J35" s="25">
        <f t="shared" si="15"/>
        <v>0.36879325259515572</v>
      </c>
      <c r="K35" s="25">
        <f t="shared" si="15"/>
        <v>0.36879325259515572</v>
      </c>
      <c r="L35" s="25">
        <f t="shared" si="15"/>
        <v>0.36879325259515572</v>
      </c>
      <c r="M35" s="25" t="e">
        <f t="shared" si="15"/>
        <v>#DIV/0!</v>
      </c>
      <c r="N35" s="25" t="e">
        <f t="shared" si="15"/>
        <v>#DIV/0!</v>
      </c>
      <c r="O35" s="25" t="e">
        <f t="shared" si="15"/>
        <v>#DIV/0!</v>
      </c>
      <c r="P35" s="25" t="e">
        <f t="shared" si="15"/>
        <v>#DIV/0!</v>
      </c>
      <c r="Q35" s="25" t="e">
        <f t="shared" si="15"/>
        <v>#DIV/0!</v>
      </c>
      <c r="R35" s="164">
        <f>R34/R26</f>
        <v>0.36879325259515572</v>
      </c>
      <c r="S35" s="53"/>
      <c r="T35" s="53"/>
      <c r="U35" s="53"/>
      <c r="V35" s="53"/>
      <c r="W35" s="53"/>
      <c r="X35" s="53"/>
      <c r="Y35" s="52"/>
    </row>
    <row r="36" spans="2:25" x14ac:dyDescent="0.25">
      <c r="R36" s="177"/>
      <c r="S36" s="48"/>
      <c r="T36" s="48"/>
      <c r="U36" s="48"/>
      <c r="V36" s="48"/>
      <c r="W36" s="48"/>
      <c r="X36" s="48"/>
      <c r="Y36" s="48"/>
    </row>
    <row r="37" spans="2:25" x14ac:dyDescent="0.25">
      <c r="B37" s="16" t="s">
        <v>19</v>
      </c>
      <c r="C37" s="16"/>
      <c r="D37" s="16"/>
      <c r="E37" s="16"/>
      <c r="F37" s="16"/>
      <c r="G37" s="17"/>
      <c r="H37" s="17">
        <f>H67</f>
        <v>33632546.399999999</v>
      </c>
      <c r="I37" s="17">
        <f t="shared" ref="I37:Q37" si="16">I67</f>
        <v>33632546.399999999</v>
      </c>
      <c r="J37" s="17">
        <f t="shared" si="16"/>
        <v>33632546.399999999</v>
      </c>
      <c r="K37" s="17">
        <f t="shared" si="16"/>
        <v>33632546.399999999</v>
      </c>
      <c r="L37" s="17">
        <f t="shared" si="16"/>
        <v>33632546.399999999</v>
      </c>
      <c r="M37" s="17">
        <f t="shared" si="16"/>
        <v>0</v>
      </c>
      <c r="N37" s="17">
        <f t="shared" si="16"/>
        <v>0</v>
      </c>
      <c r="O37" s="17">
        <f t="shared" si="16"/>
        <v>0</v>
      </c>
      <c r="P37" s="17">
        <f t="shared" si="16"/>
        <v>0</v>
      </c>
      <c r="Q37" s="17">
        <f t="shared" si="16"/>
        <v>0</v>
      </c>
      <c r="R37" s="176">
        <f>SUM($G37:Q37)</f>
        <v>168162732</v>
      </c>
      <c r="S37" s="46"/>
      <c r="T37" s="46"/>
      <c r="U37" s="46"/>
      <c r="V37" s="46"/>
      <c r="W37" s="46"/>
      <c r="X37" s="46"/>
      <c r="Y37" s="48"/>
    </row>
    <row r="38" spans="2:25" x14ac:dyDescent="0.25">
      <c r="B38" s="26" t="s">
        <v>20</v>
      </c>
      <c r="G38" s="27">
        <f>G34-G37</f>
        <v>0</v>
      </c>
      <c r="H38" s="27">
        <f>H34-H37</f>
        <v>48221853.600000001</v>
      </c>
      <c r="I38" s="27">
        <f t="shared" ref="I38:P38" si="17">I34-I37</f>
        <v>48221853.600000001</v>
      </c>
      <c r="J38" s="27">
        <f t="shared" si="17"/>
        <v>48221853.600000001</v>
      </c>
      <c r="K38" s="27">
        <f t="shared" si="17"/>
        <v>48221853.600000001</v>
      </c>
      <c r="L38" s="27">
        <f>L34-L37</f>
        <v>48221853.600000001</v>
      </c>
      <c r="M38" s="27">
        <f t="shared" si="17"/>
        <v>0</v>
      </c>
      <c r="N38" s="27">
        <f t="shared" si="17"/>
        <v>0</v>
      </c>
      <c r="O38" s="27">
        <f t="shared" si="17"/>
        <v>0</v>
      </c>
      <c r="P38" s="27">
        <f t="shared" si="17"/>
        <v>0</v>
      </c>
      <c r="Q38" s="27">
        <f>Q34-Q37</f>
        <v>0</v>
      </c>
      <c r="R38" s="180">
        <f>R34-R37</f>
        <v>241109268</v>
      </c>
      <c r="S38" s="46">
        <f>SUM(G38:Q38)-R38</f>
        <v>0</v>
      </c>
      <c r="T38" s="54"/>
      <c r="U38" s="54"/>
      <c r="V38" s="54"/>
      <c r="W38" s="54"/>
      <c r="X38" s="54"/>
      <c r="Y38" s="48"/>
    </row>
    <row r="39" spans="2:25" x14ac:dyDescent="0.25">
      <c r="B39" s="16" t="s">
        <v>33</v>
      </c>
      <c r="C39" s="16"/>
      <c r="D39" s="16"/>
      <c r="E39" s="16"/>
      <c r="F39" s="16"/>
      <c r="G39" s="17"/>
      <c r="H39" s="17">
        <f>PARAMETER!B$5</f>
        <v>8408136.5999999996</v>
      </c>
      <c r="I39" s="17">
        <f>PARAMETER!C$5</f>
        <v>15134645.880000003</v>
      </c>
      <c r="J39" s="17">
        <f>PARAMETER!D$5</f>
        <v>11771391.24</v>
      </c>
      <c r="K39" s="17">
        <f>PARAMETER!E$5</f>
        <v>8408136.5999999996</v>
      </c>
      <c r="L39" s="17">
        <f>PARAMETER!F$5</f>
        <v>5044881.9599999981</v>
      </c>
      <c r="M39" s="17">
        <f>PARAMETER!G$580</f>
        <v>0</v>
      </c>
      <c r="N39" s="17"/>
      <c r="O39" s="17"/>
      <c r="P39" s="17"/>
      <c r="Q39" s="17"/>
      <c r="R39" s="176">
        <f>SUM($G39:Q39)</f>
        <v>48767192.280000009</v>
      </c>
      <c r="S39" s="46"/>
      <c r="T39" s="46"/>
      <c r="U39" s="46"/>
      <c r="V39" s="46"/>
      <c r="W39" s="46"/>
      <c r="X39" s="46"/>
      <c r="Y39" s="48"/>
    </row>
    <row r="40" spans="2:25" x14ac:dyDescent="0.25">
      <c r="B40" s="26" t="s">
        <v>34</v>
      </c>
      <c r="G40" s="70">
        <f t="shared" ref="G40:Q40" si="18">G38-G39</f>
        <v>0</v>
      </c>
      <c r="H40" s="70">
        <f t="shared" si="18"/>
        <v>39813717</v>
      </c>
      <c r="I40" s="70">
        <f t="shared" si="18"/>
        <v>33087207.719999999</v>
      </c>
      <c r="J40" s="70">
        <f t="shared" si="18"/>
        <v>36450462.359999999</v>
      </c>
      <c r="K40" s="70">
        <f t="shared" si="18"/>
        <v>39813717</v>
      </c>
      <c r="L40" s="70">
        <f t="shared" si="18"/>
        <v>43176971.640000001</v>
      </c>
      <c r="M40" s="70">
        <f t="shared" si="18"/>
        <v>0</v>
      </c>
      <c r="N40" s="70">
        <f t="shared" si="18"/>
        <v>0</v>
      </c>
      <c r="O40" s="70">
        <f t="shared" si="18"/>
        <v>0</v>
      </c>
      <c r="P40" s="70">
        <f t="shared" si="18"/>
        <v>0</v>
      </c>
      <c r="Q40" s="70">
        <f t="shared" si="18"/>
        <v>0</v>
      </c>
      <c r="R40" s="178">
        <f>SUM($G40:Q40)</f>
        <v>192342075.71999997</v>
      </c>
      <c r="S40" s="46">
        <f>SUM(G40:Q40)-R40</f>
        <v>0</v>
      </c>
      <c r="T40" s="54"/>
      <c r="U40" s="54"/>
      <c r="V40" s="54"/>
      <c r="W40" s="54"/>
      <c r="X40" s="54"/>
      <c r="Y40" s="48"/>
    </row>
    <row r="41" spans="2:25" x14ac:dyDescent="0.25">
      <c r="B41" s="16" t="s">
        <v>21</v>
      </c>
      <c r="C41" s="16"/>
      <c r="D41" s="16"/>
      <c r="E41" s="16"/>
      <c r="F41" s="16"/>
      <c r="G41" s="68">
        <f>IF(G40&lt;0,0,G40*$F$3)</f>
        <v>0</v>
      </c>
      <c r="H41" s="68">
        <f t="shared" ref="H41:Q41" si="19">IF(H40&lt;0,0,H40*$F$3)</f>
        <v>796274.34</v>
      </c>
      <c r="I41" s="68">
        <f>IF(I40&lt;0,0,I40*$F$3)</f>
        <v>661744.1544</v>
      </c>
      <c r="J41" s="68">
        <f t="shared" si="19"/>
        <v>729009.24719999998</v>
      </c>
      <c r="K41" s="68">
        <f t="shared" si="19"/>
        <v>796274.34</v>
      </c>
      <c r="L41" s="68">
        <f t="shared" si="19"/>
        <v>863539.43280000007</v>
      </c>
      <c r="M41" s="68">
        <f t="shared" si="19"/>
        <v>0</v>
      </c>
      <c r="N41" s="68">
        <f t="shared" si="19"/>
        <v>0</v>
      </c>
      <c r="O41" s="68">
        <f t="shared" si="19"/>
        <v>0</v>
      </c>
      <c r="P41" s="68">
        <f t="shared" si="19"/>
        <v>0</v>
      </c>
      <c r="Q41" s="68">
        <f t="shared" si="19"/>
        <v>0</v>
      </c>
      <c r="R41" s="178">
        <f>SUM($G41:Q41)</f>
        <v>3846841.5143999998</v>
      </c>
      <c r="S41" s="56"/>
      <c r="T41" s="56"/>
      <c r="U41" s="56"/>
      <c r="V41" s="56"/>
      <c r="W41" s="56"/>
      <c r="X41" s="55"/>
      <c r="Y41" s="48"/>
    </row>
    <row r="42" spans="2:25" ht="16.5" thickBot="1" x14ac:dyDescent="0.3">
      <c r="B42" s="29" t="s">
        <v>58</v>
      </c>
      <c r="C42" s="29"/>
      <c r="D42" s="29"/>
      <c r="E42" s="29"/>
      <c r="F42" s="29"/>
      <c r="G42" s="30">
        <f>G40-G41</f>
        <v>0</v>
      </c>
      <c r="H42" s="30">
        <f t="shared" ref="H42:Q42" si="20">H40-H41</f>
        <v>39017442.659999996</v>
      </c>
      <c r="I42" s="30">
        <f t="shared" si="20"/>
        <v>32425463.5656</v>
      </c>
      <c r="J42" s="30">
        <f t="shared" si="20"/>
        <v>35721453.112800002</v>
      </c>
      <c r="K42" s="30">
        <f t="shared" si="20"/>
        <v>39017442.659999996</v>
      </c>
      <c r="L42" s="30">
        <f t="shared" si="20"/>
        <v>42313432.207199998</v>
      </c>
      <c r="M42" s="30">
        <f t="shared" si="20"/>
        <v>0</v>
      </c>
      <c r="N42" s="30">
        <f t="shared" si="20"/>
        <v>0</v>
      </c>
      <c r="O42" s="30">
        <f t="shared" si="20"/>
        <v>0</v>
      </c>
      <c r="P42" s="30">
        <f t="shared" si="20"/>
        <v>0</v>
      </c>
      <c r="Q42" s="30">
        <f t="shared" si="20"/>
        <v>0</v>
      </c>
      <c r="R42" s="181">
        <f>R40-R41</f>
        <v>188495234.20559996</v>
      </c>
      <c r="S42" s="46">
        <f>SUM(G42:Q42)-R42</f>
        <v>0</v>
      </c>
      <c r="T42" s="54"/>
      <c r="U42" s="54"/>
      <c r="V42" s="54"/>
      <c r="W42" s="54"/>
      <c r="X42" s="54"/>
      <c r="Y42" s="48"/>
    </row>
    <row r="43" spans="2:25" x14ac:dyDescent="0.25">
      <c r="R43" s="177"/>
      <c r="S43" s="48"/>
      <c r="T43" s="48"/>
      <c r="U43" s="48"/>
      <c r="V43" s="48"/>
      <c r="W43" s="48"/>
      <c r="X43" s="48"/>
      <c r="Y43" s="48"/>
    </row>
    <row r="44" spans="2:25" x14ac:dyDescent="0.25">
      <c r="B44" s="16" t="s">
        <v>22</v>
      </c>
      <c r="C44" s="16"/>
      <c r="D44" s="16"/>
      <c r="E44" s="16"/>
      <c r="F44" s="31"/>
      <c r="G44" s="31">
        <f>-G13+-G14</f>
        <v>-168162732</v>
      </c>
      <c r="H44" s="31">
        <f>-H14</f>
        <v>0</v>
      </c>
      <c r="I44" s="31">
        <f t="shared" ref="I44:P44" si="21">-I14</f>
        <v>0</v>
      </c>
      <c r="J44" s="31">
        <f t="shared" si="21"/>
        <v>0</v>
      </c>
      <c r="K44" s="31">
        <f t="shared" si="21"/>
        <v>0</v>
      </c>
      <c r="L44" s="31">
        <f t="shared" si="21"/>
        <v>0</v>
      </c>
      <c r="M44" s="31">
        <f t="shared" si="21"/>
        <v>0</v>
      </c>
      <c r="N44" s="31">
        <f t="shared" si="21"/>
        <v>0</v>
      </c>
      <c r="O44" s="31">
        <f t="shared" si="21"/>
        <v>0</v>
      </c>
      <c r="P44" s="31">
        <f t="shared" si="21"/>
        <v>0</v>
      </c>
      <c r="Q44" s="31">
        <f>-Q14</f>
        <v>0</v>
      </c>
      <c r="R44" s="182">
        <f>SUM($G$44:Q44)</f>
        <v>-168162732</v>
      </c>
      <c r="S44" s="55"/>
      <c r="T44" s="55"/>
      <c r="U44" s="55"/>
      <c r="V44" s="55"/>
      <c r="W44" s="55"/>
      <c r="X44" s="55"/>
      <c r="Y44" s="48"/>
    </row>
    <row r="45" spans="2:25" x14ac:dyDescent="0.25">
      <c r="B45" t="s">
        <v>23</v>
      </c>
      <c r="F45" s="28"/>
      <c r="G45" s="28">
        <f t="shared" ref="G45:Q45" si="22">G44+G42+G37</f>
        <v>-168162732</v>
      </c>
      <c r="H45" s="28">
        <f t="shared" si="22"/>
        <v>72649989.060000002</v>
      </c>
      <c r="I45" s="28">
        <f t="shared" si="22"/>
        <v>66058009.965599999</v>
      </c>
      <c r="J45" s="28">
        <f t="shared" si="22"/>
        <v>69353999.512800008</v>
      </c>
      <c r="K45" s="28">
        <f t="shared" si="22"/>
        <v>72649989.060000002</v>
      </c>
      <c r="L45" s="28">
        <f t="shared" si="22"/>
        <v>75945978.607199997</v>
      </c>
      <c r="M45" s="28">
        <f t="shared" si="22"/>
        <v>0</v>
      </c>
      <c r="N45" s="28">
        <f t="shared" si="22"/>
        <v>0</v>
      </c>
      <c r="O45" s="28">
        <f t="shared" si="22"/>
        <v>0</v>
      </c>
      <c r="P45" s="28">
        <f t="shared" si="22"/>
        <v>0</v>
      </c>
      <c r="Q45" s="28">
        <f t="shared" si="22"/>
        <v>0</v>
      </c>
      <c r="R45" s="183">
        <f>SUM($G$45:Q45)</f>
        <v>188495234.20560002</v>
      </c>
      <c r="S45" s="55"/>
      <c r="T45" s="55"/>
      <c r="U45" s="55"/>
      <c r="V45" s="55"/>
      <c r="W45" s="55"/>
      <c r="X45" s="55"/>
      <c r="Y45" s="48"/>
    </row>
    <row r="46" spans="2:25" x14ac:dyDescent="0.25">
      <c r="B46" t="s">
        <v>24</v>
      </c>
      <c r="F46" s="28"/>
      <c r="G46" s="28">
        <f>F46+G45</f>
        <v>-168162732</v>
      </c>
      <c r="H46" s="28">
        <f>G46+H45</f>
        <v>-95512742.939999998</v>
      </c>
      <c r="I46" s="28">
        <f t="shared" ref="I46:O46" si="23">H46+I45</f>
        <v>-29454732.974399999</v>
      </c>
      <c r="J46" s="28">
        <f t="shared" si="23"/>
        <v>39899266.538400009</v>
      </c>
      <c r="K46" s="28">
        <f t="shared" si="23"/>
        <v>112549255.59840001</v>
      </c>
      <c r="L46" s="28">
        <f t="shared" si="23"/>
        <v>188495234.20560002</v>
      </c>
      <c r="M46" s="28">
        <f t="shared" si="23"/>
        <v>188495234.20560002</v>
      </c>
      <c r="N46" s="28">
        <f t="shared" si="23"/>
        <v>188495234.20560002</v>
      </c>
      <c r="O46" s="28">
        <f t="shared" si="23"/>
        <v>188495234.20560002</v>
      </c>
      <c r="P46" s="28">
        <f t="shared" ref="P46" si="24">O46+P45</f>
        <v>188495234.20560002</v>
      </c>
      <c r="Q46" s="28">
        <f t="shared" ref="Q46" si="25">P46+Q45</f>
        <v>188495234.20560002</v>
      </c>
      <c r="R46" s="183"/>
      <c r="S46" s="55"/>
      <c r="T46" s="55"/>
      <c r="U46" s="55"/>
      <c r="V46" s="55"/>
      <c r="W46" s="55"/>
      <c r="X46" s="55"/>
      <c r="Y46" s="48"/>
    </row>
    <row r="47" spans="2:25" x14ac:dyDescent="0.25">
      <c r="B47" t="s">
        <v>25</v>
      </c>
      <c r="F47" s="28"/>
      <c r="G47" s="32">
        <f t="shared" ref="G47:O47" si="26">IF(AND(F46&lt;0,G46&gt;0),H55-(G46/G45),0)</f>
        <v>0</v>
      </c>
      <c r="H47" s="32">
        <f t="shared" si="26"/>
        <v>0</v>
      </c>
      <c r="I47" s="32">
        <f t="shared" si="26"/>
        <v>0</v>
      </c>
      <c r="J47" s="32">
        <f t="shared" si="26"/>
        <v>3.4247012887694215</v>
      </c>
      <c r="K47" s="77">
        <f t="shared" si="26"/>
        <v>0</v>
      </c>
      <c r="L47" s="32">
        <f t="shared" si="26"/>
        <v>0</v>
      </c>
      <c r="M47" s="32">
        <f t="shared" si="26"/>
        <v>0</v>
      </c>
      <c r="N47" s="32">
        <f t="shared" si="26"/>
        <v>0</v>
      </c>
      <c r="O47" s="32">
        <f t="shared" si="26"/>
        <v>0</v>
      </c>
      <c r="P47" s="32"/>
      <c r="Q47" s="32">
        <f>IF(AND(O46&lt;0,Q46&gt;0),R55-(Q46/Q45),0)</f>
        <v>0</v>
      </c>
      <c r="R47" s="184"/>
      <c r="S47" s="32"/>
      <c r="T47" s="32"/>
      <c r="U47" s="32"/>
      <c r="V47" s="32"/>
      <c r="W47" s="32"/>
      <c r="X47" s="32"/>
    </row>
    <row r="48" spans="2:25" s="80" customFormat="1" x14ac:dyDescent="0.25">
      <c r="F48" s="81"/>
      <c r="G48" s="82"/>
      <c r="H48" s="82"/>
      <c r="I48" s="82"/>
      <c r="J48" s="82"/>
      <c r="K48" s="83"/>
      <c r="L48" s="82"/>
      <c r="M48" s="82"/>
      <c r="N48" s="82"/>
      <c r="O48" s="82"/>
      <c r="P48" s="82"/>
      <c r="Q48" s="82"/>
      <c r="R48" s="185"/>
      <c r="S48" s="82"/>
      <c r="T48" s="82"/>
      <c r="U48" s="82"/>
      <c r="V48" s="82"/>
      <c r="W48" s="82"/>
      <c r="X48" s="82"/>
    </row>
    <row r="49" spans="2:25" s="80" customFormat="1" x14ac:dyDescent="0.25">
      <c r="G49" s="84"/>
      <c r="R49" s="186"/>
    </row>
    <row r="50" spans="2:25" x14ac:dyDescent="0.25">
      <c r="B50" s="58" t="s">
        <v>26</v>
      </c>
      <c r="C50" s="59"/>
      <c r="D50" s="59"/>
      <c r="E50" s="59"/>
      <c r="F50" s="127">
        <f>IRR(G45:Q45)</f>
        <v>0.31309753874842272</v>
      </c>
      <c r="R50" s="174"/>
    </row>
    <row r="51" spans="2:25" x14ac:dyDescent="0.25">
      <c r="B51" s="60" t="s">
        <v>27</v>
      </c>
      <c r="C51" s="61"/>
      <c r="D51" s="61"/>
      <c r="E51" s="61"/>
      <c r="F51" s="125">
        <f>NPV(F4,H45:Q45)+G45</f>
        <v>101360193.17938262</v>
      </c>
      <c r="H51" s="76"/>
      <c r="I51" s="14"/>
      <c r="R51" s="187"/>
    </row>
    <row r="52" spans="2:25" x14ac:dyDescent="0.25">
      <c r="B52" s="60" t="s">
        <v>28</v>
      </c>
      <c r="C52" s="61"/>
      <c r="D52" s="61"/>
      <c r="E52" s="61"/>
      <c r="F52" s="62">
        <f>R35</f>
        <v>0.36879325259515572</v>
      </c>
      <c r="H52" s="69"/>
      <c r="R52" s="187"/>
    </row>
    <row r="53" spans="2:25" x14ac:dyDescent="0.25">
      <c r="B53" s="63" t="s">
        <v>29</v>
      </c>
      <c r="C53" s="64"/>
      <c r="D53" s="64"/>
      <c r="E53" s="64"/>
      <c r="F53" s="65">
        <f>SUM(G47:Q47)</f>
        <v>3.4247012887694215</v>
      </c>
      <c r="R53" s="187"/>
    </row>
    <row r="54" spans="2:25" x14ac:dyDescent="0.25">
      <c r="F54" s="33"/>
      <c r="G54" s="33"/>
      <c r="H54" s="2"/>
      <c r="R54" s="187"/>
    </row>
    <row r="55" spans="2:25" x14ac:dyDescent="0.25">
      <c r="G55"/>
      <c r="H55" s="8">
        <v>1</v>
      </c>
      <c r="I55" s="34">
        <v>2</v>
      </c>
      <c r="J55" s="8">
        <v>3</v>
      </c>
      <c r="K55" s="34">
        <v>4</v>
      </c>
      <c r="L55" s="8">
        <v>5</v>
      </c>
      <c r="M55" s="34">
        <v>6</v>
      </c>
      <c r="N55" s="8">
        <v>7</v>
      </c>
      <c r="O55" s="34">
        <v>8</v>
      </c>
      <c r="P55" s="8">
        <v>9</v>
      </c>
      <c r="Q55" s="8">
        <v>10</v>
      </c>
      <c r="R55" s="174"/>
      <c r="S55" s="34"/>
      <c r="T55" s="8"/>
      <c r="U55" s="34"/>
      <c r="V55" s="8"/>
      <c r="W55" s="34"/>
      <c r="X55" s="8"/>
    </row>
    <row r="56" spans="2:25" ht="16.5" thickBot="1" x14ac:dyDescent="0.3">
      <c r="B56" s="35" t="s">
        <v>30</v>
      </c>
      <c r="E56" s="36" t="s">
        <v>31</v>
      </c>
      <c r="G56"/>
      <c r="H56" s="36">
        <f t="shared" ref="H56:Q56" si="27">H17</f>
        <v>2024</v>
      </c>
      <c r="I56" s="36">
        <f t="shared" si="27"/>
        <v>2025</v>
      </c>
      <c r="J56" s="36">
        <f t="shared" si="27"/>
        <v>2026</v>
      </c>
      <c r="K56" s="36">
        <f t="shared" si="27"/>
        <v>2027</v>
      </c>
      <c r="L56" s="36">
        <f t="shared" si="27"/>
        <v>2028</v>
      </c>
      <c r="M56" s="36">
        <f t="shared" si="27"/>
        <v>2029</v>
      </c>
      <c r="N56" s="36">
        <f t="shared" si="27"/>
        <v>2030</v>
      </c>
      <c r="O56" s="36">
        <f t="shared" si="27"/>
        <v>2031</v>
      </c>
      <c r="P56" s="36">
        <f t="shared" si="27"/>
        <v>2032</v>
      </c>
      <c r="Q56" s="36">
        <f t="shared" si="27"/>
        <v>2033</v>
      </c>
      <c r="R56" s="160" t="s">
        <v>11</v>
      </c>
      <c r="S56" s="36"/>
      <c r="T56" s="36"/>
      <c r="U56" s="36"/>
      <c r="V56" s="36"/>
      <c r="W56" s="36"/>
      <c r="X56" s="36"/>
      <c r="Y56" s="36"/>
    </row>
    <row r="57" spans="2:25" x14ac:dyDescent="0.25">
      <c r="D57" t="s">
        <v>5</v>
      </c>
      <c r="E57">
        <v>5</v>
      </c>
      <c r="G57"/>
      <c r="H57" s="71">
        <f>(G$13+G14)/$E57</f>
        <v>33632546.399999999</v>
      </c>
      <c r="I57" s="37">
        <f>H57</f>
        <v>33632546.399999999</v>
      </c>
      <c r="J57" s="37">
        <f t="shared" ref="J57:Q57" si="28">I57</f>
        <v>33632546.399999999</v>
      </c>
      <c r="K57" s="37">
        <f t="shared" si="28"/>
        <v>33632546.399999999</v>
      </c>
      <c r="L57" s="37">
        <f t="shared" si="28"/>
        <v>33632546.399999999</v>
      </c>
      <c r="M57" s="37">
        <f>L57*0</f>
        <v>0</v>
      </c>
      <c r="N57" s="37">
        <f t="shared" si="28"/>
        <v>0</v>
      </c>
      <c r="O57" s="37">
        <f t="shared" si="28"/>
        <v>0</v>
      </c>
      <c r="P57" s="37">
        <f t="shared" si="28"/>
        <v>0</v>
      </c>
      <c r="Q57" s="37">
        <f t="shared" si="28"/>
        <v>0</v>
      </c>
      <c r="R57" s="178">
        <f>SUM($G57:Q57)</f>
        <v>168162732</v>
      </c>
      <c r="S57" s="37"/>
      <c r="T57" s="37"/>
      <c r="U57" s="37"/>
      <c r="V57" s="37"/>
      <c r="W57" s="37"/>
      <c r="X57" s="37"/>
      <c r="Y57" s="38"/>
    </row>
    <row r="58" spans="2:25" x14ac:dyDescent="0.25">
      <c r="D58" t="s">
        <v>6</v>
      </c>
      <c r="E58">
        <v>4</v>
      </c>
      <c r="G58"/>
      <c r="H58" s="2"/>
      <c r="I58" s="71">
        <f>I14/E58</f>
        <v>0</v>
      </c>
      <c r="J58" s="37">
        <f>I58</f>
        <v>0</v>
      </c>
      <c r="K58" s="37">
        <f t="shared" ref="K58:Q59" si="29">J58</f>
        <v>0</v>
      </c>
      <c r="L58" s="37">
        <f t="shared" si="29"/>
        <v>0</v>
      </c>
      <c r="M58" s="37">
        <f t="shared" si="29"/>
        <v>0</v>
      </c>
      <c r="N58" s="37">
        <f t="shared" si="29"/>
        <v>0</v>
      </c>
      <c r="O58" s="37">
        <f t="shared" si="29"/>
        <v>0</v>
      </c>
      <c r="P58" s="37">
        <f t="shared" si="29"/>
        <v>0</v>
      </c>
      <c r="Q58" s="37">
        <f t="shared" si="29"/>
        <v>0</v>
      </c>
      <c r="R58" s="178">
        <f>SUM($G58:Q58)</f>
        <v>0</v>
      </c>
      <c r="S58" s="37"/>
      <c r="T58" s="37"/>
      <c r="U58" s="37"/>
      <c r="V58" s="37"/>
      <c r="W58" s="37"/>
      <c r="X58" s="37"/>
      <c r="Y58" s="38"/>
    </row>
    <row r="59" spans="2:25" x14ac:dyDescent="0.25">
      <c r="D59" t="s">
        <v>7</v>
      </c>
      <c r="E59">
        <v>3</v>
      </c>
      <c r="G59"/>
      <c r="H59" s="2"/>
      <c r="J59" s="71">
        <f>J14/$E59</f>
        <v>0</v>
      </c>
      <c r="K59" s="37">
        <f>J59</f>
        <v>0</v>
      </c>
      <c r="L59" s="37">
        <f t="shared" ref="L59:P59" si="30">K59</f>
        <v>0</v>
      </c>
      <c r="M59" s="37">
        <f t="shared" si="30"/>
        <v>0</v>
      </c>
      <c r="N59" s="37">
        <f t="shared" si="30"/>
        <v>0</v>
      </c>
      <c r="O59" s="37">
        <f t="shared" si="30"/>
        <v>0</v>
      </c>
      <c r="P59" s="37">
        <f t="shared" si="30"/>
        <v>0</v>
      </c>
      <c r="Q59" s="37">
        <f t="shared" si="29"/>
        <v>0</v>
      </c>
      <c r="R59" s="178">
        <f>SUM($G59:Q59)</f>
        <v>0</v>
      </c>
      <c r="S59" s="37"/>
      <c r="T59" s="37"/>
      <c r="U59" s="37"/>
      <c r="V59" s="37"/>
      <c r="W59" s="37"/>
      <c r="X59" s="37"/>
      <c r="Y59" s="38"/>
    </row>
    <row r="60" spans="2:25" x14ac:dyDescent="0.25">
      <c r="D60" t="s">
        <v>8</v>
      </c>
      <c r="E60">
        <v>2</v>
      </c>
      <c r="G60"/>
      <c r="H60" s="2"/>
      <c r="K60" s="71">
        <f>K14/$E60</f>
        <v>0</v>
      </c>
      <c r="L60" s="37">
        <f>K60</f>
        <v>0</v>
      </c>
      <c r="M60" s="37">
        <f t="shared" ref="M60:Q63" si="31">L60</f>
        <v>0</v>
      </c>
      <c r="N60" s="37">
        <f t="shared" si="31"/>
        <v>0</v>
      </c>
      <c r="O60" s="37">
        <f t="shared" si="31"/>
        <v>0</v>
      </c>
      <c r="P60" s="37">
        <f t="shared" si="31"/>
        <v>0</v>
      </c>
      <c r="Q60" s="37">
        <f t="shared" si="31"/>
        <v>0</v>
      </c>
      <c r="R60" s="178">
        <f>SUM($G60:Q60)</f>
        <v>0</v>
      </c>
      <c r="S60" s="37"/>
      <c r="T60" s="37"/>
      <c r="U60" s="37"/>
      <c r="V60" s="37"/>
      <c r="W60" s="37"/>
      <c r="X60" s="37"/>
      <c r="Y60" s="38"/>
    </row>
    <row r="61" spans="2:25" x14ac:dyDescent="0.25">
      <c r="D61" t="s">
        <v>9</v>
      </c>
      <c r="E61">
        <v>1</v>
      </c>
      <c r="G61"/>
      <c r="H61" s="2"/>
      <c r="L61" s="71">
        <f>K$13/$E61</f>
        <v>0</v>
      </c>
      <c r="M61" s="37">
        <f>L61</f>
        <v>0</v>
      </c>
      <c r="N61" s="37">
        <f t="shared" si="31"/>
        <v>0</v>
      </c>
      <c r="O61" s="37">
        <f t="shared" si="31"/>
        <v>0</v>
      </c>
      <c r="P61" s="37">
        <f t="shared" si="31"/>
        <v>0</v>
      </c>
      <c r="Q61" s="37"/>
      <c r="R61" s="178">
        <f>SUM($G61:Q61)</f>
        <v>0</v>
      </c>
      <c r="S61" s="37"/>
      <c r="T61" s="37"/>
      <c r="U61" s="37"/>
      <c r="V61" s="37"/>
      <c r="W61" s="37"/>
      <c r="X61" s="37"/>
      <c r="Y61" s="38"/>
    </row>
    <row r="62" spans="2:25" hidden="1" x14ac:dyDescent="0.25">
      <c r="D62" t="s">
        <v>51</v>
      </c>
      <c r="E62">
        <v>5</v>
      </c>
      <c r="G62"/>
      <c r="H62" s="2"/>
      <c r="L62" s="37"/>
      <c r="M62" s="71">
        <f>L$13/$E62</f>
        <v>0</v>
      </c>
      <c r="N62" s="37">
        <f>M62</f>
        <v>0</v>
      </c>
      <c r="O62" s="37">
        <f t="shared" si="31"/>
        <v>0</v>
      </c>
      <c r="P62" s="37">
        <f t="shared" si="31"/>
        <v>0</v>
      </c>
      <c r="Q62" s="37"/>
      <c r="R62" s="178">
        <f>SUM($G62:Q62)</f>
        <v>0</v>
      </c>
      <c r="S62" s="37"/>
      <c r="T62" s="37"/>
      <c r="U62" s="37"/>
      <c r="V62" s="37"/>
      <c r="W62" s="37"/>
      <c r="X62" s="37"/>
      <c r="Y62" s="38"/>
    </row>
    <row r="63" spans="2:25" hidden="1" x14ac:dyDescent="0.25">
      <c r="D63" t="s">
        <v>52</v>
      </c>
      <c r="E63">
        <v>4</v>
      </c>
      <c r="G63"/>
      <c r="H63" s="2"/>
      <c r="L63" s="37"/>
      <c r="M63" s="37"/>
      <c r="N63" s="71">
        <f>M$13/$E63</f>
        <v>0</v>
      </c>
      <c r="O63" s="37">
        <f>N63</f>
        <v>0</v>
      </c>
      <c r="P63" s="37">
        <f t="shared" si="31"/>
        <v>0</v>
      </c>
      <c r="Q63" s="37"/>
      <c r="R63" s="178">
        <f>SUM($G63:Q63)</f>
        <v>0</v>
      </c>
      <c r="S63" s="37"/>
      <c r="T63" s="37"/>
      <c r="U63" s="37"/>
      <c r="V63" s="37"/>
      <c r="W63" s="37"/>
      <c r="X63" s="37"/>
      <c r="Y63" s="38"/>
    </row>
    <row r="64" spans="2:25" hidden="1" x14ac:dyDescent="0.25">
      <c r="D64" t="s">
        <v>53</v>
      </c>
      <c r="E64">
        <v>3</v>
      </c>
      <c r="G64"/>
      <c r="H64" s="2"/>
      <c r="L64" s="37"/>
      <c r="M64" s="37"/>
      <c r="N64" s="37"/>
      <c r="O64" s="71">
        <f>N$13/$E64</f>
        <v>0</v>
      </c>
      <c r="P64" s="37">
        <f>O64</f>
        <v>0</v>
      </c>
      <c r="Q64" s="37"/>
      <c r="R64" s="178">
        <f>SUM($G64:Q64)</f>
        <v>0</v>
      </c>
      <c r="S64" s="37"/>
      <c r="T64" s="37"/>
      <c r="U64" s="37"/>
      <c r="V64" s="37"/>
      <c r="W64" s="37"/>
      <c r="X64" s="37"/>
      <c r="Y64" s="38"/>
    </row>
    <row r="65" spans="2:28" hidden="1" x14ac:dyDescent="0.25">
      <c r="D65" t="s">
        <v>54</v>
      </c>
      <c r="E65">
        <v>2</v>
      </c>
      <c r="G65"/>
      <c r="H65" s="2"/>
      <c r="L65" s="37"/>
      <c r="M65" s="37"/>
      <c r="N65" s="37"/>
      <c r="O65" s="37"/>
      <c r="P65" s="71">
        <f>O$13/$E65</f>
        <v>0</v>
      </c>
      <c r="Q65" s="71"/>
      <c r="R65" s="178">
        <f>SUM($G65:Q65)</f>
        <v>0</v>
      </c>
      <c r="S65" s="37"/>
      <c r="T65" s="37"/>
      <c r="U65" s="37"/>
      <c r="V65" s="37"/>
      <c r="W65" s="37"/>
      <c r="X65" s="37"/>
      <c r="Y65" s="38"/>
    </row>
    <row r="66" spans="2:28" hidden="1" x14ac:dyDescent="0.25">
      <c r="D66" t="s">
        <v>55</v>
      </c>
      <c r="E66">
        <v>1</v>
      </c>
      <c r="G66"/>
      <c r="H66" s="2"/>
      <c r="K66" s="37"/>
      <c r="L66" s="78"/>
      <c r="M66" s="78"/>
      <c r="N66" s="78"/>
      <c r="O66" s="78"/>
      <c r="P66" s="78"/>
      <c r="Q66" s="78"/>
      <c r="R66" s="178">
        <f>SUM($G66:Q66)</f>
        <v>0</v>
      </c>
      <c r="S66" s="37"/>
      <c r="T66" s="37"/>
      <c r="U66" s="37"/>
      <c r="V66" s="37"/>
      <c r="W66" s="37"/>
      <c r="X66" s="37"/>
      <c r="Y66" s="38"/>
    </row>
    <row r="67" spans="2:28" ht="16.5" thickBot="1" x14ac:dyDescent="0.3">
      <c r="B67" s="39" t="s">
        <v>32</v>
      </c>
      <c r="C67" s="40"/>
      <c r="D67" s="40"/>
      <c r="E67" s="40"/>
      <c r="F67" s="40"/>
      <c r="G67" s="40"/>
      <c r="H67" s="41">
        <f>SUM(H57:H66)</f>
        <v>33632546.399999999</v>
      </c>
      <c r="I67" s="41">
        <f t="shared" ref="I67:P67" si="32">SUM(I57:I66)</f>
        <v>33632546.399999999</v>
      </c>
      <c r="J67" s="41">
        <f t="shared" si="32"/>
        <v>33632546.399999999</v>
      </c>
      <c r="K67" s="41">
        <f t="shared" si="32"/>
        <v>33632546.399999999</v>
      </c>
      <c r="L67" s="41">
        <f t="shared" si="32"/>
        <v>33632546.399999999</v>
      </c>
      <c r="M67" s="41">
        <f t="shared" si="32"/>
        <v>0</v>
      </c>
      <c r="N67" s="41">
        <f t="shared" si="32"/>
        <v>0</v>
      </c>
      <c r="O67" s="41">
        <f t="shared" si="32"/>
        <v>0</v>
      </c>
      <c r="P67" s="41">
        <f t="shared" si="32"/>
        <v>0</v>
      </c>
      <c r="Q67" s="41">
        <f>SUM(Q57:Q66)</f>
        <v>0</v>
      </c>
      <c r="R67" s="159">
        <f>SUM(R57:R66)</f>
        <v>168162732</v>
      </c>
      <c r="S67" s="45"/>
      <c r="T67" s="45"/>
      <c r="U67" s="45"/>
      <c r="V67" s="45"/>
      <c r="W67" s="45"/>
      <c r="X67" s="45"/>
      <c r="Y67" s="45"/>
      <c r="Z67" s="42"/>
      <c r="AA67" s="42"/>
      <c r="AB67" s="42"/>
    </row>
    <row r="68" spans="2:28" ht="17.25" thickTop="1" thickBot="1" x14ac:dyDescent="0.3">
      <c r="G68"/>
      <c r="H68" s="2"/>
      <c r="M68" s="38"/>
      <c r="N68" s="38"/>
      <c r="O68" s="38"/>
      <c r="P68" s="38"/>
      <c r="Q68" s="38"/>
      <c r="R68" s="188"/>
      <c r="Y68" s="14"/>
    </row>
    <row r="70" spans="2:28" x14ac:dyDescent="0.25">
      <c r="F70" t="s">
        <v>59</v>
      </c>
    </row>
    <row r="79" spans="2:28" x14ac:dyDescent="0.25">
      <c r="G79" s="69"/>
      <c r="H79" s="14"/>
    </row>
    <row r="81" spans="6:12" x14ac:dyDescent="0.25">
      <c r="G81" s="13"/>
    </row>
    <row r="82" spans="6:12" x14ac:dyDescent="0.25">
      <c r="G82" s="13"/>
      <c r="H82" s="14"/>
      <c r="I82" s="14"/>
      <c r="J82" s="14"/>
      <c r="K82" s="14"/>
      <c r="L82" s="14"/>
    </row>
    <row r="83" spans="6:12" x14ac:dyDescent="0.25">
      <c r="F83" s="80"/>
      <c r="G83" s="85"/>
      <c r="H83" s="86"/>
      <c r="I83" s="86"/>
      <c r="J83" s="86"/>
      <c r="K83" s="86"/>
      <c r="L83" s="86"/>
    </row>
    <row r="86" spans="6:12" x14ac:dyDescent="0.25">
      <c r="G86" s="13"/>
      <c r="L86" s="14"/>
    </row>
    <row r="88" spans="6:12" x14ac:dyDescent="0.25">
      <c r="G88" s="69"/>
      <c r="H88" s="69"/>
      <c r="I88" s="69"/>
      <c r="J88" s="69"/>
      <c r="K88" s="69"/>
      <c r="L88" s="69"/>
    </row>
  </sheetData>
  <mergeCells count="1">
    <mergeCell ref="E26:F26"/>
  </mergeCells>
  <phoneticPr fontId="25" type="noConversion"/>
  <printOptions horizontalCentered="1" verticalCentered="1"/>
  <pageMargins left="0" right="0" top="0" bottom="0" header="0.31496062992125984" footer="0.31496062992125984"/>
  <pageSetup paperSize="9" scale="5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K54"/>
  <sheetViews>
    <sheetView topLeftCell="A17" workbookViewId="0">
      <selection activeCell="I19" sqref="I19"/>
    </sheetView>
  </sheetViews>
  <sheetFormatPr defaultRowHeight="15.75" x14ac:dyDescent="0.25"/>
  <cols>
    <col min="1" max="1" width="13.5" bestFit="1" customWidth="1"/>
    <col min="2" max="2" width="15.75" bestFit="1" customWidth="1"/>
    <col min="3" max="4" width="13.75" bestFit="1" customWidth="1"/>
    <col min="5" max="9" width="12.125" bestFit="1" customWidth="1"/>
    <col min="10" max="11" width="13.75" bestFit="1" customWidth="1"/>
  </cols>
  <sheetData>
    <row r="1" spans="1:11" s="1" customFormat="1" x14ac:dyDescent="0.25"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51</v>
      </c>
      <c r="H1" s="1" t="s">
        <v>52</v>
      </c>
      <c r="I1" s="1" t="s">
        <v>53</v>
      </c>
      <c r="J1" s="1" t="s">
        <v>54</v>
      </c>
      <c r="K1" s="1" t="s">
        <v>55</v>
      </c>
    </row>
    <row r="2" spans="1:11" x14ac:dyDescent="0.25">
      <c r="A2" t="s">
        <v>60</v>
      </c>
      <c r="B2" s="87">
        <f>SUM('IRR Approved'!G13:K14)</f>
        <v>168162732</v>
      </c>
      <c r="C2" s="14">
        <f>$B$2-$B$4</f>
        <v>134530185.59999999</v>
      </c>
      <c r="D2" s="14">
        <f>$C$2-$B$4</f>
        <v>100897639.19999999</v>
      </c>
      <c r="E2" s="14">
        <f>$D$2-$B$4</f>
        <v>67265092.799999982</v>
      </c>
      <c r="F2" s="14">
        <f>$E$2-$B$4</f>
        <v>33632546.399999984</v>
      </c>
      <c r="G2" s="14">
        <f>$F$2-$B$4</f>
        <v>0</v>
      </c>
      <c r="H2" s="14">
        <f>$G$2-$B$4</f>
        <v>-33632546.399999999</v>
      </c>
      <c r="I2" s="14">
        <f>$H$2-$B$4</f>
        <v>-67265092.799999997</v>
      </c>
      <c r="J2" s="14">
        <f>$I$2-$B$4</f>
        <v>-100897639.19999999</v>
      </c>
      <c r="K2" s="14">
        <f>$J$2-$B$4</f>
        <v>-134530185.59999999</v>
      </c>
    </row>
    <row r="3" spans="1:11" x14ac:dyDescent="0.25">
      <c r="A3" t="s">
        <v>61</v>
      </c>
      <c r="B3" s="87">
        <v>5</v>
      </c>
    </row>
    <row r="4" spans="1:11" x14ac:dyDescent="0.25">
      <c r="A4" t="s">
        <v>62</v>
      </c>
      <c r="B4" s="87">
        <f>$B$2/$B$3</f>
        <v>33632546.399999999</v>
      </c>
      <c r="C4" s="87"/>
      <c r="D4" s="87"/>
    </row>
    <row r="5" spans="1:11" x14ac:dyDescent="0.25">
      <c r="A5" t="s">
        <v>63</v>
      </c>
      <c r="B5" s="87">
        <f>(($B$2*'IRR Approved'!$F$4)*6)/12</f>
        <v>8408136.5999999996</v>
      </c>
      <c r="C5" s="14">
        <f>AVERAGE($B$2:$C$2)*'IRR Approved'!$F$4</f>
        <v>15134645.880000003</v>
      </c>
      <c r="D5" s="14">
        <f>AVERAGE($C$2:$D$2)*'IRR Approved'!$F$4</f>
        <v>11771391.24</v>
      </c>
      <c r="E5" s="14">
        <f>AVERAGE($D$2:$E$2)*'IRR Approved'!$F$4</f>
        <v>8408136.5999999996</v>
      </c>
      <c r="F5" s="14">
        <f>AVERAGE($E$2:$F$2)*'IRR Approved'!$F$4</f>
        <v>5044881.9599999981</v>
      </c>
      <c r="G5" s="14">
        <f>AVERAGE($F$2:$G$2)*'IRR Approved'!$F$4</f>
        <v>1681627.3199999994</v>
      </c>
      <c r="H5" s="14">
        <f>AVERAGE($G$2:$H$2)*'IRR Approved'!$F$4</f>
        <v>-1681627.32</v>
      </c>
      <c r="I5" s="14">
        <f>AVERAGE($H$2:$I$2)*'IRR Approved'!$F$4</f>
        <v>-5044881.96</v>
      </c>
      <c r="J5" s="14">
        <f>AVERAGE($I$2:$J$2)*'IRR Approved'!$F$4</f>
        <v>-8408136.5999999996</v>
      </c>
      <c r="K5" s="14">
        <f>AVERAGE($J$2:$K$2)*'IRR Approved'!$F$4</f>
        <v>-11771391.24</v>
      </c>
    </row>
    <row r="8" spans="1:11" s="141" customFormat="1" x14ac:dyDescent="0.25"/>
    <row r="10" spans="1:11" x14ac:dyDescent="0.25">
      <c r="A10" t="s">
        <v>1</v>
      </c>
      <c r="B10" s="87">
        <v>50000000</v>
      </c>
      <c r="C10" s="14">
        <f>B10+C11</f>
        <v>51000000</v>
      </c>
      <c r="D10" s="14">
        <f>C10+D12</f>
        <v>52020000</v>
      </c>
      <c r="E10" s="14">
        <f t="shared" ref="E10:K10" si="0">D10+E12</f>
        <v>53060400</v>
      </c>
      <c r="F10" s="14">
        <f t="shared" si="0"/>
        <v>54121608</v>
      </c>
      <c r="G10" s="14">
        <f t="shared" si="0"/>
        <v>55204040.159999996</v>
      </c>
      <c r="H10" s="14">
        <f t="shared" si="0"/>
        <v>56308120.963199995</v>
      </c>
      <c r="I10" s="14">
        <f t="shared" si="0"/>
        <v>57434283.382463992</v>
      </c>
      <c r="J10" s="14">
        <f t="shared" si="0"/>
        <v>58582969.050113268</v>
      </c>
      <c r="K10" s="14">
        <f t="shared" si="0"/>
        <v>59754628.43111553</v>
      </c>
    </row>
    <row r="11" spans="1:11" x14ac:dyDescent="0.25">
      <c r="A11" s="79">
        <v>0.02</v>
      </c>
      <c r="C11" s="14">
        <f>C12</f>
        <v>1000000</v>
      </c>
      <c r="D11" s="14">
        <f>C11+D12</f>
        <v>2020000</v>
      </c>
      <c r="E11" s="14">
        <f t="shared" ref="E11:K11" si="1">D11+E12</f>
        <v>3060400</v>
      </c>
      <c r="F11" s="14">
        <f t="shared" si="1"/>
        <v>4121608</v>
      </c>
      <c r="G11" s="14">
        <f t="shared" si="1"/>
        <v>5204040.16</v>
      </c>
      <c r="H11" s="14">
        <f t="shared" si="1"/>
        <v>6308120.9632000001</v>
      </c>
      <c r="I11" s="14">
        <f t="shared" si="1"/>
        <v>7434283.382464</v>
      </c>
      <c r="J11" s="14">
        <f t="shared" si="1"/>
        <v>8582969.0501132794</v>
      </c>
      <c r="K11" s="14">
        <f t="shared" si="1"/>
        <v>9754628.4311155453</v>
      </c>
    </row>
    <row r="12" spans="1:11" x14ac:dyDescent="0.25">
      <c r="C12" s="14">
        <f>B10*$A$11</f>
        <v>1000000</v>
      </c>
      <c r="D12" s="14">
        <f>C10*$A$11</f>
        <v>1020000</v>
      </c>
      <c r="E12" s="14">
        <f t="shared" ref="E12:K12" si="2">D10*$A$11</f>
        <v>1040400</v>
      </c>
      <c r="F12" s="14">
        <f t="shared" si="2"/>
        <v>1061208</v>
      </c>
      <c r="G12" s="14">
        <f t="shared" si="2"/>
        <v>1082432.1599999999</v>
      </c>
      <c r="H12" s="14">
        <f t="shared" si="2"/>
        <v>1104080.8032</v>
      </c>
      <c r="I12" s="14">
        <f t="shared" si="2"/>
        <v>1126162.4192639999</v>
      </c>
      <c r="J12" s="14">
        <f t="shared" si="2"/>
        <v>1148685.6676492798</v>
      </c>
      <c r="K12" s="14">
        <f t="shared" si="2"/>
        <v>1171659.3810022655</v>
      </c>
    </row>
    <row r="13" spans="1:11" x14ac:dyDescent="0.25">
      <c r="F13" s="87"/>
    </row>
    <row r="15" spans="1:11" s="141" customFormat="1" x14ac:dyDescent="0.25"/>
    <row r="17" spans="1:11" x14ac:dyDescent="0.25">
      <c r="F17" s="128" t="s">
        <v>110</v>
      </c>
      <c r="G17" s="128" t="s">
        <v>111</v>
      </c>
      <c r="H17" s="128" t="s">
        <v>112</v>
      </c>
      <c r="I17" s="129" t="s">
        <v>113</v>
      </c>
      <c r="J17" s="217" t="s">
        <v>114</v>
      </c>
      <c r="K17" s="217" t="s">
        <v>115</v>
      </c>
    </row>
    <row r="18" spans="1:11" x14ac:dyDescent="0.25">
      <c r="E18" s="130" t="s">
        <v>116</v>
      </c>
      <c r="F18" s="131">
        <v>1</v>
      </c>
      <c r="G18" s="132">
        <v>1</v>
      </c>
      <c r="H18" s="132">
        <v>1</v>
      </c>
      <c r="I18" s="192">
        <f>'IRR Approved'!F13</f>
        <v>136</v>
      </c>
      <c r="J18" s="217"/>
      <c r="K18" s="217"/>
    </row>
    <row r="19" spans="1:11" x14ac:dyDescent="0.25">
      <c r="B19" s="218" t="s">
        <v>117</v>
      </c>
      <c r="C19" s="133" t="s">
        <v>118</v>
      </c>
      <c r="D19" s="134">
        <f>C30</f>
        <v>3000000</v>
      </c>
      <c r="E19" s="133" t="s">
        <v>110</v>
      </c>
      <c r="F19" s="128">
        <f>F18</f>
        <v>1</v>
      </c>
      <c r="G19" s="128"/>
      <c r="H19" s="128"/>
      <c r="I19" s="129"/>
      <c r="J19" s="135">
        <f>F19*D19</f>
        <v>3000000</v>
      </c>
    </row>
    <row r="20" spans="1:11" x14ac:dyDescent="0.25">
      <c r="B20" s="219"/>
      <c r="C20" s="133" t="s">
        <v>119</v>
      </c>
      <c r="D20" s="136">
        <v>600000</v>
      </c>
      <c r="E20" s="133" t="s">
        <v>110</v>
      </c>
      <c r="F20" s="128">
        <f>F18</f>
        <v>1</v>
      </c>
      <c r="G20" s="128"/>
      <c r="H20" s="128"/>
      <c r="I20" s="129">
        <f>IF($I$10&lt;=120,2,IF($I$10&gt;220,4,3))</f>
        <v>4</v>
      </c>
      <c r="J20" s="136">
        <f>D20*F20</f>
        <v>600000</v>
      </c>
    </row>
    <row r="21" spans="1:11" x14ac:dyDescent="0.25">
      <c r="B21" s="220"/>
      <c r="C21" s="133" t="s">
        <v>117</v>
      </c>
      <c r="D21" s="136">
        <v>200000</v>
      </c>
      <c r="E21" s="133" t="s">
        <v>120</v>
      </c>
      <c r="F21" s="128"/>
      <c r="G21" s="128">
        <f>G18</f>
        <v>1</v>
      </c>
      <c r="H21" s="128"/>
      <c r="I21" s="129"/>
      <c r="J21" s="136">
        <f>G21*D21</f>
        <v>200000</v>
      </c>
    </row>
    <row r="22" spans="1:11" x14ac:dyDescent="0.25">
      <c r="B22" s="133" t="s">
        <v>121</v>
      </c>
      <c r="C22" s="133" t="s">
        <v>121</v>
      </c>
      <c r="D22" s="136">
        <v>450000</v>
      </c>
      <c r="E22" s="133" t="s">
        <v>112</v>
      </c>
      <c r="F22" s="128">
        <f>F18</f>
        <v>1</v>
      </c>
      <c r="G22" s="128"/>
      <c r="H22" s="128">
        <f>H18</f>
        <v>1</v>
      </c>
      <c r="I22" s="129">
        <f t="shared" ref="I22:I23" si="3">IF($I$10&lt;=120,2,IF($I$10&gt;220,4,3))</f>
        <v>4</v>
      </c>
      <c r="J22" s="136">
        <f>H22*D22*I22</f>
        <v>1800000</v>
      </c>
    </row>
    <row r="23" spans="1:11" x14ac:dyDescent="0.25">
      <c r="B23" s="133" t="s">
        <v>122</v>
      </c>
      <c r="C23" s="133" t="s">
        <v>122</v>
      </c>
      <c r="D23" s="136">
        <v>120000</v>
      </c>
      <c r="E23" s="133" t="s">
        <v>110</v>
      </c>
      <c r="F23" s="128">
        <f>F18</f>
        <v>1</v>
      </c>
      <c r="G23" s="128"/>
      <c r="H23" s="128"/>
      <c r="I23" s="129">
        <f t="shared" si="3"/>
        <v>4</v>
      </c>
      <c r="J23" s="136">
        <f>I23*D23*F23</f>
        <v>480000</v>
      </c>
    </row>
    <row r="24" spans="1:11" x14ac:dyDescent="0.25">
      <c r="J24" s="137">
        <f>SUM(J19:J23)</f>
        <v>6080000</v>
      </c>
      <c r="K24" s="138">
        <f>J24*2</f>
        <v>12160000</v>
      </c>
    </row>
    <row r="26" spans="1:11" s="141" customFormat="1" x14ac:dyDescent="0.25"/>
    <row r="27" spans="1:11" x14ac:dyDescent="0.25">
      <c r="K27" s="14"/>
    </row>
    <row r="28" spans="1:11" x14ac:dyDescent="0.25">
      <c r="B28" s="128" t="s">
        <v>123</v>
      </c>
      <c r="C28" s="128" t="s">
        <v>118</v>
      </c>
      <c r="E28" s="133" t="s">
        <v>124</v>
      </c>
      <c r="K28" s="38"/>
    </row>
    <row r="29" spans="1:11" x14ac:dyDescent="0.25">
      <c r="A29" t="s">
        <v>125</v>
      </c>
      <c r="B29" s="87">
        <v>16800000</v>
      </c>
      <c r="C29" s="87">
        <v>4000000</v>
      </c>
      <c r="D29" s="14"/>
      <c r="E29" t="s">
        <v>126</v>
      </c>
      <c r="K29" s="14"/>
    </row>
    <row r="30" spans="1:11" x14ac:dyDescent="0.25">
      <c r="A30" t="s">
        <v>127</v>
      </c>
      <c r="B30" s="87"/>
      <c r="C30" s="87">
        <v>3000000</v>
      </c>
      <c r="E30" t="s">
        <v>128</v>
      </c>
      <c r="I30" s="87">
        <v>10000000</v>
      </c>
    </row>
    <row r="31" spans="1:11" x14ac:dyDescent="0.25">
      <c r="A31" t="s">
        <v>129</v>
      </c>
      <c r="B31" s="87">
        <v>15600000</v>
      </c>
      <c r="C31" s="87">
        <v>2500000</v>
      </c>
      <c r="D31" s="14"/>
      <c r="E31" t="s">
        <v>128</v>
      </c>
      <c r="H31" t="s">
        <v>130</v>
      </c>
      <c r="I31" s="87">
        <v>12000000</v>
      </c>
    </row>
    <row r="32" spans="1:11" x14ac:dyDescent="0.25">
      <c r="A32" t="s">
        <v>131</v>
      </c>
      <c r="B32" s="87">
        <v>15000000</v>
      </c>
      <c r="C32" s="87">
        <v>2000000</v>
      </c>
      <c r="D32" s="14"/>
      <c r="E32" t="s">
        <v>128</v>
      </c>
      <c r="H32" t="s">
        <v>132</v>
      </c>
      <c r="I32" s="87">
        <v>14000000</v>
      </c>
    </row>
    <row r="33" spans="1:9" x14ac:dyDescent="0.25">
      <c r="A33" t="s">
        <v>133</v>
      </c>
      <c r="B33" s="87">
        <v>15000000</v>
      </c>
      <c r="C33" s="87">
        <v>1850000</v>
      </c>
      <c r="D33" s="14"/>
      <c r="E33" t="s">
        <v>128</v>
      </c>
      <c r="H33" t="s">
        <v>134</v>
      </c>
      <c r="I33" s="87">
        <v>14000000</v>
      </c>
    </row>
    <row r="34" spans="1:9" x14ac:dyDescent="0.25">
      <c r="A34" t="s">
        <v>135</v>
      </c>
      <c r="B34" s="87">
        <v>12000000</v>
      </c>
      <c r="C34" s="87">
        <v>1200000</v>
      </c>
      <c r="D34" s="14"/>
      <c r="E34" t="s">
        <v>128</v>
      </c>
      <c r="H34" t="s">
        <v>125</v>
      </c>
      <c r="I34" s="87">
        <v>17000000</v>
      </c>
    </row>
    <row r="35" spans="1:9" x14ac:dyDescent="0.25">
      <c r="A35" t="s">
        <v>136</v>
      </c>
      <c r="B35" s="87">
        <v>16800000</v>
      </c>
      <c r="C35" s="87">
        <v>2000000</v>
      </c>
      <c r="D35" s="14"/>
      <c r="E35" t="s">
        <v>128</v>
      </c>
      <c r="H35" t="s">
        <v>136</v>
      </c>
      <c r="I35" s="87">
        <v>14000000</v>
      </c>
    </row>
    <row r="36" spans="1:9" x14ac:dyDescent="0.25">
      <c r="A36" t="s">
        <v>137</v>
      </c>
      <c r="B36" s="87">
        <v>15720000</v>
      </c>
      <c r="C36" s="87">
        <v>3500000</v>
      </c>
      <c r="D36" s="14"/>
    </row>
    <row r="37" spans="1:9" x14ac:dyDescent="0.25">
      <c r="A37" t="s">
        <v>138</v>
      </c>
      <c r="C37" s="87">
        <v>2800000</v>
      </c>
      <c r="D37" s="14"/>
    </row>
    <row r="38" spans="1:9" x14ac:dyDescent="0.25">
      <c r="A38" t="s">
        <v>139</v>
      </c>
      <c r="B38">
        <v>0</v>
      </c>
      <c r="C38" s="87">
        <v>0</v>
      </c>
      <c r="D38" t="s">
        <v>140</v>
      </c>
    </row>
    <row r="40" spans="1:9" x14ac:dyDescent="0.25">
      <c r="B40" s="128" t="s">
        <v>141</v>
      </c>
      <c r="C40" s="128"/>
    </row>
    <row r="41" spans="1:9" x14ac:dyDescent="0.25">
      <c r="B41" s="87">
        <v>7000000</v>
      </c>
      <c r="D41" s="14">
        <f>B41/12</f>
        <v>583333.33333333337</v>
      </c>
    </row>
    <row r="42" spans="1:9" x14ac:dyDescent="0.25">
      <c r="B42" s="87"/>
      <c r="D42" s="14"/>
    </row>
    <row r="44" spans="1:9" s="141" customFormat="1" x14ac:dyDescent="0.25"/>
    <row r="46" spans="1:9" x14ac:dyDescent="0.25">
      <c r="A46" s="133" t="s">
        <v>142</v>
      </c>
      <c r="B46" s="14"/>
    </row>
    <row r="47" spans="1:9" x14ac:dyDescent="0.25">
      <c r="A47" t="s">
        <v>143</v>
      </c>
    </row>
    <row r="48" spans="1:9" x14ac:dyDescent="0.25">
      <c r="A48" t="s">
        <v>144</v>
      </c>
      <c r="B48" s="87">
        <v>36000000</v>
      </c>
    </row>
    <row r="49" spans="1:3" x14ac:dyDescent="0.25">
      <c r="A49" t="s">
        <v>145</v>
      </c>
      <c r="B49" s="87">
        <v>42000000</v>
      </c>
    </row>
    <row r="50" spans="1:3" x14ac:dyDescent="0.25">
      <c r="A50" t="s">
        <v>146</v>
      </c>
      <c r="B50" s="87">
        <v>48000000</v>
      </c>
      <c r="C50" s="14">
        <f>B50/12</f>
        <v>4000000</v>
      </c>
    </row>
    <row r="52" spans="1:3" x14ac:dyDescent="0.25">
      <c r="A52" t="s">
        <v>147</v>
      </c>
    </row>
    <row r="53" spans="1:3" x14ac:dyDescent="0.25">
      <c r="A53" t="s">
        <v>148</v>
      </c>
      <c r="B53" s="87">
        <v>75000000</v>
      </c>
    </row>
    <row r="54" spans="1:3" x14ac:dyDescent="0.25">
      <c r="A54" t="s">
        <v>146</v>
      </c>
      <c r="B54" s="87">
        <v>95000000</v>
      </c>
    </row>
  </sheetData>
  <mergeCells count="3">
    <mergeCell ref="J17:J18"/>
    <mergeCell ref="K17:K18"/>
    <mergeCell ref="B19:B21"/>
  </mergeCells>
  <phoneticPr fontId="25" type="noConversion"/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C8" sqref="C8:I9"/>
    </sheetView>
  </sheetViews>
  <sheetFormatPr defaultRowHeight="15.75" x14ac:dyDescent="0.25"/>
  <cols>
    <col min="2" max="2" width="13.75" bestFit="1" customWidth="1"/>
    <col min="4" max="4" width="11.125" bestFit="1" customWidth="1"/>
    <col min="7" max="7" width="11.125" bestFit="1" customWidth="1"/>
    <col min="9" max="9" width="11.875" bestFit="1" customWidth="1"/>
  </cols>
  <sheetData>
    <row r="1" spans="1:11" x14ac:dyDescent="0.25">
      <c r="B1">
        <v>2013</v>
      </c>
      <c r="C1">
        <v>2014</v>
      </c>
      <c r="D1">
        <v>2015</v>
      </c>
      <c r="E1">
        <v>2016</v>
      </c>
      <c r="F1">
        <v>2017</v>
      </c>
      <c r="G1">
        <v>2018</v>
      </c>
      <c r="H1">
        <v>2019</v>
      </c>
      <c r="I1">
        <v>2020</v>
      </c>
      <c r="J1">
        <v>2021</v>
      </c>
      <c r="K1">
        <v>2022</v>
      </c>
    </row>
    <row r="2" spans="1:11" x14ac:dyDescent="0.25">
      <c r="A2" t="s">
        <v>90</v>
      </c>
      <c r="B2" s="87">
        <v>1233497722</v>
      </c>
      <c r="C2" s="87"/>
      <c r="D2" s="87">
        <v>27467916</v>
      </c>
      <c r="E2" s="87"/>
      <c r="F2" s="87"/>
      <c r="G2" s="87">
        <v>29800000</v>
      </c>
      <c r="H2" s="87"/>
      <c r="I2" s="87">
        <v>246699544</v>
      </c>
      <c r="J2" s="87"/>
      <c r="K2" s="87"/>
    </row>
    <row r="3" spans="1:11" x14ac:dyDescent="0.25">
      <c r="A3" t="s">
        <v>161</v>
      </c>
      <c r="B3" s="87"/>
      <c r="C3" s="87"/>
      <c r="D3" s="87">
        <v>54762140</v>
      </c>
      <c r="E3" s="87"/>
      <c r="F3" s="87"/>
      <c r="G3" s="87"/>
      <c r="H3" s="87"/>
      <c r="I3" s="87"/>
      <c r="J3" s="87"/>
      <c r="K3" s="87"/>
    </row>
    <row r="5" spans="1:11" x14ac:dyDescent="0.25">
      <c r="A5" t="s">
        <v>90</v>
      </c>
      <c r="B5" s="87">
        <f>(B2/10)*(2023-B1)</f>
        <v>1233497722</v>
      </c>
      <c r="C5" s="87">
        <f t="shared" ref="C5:H5" si="0">(C2/10)*(2023-C1)</f>
        <v>0</v>
      </c>
      <c r="D5" s="87">
        <f>(D2/10)*(2024-D1)</f>
        <v>24721124.400000002</v>
      </c>
      <c r="E5" s="87">
        <f t="shared" si="0"/>
        <v>0</v>
      </c>
      <c r="F5" s="87">
        <f t="shared" si="0"/>
        <v>0</v>
      </c>
      <c r="G5" s="87">
        <f>(G2/10)*(2024-G1)</f>
        <v>17880000</v>
      </c>
      <c r="H5" s="87">
        <f t="shared" si="0"/>
        <v>0</v>
      </c>
      <c r="I5" s="87">
        <f>(I2/10)*(2024-I1)</f>
        <v>98679817.599999994</v>
      </c>
    </row>
    <row r="6" spans="1:11" x14ac:dyDescent="0.25">
      <c r="A6" t="s">
        <v>161</v>
      </c>
      <c r="D6" s="87">
        <f>(D3/10)*(2024-D1)</f>
        <v>49285926</v>
      </c>
    </row>
    <row r="8" spans="1:11" x14ac:dyDescent="0.25">
      <c r="A8" t="s">
        <v>90</v>
      </c>
      <c r="B8" s="14">
        <f>B2-B5</f>
        <v>0</v>
      </c>
      <c r="C8" s="14">
        <f t="shared" ref="C8:I9" si="1">C2-C5</f>
        <v>0</v>
      </c>
      <c r="D8" s="14">
        <f t="shared" si="1"/>
        <v>2746791.5999999978</v>
      </c>
      <c r="E8" s="14">
        <f t="shared" si="1"/>
        <v>0</v>
      </c>
      <c r="F8" s="14">
        <f t="shared" si="1"/>
        <v>0</v>
      </c>
      <c r="G8" s="14">
        <f t="shared" si="1"/>
        <v>11920000</v>
      </c>
      <c r="H8" s="14">
        <f t="shared" si="1"/>
        <v>0</v>
      </c>
      <c r="I8" s="14">
        <f t="shared" si="1"/>
        <v>148019726.40000001</v>
      </c>
    </row>
    <row r="9" spans="1:11" x14ac:dyDescent="0.25">
      <c r="A9" t="s">
        <v>161</v>
      </c>
      <c r="B9" s="14">
        <f>B3-B6</f>
        <v>0</v>
      </c>
      <c r="C9" s="14">
        <f t="shared" si="1"/>
        <v>0</v>
      </c>
      <c r="D9" s="14">
        <f t="shared" si="1"/>
        <v>5476214</v>
      </c>
      <c r="E9" s="14">
        <f t="shared" si="1"/>
        <v>0</v>
      </c>
      <c r="F9" s="14">
        <f t="shared" si="1"/>
        <v>0</v>
      </c>
      <c r="G9" s="14">
        <f t="shared" si="1"/>
        <v>0</v>
      </c>
      <c r="H9" s="14">
        <f t="shared" si="1"/>
        <v>0</v>
      </c>
      <c r="I9" s="14">
        <f t="shared" si="1"/>
        <v>0</v>
      </c>
    </row>
    <row r="11" spans="1:11" x14ac:dyDescent="0.25">
      <c r="D11" s="14"/>
    </row>
    <row r="12" spans="1:11" x14ac:dyDescent="0.25">
      <c r="D12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Summary</vt:lpstr>
      <vt:lpstr>IRR Approved</vt:lpstr>
      <vt:lpstr>PARAMETER</vt:lpstr>
      <vt:lpstr>Book Value</vt:lpstr>
      <vt:lpstr>'IRR Approved'!Print_Area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2023-12-20T07:11:00Z</cp:lastPrinted>
  <dcterms:created xsi:type="dcterms:W3CDTF">2020-06-08T08:40:20Z</dcterms:created>
  <dcterms:modified xsi:type="dcterms:W3CDTF">2024-01-10T04:03:03Z</dcterms:modified>
</cp:coreProperties>
</file>