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2020 strategic planning\PnL\Lombok Plaza\"/>
    </mc:Choice>
  </mc:AlternateContent>
  <bookViews>
    <workbookView xWindow="-105" yWindow="-105" windowWidth="19425" windowHeight="10425" tabRatio="919" activeTab="1"/>
  </bookViews>
  <sheets>
    <sheet name="Summary" sheetId="6" r:id="rId1"/>
    <sheet name="IRR" sheetId="1" r:id="rId2"/>
    <sheet name="PARAMETER" sheetId="2" r:id="rId3"/>
  </sheets>
  <externalReferences>
    <externalReference r:id="rId4"/>
    <externalReference r:id="rId5"/>
    <externalReference r:id="rId6"/>
  </externalReferences>
  <definedNames>
    <definedName name="jk">#REF!</definedName>
    <definedName name="_xlnm.Print_Area" localSheetId="1">IRR!$A$1:$L$50</definedName>
    <definedName name="_xlnm.Print_Area" localSheetId="0">Summary!$A$2:$N$34</definedName>
    <definedName name="years_contract">[1]Kerlink!$D$5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K23" i="1"/>
  <c r="J23" i="1"/>
  <c r="K22" i="1"/>
  <c r="J22" i="1"/>
  <c r="K21" i="1"/>
  <c r="J21" i="1"/>
  <c r="K15" i="1"/>
  <c r="J15" i="1"/>
  <c r="I11" i="2" l="1"/>
  <c r="L21" i="1" l="1"/>
  <c r="I15" i="1"/>
  <c r="H15" i="1"/>
  <c r="H23" i="1"/>
  <c r="I23" i="1"/>
  <c r="G23" i="1"/>
  <c r="K17" i="2" l="1"/>
  <c r="G45" i="1" l="1"/>
  <c r="L23" i="1"/>
  <c r="L22" i="1"/>
  <c r="G18" i="1"/>
  <c r="H18" i="1" l="1"/>
  <c r="I18" i="1"/>
  <c r="J18" i="1"/>
  <c r="K18" i="1"/>
  <c r="L18" i="1" l="1"/>
  <c r="K35" i="1"/>
  <c r="J35" i="1"/>
  <c r="G24" i="1" l="1"/>
  <c r="B2" i="2"/>
  <c r="G25" i="1" l="1"/>
  <c r="H24" i="1"/>
  <c r="H25" i="1" s="1"/>
  <c r="K24" i="1" l="1"/>
  <c r="I24" i="1"/>
  <c r="I25" i="1" s="1"/>
  <c r="J24" i="1"/>
  <c r="L24" i="1" l="1"/>
  <c r="L25" i="1" s="1"/>
  <c r="J25" i="1"/>
  <c r="J26" i="1" s="1"/>
  <c r="J27" i="1" s="1"/>
  <c r="K25" i="1"/>
  <c r="K26" i="1" s="1"/>
  <c r="K27" i="1" s="1"/>
  <c r="I26" i="1"/>
  <c r="I27" i="1" s="1"/>
  <c r="G50" i="1"/>
  <c r="H46" i="1"/>
  <c r="M10" i="6" l="1"/>
  <c r="I16" i="2"/>
  <c r="J16" i="2" s="1"/>
  <c r="F16" i="2"/>
  <c r="I15" i="2"/>
  <c r="H15" i="2"/>
  <c r="J15" i="2" s="1"/>
  <c r="F15" i="2"/>
  <c r="G14" i="2"/>
  <c r="J14" i="2" s="1"/>
  <c r="J13" i="2"/>
  <c r="I13" i="2"/>
  <c r="F13" i="2"/>
  <c r="F12" i="2"/>
  <c r="J12" i="2" s="1"/>
  <c r="D12" i="2"/>
  <c r="J17" i="2" l="1"/>
  <c r="G35" i="1" l="1"/>
  <c r="H35" i="1"/>
  <c r="I35" i="1"/>
  <c r="F35" i="1"/>
  <c r="M8" i="6" l="1"/>
  <c r="B4" i="2" l="1"/>
  <c r="C2" i="2" s="1"/>
  <c r="B5" i="2"/>
  <c r="G30" i="1" s="1"/>
  <c r="C5" i="2" l="1"/>
  <c r="H30" i="1" s="1"/>
  <c r="D2" i="2"/>
  <c r="D5" i="2" l="1"/>
  <c r="I30" i="1" s="1"/>
  <c r="E2" i="2"/>
  <c r="E5" i="2" l="1"/>
  <c r="F2" i="2"/>
  <c r="F5" i="2" l="1"/>
  <c r="G2" i="2"/>
  <c r="G5" i="2" s="1"/>
  <c r="H2" i="2" l="1"/>
  <c r="H5" i="2" s="1"/>
  <c r="I2" i="2" l="1"/>
  <c r="I5" i="2" s="1"/>
  <c r="J2" i="2" l="1"/>
  <c r="J5" i="2" s="1"/>
  <c r="K2" i="2" l="1"/>
  <c r="K5" i="2" s="1"/>
  <c r="J46" i="1" l="1"/>
  <c r="K46" i="1" s="1"/>
  <c r="G28" i="1"/>
  <c r="H45" i="1" l="1"/>
  <c r="H50" i="1" s="1"/>
  <c r="I47" i="1"/>
  <c r="I45" i="1" l="1"/>
  <c r="I50" i="1" s="1"/>
  <c r="I28" i="1" s="1"/>
  <c r="J50" i="1" l="1"/>
  <c r="M12" i="6" l="1"/>
  <c r="K45" i="1"/>
  <c r="F36" i="1" l="1"/>
  <c r="K47" i="1"/>
  <c r="K50" i="1" l="1"/>
  <c r="H28" i="1"/>
  <c r="I44" i="1"/>
  <c r="J44" i="1"/>
  <c r="K44" i="1"/>
  <c r="H26" i="1" l="1"/>
  <c r="H27" i="1" s="1"/>
  <c r="F37" i="1"/>
  <c r="M11" i="6" l="1"/>
  <c r="H29" i="1"/>
  <c r="H31" i="1" s="1"/>
  <c r="H32" i="1" s="1"/>
  <c r="I29" i="1"/>
  <c r="G26" i="1"/>
  <c r="H33" i="1" l="1"/>
  <c r="H36" i="1" s="1"/>
  <c r="L26" i="1"/>
  <c r="L27" i="1" s="1"/>
  <c r="F41" i="1" s="1"/>
  <c r="I31" i="1"/>
  <c r="I32" i="1" s="1"/>
  <c r="G29" i="1"/>
  <c r="G31" i="1" s="1"/>
  <c r="G32" i="1" s="1"/>
  <c r="G33" i="1" s="1"/>
  <c r="J29" i="1"/>
  <c r="H44" i="1"/>
  <c r="G44" i="1"/>
  <c r="I33" i="1" l="1"/>
  <c r="I36" i="1" s="1"/>
  <c r="M16" i="6"/>
  <c r="G36" i="1"/>
  <c r="J31" i="1"/>
  <c r="J32" i="1" s="1"/>
  <c r="G37" i="1" l="1"/>
  <c r="J33" i="1"/>
  <c r="J36" i="1" s="1"/>
  <c r="L28" i="1"/>
  <c r="G38" i="1" l="1"/>
  <c r="H37" i="1"/>
  <c r="H38" i="1" s="1"/>
  <c r="L30" i="1"/>
  <c r="K29" i="1"/>
  <c r="I37" i="1" l="1"/>
  <c r="K31" i="1"/>
  <c r="K32" i="1" s="1"/>
  <c r="L29" i="1"/>
  <c r="J37" i="1" l="1"/>
  <c r="J38" i="1" s="1"/>
  <c r="I38" i="1"/>
  <c r="L31" i="1"/>
  <c r="K33" i="1"/>
  <c r="K36" i="1" s="1"/>
  <c r="F40" i="1" l="1"/>
  <c r="M15" i="6" s="1"/>
  <c r="F39" i="1"/>
  <c r="M14" i="6" s="1"/>
  <c r="K37" i="1"/>
  <c r="K38" i="1" s="1"/>
  <c r="L32" i="1"/>
  <c r="L33" i="1" s="1"/>
  <c r="F42" i="1" l="1"/>
  <c r="M17" i="6" s="1"/>
</calcChain>
</file>

<file path=xl/comments1.xml><?xml version="1.0" encoding="utf-8"?>
<comments xmlns="http://schemas.openxmlformats.org/spreadsheetml/2006/main">
  <authors>
    <author xml:space="preserve"> Subianto  Kasmun </author>
  </authors>
  <commentList>
    <comment ref="I11" authorId="0" shapeId="0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<sst xmlns="http://schemas.openxmlformats.org/spreadsheetml/2006/main" count="179" uniqueCount="141">
  <si>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</si>
  <si>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</si>
  <si>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</si>
  <si>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</si>
  <si>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</si>
  <si>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</si>
  <si>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</si>
  <si>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</si>
  <si>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</si>
  <si>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</si>
  <si>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</si>
  <si>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</si>
  <si>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</si>
  <si>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</si>
  <si>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</si>
  <si>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</si>
  <si>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</si>
  <si>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</si>
  <si>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</si>
  <si>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</si>
  <si>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</si>
  <si>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</si>
  <si>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</si>
  <si>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</si>
  <si>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</si>
  <si>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</si>
  <si>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</si>
  <si>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</si>
  <si>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</si>
  <si>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</si>
  <si>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</si>
  <si>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</si>
  <si>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</si>
  <si>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</si>
  <si>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</si>
  <si>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</si>
  <si>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</si>
  <si>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</si>
  <si>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</si>
  <si>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</si>
  <si>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</si>
  <si>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</si>
  <si>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</si>
  <si>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Year 7</t>
  </si>
  <si>
    <t>Year 8</t>
  </si>
  <si>
    <t>Year 9</t>
  </si>
  <si>
    <t>Year 10</t>
  </si>
  <si>
    <t>Total CAPEX</t>
  </si>
  <si>
    <t>Net Income</t>
  </si>
  <si>
    <t xml:space="preserve"> </t>
  </si>
  <si>
    <t>loan</t>
  </si>
  <si>
    <t>Period  (thn)</t>
  </si>
  <si>
    <t>Installment/thn</t>
  </si>
  <si>
    <t>Interest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</si>
  <si>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</si>
  <si>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</si>
  <si>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</si>
  <si>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</si>
  <si>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</si>
  <si>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</si>
  <si>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</si>
  <si>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</si>
  <si>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</si>
  <si>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</si>
  <si>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</si>
  <si>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</si>
  <si>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</si>
  <si>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</si>
  <si>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</si>
  <si>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</si>
  <si>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</si>
  <si>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</si>
  <si>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Capex</t>
  </si>
  <si>
    <t>Total floor</t>
  </si>
  <si>
    <t>Cable FO (Core)</t>
  </si>
  <si>
    <t>Total Opex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</si>
  <si>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</si>
  <si>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</si>
  <si>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</si>
  <si>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</si>
  <si>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</si>
  <si>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</si>
  <si>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</si>
  <si>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DAS</t>
  </si>
  <si>
    <t>BTS</t>
  </si>
  <si>
    <t>Revenue</t>
  </si>
  <si>
    <t>Target Achieved by Commercial:</t>
  </si>
  <si>
    <t xml:space="preserve">Tanggal P&amp;L:  </t>
  </si>
  <si>
    <t>IBS / DAS</t>
  </si>
  <si>
    <t>Prepared by</t>
  </si>
  <si>
    <t>Alfredo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</si>
  <si>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</si>
  <si>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</si>
  <si>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</si>
  <si>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</si>
  <si>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</si>
  <si>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</si>
  <si>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</si>
  <si>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</si>
  <si>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</si>
  <si>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</si>
  <si>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</si>
  <si>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</si>
  <si>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</si>
  <si>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</si>
  <si>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</si>
  <si>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</si>
  <si>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</si>
  <si>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</si>
  <si>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</si>
  <si>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</si>
  <si>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</si>
  <si>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</si>
  <si>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</si>
  <si>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</si>
  <si>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</si>
  <si>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</si>
  <si>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</si>
  <si>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</si>
  <si>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</si>
  <si>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</si>
  <si>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</si>
  <si>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</si>
  <si>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</si>
  <si>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</si>
  <si>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</si>
  <si>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</si>
  <si>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</si>
  <si>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</si>
  <si>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</si>
  <si>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</si>
  <si>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</si>
  <si>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 xml:space="preserve">: </t>
  </si>
  <si>
    <t>New</t>
  </si>
  <si>
    <t>Renewal</t>
  </si>
  <si>
    <t>Lease to BM</t>
  </si>
  <si>
    <t>TSEL</t>
  </si>
  <si>
    <t>Erosion</t>
  </si>
  <si>
    <t>Hotel Lombok Plaza</t>
  </si>
  <si>
    <t>Lombok</t>
  </si>
  <si>
    <t>Jl. Pejangik NO.8 CakraNegara NTB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</si>
</sst>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_);_(* \(#,##0\);_(* &quot;-&quot;??_);_(@_)"/>
    <numFmt numFmtId="167" formatCode="_(* #,##0.0_);_(* \(#,##0.0\);_(* &quot;-&quot;??_);_(@_)"/>
    <numFmt numFmtId="168" formatCode="_-* #,##0.0_-;\-* #,##0.0_-;_-* &quot;-&quot;_-;_-@_-"/>
    <numFmt numFmtId="169" formatCode="_(&quot;Rp&quot;* #,##0_);_(&quot;Rp&quot;* \(#,##0\);_(&quot;Rp&quot;* &quot;-&quot;_);_(@_)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</numFmts>
  <fonts count="3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6">
    <xf numFmtId="0" fontId="0" fillId="0" borderId="0"/>
    <xf numFmtId="165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8" fillId="0" borderId="0"/>
    <xf numFmtId="0" fontId="23" fillId="0" borderId="0"/>
    <xf numFmtId="165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4" fontId="10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0" fillId="0" borderId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28" fillId="0" borderId="0"/>
    <xf numFmtId="0" fontId="28" fillId="0" borderId="0"/>
    <xf numFmtId="165" fontId="28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4" fillId="0" borderId="0"/>
    <xf numFmtId="0" fontId="29" fillId="0" borderId="0">
      <alignment vertical="center"/>
    </xf>
    <xf numFmtId="170" fontId="28" fillId="0" borderId="0" applyFont="0" applyFill="0" applyBorder="0" applyAlignment="0" applyProtection="0">
      <alignment vertical="center"/>
    </xf>
    <xf numFmtId="171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0" fontId="3" fillId="0" borderId="0"/>
    <xf numFmtId="0" fontId="28" fillId="0" borderId="0"/>
    <xf numFmtId="172" fontId="28" fillId="0" borderId="0"/>
    <xf numFmtId="171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</cellStyleXfs>
  <cellXfs count="176">
    <xf numFmtId="0" fontId="0" fillId="0" borderId="0" xfId="0"/>
    <xf numFmtId="0" fontId="11" fillId="0" borderId="0" xfId="0" applyFont="1"/>
    <xf numFmtId="0" fontId="0" fillId="0" borderId="0" xfId="0" applyAlignment="1">
      <alignment vertical="center"/>
    </xf>
    <xf numFmtId="0" fontId="12" fillId="0" borderId="0" xfId="0" applyFont="1"/>
    <xf numFmtId="0" fontId="0" fillId="3" borderId="0" xfId="0" applyFill="1"/>
    <xf numFmtId="9" fontId="13" fillId="0" borderId="0" xfId="2" applyNumberFormat="1" applyFont="1"/>
    <xf numFmtId="10" fontId="13" fillId="0" borderId="0" xfId="2" applyNumberFormat="1" applyFont="1"/>
    <xf numFmtId="0" fontId="0" fillId="0" borderId="1" xfId="0" applyBorder="1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3" fillId="0" borderId="0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vertical="center"/>
    </xf>
    <xf numFmtId="165" fontId="17" fillId="0" borderId="0" xfId="1" applyFont="1"/>
    <xf numFmtId="41" fontId="0" fillId="0" borderId="2" xfId="2" applyFont="1" applyBorder="1" applyAlignment="1">
      <alignment vertical="center"/>
    </xf>
    <xf numFmtId="41" fontId="11" fillId="0" borderId="0" xfId="0" applyNumberFormat="1" applyFont="1" applyAlignment="1">
      <alignment vertical="center"/>
    </xf>
    <xf numFmtId="0" fontId="18" fillId="0" borderId="0" xfId="0" applyFont="1"/>
    <xf numFmtId="0" fontId="19" fillId="0" borderId="0" xfId="0" applyFont="1"/>
    <xf numFmtId="9" fontId="18" fillId="0" borderId="0" xfId="3" applyFont="1" applyAlignment="1">
      <alignment vertical="center"/>
    </xf>
    <xf numFmtId="0" fontId="0" fillId="0" borderId="0" xfId="0" applyFill="1" applyBorder="1"/>
    <xf numFmtId="38" fontId="14" fillId="0" borderId="0" xfId="0" applyNumberFormat="1" applyFont="1" applyAlignment="1">
      <alignment vertical="center"/>
    </xf>
    <xf numFmtId="38" fontId="0" fillId="0" borderId="0" xfId="0" applyNumberFormat="1"/>
    <xf numFmtId="0" fontId="0" fillId="2" borderId="5" xfId="0" applyFill="1" applyBorder="1"/>
    <xf numFmtId="38" fontId="0" fillId="2" borderId="5" xfId="0" applyNumberFormat="1" applyFill="1" applyBorder="1" applyAlignment="1">
      <alignment vertical="center"/>
    </xf>
    <xf numFmtId="38" fontId="0" fillId="0" borderId="2" xfId="0" applyNumberFormat="1" applyBorder="1"/>
    <xf numFmtId="166" fontId="16" fillId="0" borderId="0" xfId="1" applyNumberFormat="1" applyFont="1"/>
    <xf numFmtId="0" fontId="0" fillId="0" borderId="0" xfId="0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166" fontId="0" fillId="0" borderId="0" xfId="0" applyNumberFormat="1" applyAlignment="1">
      <alignment vertical="center"/>
    </xf>
    <xf numFmtId="166" fontId="0" fillId="0" borderId="0" xfId="0" applyNumberFormat="1"/>
    <xf numFmtId="0" fontId="11" fillId="0" borderId="4" xfId="0" applyFont="1" applyBorder="1"/>
    <xf numFmtId="0" fontId="0" fillId="0" borderId="4" xfId="0" applyBorder="1"/>
    <xf numFmtId="166" fontId="11" fillId="0" borderId="4" xfId="0" applyNumberFormat="1" applyFont="1" applyBorder="1" applyAlignment="1">
      <alignment vertical="center"/>
    </xf>
    <xf numFmtId="0" fontId="0" fillId="0" borderId="0" xfId="0" applyBorder="1"/>
    <xf numFmtId="41" fontId="15" fillId="0" borderId="0" xfId="0" applyNumberFormat="1" applyFont="1" applyBorder="1"/>
    <xf numFmtId="166" fontId="11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5" fontId="17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1" fillId="3" borderId="0" xfId="0" applyNumberFormat="1" applyFont="1" applyFill="1" applyBorder="1" applyAlignment="1">
      <alignment vertical="center"/>
    </xf>
    <xf numFmtId="0" fontId="11" fillId="3" borderId="0" xfId="0" applyFont="1" applyFill="1" applyBorder="1"/>
    <xf numFmtId="9" fontId="18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1" fillId="0" borderId="0" xfId="0" applyFont="1" applyBorder="1" applyAlignment="1">
      <alignment horizontal="center"/>
    </xf>
    <xf numFmtId="0" fontId="21" fillId="0" borderId="6" xfId="0" applyFont="1" applyBorder="1"/>
    <xf numFmtId="0" fontId="21" fillId="0" borderId="3" xfId="0" applyFont="1" applyBorder="1"/>
    <xf numFmtId="0" fontId="21" fillId="0" borderId="8" xfId="0" applyFont="1" applyBorder="1"/>
    <xf numFmtId="0" fontId="21" fillId="0" borderId="0" xfId="0" applyFont="1" applyBorder="1"/>
    <xf numFmtId="41" fontId="21" fillId="0" borderId="9" xfId="0" applyNumberFormat="1" applyFont="1" applyBorder="1"/>
    <xf numFmtId="9" fontId="21" fillId="0" borderId="9" xfId="3" applyFont="1" applyBorder="1"/>
    <xf numFmtId="0" fontId="21" fillId="0" borderId="10" xfId="0" applyFont="1" applyBorder="1"/>
    <xf numFmtId="0" fontId="21" fillId="0" borderId="2" xfId="0" applyFont="1" applyBorder="1"/>
    <xf numFmtId="167" fontId="21" fillId="0" borderId="11" xfId="1" applyNumberFormat="1" applyFont="1" applyBorder="1"/>
    <xf numFmtId="0" fontId="11" fillId="0" borderId="12" xfId="0" applyFont="1" applyBorder="1"/>
    <xf numFmtId="41" fontId="11" fillId="0" borderId="12" xfId="0" applyNumberFormat="1" applyFont="1" applyBorder="1" applyAlignment="1">
      <alignment vertical="center"/>
    </xf>
    <xf numFmtId="166" fontId="10" fillId="0" borderId="0" xfId="17" applyNumberFormat="1" applyFont="1"/>
    <xf numFmtId="41" fontId="0" fillId="0" borderId="0" xfId="2" applyFont="1" applyAlignment="1">
      <alignment vertical="center"/>
    </xf>
    <xf numFmtId="41" fontId="10" fillId="0" borderId="0" xfId="2" applyFont="1" applyFill="1"/>
    <xf numFmtId="166" fontId="0" fillId="4" borderId="0" xfId="0" applyNumberFormat="1" applyFill="1" applyAlignment="1">
      <alignment vertical="center"/>
    </xf>
    <xf numFmtId="0" fontId="21" fillId="5" borderId="1" xfId="0" applyFont="1" applyFill="1" applyBorder="1" applyAlignment="1">
      <alignment horizontal="center"/>
    </xf>
    <xf numFmtId="0" fontId="14" fillId="5" borderId="0" xfId="0" applyFont="1" applyFill="1"/>
    <xf numFmtId="41" fontId="21" fillId="5" borderId="12" xfId="0" applyNumberFormat="1" applyFont="1" applyFill="1" applyBorder="1" applyAlignment="1">
      <alignment vertical="center"/>
    </xf>
    <xf numFmtId="165" fontId="22" fillId="5" borderId="0" xfId="1" applyFont="1" applyFill="1"/>
    <xf numFmtId="41" fontId="14" fillId="5" borderId="0" xfId="0" applyNumberFormat="1" applyFont="1" applyFill="1" applyBorder="1" applyAlignment="1">
      <alignment vertical="center"/>
    </xf>
    <xf numFmtId="41" fontId="11" fillId="5" borderId="0" xfId="0" applyNumberFormat="1" applyFont="1" applyFill="1" applyAlignment="1">
      <alignment vertical="center"/>
    </xf>
    <xf numFmtId="9" fontId="18" fillId="5" borderId="0" xfId="3" applyFont="1" applyFill="1" applyAlignment="1">
      <alignment vertical="center"/>
    </xf>
    <xf numFmtId="41" fontId="14" fillId="5" borderId="2" xfId="0" applyNumberFormat="1" applyFont="1" applyFill="1" applyBorder="1" applyAlignment="1">
      <alignment vertical="center"/>
    </xf>
    <xf numFmtId="38" fontId="0" fillId="5" borderId="0" xfId="0" applyNumberFormat="1" applyFill="1" applyAlignment="1">
      <alignment vertical="center"/>
    </xf>
    <xf numFmtId="41" fontId="0" fillId="5" borderId="2" xfId="2" applyFont="1" applyFill="1" applyBorder="1"/>
    <xf numFmtId="38" fontId="0" fillId="5" borderId="5" xfId="0" applyNumberFormat="1" applyFill="1" applyBorder="1" applyAlignment="1">
      <alignment vertical="center"/>
    </xf>
    <xf numFmtId="165" fontId="0" fillId="5" borderId="2" xfId="1" applyFont="1" applyFill="1" applyBorder="1"/>
    <xf numFmtId="38" fontId="0" fillId="5" borderId="0" xfId="0" applyNumberFormat="1" applyFill="1"/>
    <xf numFmtId="166" fontId="16" fillId="5" borderId="0" xfId="1" applyNumberFormat="1" applyFont="1" applyFill="1"/>
    <xf numFmtId="0" fontId="14" fillId="0" borderId="0" xfId="0" applyFont="1"/>
    <xf numFmtId="41" fontId="21" fillId="0" borderId="4" xfId="0" applyNumberFormat="1" applyFont="1" applyBorder="1"/>
    <xf numFmtId="41" fontId="21" fillId="0" borderId="0" xfId="0" applyNumberFormat="1" applyFont="1" applyBorder="1"/>
    <xf numFmtId="41" fontId="11" fillId="5" borderId="12" xfId="0" applyNumberFormat="1" applyFont="1" applyFill="1" applyBorder="1" applyAlignment="1">
      <alignment vertical="center"/>
    </xf>
    <xf numFmtId="41" fontId="21" fillId="0" borderId="0" xfId="0" applyNumberFormat="1" applyFont="1" applyFill="1" applyBorder="1"/>
    <xf numFmtId="41" fontId="21" fillId="0" borderId="0" xfId="0" applyNumberFormat="1" applyFont="1"/>
    <xf numFmtId="0" fontId="21" fillId="0" borderId="0" xfId="0" applyFont="1"/>
    <xf numFmtId="41" fontId="0" fillId="0" borderId="0" xfId="0" applyNumberFormat="1" applyAlignment="1">
      <alignment horizontal="right" vertical="center"/>
    </xf>
    <xf numFmtId="41" fontId="0" fillId="5" borderId="0" xfId="2" applyFont="1" applyFill="1" applyBorder="1"/>
    <xf numFmtId="9" fontId="21" fillId="0" borderId="7" xfId="0" applyNumberFormat="1" applyFont="1" applyBorder="1"/>
    <xf numFmtId="41" fontId="0" fillId="0" borderId="0" xfId="2" applyFont="1"/>
    <xf numFmtId="0" fontId="0" fillId="0" borderId="0" xfId="0" applyFont="1"/>
    <xf numFmtId="0" fontId="11" fillId="0" borderId="0" xfId="0" applyFont="1" applyBorder="1"/>
    <xf numFmtId="0" fontId="25" fillId="0" borderId="0" xfId="0" applyFont="1"/>
    <xf numFmtId="0" fontId="0" fillId="0" borderId="0" xfId="0" applyFont="1" applyBorder="1"/>
    <xf numFmtId="0" fontId="24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1" fillId="0" borderId="19" xfId="2" applyNumberFormat="1" applyFont="1" applyBorder="1"/>
    <xf numFmtId="9" fontId="11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1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1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1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4" fillId="0" borderId="0" xfId="0" applyFont="1" applyBorder="1" applyAlignment="1"/>
    <xf numFmtId="14" fontId="24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6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6" fontId="0" fillId="0" borderId="0" xfId="19" applyNumberFormat="1" applyFont="1" applyFill="1" applyBorder="1" applyAlignment="1" applyProtection="1">
      <alignment horizontal="center"/>
      <protection locked="0"/>
    </xf>
    <xf numFmtId="166" fontId="0" fillId="0" borderId="0" xfId="19" applyNumberFormat="1" applyFont="1" applyBorder="1"/>
    <xf numFmtId="0" fontId="11" fillId="0" borderId="23" xfId="0" applyFont="1" applyBorder="1" applyAlignment="1">
      <alignment horizontal="left"/>
    </xf>
    <xf numFmtId="0" fontId="0" fillId="0" borderId="23" xfId="0" applyFont="1" applyBorder="1"/>
    <xf numFmtId="0" fontId="11" fillId="0" borderId="17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6" fontId="0" fillId="7" borderId="24" xfId="0" applyNumberFormat="1" applyFill="1" applyBorder="1"/>
    <xf numFmtId="166" fontId="0" fillId="0" borderId="24" xfId="0" applyNumberFormat="1" applyBorder="1" applyAlignment="1">
      <alignment horizontal="center"/>
    </xf>
    <xf numFmtId="166" fontId="0" fillId="0" borderId="24" xfId="1" applyNumberFormat="1" applyFont="1" applyBorder="1"/>
    <xf numFmtId="166" fontId="0" fillId="0" borderId="24" xfId="0" applyNumberFormat="1" applyBorder="1"/>
    <xf numFmtId="166" fontId="0" fillId="8" borderId="24" xfId="1" applyNumberFormat="1" applyFont="1" applyFill="1" applyBorder="1"/>
    <xf numFmtId="41" fontId="11" fillId="0" borderId="18" xfId="2" applyFont="1" applyBorder="1"/>
    <xf numFmtId="168" fontId="11" fillId="0" borderId="22" xfId="2" applyNumberFormat="1" applyFont="1" applyBorder="1"/>
    <xf numFmtId="41" fontId="14" fillId="0" borderId="0" xfId="2" applyFont="1" applyAlignment="1">
      <alignment vertical="center"/>
    </xf>
    <xf numFmtId="9" fontId="0" fillId="0" borderId="0" xfId="0" applyNumberFormat="1"/>
    <xf numFmtId="0" fontId="11" fillId="0" borderId="20" xfId="0" applyFont="1" applyFill="1" applyBorder="1" applyAlignment="1" applyProtection="1">
      <alignment horizontal="left" indent="1"/>
    </xf>
    <xf numFmtId="0" fontId="11" fillId="0" borderId="0" xfId="0" applyFont="1" applyFill="1" applyBorder="1" applyAlignment="1" applyProtection="1">
      <alignment horizontal="left" indent="1"/>
    </xf>
    <xf numFmtId="0" fontId="11" fillId="0" borderId="21" xfId="0" applyFont="1" applyFill="1" applyBorder="1" applyAlignment="1" applyProtection="1">
      <alignment horizontal="left" indent="1"/>
    </xf>
    <xf numFmtId="0" fontId="11" fillId="0" borderId="1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quotePrefix="1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11" fillId="0" borderId="0" xfId="0" applyFont="1" applyBorder="1" applyAlignment="1">
      <alignment horizontal="left"/>
    </xf>
    <xf numFmtId="0" fontId="11" fillId="0" borderId="16" xfId="0" applyFont="1" applyFill="1" applyBorder="1" applyAlignment="1" applyProtection="1">
      <alignment horizontal="left" indent="1"/>
    </xf>
    <xf numFmtId="0" fontId="11" fillId="0" borderId="17" xfId="0" applyFont="1" applyFill="1" applyBorder="1" applyAlignment="1" applyProtection="1">
      <alignment horizontal="left" indent="1"/>
    </xf>
    <xf numFmtId="0" fontId="0" fillId="0" borderId="0" xfId="0" applyFont="1" applyBorder="1" applyAlignment="1">
      <alignment horizontal="left" indent="1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24" fillId="0" borderId="13" xfId="0" applyFont="1" applyBorder="1" applyAlignment="1">
      <alignment horizontal="center"/>
    </xf>
    <xf numFmtId="0" fontId="24" fillId="0" borderId="14" xfId="0" applyFont="1" applyBorder="1" applyAlignment="1">
      <alignment horizontal="center"/>
    </xf>
    <xf numFmtId="0" fontId="24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1" fillId="0" borderId="17" xfId="0" applyFont="1" applyBorder="1" applyAlignment="1">
      <alignment horizontal="left"/>
    </xf>
    <xf numFmtId="41" fontId="11" fillId="0" borderId="12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36">
    <cellStyle name="=C:\WINNT35\SYSTEM32\COMMAND.COM" xfId="30"/>
    <cellStyle name="0,0_x000a__x000a_NA_x000a__x000a_" xfId="31"/>
    <cellStyle name="Comma" xfId="1" builtinId="3"/>
    <cellStyle name="Comma [0]" xfId="2" builtinId="6"/>
    <cellStyle name="Comma [0] 2" xfId="9"/>
    <cellStyle name="Comma [0] 3" xfId="26"/>
    <cellStyle name="Comma 2" xfId="7"/>
    <cellStyle name="Comma 2 3" xfId="22"/>
    <cellStyle name="Comma 3" xfId="10"/>
    <cellStyle name="Comma 3 2" xfId="11"/>
    <cellStyle name="Comma 4" xfId="12"/>
    <cellStyle name="Comma 4 3 2 5" xfId="35"/>
    <cellStyle name="Comma 5" xfId="18"/>
    <cellStyle name="Comma 5 2" xfId="19"/>
    <cellStyle name="Currency [0] 2" xfId="23"/>
    <cellStyle name="Currency [0] 3" xfId="28"/>
    <cellStyle name="Currency [0] 4" xfId="33"/>
    <cellStyle name="Currency 2" xfId="27"/>
    <cellStyle name="Currency 3" xfId="32"/>
    <cellStyle name="Normal" xfId="0" builtinId="0"/>
    <cellStyle name="Normal 2" xfId="5"/>
    <cellStyle name="Normal 2 2" xfId="6"/>
    <cellStyle name="Normal 2 2 2 2 3" xfId="17"/>
    <cellStyle name="Normal 2 7" xfId="20"/>
    <cellStyle name="Normal 3" xfId="13"/>
    <cellStyle name="Normal 3 2" xfId="14"/>
    <cellStyle name="Normal 3 3" xfId="21"/>
    <cellStyle name="Normal 4" xfId="24"/>
    <cellStyle name="Normal 5" xfId="25"/>
    <cellStyle name="Normal 6" xfId="29"/>
    <cellStyle name="Normal 7" xfId="34"/>
    <cellStyle name="Percent" xfId="3" builtinId="5"/>
    <cellStyle name="Percent 2" xfId="8"/>
    <cellStyle name="Percent 2 2" xfId="4"/>
    <cellStyle name="Percent 3" xfId="15"/>
    <cellStyle name="Percent 3 2" xfId="16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27</xdr:row>
      <xdr:rowOff>30954</xdr:rowOff>
    </xdr:from>
    <xdr:to>
      <xdr:col>12</xdr:col>
      <xdr:colOff>984250</xdr:colOff>
      <xdr:row>28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70986" y="5569061"/>
          <a:ext cx="8686407" cy="284279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Kurniadi</a:t>
            </a:r>
            <a:r>
              <a:rPr lang="en-US" sz="1200" b="1" baseline="0"/>
              <a:t> D</a:t>
            </a:r>
            <a:endParaRPr lang="en-US" sz="1200" b="1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Robert P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F H</a:t>
            </a:r>
          </a:p>
        </xdr:txBody>
      </xdr:sp>
    </xdr:grpSp>
    <xdr:clientData/>
  </xdr:twoCellAnchor>
  <xdr:twoCellAnchor>
    <xdr:from>
      <xdr:col>1</xdr:col>
      <xdr:colOff>87947</xdr:colOff>
      <xdr:row>32</xdr:row>
      <xdr:rowOff>104251</xdr:rowOff>
    </xdr:from>
    <xdr:to>
      <xdr:col>12</xdr:col>
      <xdr:colOff>1063625</xdr:colOff>
      <xdr:row>33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400911" y="6662894"/>
          <a:ext cx="8935857" cy="179230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23</xdr:row>
      <xdr:rowOff>79365</xdr:rowOff>
    </xdr:from>
    <xdr:to>
      <xdr:col>12</xdr:col>
      <xdr:colOff>791094</xdr:colOff>
      <xdr:row>23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1:R26"/>
  <sheetViews>
    <sheetView showGridLines="0" zoomScale="70" zoomScaleNormal="70" workbookViewId="0">
      <selection activeCell="K10" sqref="K10:L10"/>
    </sheetView>
  </sheetViews>
  <sheetFormatPr defaultColWidth="8.625" defaultRowHeight="15.75" x14ac:dyDescent="0.25"/>
  <cols>
    <col min="1" max="1" width="4.125" style="95" customWidth="1"/>
    <col min="2" max="2" width="3" style="95" customWidth="1"/>
    <col min="3" max="3" width="16.625" style="95" customWidth="1"/>
    <col min="4" max="4" width="25.5" style="95" customWidth="1"/>
    <col min="5" max="5" width="4.25" style="95" customWidth="1"/>
    <col min="6" max="6" width="4.875" style="95" customWidth="1"/>
    <col min="7" max="7" width="10.625" style="95" customWidth="1"/>
    <col min="8" max="8" width="8.375" style="95" customWidth="1"/>
    <col min="9" max="9" width="5.375" style="95" customWidth="1"/>
    <col min="10" max="10" width="2.125" style="95" customWidth="1"/>
    <col min="11" max="11" width="5.125" style="95" customWidth="1"/>
    <col min="12" max="12" width="18.375" style="95" bestFit="1" customWidth="1"/>
    <col min="13" max="13" width="16.5" style="95" customWidth="1"/>
    <col min="14" max="14" width="2.125" style="95" customWidth="1"/>
    <col min="15" max="15" width="3.625" style="95" customWidth="1"/>
    <col min="16" max="16384" width="8.625" style="95"/>
  </cols>
  <sheetData>
    <row r="1" spans="2:18" ht="8.4499999999999993" customHeight="1" x14ac:dyDescent="0.25"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</row>
    <row r="2" spans="2:18" ht="18.75" x14ac:dyDescent="0.3">
      <c r="B2" s="98"/>
      <c r="C2" s="99" t="s">
        <v>54</v>
      </c>
      <c r="D2" s="96" t="s">
        <v>88</v>
      </c>
      <c r="E2" s="98"/>
      <c r="F2" s="98"/>
      <c r="G2" s="98"/>
      <c r="H2" s="98"/>
      <c r="J2" s="122" t="s">
        <v>87</v>
      </c>
      <c r="K2" s="122"/>
      <c r="L2" s="122"/>
      <c r="M2" s="123">
        <v>45120</v>
      </c>
      <c r="N2" s="98"/>
    </row>
    <row r="3" spans="2:18" ht="18.75" x14ac:dyDescent="0.3">
      <c r="B3" s="98"/>
      <c r="C3" s="99" t="s">
        <v>55</v>
      </c>
      <c r="D3" s="96" t="s">
        <v>133</v>
      </c>
      <c r="E3" s="98"/>
      <c r="F3" s="98"/>
      <c r="G3" s="98"/>
      <c r="H3" s="98"/>
      <c r="M3" s="98"/>
      <c r="N3" s="98"/>
    </row>
    <row r="4" spans="2:18" ht="0.95" customHeight="1" thickBot="1" x14ac:dyDescent="0.3">
      <c r="B4" s="98"/>
      <c r="C4" s="96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</row>
    <row r="5" spans="2:18" s="97" customFormat="1" ht="19.5" thickBot="1" x14ac:dyDescent="0.35">
      <c r="B5" s="164" t="s">
        <v>56</v>
      </c>
      <c r="C5" s="165"/>
      <c r="D5" s="166"/>
      <c r="E5" s="164" t="s">
        <v>57</v>
      </c>
      <c r="F5" s="165"/>
      <c r="G5" s="165"/>
      <c r="H5" s="165"/>
      <c r="I5" s="165"/>
      <c r="J5" s="164" t="s">
        <v>58</v>
      </c>
      <c r="K5" s="165"/>
      <c r="L5" s="165"/>
      <c r="M5" s="165"/>
      <c r="N5" s="166"/>
    </row>
    <row r="6" spans="2:18" x14ac:dyDescent="0.25">
      <c r="B6" s="167" t="s">
        <v>59</v>
      </c>
      <c r="C6" s="168"/>
      <c r="D6" s="112" t="s">
        <v>138</v>
      </c>
      <c r="E6" s="169" t="s">
        <v>60</v>
      </c>
      <c r="F6" s="169"/>
      <c r="G6" s="169"/>
      <c r="H6" s="169"/>
      <c r="I6" s="169"/>
      <c r="J6" s="114"/>
      <c r="K6" s="168" t="s">
        <v>61</v>
      </c>
      <c r="L6" s="168"/>
      <c r="M6" s="124">
        <v>0</v>
      </c>
      <c r="N6" s="112"/>
    </row>
    <row r="7" spans="2:18" ht="31.5" x14ac:dyDescent="0.25">
      <c r="B7" s="162" t="s">
        <v>62</v>
      </c>
      <c r="C7" s="163"/>
      <c r="D7" s="125" t="s">
        <v>140</v>
      </c>
      <c r="E7" s="161" t="s">
        <v>63</v>
      </c>
      <c r="F7" s="161"/>
      <c r="G7" s="161"/>
      <c r="H7" s="126">
        <v>83</v>
      </c>
      <c r="I7" s="98"/>
      <c r="J7" s="102"/>
      <c r="K7" s="161" t="s">
        <v>64</v>
      </c>
      <c r="L7" s="161"/>
      <c r="M7" s="127">
        <v>5</v>
      </c>
      <c r="N7" s="100"/>
    </row>
    <row r="8" spans="2:18" x14ac:dyDescent="0.25">
      <c r="B8" s="162"/>
      <c r="C8" s="163"/>
      <c r="D8" s="100"/>
      <c r="E8" s="161" t="s">
        <v>66</v>
      </c>
      <c r="F8" s="161"/>
      <c r="G8" s="161"/>
      <c r="H8" s="126">
        <v>0</v>
      </c>
      <c r="I8" s="98"/>
      <c r="J8" s="102"/>
      <c r="K8" s="161" t="s">
        <v>81</v>
      </c>
      <c r="L8" s="161"/>
      <c r="M8" s="128">
        <f>[2]IRR!F3</f>
        <v>0.1</v>
      </c>
      <c r="N8" s="100"/>
    </row>
    <row r="9" spans="2:18" x14ac:dyDescent="0.25">
      <c r="B9" s="115" t="s">
        <v>65</v>
      </c>
      <c r="C9" s="116"/>
      <c r="D9" s="100" t="s">
        <v>139</v>
      </c>
      <c r="E9" s="161" t="s">
        <v>68</v>
      </c>
      <c r="F9" s="161"/>
      <c r="G9" s="161"/>
      <c r="H9" s="129">
        <v>0</v>
      </c>
      <c r="I9" s="98"/>
      <c r="J9" s="102"/>
      <c r="K9" s="161" t="s">
        <v>69</v>
      </c>
      <c r="L9" s="161"/>
      <c r="M9" s="124">
        <v>0</v>
      </c>
      <c r="N9" s="100"/>
    </row>
    <row r="10" spans="2:18" x14ac:dyDescent="0.25">
      <c r="B10" s="117" t="s">
        <v>67</v>
      </c>
      <c r="C10" s="118"/>
      <c r="D10" s="100" t="s">
        <v>103</v>
      </c>
      <c r="E10" s="158" t="s">
        <v>71</v>
      </c>
      <c r="F10" s="158"/>
      <c r="G10" s="158"/>
      <c r="H10" s="158"/>
      <c r="I10" s="158"/>
      <c r="J10" s="119"/>
      <c r="K10" s="157" t="s">
        <v>72</v>
      </c>
      <c r="L10" s="157"/>
      <c r="M10" s="124">
        <f>SUM(IRR!G8:K9)</f>
        <v>10000000</v>
      </c>
      <c r="N10" s="100"/>
    </row>
    <row r="11" spans="2:18" x14ac:dyDescent="0.25">
      <c r="B11" s="117" t="s">
        <v>70</v>
      </c>
      <c r="C11" s="118"/>
      <c r="D11" s="100" t="s">
        <v>134</v>
      </c>
      <c r="E11" s="156" t="s">
        <v>74</v>
      </c>
      <c r="F11" s="156"/>
      <c r="G11" s="156"/>
      <c r="H11" s="130">
        <v>0</v>
      </c>
      <c r="I11" s="98"/>
      <c r="J11" s="102"/>
      <c r="K11" s="157" t="s">
        <v>75</v>
      </c>
      <c r="L11" s="157"/>
      <c r="M11" s="124">
        <f>IRR!L25</f>
        <v>445613331</v>
      </c>
      <c r="N11" s="100"/>
    </row>
    <row r="12" spans="2:18" x14ac:dyDescent="0.25">
      <c r="B12" s="120" t="s">
        <v>73</v>
      </c>
      <c r="C12" s="121"/>
      <c r="D12" s="101">
        <v>4</v>
      </c>
      <c r="E12" s="156" t="s">
        <v>77</v>
      </c>
      <c r="F12" s="156"/>
      <c r="G12" s="156"/>
      <c r="H12" s="130">
        <v>0</v>
      </c>
      <c r="I12" s="98"/>
      <c r="J12" s="102"/>
      <c r="K12" s="157" t="s">
        <v>78</v>
      </c>
      <c r="L12" s="157"/>
      <c r="M12" s="124">
        <f>IRR!L18</f>
        <v>461700000</v>
      </c>
      <c r="N12" s="100"/>
    </row>
    <row r="13" spans="2:18" ht="16.5" thickBot="1" x14ac:dyDescent="0.3">
      <c r="B13" s="120" t="s">
        <v>76</v>
      </c>
      <c r="C13" s="121"/>
      <c r="D13" s="101">
        <v>1</v>
      </c>
      <c r="E13" s="156" t="s">
        <v>79</v>
      </c>
      <c r="F13" s="156"/>
      <c r="G13" s="156"/>
      <c r="H13" s="130">
        <v>0</v>
      </c>
      <c r="I13" s="98"/>
      <c r="J13" s="102"/>
      <c r="K13" s="108"/>
      <c r="L13" s="108"/>
      <c r="M13" s="98"/>
      <c r="N13" s="100"/>
    </row>
    <row r="14" spans="2:18" x14ac:dyDescent="0.25">
      <c r="B14" s="102"/>
      <c r="C14" s="98"/>
      <c r="D14" s="100"/>
      <c r="E14" s="158" t="s">
        <v>80</v>
      </c>
      <c r="F14" s="158"/>
      <c r="G14" s="158"/>
      <c r="H14" s="158"/>
      <c r="I14" s="158"/>
      <c r="J14" s="131"/>
      <c r="K14" s="159" t="s">
        <v>26</v>
      </c>
      <c r="L14" s="160"/>
      <c r="M14" s="103">
        <f>IRR!F39</f>
        <v>5.1756296392884149E-3</v>
      </c>
      <c r="N14" s="100"/>
    </row>
    <row r="15" spans="2:18" x14ac:dyDescent="0.25">
      <c r="B15" s="102"/>
      <c r="C15" s="98"/>
      <c r="D15" s="100"/>
      <c r="E15" s="98"/>
      <c r="F15" s="98"/>
      <c r="G15" s="98"/>
      <c r="H15" s="98"/>
      <c r="I15" s="98"/>
      <c r="J15" s="132"/>
      <c r="K15" s="150" t="s">
        <v>27</v>
      </c>
      <c r="L15" s="151"/>
      <c r="M15" s="146">
        <f>IRR!F40</f>
        <v>-17256131.111945923</v>
      </c>
      <c r="N15" s="100"/>
    </row>
    <row r="16" spans="2:18" x14ac:dyDescent="0.25">
      <c r="B16" s="102"/>
      <c r="C16" s="98"/>
      <c r="D16" s="100"/>
      <c r="E16" s="98"/>
      <c r="F16" s="98"/>
      <c r="G16" s="98"/>
      <c r="H16" s="98"/>
      <c r="I16" s="98"/>
      <c r="J16" s="132"/>
      <c r="K16" s="150" t="s">
        <v>28</v>
      </c>
      <c r="L16" s="151"/>
      <c r="M16" s="104">
        <f>IRR!F41</f>
        <v>3.48422547108512E-2</v>
      </c>
      <c r="N16" s="100"/>
      <c r="R16" s="95" t="s">
        <v>49</v>
      </c>
    </row>
    <row r="17" spans="2:17" ht="16.5" thickBot="1" x14ac:dyDescent="0.3">
      <c r="B17" s="102"/>
      <c r="C17" s="98"/>
      <c r="D17" s="100"/>
      <c r="E17" s="98"/>
      <c r="F17" s="98"/>
      <c r="G17" s="98"/>
      <c r="H17" s="98"/>
      <c r="I17" s="98"/>
      <c r="J17" s="132"/>
      <c r="K17" s="152" t="s">
        <v>82</v>
      </c>
      <c r="L17" s="153"/>
      <c r="M17" s="147">
        <f>IRR!F42</f>
        <v>2.9838794066868224</v>
      </c>
      <c r="N17" s="100"/>
      <c r="Q17" s="95" t="s">
        <v>49</v>
      </c>
    </row>
    <row r="18" spans="2:17" ht="16.5" thickBot="1" x14ac:dyDescent="0.3">
      <c r="B18" s="105"/>
      <c r="C18" s="106"/>
      <c r="D18" s="107"/>
      <c r="E18" s="106"/>
      <c r="F18" s="106" t="s">
        <v>49</v>
      </c>
      <c r="G18" s="106"/>
      <c r="H18" s="106"/>
      <c r="I18" s="106"/>
      <c r="J18" s="102"/>
      <c r="K18" s="108"/>
      <c r="L18" s="118"/>
      <c r="M18" s="118"/>
      <c r="N18" s="100"/>
    </row>
    <row r="19" spans="2:17" x14ac:dyDescent="0.25">
      <c r="B19" s="110" t="s">
        <v>86</v>
      </c>
      <c r="C19" s="111"/>
      <c r="D19" s="111"/>
      <c r="E19" s="111"/>
      <c r="F19" s="111"/>
      <c r="G19" s="111"/>
      <c r="H19" s="111"/>
      <c r="I19" s="111"/>
      <c r="J19" s="111"/>
      <c r="L19" s="133" t="s">
        <v>89</v>
      </c>
      <c r="M19" s="111"/>
      <c r="N19" s="112"/>
    </row>
    <row r="20" spans="2:17" x14ac:dyDescent="0.25">
      <c r="B20" s="102" t="s">
        <v>85</v>
      </c>
      <c r="C20" s="98"/>
      <c r="D20" s="98" t="s">
        <v>132</v>
      </c>
      <c r="E20" s="98"/>
      <c r="F20" s="98"/>
      <c r="G20" s="98"/>
      <c r="H20" s="98"/>
      <c r="I20" s="98"/>
      <c r="J20" s="98"/>
      <c r="K20" s="98"/>
      <c r="L20" s="154" t="s">
        <v>90</v>
      </c>
      <c r="M20" s="155"/>
      <c r="N20" s="100"/>
    </row>
    <row r="21" spans="2:17" x14ac:dyDescent="0.25">
      <c r="B21" s="102"/>
      <c r="C21" s="98"/>
      <c r="D21" s="98" t="s">
        <v>132</v>
      </c>
      <c r="E21" s="98"/>
      <c r="F21" s="98"/>
      <c r="G21" s="98"/>
      <c r="H21" s="98"/>
      <c r="I21" s="98"/>
      <c r="J21" s="98"/>
      <c r="K21" s="98"/>
      <c r="L21" s="98"/>
      <c r="M21" s="98"/>
      <c r="N21" s="100"/>
    </row>
    <row r="22" spans="2:17" x14ac:dyDescent="0.25">
      <c r="B22" s="102"/>
      <c r="C22" s="98"/>
      <c r="D22" s="98" t="s">
        <v>132</v>
      </c>
      <c r="E22" s="98"/>
      <c r="F22" s="98"/>
      <c r="G22" s="98"/>
      <c r="H22" s="98"/>
      <c r="I22" s="98"/>
      <c r="J22" s="98"/>
      <c r="K22" s="98"/>
      <c r="L22" s="98"/>
      <c r="M22" s="98"/>
      <c r="N22" s="100"/>
    </row>
    <row r="23" spans="2:17" x14ac:dyDescent="0.25">
      <c r="B23" s="102"/>
      <c r="C23" s="98"/>
      <c r="E23" s="98"/>
      <c r="F23" s="98"/>
      <c r="G23" s="98"/>
      <c r="H23" s="98"/>
      <c r="I23" s="98"/>
      <c r="J23" s="98"/>
      <c r="K23" s="98"/>
      <c r="L23" s="98"/>
      <c r="M23" s="98"/>
      <c r="N23" s="100"/>
    </row>
    <row r="24" spans="2:17" ht="16.5" thickBot="1" x14ac:dyDescent="0.3">
      <c r="B24" s="105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7"/>
    </row>
    <row r="26" spans="2:17" x14ac:dyDescent="0.25">
      <c r="B26" s="1" t="s">
        <v>91</v>
      </c>
    </row>
  </sheetData>
  <mergeCells count="27">
    <mergeCell ref="B5:D5"/>
    <mergeCell ref="E5:I5"/>
    <mergeCell ref="J5:N5"/>
    <mergeCell ref="B6:C6"/>
    <mergeCell ref="E6:I6"/>
    <mergeCell ref="K6:L6"/>
    <mergeCell ref="B7:C7"/>
    <mergeCell ref="E7:G7"/>
    <mergeCell ref="K7:L7"/>
    <mergeCell ref="B8:C8"/>
    <mergeCell ref="E8:G8"/>
    <mergeCell ref="K8:L8"/>
    <mergeCell ref="E9:G9"/>
    <mergeCell ref="K9:L9"/>
    <mergeCell ref="E10:I10"/>
    <mergeCell ref="K10:L10"/>
    <mergeCell ref="E11:G11"/>
    <mergeCell ref="K11:L11"/>
    <mergeCell ref="K16:L16"/>
    <mergeCell ref="K17:L17"/>
    <mergeCell ref="L20:M20"/>
    <mergeCell ref="E12:G12"/>
    <mergeCell ref="K12:L12"/>
    <mergeCell ref="E13:G13"/>
    <mergeCell ref="E14:I14"/>
    <mergeCell ref="K14:L14"/>
    <mergeCell ref="K15:L15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U53"/>
  <sheetViews>
    <sheetView showGridLines="0" tabSelected="1" topLeftCell="A21" zoomScale="86" zoomScaleNormal="86" workbookViewId="0">
      <selection activeCell="I44" sqref="I44"/>
    </sheetView>
  </sheetViews>
  <sheetFormatPr defaultColWidth="10.625" defaultRowHeight="15.75" x14ac:dyDescent="0.25"/>
  <cols>
    <col min="1" max="1" width="4.125" customWidth="1"/>
    <col min="2" max="2" width="3.625" customWidth="1"/>
    <col min="3" max="3" width="4.625" customWidth="1"/>
    <col min="4" max="4" width="18.875" customWidth="1"/>
    <col min="5" max="5" width="7.25" bestFit="1" customWidth="1"/>
    <col min="6" max="6" width="16.875" customWidth="1"/>
    <col min="7" max="7" width="17.625" style="2" customWidth="1"/>
    <col min="8" max="8" width="17.875" customWidth="1"/>
    <col min="9" max="9" width="15.625" bestFit="1" customWidth="1"/>
    <col min="10" max="10" width="15.625" hidden="1" customWidth="1"/>
    <col min="11" max="11" width="16" hidden="1" customWidth="1"/>
    <col min="12" max="12" width="16.625" bestFit="1" customWidth="1"/>
    <col min="13" max="13" width="15.875" customWidth="1"/>
    <col min="14" max="17" width="15" bestFit="1" customWidth="1"/>
    <col min="18" max="18" width="15.625" bestFit="1" customWidth="1"/>
    <col min="19" max="19" width="11.75" bestFit="1" customWidth="1"/>
  </cols>
  <sheetData>
    <row r="1" spans="2:21" x14ac:dyDescent="0.25">
      <c r="B1" s="3" t="s">
        <v>0</v>
      </c>
    </row>
    <row r="2" spans="2:21" x14ac:dyDescent="0.25">
      <c r="C2" t="s">
        <v>1</v>
      </c>
      <c r="F2" s="5">
        <v>0.02</v>
      </c>
      <c r="L2" s="4"/>
      <c r="M2" s="4"/>
      <c r="N2" s="4"/>
    </row>
    <row r="3" spans="2:21" x14ac:dyDescent="0.25">
      <c r="C3" t="s">
        <v>40</v>
      </c>
      <c r="F3" s="5">
        <v>0.1</v>
      </c>
      <c r="L3" s="4"/>
      <c r="M3" s="4"/>
      <c r="N3" s="4"/>
    </row>
    <row r="4" spans="2:21" x14ac:dyDescent="0.25">
      <c r="C4" t="s">
        <v>2</v>
      </c>
      <c r="F4" s="5">
        <v>0</v>
      </c>
      <c r="G4" s="2" t="s">
        <v>3</v>
      </c>
      <c r="N4" s="54"/>
      <c r="O4" s="54"/>
      <c r="P4" s="54"/>
      <c r="Q4" s="54"/>
    </row>
    <row r="5" spans="2:21" x14ac:dyDescent="0.25">
      <c r="C5" t="s">
        <v>4</v>
      </c>
      <c r="F5" s="6">
        <v>0</v>
      </c>
      <c r="G5" s="2" t="s">
        <v>3</v>
      </c>
    </row>
    <row r="6" spans="2:21" x14ac:dyDescent="0.25">
      <c r="C6" t="s">
        <v>137</v>
      </c>
      <c r="F6" s="5">
        <v>0.15</v>
      </c>
    </row>
    <row r="7" spans="2:21" x14ac:dyDescent="0.25">
      <c r="B7" s="1"/>
      <c r="G7" s="32" t="s">
        <v>35</v>
      </c>
      <c r="H7" s="32" t="s">
        <v>36</v>
      </c>
      <c r="I7" s="32" t="s">
        <v>37</v>
      </c>
      <c r="J7" s="32" t="s">
        <v>38</v>
      </c>
      <c r="K7" s="32" t="s">
        <v>39</v>
      </c>
      <c r="L7" s="25"/>
      <c r="M7" s="41"/>
      <c r="R7" s="41"/>
      <c r="S7" s="41"/>
      <c r="T7" s="41"/>
    </row>
    <row r="8" spans="2:21" s="84" customFormat="1" ht="16.5" thickBot="1" x14ac:dyDescent="0.3">
      <c r="B8" s="90" t="s">
        <v>47</v>
      </c>
      <c r="E8" s="84" t="s">
        <v>83</v>
      </c>
      <c r="F8" s="89"/>
      <c r="G8" s="85">
        <v>10000000</v>
      </c>
      <c r="H8" s="85">
        <v>0</v>
      </c>
      <c r="I8" s="85">
        <v>0</v>
      </c>
      <c r="J8" s="85">
        <v>0</v>
      </c>
      <c r="K8" s="85"/>
      <c r="L8" s="88"/>
      <c r="M8" s="86"/>
      <c r="N8"/>
      <c r="O8"/>
      <c r="P8"/>
      <c r="Q8"/>
      <c r="R8" s="86"/>
      <c r="S8" s="86"/>
      <c r="T8" s="86"/>
    </row>
    <row r="9" spans="2:21" s="84" customFormat="1" ht="16.5" thickTop="1" x14ac:dyDescent="0.25">
      <c r="B9" s="90"/>
      <c r="E9" s="84" t="s">
        <v>84</v>
      </c>
      <c r="F9" s="89"/>
      <c r="G9" s="86"/>
      <c r="H9" s="86"/>
      <c r="I9" s="86"/>
      <c r="J9" s="86"/>
      <c r="K9" s="86"/>
      <c r="L9" s="88"/>
      <c r="M9" s="86"/>
      <c r="N9"/>
      <c r="O9"/>
      <c r="P9"/>
      <c r="Q9"/>
      <c r="R9" s="86"/>
      <c r="S9" s="86"/>
      <c r="T9" s="86"/>
    </row>
    <row r="10" spans="2:21" x14ac:dyDescent="0.25">
      <c r="F10" s="10"/>
      <c r="G10" s="9">
        <v>2024</v>
      </c>
      <c r="H10" s="9">
        <v>2025</v>
      </c>
      <c r="I10" s="9">
        <v>2026</v>
      </c>
      <c r="J10" s="9">
        <v>2027</v>
      </c>
      <c r="K10" s="9">
        <v>2028</v>
      </c>
      <c r="L10" s="9"/>
      <c r="R10" s="40"/>
      <c r="S10" s="40"/>
      <c r="T10" s="40"/>
      <c r="U10" s="40"/>
    </row>
    <row r="11" spans="2:21" ht="16.5" thickBot="1" x14ac:dyDescent="0.3">
      <c r="B11" s="11" t="s">
        <v>11</v>
      </c>
      <c r="C11" s="7"/>
      <c r="D11" s="7"/>
      <c r="E11" s="7"/>
      <c r="F11" s="7"/>
      <c r="G11" s="8" t="s">
        <v>6</v>
      </c>
      <c r="H11" s="12" t="s">
        <v>7</v>
      </c>
      <c r="I11" s="8" t="s">
        <v>8</v>
      </c>
      <c r="J11" s="12" t="s">
        <v>9</v>
      </c>
      <c r="K11" s="8" t="s">
        <v>10</v>
      </c>
      <c r="L11" s="70" t="s">
        <v>12</v>
      </c>
      <c r="M11" s="54"/>
      <c r="N11" s="43"/>
      <c r="O11" s="43"/>
      <c r="P11" s="43"/>
      <c r="Q11" s="43"/>
      <c r="R11" s="54"/>
      <c r="S11" s="40"/>
      <c r="T11" s="40"/>
      <c r="U11" s="40"/>
    </row>
    <row r="12" spans="2:21" x14ac:dyDescent="0.25">
      <c r="B12" t="s">
        <v>13</v>
      </c>
      <c r="G12" s="9">
        <v>12</v>
      </c>
      <c r="H12" s="9">
        <v>12</v>
      </c>
      <c r="I12" s="9">
        <v>12</v>
      </c>
      <c r="J12" s="9">
        <v>12</v>
      </c>
      <c r="K12" s="9">
        <v>12</v>
      </c>
      <c r="L12" s="71"/>
      <c r="N12" s="45"/>
      <c r="O12" s="45"/>
      <c r="P12" s="45"/>
      <c r="Q12" s="45"/>
    </row>
    <row r="13" spans="2:21" x14ac:dyDescent="0.25">
      <c r="L13" s="71"/>
      <c r="N13" s="46"/>
      <c r="O13" s="46"/>
      <c r="P13" s="46"/>
      <c r="Q13" s="46"/>
    </row>
    <row r="14" spans="2:21" x14ac:dyDescent="0.25">
      <c r="B14" s="1" t="s">
        <v>5</v>
      </c>
      <c r="E14" s="17"/>
      <c r="G14" s="18"/>
      <c r="H14" s="148"/>
      <c r="I14" s="19"/>
      <c r="J14" s="19"/>
      <c r="K14" s="19"/>
      <c r="L14" s="71"/>
      <c r="N14" s="43"/>
      <c r="O14" s="43"/>
      <c r="P14" s="43"/>
      <c r="Q14" s="43"/>
    </row>
    <row r="15" spans="2:21" x14ac:dyDescent="0.25">
      <c r="B15" s="1"/>
      <c r="C15" t="s">
        <v>136</v>
      </c>
      <c r="E15" s="17"/>
      <c r="G15" s="148">
        <v>171000000</v>
      </c>
      <c r="H15" s="148">
        <f>171000000*(1-$F$6)</f>
        <v>145350000</v>
      </c>
      <c r="I15" s="148">
        <f t="shared" ref="I15:K15" si="0">171000000*(1-$F$6)</f>
        <v>145350000</v>
      </c>
      <c r="J15" s="148">
        <f>(171000000*(1-$F$6))*0</f>
        <v>0</v>
      </c>
      <c r="K15" s="148">
        <f>171000000*(1-$F$6)*0</f>
        <v>0</v>
      </c>
      <c r="L15" s="71"/>
      <c r="N15" s="43"/>
      <c r="O15" s="43"/>
      <c r="P15" s="43"/>
      <c r="Q15" s="43"/>
    </row>
    <row r="16" spans="2:21" x14ac:dyDescent="0.25">
      <c r="B16" s="1"/>
      <c r="E16" s="17"/>
      <c r="G16" s="67"/>
      <c r="H16" s="67"/>
      <c r="I16" s="67"/>
      <c r="J16" s="67"/>
      <c r="K16" s="67"/>
      <c r="L16" s="71"/>
      <c r="N16" s="43"/>
      <c r="O16" s="43"/>
      <c r="P16" s="43"/>
      <c r="Q16" s="43"/>
    </row>
    <row r="17" spans="2:19" x14ac:dyDescent="0.25">
      <c r="B17" s="1"/>
      <c r="E17" s="17"/>
      <c r="G17" s="148"/>
      <c r="H17" s="148"/>
      <c r="I17" s="148"/>
      <c r="J17" s="148"/>
      <c r="K17" s="148"/>
      <c r="L17" s="71"/>
      <c r="N17" s="47"/>
      <c r="O17" s="47"/>
      <c r="P17" s="47"/>
      <c r="Q17" s="47"/>
    </row>
    <row r="18" spans="2:19" x14ac:dyDescent="0.25">
      <c r="B18" s="64" t="s">
        <v>131</v>
      </c>
      <c r="C18" s="64"/>
      <c r="D18" s="64"/>
      <c r="E18" s="170"/>
      <c r="F18" s="171"/>
      <c r="G18" s="65">
        <f>SUM(G15:G17)</f>
        <v>171000000</v>
      </c>
      <c r="H18" s="65">
        <f>SUM(H15:H17)</f>
        <v>145350000</v>
      </c>
      <c r="I18" s="65">
        <f t="shared" ref="I18:K18" si="1">SUM(I15:I17)</f>
        <v>145350000</v>
      </c>
      <c r="J18" s="65">
        <f t="shared" si="1"/>
        <v>0</v>
      </c>
      <c r="K18" s="65">
        <f t="shared" si="1"/>
        <v>0</v>
      </c>
      <c r="L18" s="72">
        <f>SUM(G18:K18)</f>
        <v>461700000</v>
      </c>
      <c r="M18" s="43"/>
      <c r="N18" s="48"/>
      <c r="O18" s="48"/>
      <c r="P18" s="48"/>
      <c r="Q18" s="48"/>
      <c r="R18" s="43"/>
      <c r="S18" s="45"/>
    </row>
    <row r="19" spans="2:19" x14ac:dyDescent="0.25">
      <c r="L19" s="71"/>
      <c r="M19" s="45"/>
      <c r="N19" s="48"/>
      <c r="O19" s="48"/>
      <c r="P19" s="48"/>
      <c r="Q19" s="48"/>
      <c r="R19" s="45"/>
      <c r="S19" s="45"/>
    </row>
    <row r="20" spans="2:19" x14ac:dyDescent="0.25">
      <c r="B20" s="1" t="s">
        <v>14</v>
      </c>
      <c r="E20" s="17"/>
      <c r="F20" s="17"/>
      <c r="G20" s="18"/>
      <c r="H20" s="17"/>
      <c r="I20" s="19"/>
      <c r="J20" s="19"/>
      <c r="K20" s="19"/>
      <c r="L20" s="73"/>
      <c r="M20" s="46"/>
      <c r="N20" s="50"/>
      <c r="O20" s="50"/>
      <c r="P20" s="50"/>
      <c r="Q20" s="50"/>
      <c r="R20" s="45"/>
      <c r="S20" s="45"/>
    </row>
    <row r="21" spans="2:19" x14ac:dyDescent="0.25">
      <c r="C21" t="s">
        <v>135</v>
      </c>
      <c r="E21" s="149"/>
      <c r="G21" s="13">
        <f>77777777*3</f>
        <v>233333331</v>
      </c>
      <c r="H21" s="13"/>
      <c r="I21" s="13"/>
      <c r="J21" s="13">
        <f>77777777*0</f>
        <v>0</v>
      </c>
      <c r="K21" s="13">
        <f>77777777*0</f>
        <v>0</v>
      </c>
      <c r="L21" s="74">
        <f>SUM(G21:K21)</f>
        <v>233333331</v>
      </c>
      <c r="M21" s="43" t="s">
        <v>49</v>
      </c>
      <c r="N21" s="43"/>
      <c r="O21" s="43"/>
      <c r="P21" s="43"/>
      <c r="Q21" s="43"/>
      <c r="R21" s="44"/>
      <c r="S21" s="45"/>
    </row>
    <row r="22" spans="2:19" x14ac:dyDescent="0.25">
      <c r="C22" t="s">
        <v>15</v>
      </c>
      <c r="F22" s="113"/>
      <c r="G22" s="13">
        <v>36000000</v>
      </c>
      <c r="H22" s="13">
        <v>36000000</v>
      </c>
      <c r="I22" s="13">
        <v>36000000</v>
      </c>
      <c r="J22" s="13">
        <f>36000000*0</f>
        <v>0</v>
      </c>
      <c r="K22" s="13">
        <f>36000000*0</f>
        <v>0</v>
      </c>
      <c r="L22" s="74">
        <f>SUM(G22:K22)</f>
        <v>108000000</v>
      </c>
      <c r="M22" s="43"/>
      <c r="N22" s="51"/>
      <c r="O22" s="51"/>
      <c r="P22" s="51"/>
      <c r="Q22" s="51"/>
      <c r="R22" s="44"/>
      <c r="S22" s="45"/>
    </row>
    <row r="23" spans="2:19" x14ac:dyDescent="0.25">
      <c r="C23" t="s">
        <v>41</v>
      </c>
      <c r="G23" s="109">
        <f>7000000+PARAMETER!$B$24+PARAMETER!$K$17</f>
        <v>34760000</v>
      </c>
      <c r="H23" s="109">
        <f>7000000+PARAMETER!$B$24+PARAMETER!$K$17</f>
        <v>34760000</v>
      </c>
      <c r="I23" s="109">
        <f>7000000+PARAMETER!$B$24+PARAMETER!$K$17</f>
        <v>34760000</v>
      </c>
      <c r="J23" s="109">
        <f>(7000000+PARAMETER!$B$24+PARAMETER!$K$17)*(0)</f>
        <v>0</v>
      </c>
      <c r="K23" s="109">
        <f>(7000000+PARAMETER!$B$24+PARAMETER!$K$17)*(0)</f>
        <v>0</v>
      </c>
      <c r="L23" s="74">
        <f t="shared" ref="L23:L24" si="2">SUM(G23:K23)</f>
        <v>104280000</v>
      </c>
      <c r="M23" s="43"/>
      <c r="N23" s="51"/>
      <c r="O23" s="51"/>
      <c r="P23" s="51"/>
      <c r="Q23" s="51"/>
      <c r="R23" s="44"/>
      <c r="S23" s="45"/>
    </row>
    <row r="24" spans="2:19" x14ac:dyDescent="0.25">
      <c r="B24" s="15"/>
      <c r="C24" s="15" t="s">
        <v>2</v>
      </c>
      <c r="D24" s="15"/>
      <c r="E24" s="15"/>
      <c r="F24" s="15"/>
      <c r="G24" s="20">
        <f>G18*$F$4</f>
        <v>0</v>
      </c>
      <c r="H24" s="20">
        <f>H18*$F$4</f>
        <v>0</v>
      </c>
      <c r="I24" s="20">
        <f>I18*$F$4</f>
        <v>0</v>
      </c>
      <c r="J24" s="20">
        <f>J18*$F$4</f>
        <v>0</v>
      </c>
      <c r="K24" s="20">
        <f t="shared" ref="K24" si="3">K18*$F$4</f>
        <v>0</v>
      </c>
      <c r="L24" s="74">
        <f t="shared" si="2"/>
        <v>0</v>
      </c>
      <c r="M24" s="47"/>
      <c r="N24" s="51"/>
      <c r="O24" s="51"/>
      <c r="P24" s="51"/>
      <c r="Q24" s="51"/>
      <c r="R24" s="44"/>
      <c r="S24" s="45"/>
    </row>
    <row r="25" spans="2:19" s="1" customFormat="1" x14ac:dyDescent="0.25">
      <c r="B25" s="64" t="s">
        <v>16</v>
      </c>
      <c r="C25" s="64"/>
      <c r="D25" s="64"/>
      <c r="E25" s="64"/>
      <c r="F25" s="64"/>
      <c r="G25" s="65">
        <f>SUM(G21:G24)</f>
        <v>304093331</v>
      </c>
      <c r="H25" s="65">
        <f t="shared" ref="H25:K25" si="4">SUM(H21:H24)</f>
        <v>70760000</v>
      </c>
      <c r="I25" s="65">
        <f t="shared" si="4"/>
        <v>70760000</v>
      </c>
      <c r="J25" s="65">
        <f t="shared" si="4"/>
        <v>0</v>
      </c>
      <c r="K25" s="65">
        <f t="shared" si="4"/>
        <v>0</v>
      </c>
      <c r="L25" s="87">
        <f>SUM(L21:L24)</f>
        <v>445613331</v>
      </c>
      <c r="M25" s="48"/>
      <c r="N25" s="53"/>
      <c r="O25" s="53"/>
      <c r="P25" s="53"/>
      <c r="Q25" s="53"/>
      <c r="R25" s="48"/>
      <c r="S25" s="49"/>
    </row>
    <row r="26" spans="2:19" s="1" customFormat="1" x14ac:dyDescent="0.25">
      <c r="B26" s="1" t="s">
        <v>17</v>
      </c>
      <c r="G26" s="21">
        <f>G18-G25</f>
        <v>-133093331</v>
      </c>
      <c r="H26" s="21">
        <f>H18-H25</f>
        <v>74590000</v>
      </c>
      <c r="I26" s="21">
        <f t="shared" ref="I26:K26" si="5">I18-I25</f>
        <v>74590000</v>
      </c>
      <c r="J26" s="21">
        <f t="shared" si="5"/>
        <v>0</v>
      </c>
      <c r="K26" s="21">
        <f t="shared" si="5"/>
        <v>0</v>
      </c>
      <c r="L26" s="75">
        <f>L18-L25</f>
        <v>16086669</v>
      </c>
      <c r="M26" s="48"/>
      <c r="N26" s="51"/>
      <c r="O26" s="51"/>
      <c r="P26" s="51"/>
      <c r="Q26" s="51"/>
      <c r="R26" s="48"/>
      <c r="S26" s="49"/>
    </row>
    <row r="27" spans="2:19" s="1" customFormat="1" x14ac:dyDescent="0.25">
      <c r="B27" s="22" t="s">
        <v>18</v>
      </c>
      <c r="C27" s="23"/>
      <c r="D27" s="23"/>
      <c r="E27" s="23"/>
      <c r="F27" s="23"/>
      <c r="G27" s="24">
        <v>0</v>
      </c>
      <c r="H27" s="24">
        <f>H26/H18</f>
        <v>0.51317509459924315</v>
      </c>
      <c r="I27" s="24">
        <f t="shared" ref="I27:K27" si="6">I26/I18</f>
        <v>0.51317509459924315</v>
      </c>
      <c r="J27" s="24" t="e">
        <f t="shared" si="6"/>
        <v>#DIV/0!</v>
      </c>
      <c r="K27" s="24" t="e">
        <f t="shared" si="6"/>
        <v>#DIV/0!</v>
      </c>
      <c r="L27" s="76">
        <f>L26/L18</f>
        <v>3.48422547108512E-2</v>
      </c>
      <c r="M27" s="50"/>
      <c r="N27" s="45"/>
      <c r="O27" s="45"/>
      <c r="P27" s="45"/>
      <c r="Q27" s="45"/>
      <c r="R27" s="50"/>
      <c r="S27" s="49"/>
    </row>
    <row r="28" spans="2:19" x14ac:dyDescent="0.25">
      <c r="B28" s="15" t="s">
        <v>19</v>
      </c>
      <c r="C28" s="15"/>
      <c r="D28" s="15"/>
      <c r="E28" s="15"/>
      <c r="F28" s="15"/>
      <c r="G28" s="16">
        <f>G50</f>
        <v>3333333.3333333335</v>
      </c>
      <c r="H28" s="16">
        <f>H50</f>
        <v>3333333.3333333335</v>
      </c>
      <c r="I28" s="16">
        <f>I50</f>
        <v>3333333.3333333335</v>
      </c>
      <c r="J28" s="16"/>
      <c r="K28" s="16"/>
      <c r="L28" s="77">
        <f>SUM(G28:K28)</f>
        <v>10000000</v>
      </c>
      <c r="M28" s="43"/>
      <c r="N28" s="52"/>
      <c r="O28" s="52"/>
      <c r="P28" s="52"/>
      <c r="Q28" s="52"/>
      <c r="R28" s="43"/>
      <c r="S28" s="45"/>
    </row>
    <row r="29" spans="2:19" x14ac:dyDescent="0.25">
      <c r="B29" s="25" t="s">
        <v>20</v>
      </c>
      <c r="G29" s="26">
        <f t="shared" ref="G29:L29" si="7">G26-G28</f>
        <v>-136426664.33333334</v>
      </c>
      <c r="H29" s="26">
        <f t="shared" si="7"/>
        <v>71256666.666666672</v>
      </c>
      <c r="I29" s="26">
        <f t="shared" si="7"/>
        <v>71256666.666666672</v>
      </c>
      <c r="J29" s="26">
        <f t="shared" si="7"/>
        <v>0</v>
      </c>
      <c r="K29" s="26">
        <f t="shared" si="7"/>
        <v>0</v>
      </c>
      <c r="L29" s="78">
        <f t="shared" si="7"/>
        <v>6086669</v>
      </c>
      <c r="M29" s="51"/>
      <c r="N29" s="52"/>
      <c r="O29" s="52"/>
      <c r="P29" s="52"/>
      <c r="Q29" s="52"/>
      <c r="R29" s="51"/>
      <c r="S29" s="45"/>
    </row>
    <row r="30" spans="2:19" x14ac:dyDescent="0.25">
      <c r="B30" s="25" t="s">
        <v>33</v>
      </c>
      <c r="G30" s="68">
        <f>PARAMETER!B5</f>
        <v>500000</v>
      </c>
      <c r="H30" s="68">
        <f>PARAMETER!C5</f>
        <v>900000</v>
      </c>
      <c r="I30" s="68">
        <f>PARAMETER!D5</f>
        <v>700000</v>
      </c>
      <c r="J30" s="68"/>
      <c r="K30" s="68"/>
      <c r="L30" s="92">
        <f>SUM(G30:K30)</f>
        <v>2100000</v>
      </c>
      <c r="M30" s="51"/>
      <c r="N30" s="52"/>
      <c r="O30" s="52"/>
      <c r="P30" s="52"/>
      <c r="Q30" s="52"/>
      <c r="R30" s="51"/>
      <c r="S30" s="45"/>
    </row>
    <row r="31" spans="2:19" x14ac:dyDescent="0.25">
      <c r="B31" s="25" t="s">
        <v>34</v>
      </c>
      <c r="G31" s="68">
        <f t="shared" ref="G31:K31" si="8">G29-G30</f>
        <v>-136926664.33333334</v>
      </c>
      <c r="H31" s="68">
        <f t="shared" si="8"/>
        <v>70356666.666666672</v>
      </c>
      <c r="I31" s="68">
        <f t="shared" si="8"/>
        <v>70556666.666666672</v>
      </c>
      <c r="J31" s="68">
        <f t="shared" si="8"/>
        <v>0</v>
      </c>
      <c r="K31" s="68">
        <f t="shared" si="8"/>
        <v>0</v>
      </c>
      <c r="L31" s="92">
        <f>SUM(G31:K31)</f>
        <v>3986669</v>
      </c>
      <c r="M31" s="51"/>
      <c r="N31" s="31"/>
      <c r="O31" s="31"/>
      <c r="P31" s="31"/>
      <c r="Q31" s="31"/>
      <c r="R31" s="51"/>
      <c r="S31" s="45"/>
    </row>
    <row r="32" spans="2:19" x14ac:dyDescent="0.25">
      <c r="B32" s="15" t="s">
        <v>21</v>
      </c>
      <c r="C32" s="15"/>
      <c r="D32" s="15"/>
      <c r="E32" s="15"/>
      <c r="F32" s="15"/>
      <c r="G32" s="66">
        <f>IF(G31&lt;0,0,G31*$F$2)</f>
        <v>0</v>
      </c>
      <c r="H32" s="66">
        <f t="shared" ref="H32:K32" si="9">IF(H31&lt;0,0,H31*$F$2)</f>
        <v>1407133.3333333335</v>
      </c>
      <c r="I32" s="66">
        <f t="shared" si="9"/>
        <v>1411133.3333333335</v>
      </c>
      <c r="J32" s="66">
        <f t="shared" si="9"/>
        <v>0</v>
      </c>
      <c r="K32" s="66">
        <f t="shared" si="9"/>
        <v>0</v>
      </c>
      <c r="L32" s="79">
        <f>SUM(G32:K32)</f>
        <v>2818266.666666667</v>
      </c>
      <c r="M32" s="53"/>
      <c r="R32" s="52"/>
      <c r="S32" s="45"/>
    </row>
    <row r="33" spans="2:19" ht="16.5" thickBot="1" x14ac:dyDescent="0.3">
      <c r="B33" s="28" t="s">
        <v>48</v>
      </c>
      <c r="C33" s="28"/>
      <c r="D33" s="28"/>
      <c r="E33" s="28"/>
      <c r="F33" s="28"/>
      <c r="G33" s="29">
        <f>G31-G32</f>
        <v>-136926664.33333334</v>
      </c>
      <c r="H33" s="29">
        <f t="shared" ref="H33:K33" si="10">H31-H32</f>
        <v>68949533.333333343</v>
      </c>
      <c r="I33" s="29">
        <f t="shared" si="10"/>
        <v>69145533.333333343</v>
      </c>
      <c r="J33" s="29">
        <f t="shared" si="10"/>
        <v>0</v>
      </c>
      <c r="K33" s="29">
        <f t="shared" si="10"/>
        <v>0</v>
      </c>
      <c r="L33" s="80">
        <f>L29-L32</f>
        <v>3268402.333333333</v>
      </c>
      <c r="M33" s="51"/>
      <c r="R33" s="51"/>
      <c r="S33" s="45"/>
    </row>
    <row r="34" spans="2:19" x14ac:dyDescent="0.25">
      <c r="L34" s="71"/>
      <c r="M34" s="45"/>
      <c r="R34" s="45"/>
      <c r="S34" s="45"/>
    </row>
    <row r="35" spans="2:19" x14ac:dyDescent="0.25">
      <c r="B35" s="15" t="s">
        <v>22</v>
      </c>
      <c r="C35" s="15"/>
      <c r="D35" s="15"/>
      <c r="E35" s="15"/>
      <c r="F35" s="30">
        <f>-G8+-G9</f>
        <v>-10000000</v>
      </c>
      <c r="G35" s="30">
        <f>-H8+-H9</f>
        <v>0</v>
      </c>
      <c r="H35" s="30">
        <f>-I8+-I9</f>
        <v>0</v>
      </c>
      <c r="I35" s="30">
        <f>-J8+-J9</f>
        <v>0</v>
      </c>
      <c r="J35" s="30">
        <f t="shared" ref="J35" si="11">-K8+-K9</f>
        <v>0</v>
      </c>
      <c r="K35" s="30">
        <f>-L8+-L9</f>
        <v>0</v>
      </c>
      <c r="L35" s="81"/>
      <c r="M35" s="52"/>
      <c r="R35" s="52"/>
      <c r="S35" s="45"/>
    </row>
    <row r="36" spans="2:19" x14ac:dyDescent="0.25">
      <c r="B36" t="s">
        <v>23</v>
      </c>
      <c r="F36" s="27">
        <f>F35</f>
        <v>-10000000</v>
      </c>
      <c r="G36" s="27">
        <f t="shared" ref="G36:I36" si="12">G35+G33+G28</f>
        <v>-133593331.00000001</v>
      </c>
      <c r="H36" s="27">
        <f t="shared" si="12"/>
        <v>72282866.666666672</v>
      </c>
      <c r="I36" s="27">
        <f t="shared" si="12"/>
        <v>72478866.666666672</v>
      </c>
      <c r="J36" s="27">
        <f t="shared" ref="J36:K36" si="13">J35+J33+J28</f>
        <v>0</v>
      </c>
      <c r="K36" s="27">
        <f t="shared" si="13"/>
        <v>0</v>
      </c>
      <c r="L36" s="82"/>
      <c r="M36" s="52"/>
      <c r="N36" s="32"/>
      <c r="O36" s="9"/>
      <c r="P36" s="32"/>
      <c r="Q36" s="9"/>
      <c r="R36" s="52"/>
      <c r="S36" s="45"/>
    </row>
    <row r="37" spans="2:19" x14ac:dyDescent="0.25">
      <c r="B37" t="s">
        <v>24</v>
      </c>
      <c r="F37" s="27">
        <f>F36</f>
        <v>-10000000</v>
      </c>
      <c r="G37" s="27">
        <f>F37+G36</f>
        <v>-143593331</v>
      </c>
      <c r="H37" s="27">
        <f t="shared" ref="H37:I37" si="14">G37+H36</f>
        <v>-71310464.333333328</v>
      </c>
      <c r="I37" s="27">
        <f t="shared" si="14"/>
        <v>1168402.3333333433</v>
      </c>
      <c r="J37" s="27">
        <f>(I37+J36)*0</f>
        <v>0</v>
      </c>
      <c r="K37" s="27">
        <f t="shared" ref="K37" si="15">J37+K36</f>
        <v>0</v>
      </c>
      <c r="L37" s="82"/>
      <c r="M37" s="52"/>
      <c r="N37" s="34"/>
      <c r="O37" s="34"/>
      <c r="P37" s="34"/>
      <c r="Q37" s="34"/>
      <c r="R37" s="52"/>
      <c r="S37" s="45"/>
    </row>
    <row r="38" spans="2:19" x14ac:dyDescent="0.25">
      <c r="B38" t="s">
        <v>25</v>
      </c>
      <c r="F38" s="27"/>
      <c r="G38" s="31">
        <f>IF(AND(F37&lt;0,G37&gt;0),G43-(G37/G36),0)</f>
        <v>0</v>
      </c>
      <c r="H38" s="31">
        <f t="shared" ref="H38:K38" si="16">IF(AND(G37&lt;0,H37&gt;0),H43-(H37/H36),0)</f>
        <v>0</v>
      </c>
      <c r="I38" s="31">
        <f t="shared" si="16"/>
        <v>2.9838794066868224</v>
      </c>
      <c r="J38" s="31">
        <f t="shared" si="16"/>
        <v>0</v>
      </c>
      <c r="K38" s="31">
        <f t="shared" si="16"/>
        <v>0</v>
      </c>
      <c r="L38" s="83"/>
      <c r="M38" s="31"/>
      <c r="N38" s="35"/>
      <c r="O38" s="35"/>
      <c r="P38" s="35"/>
      <c r="Q38" s="35"/>
      <c r="R38" s="31"/>
    </row>
    <row r="39" spans="2:19" x14ac:dyDescent="0.25">
      <c r="B39" s="55" t="s">
        <v>26</v>
      </c>
      <c r="C39" s="56"/>
      <c r="D39" s="56"/>
      <c r="E39" s="56"/>
      <c r="F39" s="93">
        <f>IRR(F36:K36)</f>
        <v>5.1756296392884149E-3</v>
      </c>
      <c r="N39" s="35"/>
      <c r="O39" s="35"/>
      <c r="P39" s="35"/>
      <c r="Q39" s="35"/>
    </row>
    <row r="40" spans="2:19" x14ac:dyDescent="0.25">
      <c r="B40" s="57" t="s">
        <v>27</v>
      </c>
      <c r="C40" s="58"/>
      <c r="D40" s="58"/>
      <c r="E40" s="58"/>
      <c r="F40" s="59">
        <f>NPV(F3,G36:K36)+F36</f>
        <v>-17256131.111945923</v>
      </c>
      <c r="H40" s="91"/>
      <c r="I40" s="14"/>
      <c r="N40" s="35"/>
      <c r="O40" s="35"/>
      <c r="P40" s="35"/>
      <c r="Q40" s="35"/>
    </row>
    <row r="41" spans="2:19" x14ac:dyDescent="0.25">
      <c r="B41" s="57" t="s">
        <v>28</v>
      </c>
      <c r="C41" s="58"/>
      <c r="D41" s="58"/>
      <c r="E41" s="58"/>
      <c r="F41" s="60">
        <f>L27</f>
        <v>3.48422547108512E-2</v>
      </c>
      <c r="H41" s="67"/>
      <c r="N41" s="35"/>
      <c r="O41" s="35"/>
      <c r="P41" s="35"/>
      <c r="Q41" s="35"/>
    </row>
    <row r="42" spans="2:19" x14ac:dyDescent="0.25">
      <c r="B42" s="61" t="s">
        <v>29</v>
      </c>
      <c r="C42" s="62"/>
      <c r="D42" s="62"/>
      <c r="E42" s="62"/>
      <c r="F42" s="63">
        <f>SUM(F38:K38)</f>
        <v>2.9838794066868224</v>
      </c>
      <c r="N42" s="35"/>
      <c r="O42" s="35"/>
      <c r="P42" s="35"/>
      <c r="Q42" s="35"/>
    </row>
    <row r="43" spans="2:19" x14ac:dyDescent="0.25">
      <c r="G43" s="9">
        <v>1</v>
      </c>
      <c r="H43" s="32">
        <v>2</v>
      </c>
      <c r="I43" s="9">
        <v>3</v>
      </c>
      <c r="J43" s="32">
        <v>4</v>
      </c>
      <c r="K43" s="9">
        <v>5</v>
      </c>
      <c r="L43" s="32"/>
      <c r="M43" s="9"/>
      <c r="N43" s="42"/>
      <c r="O43" s="42"/>
      <c r="P43" s="42"/>
      <c r="Q43" s="42"/>
    </row>
    <row r="44" spans="2:19" x14ac:dyDescent="0.25">
      <c r="B44" s="33" t="s">
        <v>30</v>
      </c>
      <c r="E44" s="34" t="s">
        <v>31</v>
      </c>
      <c r="G44" s="34" t="str">
        <f t="shared" ref="G44:K44" si="17">G11</f>
        <v>Year 1</v>
      </c>
      <c r="H44" s="34" t="str">
        <f t="shared" si="17"/>
        <v>Year 2</v>
      </c>
      <c r="I44" s="34" t="str">
        <f t="shared" si="17"/>
        <v>Year 3</v>
      </c>
      <c r="J44" s="34" t="str">
        <f t="shared" si="17"/>
        <v>Year 4</v>
      </c>
      <c r="K44" s="34" t="str">
        <f t="shared" si="17"/>
        <v>Year 5</v>
      </c>
      <c r="L44" s="34"/>
      <c r="M44" s="34"/>
      <c r="R44" s="34"/>
    </row>
    <row r="45" spans="2:19" x14ac:dyDescent="0.25">
      <c r="D45" t="s">
        <v>6</v>
      </c>
      <c r="E45">
        <v>3</v>
      </c>
      <c r="G45" s="69">
        <f>SUM(G8:G9)/$E45</f>
        <v>3333333.3333333335</v>
      </c>
      <c r="H45" s="35">
        <f>G45</f>
        <v>3333333.3333333335</v>
      </c>
      <c r="I45" s="35">
        <f t="shared" ref="I45:K45" si="18">H45</f>
        <v>3333333.3333333335</v>
      </c>
      <c r="J45" s="35">
        <v>0</v>
      </c>
      <c r="K45" s="35">
        <f t="shared" si="18"/>
        <v>0</v>
      </c>
      <c r="L45" s="35"/>
      <c r="M45" s="35"/>
      <c r="R45" s="36"/>
    </row>
    <row r="46" spans="2:19" x14ac:dyDescent="0.25">
      <c r="D46" t="s">
        <v>8</v>
      </c>
      <c r="E46">
        <v>2</v>
      </c>
      <c r="H46" s="69">
        <f>I$9/$E46</f>
        <v>0</v>
      </c>
      <c r="J46" s="35">
        <f>H46</f>
        <v>0</v>
      </c>
      <c r="K46" s="35">
        <f t="shared" ref="K46" si="19">J46</f>
        <v>0</v>
      </c>
      <c r="L46" s="35"/>
      <c r="M46" s="35"/>
      <c r="R46" s="36"/>
    </row>
    <row r="47" spans="2:19" x14ac:dyDescent="0.25">
      <c r="D47" t="s">
        <v>9</v>
      </c>
      <c r="E47">
        <v>1</v>
      </c>
      <c r="I47" s="69">
        <f>J$8/$E47</f>
        <v>0</v>
      </c>
      <c r="K47" s="35">
        <f>I47</f>
        <v>0</v>
      </c>
      <c r="L47" s="35"/>
      <c r="M47" s="35"/>
      <c r="R47" s="36"/>
    </row>
    <row r="48" spans="2:19" hidden="1" x14ac:dyDescent="0.25">
      <c r="D48" t="s">
        <v>10</v>
      </c>
      <c r="E48">
        <v>2</v>
      </c>
      <c r="J48" s="69"/>
      <c r="L48" s="35"/>
      <c r="M48" s="35"/>
      <c r="R48" s="36"/>
    </row>
    <row r="49" spans="2:21" hidden="1" x14ac:dyDescent="0.25">
      <c r="D49" t="s">
        <v>42</v>
      </c>
      <c r="E49">
        <v>1</v>
      </c>
      <c r="K49" s="69"/>
      <c r="L49" s="35"/>
      <c r="M49" s="35"/>
      <c r="R49" s="36"/>
    </row>
    <row r="50" spans="2:21" ht="16.5" thickBot="1" x14ac:dyDescent="0.3">
      <c r="B50" s="37" t="s">
        <v>32</v>
      </c>
      <c r="C50" s="38"/>
      <c r="D50" s="38"/>
      <c r="E50" s="38"/>
      <c r="F50" s="38"/>
      <c r="G50" s="39">
        <f>SUM(G45:G48)</f>
        <v>3333333.3333333335</v>
      </c>
      <c r="H50" s="39">
        <f>SUM(H45:H48)</f>
        <v>3333333.3333333335</v>
      </c>
      <c r="I50" s="39">
        <f>SUM(I45:I48)</f>
        <v>3333333.3333333335</v>
      </c>
      <c r="J50" s="39">
        <f>SUM(J45:J48)</f>
        <v>0</v>
      </c>
      <c r="K50" s="39">
        <f>SUM(K45:K48)</f>
        <v>0</v>
      </c>
      <c r="L50" s="42"/>
      <c r="M50" s="42"/>
      <c r="R50" s="42"/>
      <c r="S50" s="40"/>
      <c r="T50" s="40"/>
      <c r="U50" s="40"/>
    </row>
    <row r="51" spans="2:21" ht="16.5" thickTop="1" x14ac:dyDescent="0.25">
      <c r="R51" s="14"/>
    </row>
    <row r="53" spans="2:21" x14ac:dyDescent="0.25">
      <c r="F53" t="s">
        <v>49</v>
      </c>
    </row>
  </sheetData>
  <mergeCells count="1">
    <mergeCell ref="E18:F18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K44"/>
  <sheetViews>
    <sheetView topLeftCell="A10" zoomScale="70" zoomScaleNormal="70" workbookViewId="0">
      <selection activeCell="I38" sqref="I38"/>
    </sheetView>
  </sheetViews>
  <sheetFormatPr defaultRowHeight="15.75" x14ac:dyDescent="0.25"/>
  <cols>
    <col min="1" max="1" width="13.5" bestFit="1" customWidth="1"/>
    <col min="2" max="2" width="15.875" bestFit="1" customWidth="1"/>
    <col min="3" max="4" width="13.75" bestFit="1" customWidth="1"/>
    <col min="5" max="5" width="14.875" customWidth="1"/>
    <col min="6" max="6" width="14" customWidth="1"/>
    <col min="7" max="7" width="12.125" bestFit="1" customWidth="1"/>
    <col min="8" max="8" width="16.75" customWidth="1"/>
    <col min="9" max="9" width="15.375" customWidth="1"/>
    <col min="10" max="11" width="13.75" bestFit="1" customWidth="1"/>
  </cols>
  <sheetData>
    <row r="1" spans="1:11" x14ac:dyDescent="0.25"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</row>
    <row r="2" spans="1:11" x14ac:dyDescent="0.25">
      <c r="A2" t="s">
        <v>50</v>
      </c>
      <c r="B2" s="94">
        <f>IRR!G8</f>
        <v>10000000</v>
      </c>
      <c r="C2" s="14">
        <f>$B$2-$B$4</f>
        <v>8000000</v>
      </c>
      <c r="D2" s="14">
        <f>$C$2-$B$4</f>
        <v>6000000</v>
      </c>
      <c r="E2" s="14">
        <f>$D$2-$B$4</f>
        <v>4000000</v>
      </c>
      <c r="F2" s="14">
        <f>$E$2-$B$4</f>
        <v>2000000</v>
      </c>
      <c r="G2" s="14">
        <f>$F$2-$B$4</f>
        <v>0</v>
      </c>
      <c r="H2" s="14">
        <f>$G$2-$B$4</f>
        <v>-2000000</v>
      </c>
      <c r="I2" s="14">
        <f>$H$2-$B$4</f>
        <v>-4000000</v>
      </c>
      <c r="J2" s="14">
        <f>$I$2-$B$4</f>
        <v>-6000000</v>
      </c>
      <c r="K2" s="14">
        <f>$J$2-$B$4</f>
        <v>-8000000</v>
      </c>
    </row>
    <row r="3" spans="1:11" x14ac:dyDescent="0.25">
      <c r="A3" t="s">
        <v>51</v>
      </c>
      <c r="B3" s="94">
        <v>5</v>
      </c>
    </row>
    <row r="4" spans="1:11" x14ac:dyDescent="0.25">
      <c r="A4" t="s">
        <v>52</v>
      </c>
      <c r="B4" s="94">
        <f>$B$2/$B$3</f>
        <v>2000000</v>
      </c>
    </row>
    <row r="5" spans="1:11" x14ac:dyDescent="0.25">
      <c r="A5" t="s">
        <v>53</v>
      </c>
      <c r="B5" s="94">
        <f>(($B$2*IRR!$F$3)*6)/12</f>
        <v>500000</v>
      </c>
      <c r="C5" s="14">
        <f>AVERAGE(B2:C2)*IRR!$F$3</f>
        <v>900000</v>
      </c>
      <c r="D5" s="14">
        <f>AVERAGE(C2:D2)*IRR!$F$3</f>
        <v>700000</v>
      </c>
      <c r="E5" s="14">
        <f>AVERAGE(D2:E2)*IRR!$F$3</f>
        <v>500000</v>
      </c>
      <c r="F5" s="14">
        <f>AVERAGE(E2:F2)*IRR!$F$3</f>
        <v>300000</v>
      </c>
      <c r="G5" s="14">
        <f>AVERAGE(F2:G2)*IRR!$F$3</f>
        <v>100000</v>
      </c>
      <c r="H5" s="14">
        <f>AVERAGE($G$2:$H$2)*[3]IRR!$G$4</f>
        <v>-100000</v>
      </c>
      <c r="I5" s="14">
        <f>AVERAGE($H$2:$I$2)*[3]IRR!$G$4</f>
        <v>-300000</v>
      </c>
      <c r="J5" s="14">
        <f>AVERAGE($I$2:$J$2)*[3]IRR!$G$4</f>
        <v>-500000</v>
      </c>
      <c r="K5" s="14">
        <f>AVERAGE($J$2:$K$2)*[3]IRR!$G$4</f>
        <v>-700000</v>
      </c>
    </row>
    <row r="10" spans="1:11" x14ac:dyDescent="0.25">
      <c r="F10" s="134" t="s">
        <v>92</v>
      </c>
      <c r="G10" s="134" t="s">
        <v>93</v>
      </c>
      <c r="H10" s="134" t="s">
        <v>94</v>
      </c>
      <c r="I10" s="135" t="s">
        <v>95</v>
      </c>
      <c r="J10" s="172" t="s">
        <v>96</v>
      </c>
      <c r="K10" s="172" t="s">
        <v>97</v>
      </c>
    </row>
    <row r="11" spans="1:11" x14ac:dyDescent="0.25">
      <c r="E11" s="136" t="s">
        <v>98</v>
      </c>
      <c r="F11" s="137">
        <v>1</v>
      </c>
      <c r="G11" s="138">
        <v>1</v>
      </c>
      <c r="H11" s="138">
        <v>1</v>
      </c>
      <c r="I11" s="139">
        <f>Summary!H7</f>
        <v>83</v>
      </c>
      <c r="J11" s="172"/>
      <c r="K11" s="172"/>
    </row>
    <row r="12" spans="1:11" x14ac:dyDescent="0.25">
      <c r="B12" s="173" t="s">
        <v>99</v>
      </c>
      <c r="C12" s="140" t="s">
        <v>100</v>
      </c>
      <c r="D12" s="141">
        <f>C23</f>
        <v>3000000</v>
      </c>
      <c r="E12" s="140" t="s">
        <v>92</v>
      </c>
      <c r="F12" s="134">
        <f>F11</f>
        <v>1</v>
      </c>
      <c r="G12" s="134"/>
      <c r="H12" s="134"/>
      <c r="I12" s="135"/>
      <c r="J12" s="142">
        <f>F12*D12</f>
        <v>3000000</v>
      </c>
    </row>
    <row r="13" spans="1:11" x14ac:dyDescent="0.25">
      <c r="B13" s="174"/>
      <c r="C13" s="140" t="s">
        <v>101</v>
      </c>
      <c r="D13" s="143">
        <v>600000</v>
      </c>
      <c r="E13" s="140" t="s">
        <v>92</v>
      </c>
      <c r="F13" s="134">
        <f>F11</f>
        <v>1</v>
      </c>
      <c r="G13" s="134"/>
      <c r="H13" s="134"/>
      <c r="I13" s="135">
        <f>IF($I$10&lt;=120,2,IF($I$10&gt;220,4,3))</f>
        <v>4</v>
      </c>
      <c r="J13" s="143">
        <f>D13*F13</f>
        <v>600000</v>
      </c>
    </row>
    <row r="14" spans="1:11" x14ac:dyDescent="0.25">
      <c r="B14" s="175"/>
      <c r="C14" s="140" t="s">
        <v>99</v>
      </c>
      <c r="D14" s="143">
        <v>200000</v>
      </c>
      <c r="E14" s="140" t="s">
        <v>102</v>
      </c>
      <c r="F14" s="134"/>
      <c r="G14" s="134">
        <f>G11</f>
        <v>1</v>
      </c>
      <c r="H14" s="134"/>
      <c r="I14" s="135"/>
      <c r="J14" s="143">
        <f>G14*D14</f>
        <v>200000</v>
      </c>
    </row>
    <row r="15" spans="1:11" x14ac:dyDescent="0.25">
      <c r="B15" s="140" t="s">
        <v>103</v>
      </c>
      <c r="C15" s="140" t="s">
        <v>103</v>
      </c>
      <c r="D15" s="143">
        <v>450000</v>
      </c>
      <c r="E15" s="140" t="s">
        <v>94</v>
      </c>
      <c r="F15" s="134">
        <f>F11</f>
        <v>1</v>
      </c>
      <c r="G15" s="134"/>
      <c r="H15" s="134">
        <f>H11</f>
        <v>1</v>
      </c>
      <c r="I15" s="135">
        <f t="shared" ref="I15:I16" si="0">IF($I$10&lt;=120,2,IF($I$10&gt;220,4,3))</f>
        <v>4</v>
      </c>
      <c r="J15" s="143">
        <f>H15*D15*I15</f>
        <v>1800000</v>
      </c>
    </row>
    <row r="16" spans="1:11" x14ac:dyDescent="0.25">
      <c r="B16" s="140" t="s">
        <v>104</v>
      </c>
      <c r="C16" s="140" t="s">
        <v>104</v>
      </c>
      <c r="D16" s="143">
        <v>120000</v>
      </c>
      <c r="E16" s="140" t="s">
        <v>92</v>
      </c>
      <c r="F16" s="134">
        <f>F11</f>
        <v>1</v>
      </c>
      <c r="G16" s="134"/>
      <c r="H16" s="134"/>
      <c r="I16" s="135">
        <f t="shared" si="0"/>
        <v>4</v>
      </c>
      <c r="J16" s="143">
        <f>I16*D16*F16</f>
        <v>480000</v>
      </c>
    </row>
    <row r="17" spans="1:11" x14ac:dyDescent="0.25">
      <c r="J17" s="144">
        <f>SUM(J12:J16)</f>
        <v>6080000</v>
      </c>
      <c r="K17" s="145">
        <f>J17*2</f>
        <v>12160000</v>
      </c>
    </row>
    <row r="20" spans="1:11" x14ac:dyDescent="0.25">
      <c r="K20" s="14"/>
    </row>
    <row r="21" spans="1:11" x14ac:dyDescent="0.25">
      <c r="B21" s="134" t="s">
        <v>105</v>
      </c>
      <c r="C21" s="134" t="s">
        <v>100</v>
      </c>
      <c r="E21" s="140" t="s">
        <v>106</v>
      </c>
      <c r="K21" s="36"/>
    </row>
    <row r="22" spans="1:11" x14ac:dyDescent="0.25">
      <c r="A22" t="s">
        <v>107</v>
      </c>
      <c r="B22" s="94">
        <v>16800000</v>
      </c>
      <c r="C22" s="94">
        <v>4000000</v>
      </c>
      <c r="E22" t="s">
        <v>108</v>
      </c>
      <c r="K22" s="14"/>
    </row>
    <row r="23" spans="1:11" x14ac:dyDescent="0.25">
      <c r="A23" t="s">
        <v>109</v>
      </c>
      <c r="B23" s="94"/>
      <c r="C23" s="94">
        <v>3000000</v>
      </c>
      <c r="E23" t="s">
        <v>110</v>
      </c>
      <c r="I23" s="94">
        <v>10000000</v>
      </c>
    </row>
    <row r="24" spans="1:11" x14ac:dyDescent="0.25">
      <c r="A24" t="s">
        <v>111</v>
      </c>
      <c r="B24" s="94">
        <v>15600000</v>
      </c>
      <c r="C24" s="94">
        <v>2500000</v>
      </c>
      <c r="E24" t="s">
        <v>110</v>
      </c>
      <c r="H24" t="s">
        <v>112</v>
      </c>
      <c r="I24" s="94">
        <v>12000000</v>
      </c>
    </row>
    <row r="25" spans="1:11" x14ac:dyDescent="0.25">
      <c r="A25" t="s">
        <v>113</v>
      </c>
      <c r="B25" s="94">
        <v>15000000</v>
      </c>
      <c r="C25" s="94">
        <v>2000000</v>
      </c>
      <c r="E25" t="s">
        <v>110</v>
      </c>
      <c r="H25" t="s">
        <v>114</v>
      </c>
      <c r="I25" s="94">
        <v>14000000</v>
      </c>
    </row>
    <row r="26" spans="1:11" x14ac:dyDescent="0.25">
      <c r="A26" t="s">
        <v>115</v>
      </c>
      <c r="B26" s="94">
        <v>15000000</v>
      </c>
      <c r="C26" s="94">
        <v>1850000</v>
      </c>
      <c r="E26" t="s">
        <v>110</v>
      </c>
      <c r="H26" t="s">
        <v>116</v>
      </c>
      <c r="I26" s="94">
        <v>14000000</v>
      </c>
    </row>
    <row r="27" spans="1:11" x14ac:dyDescent="0.25">
      <c r="A27" t="s">
        <v>117</v>
      </c>
      <c r="B27" s="94">
        <v>12000000</v>
      </c>
      <c r="C27" s="94">
        <v>1200000</v>
      </c>
      <c r="E27" t="s">
        <v>110</v>
      </c>
      <c r="H27" t="s">
        <v>107</v>
      </c>
      <c r="I27" s="94">
        <v>17000000</v>
      </c>
    </row>
    <row r="28" spans="1:11" x14ac:dyDescent="0.25">
      <c r="A28" t="s">
        <v>118</v>
      </c>
      <c r="B28" s="94">
        <v>16800000</v>
      </c>
      <c r="C28" s="94">
        <v>2000000</v>
      </c>
      <c r="E28" t="s">
        <v>110</v>
      </c>
      <c r="H28" t="s">
        <v>118</v>
      </c>
      <c r="I28" s="94">
        <v>14000000</v>
      </c>
    </row>
    <row r="29" spans="1:11" x14ac:dyDescent="0.25">
      <c r="A29" t="s">
        <v>119</v>
      </c>
      <c r="B29" s="94">
        <v>15720000</v>
      </c>
      <c r="C29" s="94">
        <v>3500000</v>
      </c>
    </row>
    <row r="30" spans="1:11" x14ac:dyDescent="0.25">
      <c r="A30" t="s">
        <v>120</v>
      </c>
      <c r="C30" s="94">
        <v>2800000</v>
      </c>
    </row>
    <row r="31" spans="1:11" x14ac:dyDescent="0.25">
      <c r="A31" t="s">
        <v>121</v>
      </c>
      <c r="B31">
        <v>0</v>
      </c>
      <c r="C31" s="94">
        <v>0</v>
      </c>
      <c r="D31" t="s">
        <v>122</v>
      </c>
    </row>
    <row r="33" spans="1:3" x14ac:dyDescent="0.25">
      <c r="B33" s="134" t="s">
        <v>123</v>
      </c>
      <c r="C33" s="134"/>
    </row>
    <row r="34" spans="1:3" x14ac:dyDescent="0.25">
      <c r="B34" s="94">
        <v>7000000</v>
      </c>
    </row>
    <row r="36" spans="1:3" x14ac:dyDescent="0.25">
      <c r="A36" s="140" t="s">
        <v>124</v>
      </c>
      <c r="B36" s="14"/>
    </row>
    <row r="37" spans="1:3" x14ac:dyDescent="0.25">
      <c r="A37" t="s">
        <v>125</v>
      </c>
    </row>
    <row r="38" spans="1:3" x14ac:dyDescent="0.25">
      <c r="A38" t="s">
        <v>126</v>
      </c>
      <c r="B38" s="94">
        <v>36000000</v>
      </c>
    </row>
    <row r="39" spans="1:3" x14ac:dyDescent="0.25">
      <c r="A39" t="s">
        <v>127</v>
      </c>
      <c r="B39" s="94">
        <v>42000000</v>
      </c>
    </row>
    <row r="40" spans="1:3" x14ac:dyDescent="0.25">
      <c r="A40" t="s">
        <v>128</v>
      </c>
      <c r="B40" s="94">
        <v>48000000</v>
      </c>
    </row>
    <row r="42" spans="1:3" x14ac:dyDescent="0.25">
      <c r="A42" t="s">
        <v>129</v>
      </c>
    </row>
    <row r="43" spans="1:3" x14ac:dyDescent="0.25">
      <c r="A43" t="s">
        <v>130</v>
      </c>
      <c r="B43" s="94">
        <v>75000000</v>
      </c>
    </row>
    <row r="44" spans="1:3" x14ac:dyDescent="0.25">
      <c r="A44" t="s">
        <v>128</v>
      </c>
      <c r="B44" s="94">
        <v>95000000</v>
      </c>
    </row>
  </sheetData>
  <mergeCells count="3">
    <mergeCell ref="J10:J11"/>
    <mergeCell ref="K10:K11"/>
    <mergeCell ref="B12:B14"/>
  </mergeCells>
  <conditionalFormatting sqref="B5:K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Summary</vt:lpstr>
      <vt:lpstr>IRR</vt:lpstr>
      <vt:lpstr>PARAMETER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2024-01-11T04:40:00Z</dcterms:modified>
</cp:coreProperties>
</file>