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Sun City Madiun\"/>
    </mc:Choice>
  </mc:AlternateContent>
  <bookViews>
    <workbookView xWindow="-105" yWindow="-105" windowWidth="23250" windowHeight="12450"/>
  </bookViews>
  <sheets>
    <sheet name="Summary" sheetId="8" r:id="rId1"/>
    <sheet name="IRR Approved" sheetId="1" r:id="rId2"/>
    <sheet name="PARAMETER" sheetId="5" r:id="rId3"/>
    <sheet name="SummaryBR" sheetId="13" r:id="rId4"/>
    <sheet name="Book Value" sheetId="14" r:id="rId5"/>
    <sheet name="Analisa (2)" sheetId="15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</externalReferences>
  <definedNames>
    <definedName name="__123Graph_ABTGKAWAT" hidden="1">[2]Asumsi!$F$1245:$O$1245</definedName>
    <definedName name="__123Graph_ACRM" hidden="1">[2]Asumsi!$F$1243:$O$1243</definedName>
    <definedName name="__123Graph_AHSM" hidden="1">[2]Asumsi!$F$1242:$O$1242</definedName>
    <definedName name="__123Graph_ASLAB" hidden="1">[2]Asumsi!$F$1241:$O$1241</definedName>
    <definedName name="__123Graph_BBTGKAWAT" hidden="1">[2]Asumsi!$F$287:$O$287</definedName>
    <definedName name="__123Graph_BCRM" hidden="1">[2]Asumsi!$F$285:$O$285</definedName>
    <definedName name="__123Graph_BHSM" hidden="1">[2]Asumsi!$F$281:$O$281</definedName>
    <definedName name="__123Graph_BSLAB" hidden="1">[2]Asumsi!$F$288:$O$288</definedName>
    <definedName name="__123Graph_LBL_ABTGKAWAT" hidden="1">[2]Asumsi!$F$1245:$O$1245</definedName>
    <definedName name="__123Graph_LBL_ACRM" hidden="1">[2]Asumsi!$F$1243:$O$1243</definedName>
    <definedName name="__123Graph_LBL_AHSM" hidden="1">[2]Asumsi!$F$1242:$O$1242</definedName>
    <definedName name="__123Graph_LBL_ASLAB" hidden="1">[2]Asumsi!$F$1241:$O$1241</definedName>
    <definedName name="__123Graph_LBL_BBILLET" hidden="1">[2]Asumsi!$F$286:$O$286</definedName>
    <definedName name="__123Graph_LBL_BBTGKAWAT" hidden="1">[2]Asumsi!$F$287:$O$287</definedName>
    <definedName name="__123Graph_LBL_BCRM" hidden="1">[2]Asumsi!$F$285:$O$285</definedName>
    <definedName name="__123Graph_LBL_BHSM" hidden="1">[2]Asumsi!$F$281:$O$281</definedName>
    <definedName name="__123Graph_LBL_BSLAB" hidden="1">[2]Asumsi!$F$288:$O$288</definedName>
    <definedName name="__123Graph_XBTGKAWAT" hidden="1">[2]Asumsi!$F$1239:$O$1239</definedName>
    <definedName name="__123Graph_XCRM" hidden="1">[2]Asumsi!$F$1239:$O$1239</definedName>
    <definedName name="__123Graph_XHSM" hidden="1">[2]Asumsi!$F$1239:$O$1239</definedName>
    <definedName name="__123Graph_XSLAB" hidden="1">[2]Asumsi!$F$1239:$O$1239</definedName>
    <definedName name="_AAL2">'[3]AAL2 Site List - All'!$A$2:$B$134</definedName>
    <definedName name="_ISP2">[4]install!$I$6</definedName>
    <definedName name="_ISP3">[4]install!$I$7</definedName>
    <definedName name="_Order2" hidden="1">255</definedName>
    <definedName name="_OSP1">[4]install!$I$8</definedName>
    <definedName name="_OSP2">[4]install!$I$9</definedName>
    <definedName name="_Regression_Int">1</definedName>
    <definedName name="_sek1">1.108</definedName>
    <definedName name="_sek2">1.1</definedName>
    <definedName name="_sek3">1.1</definedName>
    <definedName name="_sm10">[5]Input!$BA$90</definedName>
    <definedName name="_sm11">[5]Input!$BF$90</definedName>
    <definedName name="_sm12">[5]Input!$BK$90</definedName>
    <definedName name="_sm13">[5]Input!$BP$90</definedName>
    <definedName name="_sm14">[5]Input!$BU$90</definedName>
    <definedName name="_sm15">[5]Input!$BZ$90</definedName>
    <definedName name="_sm16">[5]Input!$CE$90</definedName>
    <definedName name="_sm17">[5]Input!$CJ$90</definedName>
    <definedName name="_sm18">[5]Input!$CO$90</definedName>
    <definedName name="_sm19">[5]Input!$CT$90</definedName>
    <definedName name="_sm2">[5]Input!$M$90</definedName>
    <definedName name="_sm20">[5]Input!$CY$90</definedName>
    <definedName name="_sm3">[5]Input!$R$90</definedName>
    <definedName name="_sm4">[5]Input!$W$90</definedName>
    <definedName name="_sm5">[5]Input!$AB$90</definedName>
    <definedName name="_sm6">[5]Input!$AG$90</definedName>
    <definedName name="_sm7">[5]Input!$AL$90</definedName>
    <definedName name="_sm8">[5]Input!$AQ$90</definedName>
    <definedName name="_sm9">[5]Input!$AV$90</definedName>
    <definedName name="_SUB1">[4]para!$G$65</definedName>
    <definedName name="_SUB10">[4]para!$G$74</definedName>
    <definedName name="_SUB12">[4]para!$G$76</definedName>
    <definedName name="_SUB13">[4]para!$G$77</definedName>
    <definedName name="_SUB15">[4]para!$G$79</definedName>
    <definedName name="_SUB2">[4]para!$G$66</definedName>
    <definedName name="_SUB3">[4]para!$G$67</definedName>
    <definedName name="_SUB4">[4]para!$G$68</definedName>
    <definedName name="_SUB5">[4]para!$G$69</definedName>
    <definedName name="_SUB6">[4]para!$G$70</definedName>
    <definedName name="_SUB8">[4]para!$G$72</definedName>
    <definedName name="_SUB9">[4]para!$G$73</definedName>
    <definedName name="_Syn1">[5]Input!$H$91</definedName>
    <definedName name="_Syn10">[5]Input!$BA$91</definedName>
    <definedName name="_Syn11">[5]Input!$BF$91</definedName>
    <definedName name="_Syn12">[5]Input!$BK$91</definedName>
    <definedName name="_Syn13">[5]Input!$BP$91</definedName>
    <definedName name="_Syn14">[5]Input!$BU$91</definedName>
    <definedName name="_Syn15">[5]Input!$BZ$91</definedName>
    <definedName name="_Syn16">[5]Input!$CE$91</definedName>
    <definedName name="_Syn17">[5]Input!$CJ$91</definedName>
    <definedName name="_Syn18">[5]Input!$CO$91</definedName>
    <definedName name="_Syn19">[5]Input!$CT$91</definedName>
    <definedName name="_Syn2">[5]Input!$M$91</definedName>
    <definedName name="_Syn20">[5]Input!$CY$91</definedName>
    <definedName name="_Syn3">[5]Input!$R$91</definedName>
    <definedName name="_Syn4">[5]Input!$W$91</definedName>
    <definedName name="_Syn5">[5]Input!$AB$91</definedName>
    <definedName name="_Syn6">[5]Input!$AG$91</definedName>
    <definedName name="_Syn7">[5]Input!$AL$91</definedName>
    <definedName name="_Syn8">[5]Input!$AQ$91</definedName>
    <definedName name="_Syn9">[5]Input!$AV$91</definedName>
    <definedName name="_VR01">'[6]VR-Rev'!$B$3:$C$159</definedName>
    <definedName name="A1_">#N/A</definedName>
    <definedName name="AccessDatabase" hidden="1">"C:\Documents and Settings\qsalsam\Desktop\Services Costing Template.mdb"</definedName>
    <definedName name="AccommodationIdentifier">[7]Data!$J$1</definedName>
    <definedName name="Accomodation_Misc_AUD">[8]Constants!$B$30</definedName>
    <definedName name="AccomodationDatabase">[7]Data!$J$4:$K$6</definedName>
    <definedName name="ACCOUNT">[9]LOKASI!$E$8:$F$37</definedName>
    <definedName name="Address2">[10]General!$B$17</definedName>
    <definedName name="Address3">[10]General!$B$18</definedName>
    <definedName name="Address4">[10]General!$B$19</definedName>
    <definedName name="aegedb">#N/A</definedName>
    <definedName name="aergera">#N/A</definedName>
    <definedName name="AirfareDatabase">[7]Data!$G$4:$H$11</definedName>
    <definedName name="AirfareLocationIndicator">[7]Data!$G$1</definedName>
    <definedName name="airp_trf">[11]Parameter!$C$28</definedName>
    <definedName name="airpl_kl">[11]Parameter!$C$23</definedName>
    <definedName name="allowance">[12]Overview!$D$30</definedName>
    <definedName name="Allowance_Data">[13]Data!$C$2:$C$204</definedName>
    <definedName name="AllowanceDatabase">[7]Data!$M$4:$R$33</definedName>
    <definedName name="AllowanceIndicator">[7]Data!$M$1</definedName>
    <definedName name="Annual_interest_rate">"$#REF!.$C$23"</definedName>
    <definedName name="Annual_interest_rateStage2">'[14]Bank Loan _Stage 2_'!$C$23</definedName>
    <definedName name="Annual_interest_rateStage3">'[14]Bank Loan _stage 3_'!$C$24</definedName>
    <definedName name="anscount" hidden="1">1</definedName>
    <definedName name="AntDescription">'[15]DATA-BASE'!$I$63</definedName>
    <definedName name="AntEricssonProduct">'[15]DATA-BASE'!$C$63</definedName>
    <definedName name="Area1">'[10]DATA-BASE'!$B$26</definedName>
    <definedName name="ARPU_override">'[16]ARPU-override'!$B$6</definedName>
    <definedName name="AS2DocOpenMode" hidden="1">"AS2DocumentEdit"</definedName>
    <definedName name="AXD10G_2_SWUSER">'[17]Discount Tables'!$C$15</definedName>
    <definedName name="AXD10G_2R_SWTP">'[17]Discount Tables'!$D$17</definedName>
    <definedName name="AXD10G_2R_SWUSER">'[17]Discount Tables'!$C$17</definedName>
    <definedName name="AXD155_3SW_TP">'[17]Discount Tables'!$D$7</definedName>
    <definedName name="AXD155_3SW_USER">'[17]Discount Tables'!$C$7</definedName>
    <definedName name="AXD2500_2_SWUSER">'[17]Discount Tables'!$C$13</definedName>
    <definedName name="AXD2500_2SW_TP">'[17]Discount Tables'!$D$13</definedName>
    <definedName name="AXD416_2_SWUSER">'[17]Discount Tables'!$C$11</definedName>
    <definedName name="AXD416_2SW_TP">'[17]Discount Tables'!$D$11</definedName>
    <definedName name="AXD620_2_SWUSER">'[17]Discount Tables'!$C$9</definedName>
    <definedName name="AXD620_2SW_TP">'[17]Discount Tables'!$D$9</definedName>
    <definedName name="B1_">#N/A</definedName>
    <definedName name="bb">'[18]Contractual Terms(1)'!$B$55</definedName>
    <definedName name="BOI11hrs">[5]Input!$BF$89</definedName>
    <definedName name="BOI12hrs">[5]Input!$BK$89</definedName>
    <definedName name="BOI13hrs">[5]Input!$BP$89</definedName>
    <definedName name="BOI14hrs">[5]Input!$BU$89</definedName>
    <definedName name="BOI15hrs">[5]Input!$BZ$89</definedName>
    <definedName name="BOI16hrs">[5]Input!$CE$89</definedName>
    <definedName name="BOI17hrs">[5]Input!$CJ$89</definedName>
    <definedName name="BOI18hrs">[5]Input!$CO$89</definedName>
    <definedName name="BOI19hrs">[5]Input!$CT$89</definedName>
    <definedName name="BOI1hrs">[5]Input!$H$89</definedName>
    <definedName name="BOI20hrs">[5]Input!$CY$89</definedName>
    <definedName name="BOI2hrs">[5]Input!$M$89</definedName>
    <definedName name="BOI3hrs">[5]Input!$R$89</definedName>
    <definedName name="BOI4hrs">[5]Input!$W$89</definedName>
    <definedName name="BOI5hrs">[5]Input!$AB$89</definedName>
    <definedName name="BOI6hrs">[5]Input!$AG$89</definedName>
    <definedName name="BOI7hrs">[5]Input!$AL$89</definedName>
    <definedName name="BOI8hrs">[5]Input!$AQ$89</definedName>
    <definedName name="BOI9hrs">[5]Input!$AV$89</definedName>
    <definedName name="buffer">[12]Overview!$H$30</definedName>
    <definedName name="C_CBD2">'[19]Paths - 261 Sites Scenario'!$A$46:$IV$107</definedName>
    <definedName name="C_CBD3">'[19]Paths - 261 Sites Scenario'!$A$108:$IV$120</definedName>
    <definedName name="C_CBD4">'[19]Paths - 261 Sites Scenario'!$A$121:$IV$148</definedName>
    <definedName name="C_DU1">'[19]Paths - 261 Sites Scenario'!$A$149:$IV$184</definedName>
    <definedName name="C_DU2">'[19]Paths - 261 Sites Scenario'!$A$185:$IV$221</definedName>
    <definedName name="C_DU3">'[19]Paths - 261 Sites Scenario'!$A$222:$IV$247</definedName>
    <definedName name="C_DU4">'[19]Paths - 261 Sites Scenario'!$A$248:$IV$261</definedName>
    <definedName name="C_DU5a">'[19]Paths - 261 Sites Scenario'!$A$262:$IV$277</definedName>
    <definedName name="C_DU5b">'[19]Paths - 261 Sites Scenario'!$A$278:$IV$302</definedName>
    <definedName name="C_DU6">'[19]Paths - 261 Sites Scenario'!$A$303:$IV$329</definedName>
    <definedName name="C_DU7a">'[19]Paths - 261 Sites Scenario'!$A$330:$IV$360</definedName>
    <definedName name="C_DU7b">'[19]Paths - 261 Sites Scenario'!$A$361:$IV$378</definedName>
    <definedName name="C_SUB8">'[19]Paths - 261 Sites Scenario'!$A$379:$IV$382</definedName>
    <definedName name="C_URB1">'[19]Paths - 261 Sites Scenario'!$A$383:$IV$389</definedName>
    <definedName name="C_URB10">'[19]Paths - 261 Sites Scenario'!$A$390:$IV$405</definedName>
    <definedName name="C_URB11b">'[19]Paths - 261 Sites Scenario'!$A$406:$IV$408</definedName>
    <definedName name="C_URB12">'[19]Paths - 261 Sites Scenario'!$A$409:$IV$409</definedName>
    <definedName name="C_URB3">'[19]Paths - 261 Sites Scenario'!$A$410:$IV$410</definedName>
    <definedName name="C_URB5">'[19]Paths - 261 Sites Scenario'!$A$411:$IV$412</definedName>
    <definedName name="C_URB8">'[19]Paths - 261 Sites Scenario'!$A$413:$IV$417</definedName>
    <definedName name="C_URB9a">'[19]Paths - 261 Sites Scenario'!$A$418:$IV$422</definedName>
    <definedName name="C_URB9b">'[19]Paths - 261 Sites Scenario'!$A$423:$IV$423</definedName>
    <definedName name="Calculated_payment">"$#REF!.$C$29"</definedName>
    <definedName name="calcur">[20]Parameters!$H$85</definedName>
    <definedName name="CapGGSN_bps_DOC_W5">'[21]Master Assumptions'!$F$92</definedName>
    <definedName name="CapGGSN_PDP_DOC_W4">'[21]Master Assumptions'!$B$91</definedName>
    <definedName name="CapGGSN_PDP_DOC_W5">'[21]Master Assumptions'!$B$92</definedName>
    <definedName name="CapGGSNJ20_bps_DOC_P1">'[21]Master Assumptions'!$F$97</definedName>
    <definedName name="CapGGSNJ20_bps_DOC_P2">'[21]Master Assumptions'!$F$98</definedName>
    <definedName name="CapGGSNJ20_bps_DOC_P3">'[21]Master Assumptions'!$F$99</definedName>
    <definedName name="CapGGSNJ20_PDP_DOC">'[21]Master Assumptions'!$B$97:$B$99</definedName>
    <definedName name="CapGGSNJ20_PDP_DOC_P1">'[21]Master Assumptions'!$B$97</definedName>
    <definedName name="CapGGSNJ20_PDP_DOC_P2">'[21]Master Assumptions'!$B$98</definedName>
    <definedName name="CapGGSNJ20_PDP_DOC_P3">'[21]Master Assumptions'!$B$99</definedName>
    <definedName name="CapHLR_Subs_CANDI_33">'[21]Master Assumptions'!$B$117</definedName>
    <definedName name="CapHLR_Subs_CANDI_40">'[21]Master Assumptions'!$B$120</definedName>
    <definedName name="CapHLR_Subs_CANDI_43">'[21]Master Assumptions'!$B$122</definedName>
    <definedName name="CapMGW_Erlang_DOC">'[21]Master Assumptions'!$D$74:$D$80</definedName>
    <definedName name="CapMGW_Erlang_DOC_H3">'[21]Master Assumptions'!$D$78</definedName>
    <definedName name="CapMGW_Erlang_DOC_H5">'[21]Master Assumptions'!$D$79</definedName>
    <definedName name="CapMGW_Erlang_DOC_H7">'[21]Master Assumptions'!$D$80</definedName>
    <definedName name="CapMGW_Erlang_DOC_L1">'[21]Master Assumptions'!$D$74</definedName>
    <definedName name="CapMGW_Erlang_DOC_L3">'[21]Master Assumptions'!$D$75</definedName>
    <definedName name="CapMGW_Erlang_DOC_L5">'[21]Master Assumptions'!$D$76</definedName>
    <definedName name="CapMGW_Erlang_DOC_L7">'[21]Master Assumptions'!$D$77</definedName>
    <definedName name="CapMSC_Erlang_CANDI_33">'[21]Master Assumptions'!$D$105</definedName>
    <definedName name="CapMSC_Erlang_CANDI_40">'[21]Master Assumptions'!$D$110</definedName>
    <definedName name="CapMSC_Erlang_CANDI_43">'[21]Master Assumptions'!$D$112</definedName>
    <definedName name="CapMSC_Subs_CANDI_33">'[21]Master Assumptions'!$B$105</definedName>
    <definedName name="CapMSC_Subs_CANDI_40">'[21]Master Assumptions'!$B$110</definedName>
    <definedName name="CapMSC_Subs_CANDI_43">'[21]Master Assumptions'!$B$112</definedName>
    <definedName name="CapSGSN_bps_DOC_W4">'[21]Master Assumptions'!$F$85</definedName>
    <definedName name="CapSGSN_bps_DOC_W5">'[21]Master Assumptions'!$F$86</definedName>
    <definedName name="CapSGSN_PDP_DOC">'[21]Master Assumptions'!$B$85:$B$86</definedName>
    <definedName name="CapSGSN_PDP_DOC_W4">'[21]Master Assumptions'!$B$85</definedName>
    <definedName name="CapSGSN_PDP_DOC_W5">'[21]Master Assumptions'!$B$86</definedName>
    <definedName name="CapSGSN_SAU_DOC_W4">'[21]Master Assumptions'!$C$85</definedName>
    <definedName name="CapSGSN_SAU_DOC_W5">'[21]Master Assumptions'!$C$86</definedName>
    <definedName name="Cluster_CBD1">'[22]Path List - 300 Macro+28 Inbuil'!$A$2:$IV$42</definedName>
    <definedName name="Cluster_CBD2">'[22]Path List - 300 Macro+28 Inbuil'!$A$43:$IV$95</definedName>
    <definedName name="Cluster_CBD3">'[22]Path List - 300 Macro+28 Inbuil'!$A$96:$IV$108</definedName>
    <definedName name="Cluster_CBD4">'[22]Path List - 300 Macro+28 Inbuil'!$A$109:$IV$145</definedName>
    <definedName name="Cluster_DU1">'[22]Path List - 300 Macro+28 Inbuil'!$A$146:$IV$182</definedName>
    <definedName name="Cluster_DU2">'[22]Path List - 300 Macro+28 Inbuil'!$A$183:$IV$220</definedName>
    <definedName name="Cluster_DU3">'[22]Path List - 300 Macro+28 Inbuil'!$A$221:$IV$247</definedName>
    <definedName name="Cluster_DU4">'[22]Path List - 300 Macro+28 Inbuil'!$A$248:$IV$261</definedName>
    <definedName name="Cluster_DU5a">'[22]Path List - 300 Macro+28 Inbuil'!$A$262:$IV$277</definedName>
    <definedName name="Cluster_DU5b">'[22]Path List - 300 Macro+28 Inbuil'!$A$278:$IV$302</definedName>
    <definedName name="Cluster_DU6">'[22]Path List - 300 Macro+28 Inbuil'!$A$303:$IV$327</definedName>
    <definedName name="Cluster_DU7a">'[22]Path List - 300 Macro+28 Inbuil'!$A$328:$IV$364</definedName>
    <definedName name="Cluster_DU7b">'[22]Path List - 300 Macro+28 Inbuil'!$A$365:$IV$384</definedName>
    <definedName name="Cluster_SUB7">'[22]Path List - 300 Macro+28 Inbuil'!$A$385:$IV$387</definedName>
    <definedName name="Cluster_SUB8">'[22]Path List - 300 Macro+28 Inbuil'!$A$388:$IV$396</definedName>
    <definedName name="Cluster_SUB9">'[22]Path List - 300 Macro+28 Inbuil'!$A$414:$IV$417</definedName>
    <definedName name="Cluster_URB1">'[22]Path List - 300 Macro+28 Inbuil'!$A$418:$IV$423</definedName>
    <definedName name="Cluster_URB10">'[22]Path List - 300 Macro+28 Inbuil'!$A$424:$IV$438</definedName>
    <definedName name="Cluster_URB11a">'[22]Path List - 300 Macro+28 Inbuil'!$A$439:$IV$452</definedName>
    <definedName name="Cluster_URB11b">'[22]Path List - 300 Macro+28 Inbuil'!$A$453:$IV$469</definedName>
    <definedName name="Cluster_URB12">'[22]Path List - 300 Macro+28 Inbuil'!$A$470:$IV$470</definedName>
    <definedName name="Cluster_URB3">'[22]Path List - 300 Macro+28 Inbuil'!$A$471:$IV$471</definedName>
    <definedName name="Cluster_URB5">'[22]Path List - 300 Macro+28 Inbuil'!$A$472:$IV$473</definedName>
    <definedName name="Cluster_URB8">'[22]Path List - 300 Macro+28 Inbuil'!$A$474:$IV$479</definedName>
    <definedName name="Cluster_URB9a">'[22]Path List - 300 Macro+28 Inbuil'!$A$480:$IV$499</definedName>
    <definedName name="Cluster_URB9b">'[22]Path List - 300 Macro+28 Inbuil'!$A$397:$IV$413</definedName>
    <definedName name="COMR">[4]install!$K$4</definedName>
    <definedName name="Configuration_reviewmanhours">[8]Constants!$B$59</definedName>
    <definedName name="conv4">[21]Input!$F$10</definedName>
    <definedName name="conv5">[21]Input!$F$11</definedName>
    <definedName name="Country">[13]Data!$B$2:$B$204</definedName>
    <definedName name="CountryIdentification">[7]Data!$M$4:$M$33</definedName>
    <definedName name="CS_D_1">[21]Input!$B$14</definedName>
    <definedName name="CS_D_2">[21]Input!$C$14</definedName>
    <definedName name="CS_D_3">[21]Input!$D$14</definedName>
    <definedName name="CSTrafficCentral_Erlang">[21]Calculation!$B$60:$K$60</definedName>
    <definedName name="CSTrafficNorth_Erlang">[21]Calculation!$B$51:$K$51</definedName>
    <definedName name="CSTrafficSouth_Erlang">[21]Calculation!$B$69:$K$69</definedName>
    <definedName name="CSTrafficTotal_Erlang">[21]Calculation!$B$39:$K$39</definedName>
    <definedName name="Cum.Interest">#N/A</definedName>
    <definedName name="curab">[20]Parameters!$H$88:$H$92</definedName>
    <definedName name="curall">[20]Parameters!$C$88:$I$92</definedName>
    <definedName name="curno">[20]Parameters!$C$88:$C$92</definedName>
    <definedName name="currency">'[23]Curr, Site Names, Flex conf'!$C$5</definedName>
    <definedName name="D_CBD1">'[24]Paths 233 &amp; 28 IBC from NTS'!$A$3:$IV$44</definedName>
    <definedName name="D_CBD2">'[24]Paths 233 &amp; 28 IBC from NTS'!$A$45:$IV$97</definedName>
    <definedName name="D_CBD3">'[24]Paths 233 &amp; 28 IBC from NTS'!$A$98:$IV$110</definedName>
    <definedName name="D_CBD4">'[24]Paths 233 &amp; 28 IBC from NTS'!$A$111:$IV$147</definedName>
    <definedName name="D_DU1">'[24]Paths 233 &amp; 28 IBC from NTS'!$A$148:$IV$184</definedName>
    <definedName name="D_DU2">'[24]Paths 233 &amp; 28 IBC from NTS'!$A$185:$IV$222</definedName>
    <definedName name="D_DU3">'[24]Paths 233 &amp; 28 IBC from NTS'!$A$223:$IV$248</definedName>
    <definedName name="D_DU4">'[24]Paths 233 &amp; 28 IBC from NTS'!$A$249:$IV$262</definedName>
    <definedName name="D_DU5a">'[24]Paths 233 &amp; 28 IBC from NTS'!$A$263:$IV$278</definedName>
    <definedName name="D_DU5b">'[24]Paths 233 &amp; 28 IBC from NTS'!$A$279:$IV$303</definedName>
    <definedName name="D_DU6">'[24]Paths 233 &amp; 28 IBC from NTS'!$A$304:$IV$329</definedName>
    <definedName name="D_DU7a">'[24]Paths 233 &amp; 28 IBC from NTS'!$A$330:$IV$366</definedName>
    <definedName name="D_DU7b">'[24]Paths 233 &amp; 28 IBC from NTS'!$A$367:$IV$386</definedName>
    <definedName name="D_SUB8">'[24]Paths 233 &amp; 28 IBC from NTS'!$A$387:$IV$390</definedName>
    <definedName name="D_URB1">'[24]Paths 233 &amp; 28 IBC from NTS'!$A$391:$IV$396</definedName>
    <definedName name="D_URB10">'[24]Paths 233 &amp; 28 IBC from NTS'!$A$397:$IV$412</definedName>
    <definedName name="D_URB11b">'[24]Paths 233 &amp; 28 IBC from NTS'!$A$413:$IV$415</definedName>
    <definedName name="D_URB12">'[24]Paths 233 &amp; 28 IBC from NTS'!$A$416:$IV$416</definedName>
    <definedName name="D_URB3">'[24]Paths 233 &amp; 28 IBC from NTS'!$A$417:$IV$417</definedName>
    <definedName name="D_URB5">'[24]Paths 233 &amp; 28 IBC from NTS'!$A$418:$IV$419</definedName>
    <definedName name="D_URB8">'[24]Paths 233 &amp; 28 IBC from NTS'!$A$420:$IV$424</definedName>
    <definedName name="D_URB9a">'[24]Paths 233 &amp; 28 IBC from NTS'!$A$425:$IV$429</definedName>
    <definedName name="D_URB9b">'[24]Paths 233 &amp; 28 IBC from NTS'!$A$430:$IV$430</definedName>
    <definedName name="DA">[13]Data!$C$2:$C$204</definedName>
    <definedName name="DA_HOTEL">[13]Data!$B$2:$D$204</definedName>
    <definedName name="das">'[25]SPRS breakdown pricing'!$G$9</definedName>
    <definedName name="Data_1">'[26]Pricelist 2004c'!$B$170:$N$1293</definedName>
    <definedName name="Data_Currency">[27]Inputs!$E$9</definedName>
    <definedName name="Data_Currency_sign">[27]Inputs!$F$9</definedName>
    <definedName name="data1">[28]Pontianak!$AP$7:$AP$28</definedName>
    <definedName name="data3">[28]Samarinda!$AP$7:$AP$31</definedName>
    <definedName name="data4">[28]Banjarmasin!$AP$7:$AP$16</definedName>
    <definedName name="data5">[28]Balikpapan!$AP$7:$AP$28</definedName>
    <definedName name="_xlnm.Database" localSheetId="5">#REF!</definedName>
    <definedName name="_xlnm.Database" localSheetId="4">#REF!</definedName>
    <definedName name="_xlnm.Database" localSheetId="3">#REF!</definedName>
    <definedName name="_xlnm.Database">#REF!</definedName>
    <definedName name="dateToday">[30]General!$B$3</definedName>
    <definedName name="day_1">[31]Allowance!$C$24</definedName>
    <definedName name="day_10">[32]Allowance!$C$32</definedName>
    <definedName name="day_2">[31]Allowance!$C$25</definedName>
    <definedName name="day_3">[31]Allowance!$C$26</definedName>
    <definedName name="day_4">[33]Allowance!$C$27</definedName>
    <definedName name="day_5">[31]Allowance!$C$28</definedName>
    <definedName name="day_9">[34]Allowance!$C$32</definedName>
    <definedName name="DaysRequired">'[35]Resource Costs'!$G$13</definedName>
    <definedName name="DISCOUNT">10%</definedName>
    <definedName name="DKKrate">450</definedName>
    <definedName name="DocPrepared">[4]General!$B$81</definedName>
    <definedName name="DocPrepTRM">[30]General!$B$36</definedName>
    <definedName name="DocRespApproved">[4]General!$B$82</definedName>
    <definedName name="DocRespTRM">[30]General!$B$37</definedName>
    <definedName name="Domestic_Airfare_AUD">[8]Constants!$B$28</definedName>
    <definedName name="Domestic_trips_per_month">[8]Constants!$B$26</definedName>
    <definedName name="Domestic_trips_per_month_Wave_1">[8]Constants!$B$26</definedName>
    <definedName name="Donor_A">[36]Batam!$D$6:$K$145</definedName>
    <definedName name="DU_02">'[3]Site List'!$A$97:$IV$121</definedName>
    <definedName name="DU_03">'[3]Site List'!$A$122:$IV$138</definedName>
    <definedName name="DU_04">'[3]Site List'!$A$139:$IV$159</definedName>
    <definedName name="DU_05b">'[3]Site List'!$A$160:$IV$176</definedName>
    <definedName name="DU_06">'[3]Site List'!$A$177:$IV$193</definedName>
    <definedName name="DU_07a">'[3]Site List'!$A$194:$IV$210</definedName>
    <definedName name="DU_07b">'[3]Site List'!$A$211:$IV$215</definedName>
    <definedName name="DU_3">'[3]Link List'!$A$157:$IV$172</definedName>
    <definedName name="edas">'[25]SPRS breakdown pricing'!$C$8</definedName>
    <definedName name="EDDY1">#N/A</definedName>
    <definedName name="EDDY2">#N/A</definedName>
    <definedName name="EndDate">'[35]Resource Costs'!$K$3</definedName>
    <definedName name="Ending.Balance">#N/A</definedName>
    <definedName name="Entered_payment">"$#REF!.$C$28"</definedName>
    <definedName name="erl">[37]Input!$B$7</definedName>
    <definedName name="Erl_Subs">[38]Input!$B$7</definedName>
    <definedName name="ethre">#N/A</definedName>
    <definedName name="EUR_to_USD">'[39]Exchange Rates'!$D$51</definedName>
    <definedName name="euro_rp">7400</definedName>
    <definedName name="ewrewr" localSheetId="5">#REF!</definedName>
    <definedName name="ewrewr" localSheetId="4">#REF!</definedName>
    <definedName name="ewrewr" localSheetId="3">#REF!</definedName>
    <definedName name="ewrewr">#REF!</definedName>
    <definedName name="Ex_rates">[4]Factors!$B$27:$D$39</definedName>
    <definedName name="factor1">[40]Implementation!$K$4</definedName>
    <definedName name="FACTORS">[4]Factors!$B$5:$D$15</definedName>
    <definedName name="FBTCutOffDays">[7]Data!$B$8</definedName>
    <definedName name="FBTPercentageRate">[7]Data!$D$5</definedName>
    <definedName name="firecodes">[41]FireCodes!$C$2:$D$19</definedName>
    <definedName name="First_payment_due">"$#REF!.$C$26"</definedName>
    <definedName name="First_payment_dueStage2">'[14]Bank Loan _Stage 2_'!$C$26</definedName>
    <definedName name="First_payment_dueStage3">'[14]Bank Loan _stage 3_'!$C$27</definedName>
    <definedName name="First_payment_no">"$#REF!.$C$32"</definedName>
    <definedName name="fiscal">[11]Parameter!$C$26</definedName>
    <definedName name="fly_sweden">[42]Assumpt_Cons!$B$29</definedName>
    <definedName name="FM10ev">[5]Input!$BA$107</definedName>
    <definedName name="FM10sv">'[43]SP Input'!$BA$31</definedName>
    <definedName name="FM11ev">[5]Input!$BF$107</definedName>
    <definedName name="FM11sv">'[43]SP Input'!$BF$31</definedName>
    <definedName name="FM12ev">[5]Input!$BK$107</definedName>
    <definedName name="FM12sv">'[43]SP Input'!$BK$31</definedName>
    <definedName name="FM13ev">[5]Input!$BP$107</definedName>
    <definedName name="FM13sv">'[43]SP Input'!$BP$31</definedName>
    <definedName name="FM14ev">[5]Input!$BU$107</definedName>
    <definedName name="FM14sv">'[43]SP Input'!$BU$31</definedName>
    <definedName name="FM15ev">[5]Input!$BZ$107</definedName>
    <definedName name="FM15sv">'[43]SP Input'!$BZ$31</definedName>
    <definedName name="FM16ev">[5]Input!$CE$107</definedName>
    <definedName name="FM16sv">'[43]SP Input'!$CE$31</definedName>
    <definedName name="FM17ev">[5]Input!$CJ$107</definedName>
    <definedName name="FM17sv">'[43]SP Input'!$CJ$31</definedName>
    <definedName name="FM18ev">[5]Input!$CO$107</definedName>
    <definedName name="FM18sv">'[43]SP Input'!$CO$31</definedName>
    <definedName name="FM19ev">[5]Input!$CT$107</definedName>
    <definedName name="FM19sv">'[43]SP Input'!$CT$31</definedName>
    <definedName name="FM1ev">[5]Input!$H$107</definedName>
    <definedName name="FM1sv">'[43]SP Input'!$H$31</definedName>
    <definedName name="FM20ev">[5]Input!$CY$107</definedName>
    <definedName name="FM20sv">'[43]SP Input'!$CY$31</definedName>
    <definedName name="FM2ev">[5]Input!$M$107</definedName>
    <definedName name="FM2sv">'[43]SP Input'!$M$31</definedName>
    <definedName name="FM3ev">[5]Input!$R$107</definedName>
    <definedName name="FM3sv">'[43]SP Input'!$R$31</definedName>
    <definedName name="FM4ev">[5]Input!$W$107</definedName>
    <definedName name="FM4sv">'[43]SP Input'!$W$31</definedName>
    <definedName name="FM5ev">[5]Input!$AB$107</definedName>
    <definedName name="FM5sv">'[43]SP Input'!$AB$31</definedName>
    <definedName name="FM6ev">[5]Input!$AG$107</definedName>
    <definedName name="FM6sv">'[43]SP Input'!$AG$31</definedName>
    <definedName name="FM7ev">[5]Input!$AL$107</definedName>
    <definedName name="FM7sv">'[43]SP Input'!$AL$31</definedName>
    <definedName name="FM8ev">[5]Input!$AQ$107</definedName>
    <definedName name="FM8sv">'[43]SP Input'!$AQ$31</definedName>
    <definedName name="FM9ev">[5]Input!$AV$107</definedName>
    <definedName name="FM9sv">'[43]SP Input'!$AV$31</definedName>
    <definedName name="FMI10hrs">[43]Input!$BA$155</definedName>
    <definedName name="FMI11hrs">[43]Input!$BF$155</definedName>
    <definedName name="FMI12hrs">[43]Input!$BK$155</definedName>
    <definedName name="FMI13hrs">[43]Input!$BP$155</definedName>
    <definedName name="FMI14hrs">[43]Input!$BU$155</definedName>
    <definedName name="FMI15hrs">[43]Input!$BZ$166</definedName>
    <definedName name="FMI16hrs">[43]Input!$CE$166</definedName>
    <definedName name="FMI17hrs">[43]Input!$CJ$166</definedName>
    <definedName name="FMI18hrs">[43]Input!$CO$166</definedName>
    <definedName name="FMI19hrs">[43]Input!$CT$166</definedName>
    <definedName name="FMI1hrs">[43]Input!$H$155</definedName>
    <definedName name="FMI20hrs">[43]Input!$CY$166</definedName>
    <definedName name="FMI2hrs">[43]Input!$M$155</definedName>
    <definedName name="FMI3hrs">[43]Input!$R$166</definedName>
    <definedName name="FMI4hrs">[43]Input!$W$166</definedName>
    <definedName name="FMI5hrs">[43]Input!$AB$166</definedName>
    <definedName name="FMI6hrs">[43]Input!$AG$166</definedName>
    <definedName name="FMI7hrs">[43]Input!$AL$166</definedName>
    <definedName name="FMI8hrs">[43]Input!$AQ$166</definedName>
    <definedName name="FMI9hrs">[43]Input!$AV$155</definedName>
    <definedName name="FOI10hrs">[5]Input!$BA$88</definedName>
    <definedName name="FOI11hrs">[5]Input!$BF$88</definedName>
    <definedName name="FOI12hrs">[5]Input!$BK$88</definedName>
    <definedName name="FOI13hrs">[5]Input!$BP$88</definedName>
    <definedName name="FOI14hrs">[5]Input!$BU$88</definedName>
    <definedName name="FOI15hrs">[5]Input!$BZ$88</definedName>
    <definedName name="FOI16hrs">[5]Input!$CE$88</definedName>
    <definedName name="FOI17hrs">[5]Input!$CJ$88</definedName>
    <definedName name="FOI18hrs">[5]Input!$CO$88</definedName>
    <definedName name="FOI19hrs">[5]Input!$CT$88</definedName>
    <definedName name="FOI1hrs">[5]Input!$H$88</definedName>
    <definedName name="FOI20hrs">[5]Input!$CY$88</definedName>
    <definedName name="FOI2hrs">[5]Input!$M$88</definedName>
    <definedName name="FOI3hrs">[5]Input!$R$88</definedName>
    <definedName name="FOI4hrs">[5]Input!$W$88</definedName>
    <definedName name="FOI5hrs">[5]Input!$AB$88</definedName>
    <definedName name="FOI6hrs">[5]Input!$AG$88</definedName>
    <definedName name="FOI7hrs">[5]Input!$AL$88</definedName>
    <definedName name="FOI8hrs">[5]Input!$AQ$88</definedName>
    <definedName name="FOI9hrs">[5]Input!$AV$88</definedName>
    <definedName name="FOS10hrs">'[5]SP Input'!$BA$30</definedName>
    <definedName name="FOS11hrs">'[5]SP Input'!$BF$30</definedName>
    <definedName name="FOS12hrs">'[5]SP Input'!$BK$30</definedName>
    <definedName name="FOS13hrs">'[5]SP Input'!$BP$30</definedName>
    <definedName name="FOS14hrs">'[5]SP Input'!$BU$30</definedName>
    <definedName name="FOS15hrs">'[5]SP Input'!$BZ$30</definedName>
    <definedName name="FOS16hrs">'[5]SP Input'!$CE$30</definedName>
    <definedName name="FOS17hrs">'[5]SP Input'!$CJ$30</definedName>
    <definedName name="FOS18hrs">'[5]SP Input'!$CO$30</definedName>
    <definedName name="FOS19hrs">'[5]SP Input'!$CT$30</definedName>
    <definedName name="FOS1hrs">'[5]SP Input'!$H$30</definedName>
    <definedName name="FOS20hrs">'[5]SP Input'!$CY$30</definedName>
    <definedName name="FOS2hrs">'[5]SP Input'!$M$30</definedName>
    <definedName name="FOS3hrs">'[5]SP Input'!$R$30</definedName>
    <definedName name="FOS4hrs">'[5]SP Input'!$W$30</definedName>
    <definedName name="FOS5hrs">'[5]SP Input'!$AB$30</definedName>
    <definedName name="FOS6hrs">'[5]SP Input'!$AG$30</definedName>
    <definedName name="FOS7hrs">'[5]SP Input'!$AL$30</definedName>
    <definedName name="FOS8hrs">'[5]SP Input'!$AQ$30</definedName>
    <definedName name="FOS9hrs">'[5]SP Input'!$AV$30</definedName>
    <definedName name="gjngfnj">#N/A</definedName>
    <definedName name="Global_consultantrate">[8]Constants!$B$20</definedName>
    <definedName name="GSM">[44]Interface!$C$391</definedName>
    <definedName name="gsnwrr">'[45]SPRS breakdown pricing'!$X$3</definedName>
    <definedName name="HARI1">#N/A</definedName>
    <definedName name="HARI2">#N/A</definedName>
    <definedName name="hotel_data">[13]Data!$D$2:$D$204</definedName>
    <definedName name="Hotel_Grand_Mahakam">'[46]Hotel Rates'!$H$662</definedName>
    <definedName name="hourlyrate">'[47]MVV Costs - Overview'!$F$21</definedName>
    <definedName name="Hours_per_requirement">[8]Constants!$B$37</definedName>
    <definedName name="Hours_per_week_for_ND">[8]Constants!$B$33</definedName>
    <definedName name="Hours_perdesignreview1">[8]Constants!$B$56</definedName>
    <definedName name="Hours_perdesignreview2">[8]Constants!$B$57</definedName>
    <definedName name="Hours_permonth">[48]Constants!$B$2</definedName>
    <definedName name="Hours_permonth_ND">[8]Constants!$B$34</definedName>
    <definedName name="Hours_permonth_ND1">[49]Constants!$B$24</definedName>
    <definedName name="Hours_perpostdtreview">[8]Constants!$B$58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[4]para!$G$16</definedName>
    <definedName name="IDR_to_USD">[46]USD!$D$72</definedName>
    <definedName name="IMA_tpdisc_3rdpartysw">'[50]Discount Tables'!$D$72</definedName>
    <definedName name="IMA_tpdisc_sw">'[50]Discount Tables'!$D$70</definedName>
    <definedName name="IMA_userdisc_3rdpartysw">'[50]Discount Tables'!$C$72</definedName>
    <definedName name="IMA_userdisc_sw">'[50]Discount Tables'!$C$70</definedName>
    <definedName name="Inflation_India">[51]Summary!$K$2</definedName>
    <definedName name="Inflation_World">[51]Summary!$L$2</definedName>
    <definedName name="INP_FNR">[21]Interface!$C$45</definedName>
    <definedName name="inp_msc">[44]Interface!$C$74</definedName>
    <definedName name="INP_PRA">[21]Interface!$C$77</definedName>
    <definedName name="INP_TRA">[21]Interface!$C$96</definedName>
    <definedName name="INR2USD">[51]Summary!$J$4</definedName>
    <definedName name="Int_Airfare_between_Aus_NZ_AUD">[8]Constants!$B$29</definedName>
    <definedName name="Interest">#N/A</definedName>
    <definedName name="ISP2R">[4]install!$K$6</definedName>
    <definedName name="ISP3R">[4]install!$K$7</definedName>
    <definedName name="jk" localSheetId="5">#REF!</definedName>
    <definedName name="jk" localSheetId="4">#REF!</definedName>
    <definedName name="jk" localSheetId="3">#REF!</definedName>
    <definedName name="jk">#REF!</definedName>
    <definedName name="jndf">#N/A</definedName>
    <definedName name="K_euro2usd">'[52]Simple Coff.'!$C$5</definedName>
    <definedName name="LaundryFrequencyValue">[7]Data!$D$20</definedName>
    <definedName name="Location">'[35]Resource Costs'!$E$2</definedName>
    <definedName name="lookuparray">[53]!lookup_area</definedName>
    <definedName name="m10m5v2">'[54]3 - M &amp; T-Series Products'!$A$81</definedName>
    <definedName name="Manhour_rate_AUD_ND">[8]Constants!$B$10</definedName>
    <definedName name="margin1">1.22</definedName>
    <definedName name="margin2">1.28</definedName>
    <definedName name="margin3">1.18</definedName>
    <definedName name="markup">'[55]SS 3 Yrs Scheme '!$G$41</definedName>
    <definedName name="mErlVolumePerSubs_CSD">[21]Calculation!$B$13:$K$13</definedName>
    <definedName name="mErlVolumePerSubs_CSS">[21]Calculation!$B$12:$K$12</definedName>
    <definedName name="mgw_price">[56]Reference!$C$22</definedName>
    <definedName name="Micro">[57]Micro!$F$24</definedName>
    <definedName name="MiscCosts">'[35]Resource Costs'!$N$5</definedName>
    <definedName name="ML_Price2004c">'[58]Pricelist 2004c'!$C$2:$F$835</definedName>
    <definedName name="MNR6_155_3">[4]MNR6!$A$3</definedName>
    <definedName name="MNR8_10G_2">'[17]Discount Tables'!$C$14</definedName>
    <definedName name="MNR8_10G_2R">'[17]Discount Tables'!$C$16</definedName>
    <definedName name="MNR8_2500_2">'[17]Discount Tables'!$C$12</definedName>
    <definedName name="MNR8_416_2">'[17]Discount Tables'!$C$10</definedName>
    <definedName name="MNR8_SDXC">'[17]Discount Tables'!$C$18</definedName>
    <definedName name="MNR8_TP_NEMHW">'[17]Discount Tables'!$D$77</definedName>
    <definedName name="MNR8_User_NEMHW">'[17]Discount Tables'!$C$77</definedName>
    <definedName name="MNR8tp_10G">'[17]Discount Tables'!$D$14</definedName>
    <definedName name="MNR8tp_10G_2R">'[17]Discount Tables'!$D$16</definedName>
    <definedName name="MNR8tp_155_3">'[17]Discount Tables'!$D$6</definedName>
    <definedName name="MNR8tp_2500_2">'[17]Discount Tables'!$D$12</definedName>
    <definedName name="MNR8tp_416_2">'[17]Discount Tables'!$D$10</definedName>
    <definedName name="MNR8tp_620_2">'[17]Discount Tables'!$D$8</definedName>
    <definedName name="MNR8tp_SDXC">'[17]Discount Tables'!$D$18</definedName>
    <definedName name="MNR8user_155_3">'[17]Discount Tables'!$C$6</definedName>
    <definedName name="MNR8user_620_2">'[17]Discount Tables'!$C$8</definedName>
    <definedName name="ModelType1">[59]Customize!$H$10</definedName>
    <definedName name="ModelType2">[59]Customize!$H$11</definedName>
    <definedName name="ModelType3">[59]Customize!$H$12</definedName>
    <definedName name="ModelType4">[59]Customize!$H$13</definedName>
    <definedName name="ModelType5">[59]Customize!$H$14</definedName>
    <definedName name="ModelType6">[59]Customize!$H$15</definedName>
    <definedName name="ModelType7">[59]Customize!$H$16</definedName>
    <definedName name="ModelType8">[59]Customize!$H$17</definedName>
    <definedName name="mpl">'[60]Master Price List'!$A$8:$M$87</definedName>
    <definedName name="MSC_Models">'[61]MSC Product Characteristics'!$C$118:$H$127</definedName>
    <definedName name="NB11hrs">[43]Input!$BF$156</definedName>
    <definedName name="NB12hrs">[43]Input!$BK$156</definedName>
    <definedName name="NB13hrs">[43]Input!$BP$156</definedName>
    <definedName name="NB14hrs">[43]Input!$BU$156</definedName>
    <definedName name="NB15hrs">[43]Input!$BZ$156</definedName>
    <definedName name="NB16hrs">[43]Input!$CE$156</definedName>
    <definedName name="NB17hrs">[43]Input!$CJ$156</definedName>
    <definedName name="NB18hrs">[43]Input!$CO$156</definedName>
    <definedName name="NB19hrs">[43]Input!$CT$156</definedName>
    <definedName name="NB1hrs">[43]Input!$H$156</definedName>
    <definedName name="NB20hrs">[43]Input!$CY$156</definedName>
    <definedName name="NB2hrs">[43]Input!$M$156</definedName>
    <definedName name="NB3hrs">[43]Input!$R$156</definedName>
    <definedName name="NB4hrs">[43]Input!$W$156</definedName>
    <definedName name="NB5hrs">[43]Input!$AB$156</definedName>
    <definedName name="NB6hrs">[43]Input!$AG$156</definedName>
    <definedName name="NB7hrs">[43]Input!$AL$156</definedName>
    <definedName name="NB8hrs">[43]Input!$AQ$156</definedName>
    <definedName name="NB9hrs">[43]Input!$AV$156</definedName>
    <definedName name="NEM_Packages">'[17]Discount Tables'!$C$74</definedName>
    <definedName name="NEM_tp_SoftUpg">'[17]Discount Tables'!$D$81</definedName>
    <definedName name="NEM_tpdisc_apps">'[17]Discount Tables'!$D$79</definedName>
    <definedName name="NEM_tpdisc_licenses">'[17]Discount Tables'!$D$80</definedName>
    <definedName name="NEM_tpdisc_manuals">'[17]Discount Tables'!$D$72</definedName>
    <definedName name="NEM_tpdisc_sw">'[17]Discount Tables'!$D$78</definedName>
    <definedName name="NEM_user_SoftUpg">'[17]Discount Tables'!$C$81</definedName>
    <definedName name="NEM_userdisc_apps">'[17]Discount Tables'!$C$79</definedName>
    <definedName name="NEM_userdisc_licenses">'[17]Discount Tables'!$C$80</definedName>
    <definedName name="NEM_userdisc_manuals">'[17]Discount Tables'!$C$72</definedName>
    <definedName name="NEM_userdisc_sw">'[17]Discount Tables'!$C$78</definedName>
    <definedName name="NEMpackTP">'[17]Discount Tables'!$D$74</definedName>
    <definedName name="Networkoperator">[62]Factors!$B$5</definedName>
    <definedName name="No_CCLLC_Y_Y">'[63]Calc. Overview'!$L$179</definedName>
    <definedName name="ntd">[64]Summary!$J$3</definedName>
    <definedName name="Number_of_days_per_trip">[8]Constants!$B$27</definedName>
    <definedName name="Number_of_requirements">[8]Constants!$B$39</definedName>
    <definedName name="NumberOfResources">'[35]Resource Costs'!$G$5</definedName>
    <definedName name="NumberOfTaxiFaresPerDayHotelToWork">[7]Data!$C$19</definedName>
    <definedName name="NumberOfTaxiFaresPerResourceAirportToHotel">[7]Data!$C$17</definedName>
    <definedName name="NumberOfTaxiFaresPerResourceHomeToAirport">[7]Data!$C$16</definedName>
    <definedName name="NumberOfTrips">'[35]Resource Costs'!$I$7</definedName>
    <definedName name="NumSubsCentral">'[21]Master Assumptions'!$B$22:$K$22</definedName>
    <definedName name="NumSubsNorth">'[21]Master Assumptions'!$B$21:$K$21</definedName>
    <definedName name="NumSubsSouth">'[21]Master Assumptions'!$B$23:$K$23</definedName>
    <definedName name="NumSubsTotal">'[21]Master Assumptions'!$B$19:$K$19</definedName>
    <definedName name="OHEAD">[4]Factors!$B$23</definedName>
    <definedName name="os_accom">[42]Assumpt_Cons!$B$30</definedName>
    <definedName name="OSP1R">[4]install!$K$8</definedName>
    <definedName name="OSP2R">[4]install!$K$9</definedName>
    <definedName name="other">'[4]Currency &amp; Site Names'!$C$6</definedName>
    <definedName name="Payments_per_year">"$#REF!.$C$25"</definedName>
    <definedName name="Payments_per_yearStage2">'[14]Bank Loan _Stage 2_'!$C$25</definedName>
    <definedName name="Payments_per_yearStage3">'[14]Bank Loan _stage 3_'!$C$26</definedName>
    <definedName name="PeakFactor_PDP">'[21]Master Assumptions'!$B$177</definedName>
    <definedName name="Percentage_of_requirement_analysis">[8]Constants!$B$38</definedName>
    <definedName name="phase1">[20]Parameters!$H$9</definedName>
    <definedName name="phase2">[20]Parameters!$H$10</definedName>
    <definedName name="phase3">[20]Parameters!$H$11</definedName>
    <definedName name="phase4">[20]Parameters!$H$12</definedName>
    <definedName name="phase5">[20]Parameters!$H$13</definedName>
    <definedName name="PHUAWEIHW1" localSheetId="5">#REF!</definedName>
    <definedName name="PHUAWEIHW1" localSheetId="4">#REF!</definedName>
    <definedName name="PHUAWEIHW1" localSheetId="3">#REF!</definedName>
    <definedName name="PHUAWEIHW1">#REF!</definedName>
    <definedName name="PHUAWEISERVICE1" localSheetId="5">#REF!</definedName>
    <definedName name="PHUAWEISERVICE1" localSheetId="4">#REF!</definedName>
    <definedName name="PHUAWEISERVICE1" localSheetId="3">#REF!</definedName>
    <definedName name="PHUAWEISERVICE1">#REF!</definedName>
    <definedName name="PHUAWEISW1" localSheetId="5">#REF!</definedName>
    <definedName name="PHUAWEISW1" localSheetId="4">#REF!</definedName>
    <definedName name="PHUAWEISW1" localSheetId="3">#REF!</definedName>
    <definedName name="PHUAWEISW1">#REF!</definedName>
    <definedName name="PLOCALOUTSOURCING1" localSheetId="5">#REF!</definedName>
    <definedName name="PLOCALOUTSOURCING1" localSheetId="4">#REF!</definedName>
    <definedName name="PLOCALOUTSOURCING1" localSheetId="3">#REF!</definedName>
    <definedName name="PLOCALOUTSOURCING1">#REF!</definedName>
    <definedName name="PLOCALSERVICE1" localSheetId="5">#REF!</definedName>
    <definedName name="PLOCALSERVICE1" localSheetId="4">#REF!</definedName>
    <definedName name="PLOCALSERVICE1" localSheetId="3">#REF!</definedName>
    <definedName name="PLOCALSERVICE1">#REF!</definedName>
    <definedName name="PLSSERVICE1" localSheetId="5">#REF!</definedName>
    <definedName name="PLSSERVICE1" localSheetId="4">#REF!</definedName>
    <definedName name="PLSSERVICE1" localSheetId="3">#REF!</definedName>
    <definedName name="PLSSERVICE1">#REF!</definedName>
    <definedName name="PM">'[18]Contractual Terms(1)'!$B$55</definedName>
    <definedName name="Pmt_to_use">"$#REF!.$C$31"</definedName>
    <definedName name="Pmt_to_useStage2">'[14]Bank Loan _Stage 2_'!$C$31</definedName>
    <definedName name="Pmt_to_useStage3">'[14]Bank Loan _stage 3_'!$C$32</definedName>
    <definedName name="POUTSOURINGHW1" localSheetId="5">#REF!</definedName>
    <definedName name="POUTSOURINGHW1" localSheetId="4">#REF!</definedName>
    <definedName name="POUTSOURINGHW1" localSheetId="3">#REF!</definedName>
    <definedName name="POUTSOURINGHW1">#REF!</definedName>
    <definedName name="POUTSOURINGSW1" localSheetId="5">#REF!</definedName>
    <definedName name="POUTSOURINGSW1" localSheetId="4">#REF!</definedName>
    <definedName name="POUTSOURINGSW1" localSheetId="3">#REF!</definedName>
    <definedName name="POUTSOURINGSW1">#REF!</definedName>
    <definedName name="Prev11ev">[5]Input!$BF$116</definedName>
    <definedName name="Prev12ev">[5]Input!$BK$116</definedName>
    <definedName name="Prev13ev">[5]Input!$BP$116</definedName>
    <definedName name="Prev14ev">[5]Input!$BU$116</definedName>
    <definedName name="Prev15ev">[5]Input!$BZ$116</definedName>
    <definedName name="Prev16ev">[5]Input!$CE$116</definedName>
    <definedName name="Prev17ev">[5]Input!$CJ$116</definedName>
    <definedName name="Prev18ev">[5]Input!$CO$116</definedName>
    <definedName name="Prev19ev">[5]Input!$CT$116</definedName>
    <definedName name="Prev1ev">[5]Input!$H$116</definedName>
    <definedName name="Prev20ev">[5]Input!$CY$116</definedName>
    <definedName name="Prev2ev">[5]Input!$M$116</definedName>
    <definedName name="Prev3ev">[5]Input!$R$116</definedName>
    <definedName name="Prev4ev">[5]Input!$W$116</definedName>
    <definedName name="Prev5ev">[5]Input!$AB$116</definedName>
    <definedName name="Prev6ev">[5]Input!$AG$116</definedName>
    <definedName name="Prev7ev">[5]Input!$AL$116</definedName>
    <definedName name="Prev8ev">[5]Input!$AQ$116</definedName>
    <definedName name="Prev9ev">[5]Input!$AV$116</definedName>
    <definedName name="Principal">#N/A</definedName>
    <definedName name="_xlnm.Print_Area" localSheetId="5">#REF!</definedName>
    <definedName name="_xlnm.Print_Area" localSheetId="4">#REF!</definedName>
    <definedName name="_xlnm.Print_Area" localSheetId="1">'IRR Approved'!$A$1:$R$69</definedName>
    <definedName name="_xlnm.Print_Area" localSheetId="0">Summary!$B$2:$N$33</definedName>
    <definedName name="_xlnm.Print_Area" localSheetId="3">SummaryBR!$A$1:$E$20</definedName>
    <definedName name="_xlnm.Print_Area">#REF!</definedName>
    <definedName name="_xlnm.Print_Titles" localSheetId="5">#REF!</definedName>
    <definedName name="_xlnm.Print_Titles" localSheetId="4">#REF!</definedName>
    <definedName name="_xlnm.Print_Titles" localSheetId="3">#REF!</definedName>
    <definedName name="_xlnm.Print_Titles">#REF!</definedName>
    <definedName name="Project1">[65]General!$B$30</definedName>
    <definedName name="Project2">[10]General!$B$31</definedName>
    <definedName name="projname">[20]Parameters!$F$7</definedName>
    <definedName name="PropSubsCSS">'[21]Master Assumptions'!$B$30:$K$30</definedName>
    <definedName name="PSDSubsCentral">[21]Calculation!$B$63:$K$63</definedName>
    <definedName name="PSDSubsNorth">[21]Calculation!$B$54:$K$54</definedName>
    <definedName name="PSDSubsSouth">[21]Calculation!$B$72:$K$72</definedName>
    <definedName name="PSDSubsTotal">[21]Calculation!$B$45:$K$45</definedName>
    <definedName name="PSTrafficCentral_Kbps">[21]Calculation!$B$64:$K$64</definedName>
    <definedName name="PSTrafficNorth_Kbps">[21]Calculation!$B$55:$K$55</definedName>
    <definedName name="PSTrafficSouth_Kbps">[21]Calculation!$B$73:$K$73</definedName>
    <definedName name="PSTrafficTotal_Kbps">[21]Calculation!$B$46:$K$46</definedName>
    <definedName name="PVIRTUALTRADECATEGORY1" localSheetId="5">#REF!</definedName>
    <definedName name="PVIRTUALTRADECATEGORY1" localSheetId="4">#REF!</definedName>
    <definedName name="PVIRTUALTRADECATEGORY1" localSheetId="3">#REF!</definedName>
    <definedName name="PVIRTUALTRADECATEGORY1">#REF!</definedName>
    <definedName name="QF_SYS_CALC_DECIMAL">[66]Parameters!$D$23</definedName>
    <definedName name="QF_SYS_CURRENCY1" localSheetId="5">#REF!</definedName>
    <definedName name="QF_SYS_CURRENCY1" localSheetId="4">#REF!</definedName>
    <definedName name="QF_SYS_CURRENCY1" localSheetId="3">#REF!</definedName>
    <definedName name="QF_SYS_CURRENCY1">#REF!</definedName>
    <definedName name="QF_SYS_DESTINATION1" localSheetId="5">#REF!</definedName>
    <definedName name="QF_SYS_DESTINATION1" localSheetId="4">#REF!</definedName>
    <definedName name="QF_SYS_DESTINATION1" localSheetId="3">#REF!</definedName>
    <definedName name="QF_SYS_DESTINATION1">#REF!</definedName>
    <definedName name="QF_SYS_EXCHANGE1">[66]Parameters!$D$35</definedName>
    <definedName name="QF_SYS_LISTPRICECURRENCY" localSheetId="5">#REF!</definedName>
    <definedName name="QF_SYS_LISTPRICECURRENCY" localSheetId="4">#REF!</definedName>
    <definedName name="QF_SYS_LISTPRICECURRENCY" localSheetId="3">#REF!</definedName>
    <definedName name="QF_SYS_LISTPRICECURRENCY">#REF!</definedName>
    <definedName name="QF_SYS_TRADETERMDESC1" localSheetId="5">#REF!</definedName>
    <definedName name="QF_SYS_TRADETERMDESC1" localSheetId="4">#REF!</definedName>
    <definedName name="QF_SYS_TRADETERMDESC1" localSheetId="3">#REF!</definedName>
    <definedName name="QF_SYS_TRADETERMDESC1">#REF!</definedName>
    <definedName name="QuotationSaveAsName">[35]Data!$B$11</definedName>
    <definedName name="QuoteByEmailText">[35]Data!$D$11</definedName>
    <definedName name="QuotedBy">'[35]Work Requirement'!$E$10</definedName>
    <definedName name="QuoteType" localSheetId="5">#REF!</definedName>
    <definedName name="QuoteType" localSheetId="4">#REF!</definedName>
    <definedName name="QuoteType" localSheetId="3">#REF!</definedName>
    <definedName name="QuoteType">#REF!</definedName>
    <definedName name="rate1">'[4]Calc. Base'!$D$14</definedName>
    <definedName name="rate2">'[4]Calc. Base'!$D$15</definedName>
    <definedName name="Reqs_analysis">[8]Constants!$B$44</definedName>
    <definedName name="Reqs_assistance">[8]Constants!$B$45</definedName>
    <definedName name="Reqs_clarification">[8]Constants!$B$49</definedName>
    <definedName name="Reqs_maintenance">[8]Constants!$B$51</definedName>
    <definedName name="Reqs_plan">[8]Constants!$B$43</definedName>
    <definedName name="Reqs_qualitycheck">[8]Constants!$B$42</definedName>
    <definedName name="Reqs_review">[8]Constants!$B$48</definedName>
    <definedName name="Reqs_tracking">[8]Constants!$B$46</definedName>
    <definedName name="Reqs_verification">[8]Constants!$B$50</definedName>
    <definedName name="RequestDate">'[35]Work Requirement'!$E$5</definedName>
    <definedName name="RequestedBy">'[35]Work Requirement'!$E$7</definedName>
    <definedName name="RequestedByAddress">'[35]Work Requirement'!$E$8</definedName>
    <definedName name="resourceno">'[47]MVV Costs - Overview'!$F$6</definedName>
    <definedName name="ResourceQuantity">'[35]Resource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'[21]Master Assumptions'!$B$33:$K$33</definedName>
    <definedName name="SDHHub">'[3]SDH Hub Site List - All'!$A$2:$B$141</definedName>
    <definedName name="SEK_to_USD">[46]USD!$D$137</definedName>
    <definedName name="SEKCivil">1.075</definedName>
    <definedName name="SEKMat">1.064</definedName>
    <definedName name="Service_option_name">[27]Inputs!$E$5</definedName>
    <definedName name="ServiceName1">[67]Customize!$D$8</definedName>
    <definedName name="ServiceName10">[67]Customize!$D$17</definedName>
    <definedName name="ServiceName11">[67]Customize!$D$18</definedName>
    <definedName name="ServiceName12">[67]Customize!$D$19</definedName>
    <definedName name="ServiceName2">[67]Customize!$D$9</definedName>
    <definedName name="ServiceName3">[67]Customize!$D$10</definedName>
    <definedName name="ServiceName4">[67]Customize!$D$11</definedName>
    <definedName name="ServiceName5">[67]Customize!$D$12</definedName>
    <definedName name="ServiceName6">[67]Customize!$D$13</definedName>
    <definedName name="ServiceName7">[67]Customize!$D$14</definedName>
    <definedName name="ServiceName8">[67]Customize!$D$15</definedName>
    <definedName name="ServiceName9">[67]Customize!$D$16</definedName>
    <definedName name="Site_1">'[17]Curr, Site Names, Flex conf'!$C$14</definedName>
    <definedName name="Site_10">'[17]Curr, Site Names, Flex conf'!$C$23</definedName>
    <definedName name="Site_11">'[17]Curr, Site Names, Flex conf'!$C$24</definedName>
    <definedName name="Site_12">'[17]Curr, Site Names, Flex conf'!$C$25</definedName>
    <definedName name="Site_13">'[17]Curr, Site Names, Flex conf'!$C$26</definedName>
    <definedName name="Site_14">'[17]Curr, Site Names, Flex conf'!$C$27</definedName>
    <definedName name="Site_15">'[17]Curr, Site Names, Flex conf'!$C$28</definedName>
    <definedName name="Site_16">'[17]Curr, Site Names, Flex conf'!$C$29</definedName>
    <definedName name="Site_17">'[17]Curr, Site Names, Flex conf'!$C$30</definedName>
    <definedName name="Site_18">'[17]Curr, Site Names, Flex conf'!$C$31</definedName>
    <definedName name="Site_19">'[17]Curr, Site Names, Flex conf'!$C$32</definedName>
    <definedName name="Site_2">'[17]Curr, Site Names, Flex conf'!$C$15</definedName>
    <definedName name="Site_20">'[17]Curr, Site Names, Flex conf'!$C$33</definedName>
    <definedName name="Site_21">'[17]Curr, Site Names, Flex conf'!$C$34</definedName>
    <definedName name="Site_22">'[17]Curr, Site Names, Flex conf'!$C$35</definedName>
    <definedName name="Site_23">'[17]Curr, Site Names, Flex conf'!$C$36</definedName>
    <definedName name="Site_24">'[17]Curr, Site Names, Flex conf'!$C$37</definedName>
    <definedName name="Site_25">'[17]Curr, Site Names, Flex conf'!$C$38</definedName>
    <definedName name="Site_26">'[17]Curr, Site Names, Flex conf'!$C$39</definedName>
    <definedName name="Site_27">'[17]Curr, Site Names, Flex conf'!$C$40</definedName>
    <definedName name="Site_28">'[17]Curr, Site Names, Flex conf'!$C$41</definedName>
    <definedName name="Site_29">'[17]Curr, Site Names, Flex conf'!$C$42</definedName>
    <definedName name="Site_3">'[17]Curr, Site Names, Flex conf'!$C$16</definedName>
    <definedName name="Site_30">'[17]Curr, Site Names, Flex conf'!$C$43</definedName>
    <definedName name="Site_4">'[17]Curr, Site Names, Flex conf'!$C$17</definedName>
    <definedName name="Site_5">'[17]Curr, Site Names, Flex conf'!$C$18</definedName>
    <definedName name="Site_6">'[17]Curr, Site Names, Flex conf'!$C$19</definedName>
    <definedName name="Site_7">'[17]Curr, Site Names, Flex conf'!$C$20</definedName>
    <definedName name="Site_8">'[23]Curr, Site Names, Flex conf'!$C$21</definedName>
    <definedName name="Site_9">'[17]Curr, Site Names, Flex conf'!$C$22</definedName>
    <definedName name="SiteName1">[10]General!$B$13</definedName>
    <definedName name="SiteName2">[10]General!$B$14</definedName>
    <definedName name="siteNo">[10]General!$B$10</definedName>
    <definedName name="sla_upgrade">'[68]ISAT WCDMA'!$L$69</definedName>
    <definedName name="Speech_RNC1">[21]Input!$B$13</definedName>
    <definedName name="Speech_RNC2">[21]Input!$C$13</definedName>
    <definedName name="Speech_RNC3">[21]Input!$D$13</definedName>
    <definedName name="srdftgwe">#N/A</definedName>
    <definedName name="ss_mgw">[69]Reference!$B$9</definedName>
    <definedName name="ss_msc">[69]Reference!$B$6</definedName>
    <definedName name="sssss" localSheetId="5">#REF!</definedName>
    <definedName name="sssss" localSheetId="4">#REF!</definedName>
    <definedName name="sssss" localSheetId="3">#REF!</definedName>
    <definedName name="sssss">#REF!</definedName>
    <definedName name="StageName">[27]Inputs!$K$13:$K$16</definedName>
    <definedName name="StartDate">'[35]Resource Costs'!$G$3</definedName>
    <definedName name="States">[7]Data!$G$5:$G$11</definedName>
    <definedName name="SUB_09">'[3]Site List'!$A$218:$IV$218</definedName>
    <definedName name="SUN_RFP">'[21]Input and Dimensioning Output'!$C$54</definedName>
    <definedName name="System2">[10]General!$B$37</definedName>
    <definedName name="System3">[10]General!$B$38</definedName>
    <definedName name="System4">[10]General!$B$39</definedName>
    <definedName name="Table_beg_bal">"$#REF!.$G$31"</definedName>
    <definedName name="Table_prior_interest">"$#REF!.$G$32"</definedName>
    <definedName name="table3">'[70]erlang table'!$B$14:$G$21</definedName>
    <definedName name="table5">'[70]erlang table'!$B$26:$G$33</definedName>
    <definedName name="Term_in_years">"$#REF!.$C$24"</definedName>
    <definedName name="Term_in_yearsStage3">'[14]Bank Loan _stage 3_'!$C$25</definedName>
    <definedName name="Terms_in_yearsStage2">'[14]Bank Loan _Stage 2_'!$C$24</definedName>
    <definedName name="ticketcost">[12]Overview!$D$28</definedName>
    <definedName name="toolcost">'[47]MVV Costs - Overview'!$F$18</definedName>
    <definedName name="TotalAccomodationCosts">'[35]Resource Costs'!$N$9</definedName>
    <definedName name="totalAirfareCost">'[35]Resource Costs'!$N$7</definedName>
    <definedName name="TotalAllowanceCosts">'[35]Resource Costs'!$N$11</definedName>
    <definedName name="tp_msh2k_64c">'[17]Discount Tables'!$D$21</definedName>
    <definedName name="tpdisc_mech">'[17]Discount Tables'!$D$63</definedName>
    <definedName name="tpdisc_sma">'[17]Discount Tables'!$D$19</definedName>
    <definedName name="tpdisc_sma4">'[17]Discount Tables'!$D$20</definedName>
    <definedName name="tr_expenses">[71]Expenses!$B$8</definedName>
    <definedName name="train">[4]Factors!$D$16</definedName>
    <definedName name="Trainer_10days">[34]Trainer!$D$19</definedName>
    <definedName name="Trainer_1day">[34]Trainer!$D$10</definedName>
    <definedName name="Trainer_2days">[33]Trainer!$D$11</definedName>
    <definedName name="Trainer_3days">[33]Trainer!$D$12</definedName>
    <definedName name="Trainer_4days">[33]Trainer!$D$13</definedName>
    <definedName name="Trainer_5days">[34]Trainer!$D$14</definedName>
    <definedName name="Trainer_9days">[34]Trainer!$D$18</definedName>
    <definedName name="transport">[12]Overview!$H$28</definedName>
    <definedName name="traveltime">[12]Overview!$D$26</definedName>
    <definedName name="type2">'[72]Link Config KALTENG-KALSEL 2005'!$I$2:$I$47</definedName>
    <definedName name="type3">'[72]KALBAR 2005 BOQ'!$H$3:$H$54</definedName>
    <definedName name="UMTS">[44]Interface!$C$392</definedName>
    <definedName name="URB_010">'[3]Site List'!$A$225:$IV$230</definedName>
    <definedName name="URB_011a">'[3]Site List'!$A$231:$IV$232</definedName>
    <definedName name="URB_011b">'[3]Site List'!$A$233:$IV$235</definedName>
    <definedName name="URB_012">'[3]Site List'!$A$236:$IV$237</definedName>
    <definedName name="URB_05">'[3]Site List'!$A$238:$IV$238</definedName>
    <definedName name="URB_08">'[3]Site List'!$A$239:$IV$239</definedName>
    <definedName name="USD_DM">[73]LWLOPT!$AG$4</definedName>
    <definedName name="USD_RP">[73]LWLOPT!$AG$5</definedName>
    <definedName name="USD2Sek">[74]Parameters!$B$57</definedName>
    <definedName name="USDExchangeRate">[75]Data!$B$5</definedName>
    <definedName name="USDrate">2419</definedName>
    <definedName name="user_msh2k_64c">'[17]Discount Tables'!$C$21</definedName>
    <definedName name="userdisc_mech">'[17]Discount Tables'!$C$63</definedName>
    <definedName name="userdisc_sma">'[17]Discount Tables'!$C$19</definedName>
    <definedName name="userdisc_sma4">'[17]Discount Tables'!$C$20</definedName>
    <definedName name="ValueOfTaxiFaresPerResourceAirportToHotel">[7]Data!$D$17</definedName>
    <definedName name="ValueOfTaxiFaresPerResourceHomeToAirport">[7]Data!$D$16</definedName>
    <definedName name="VAT">1.1</definedName>
    <definedName name="vv">'[18]Contractual Terms(1)'!$B$55</definedName>
    <definedName name="w" localSheetId="5">#REF!</definedName>
    <definedName name="w" localSheetId="4">#REF!</definedName>
    <definedName name="w" localSheetId="3">#REF!</definedName>
    <definedName name="w">#REF!</definedName>
    <definedName name="YearHours">'[5]Financial Input'!$B$68</definedName>
    <definedName name="years_contract">[1]Kerlink!$D$5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15" l="1"/>
  <c r="D12" i="15" s="1"/>
  <c r="F12" i="15" s="1"/>
  <c r="B11" i="15"/>
  <c r="D11" i="15" s="1"/>
  <c r="F11" i="15" s="1"/>
  <c r="B10" i="15"/>
  <c r="D10" i="15" s="1"/>
  <c r="F10" i="15" s="1"/>
  <c r="D9" i="15"/>
  <c r="F9" i="15" s="1"/>
  <c r="F14" i="15" s="1"/>
  <c r="B9" i="15"/>
  <c r="M7" i="14"/>
  <c r="M10" i="14" s="1"/>
  <c r="L7" i="14"/>
  <c r="L10" i="14" s="1"/>
  <c r="K7" i="14"/>
  <c r="K10" i="14" s="1"/>
  <c r="J7" i="14"/>
  <c r="J10" i="14" s="1"/>
  <c r="I7" i="14"/>
  <c r="I10" i="14" s="1"/>
  <c r="H7" i="14"/>
  <c r="H10" i="14" s="1"/>
  <c r="G7" i="14"/>
  <c r="G10" i="14" s="1"/>
  <c r="F7" i="14"/>
  <c r="F10" i="14" s="1"/>
  <c r="E7" i="14"/>
  <c r="E10" i="14" s="1"/>
  <c r="D7" i="14"/>
  <c r="D10" i="14" s="1"/>
  <c r="C7" i="14"/>
  <c r="C10" i="14" s="1"/>
  <c r="B7" i="14"/>
  <c r="B10" i="14" s="1"/>
  <c r="M6" i="14"/>
  <c r="M9" i="14" s="1"/>
  <c r="K6" i="14"/>
  <c r="K9" i="14" s="1"/>
  <c r="J6" i="14"/>
  <c r="J9" i="14" s="1"/>
  <c r="I6" i="14"/>
  <c r="I9" i="14" s="1"/>
  <c r="H6" i="14"/>
  <c r="H9" i="14" s="1"/>
  <c r="G6" i="14"/>
  <c r="G9" i="14" s="1"/>
  <c r="F6" i="14"/>
  <c r="F9" i="14" s="1"/>
  <c r="E6" i="14"/>
  <c r="E9" i="14" s="1"/>
  <c r="D6" i="14"/>
  <c r="D9" i="14" s="1"/>
  <c r="C6" i="14"/>
  <c r="C9" i="14" s="1"/>
  <c r="B6" i="14"/>
  <c r="B9" i="14" s="1"/>
  <c r="L3" i="14"/>
  <c r="B3" i="14"/>
  <c r="E12" i="13"/>
  <c r="D12" i="13"/>
  <c r="C12" i="13"/>
  <c r="L40" i="1"/>
  <c r="L32" i="1"/>
  <c r="L31" i="1"/>
  <c r="H32" i="1"/>
  <c r="K24" i="5"/>
  <c r="I18" i="5"/>
  <c r="H31" i="1"/>
  <c r="J22" i="1"/>
  <c r="H8" i="8"/>
  <c r="L6" i="14" l="1"/>
  <c r="L9" i="14" s="1"/>
  <c r="I23" i="5" l="1"/>
  <c r="I22" i="5"/>
  <c r="I20" i="5"/>
  <c r="J23" i="1"/>
  <c r="K23" i="1" s="1"/>
  <c r="L23" i="1" s="1"/>
  <c r="I23" i="1"/>
  <c r="C1" i="1" l="1"/>
  <c r="K5" i="1"/>
  <c r="K4" i="1"/>
  <c r="K3" i="1"/>
  <c r="I22" i="1"/>
  <c r="K22" i="1" l="1"/>
  <c r="L22" i="1" s="1"/>
  <c r="R24" i="1" l="1"/>
  <c r="Q33" i="1" l="1"/>
  <c r="P33" i="1"/>
  <c r="O33" i="1"/>
  <c r="N33" i="1"/>
  <c r="M33" i="1"/>
  <c r="Q31" i="1"/>
  <c r="P31" i="1"/>
  <c r="O31" i="1"/>
  <c r="N31" i="1"/>
  <c r="M31" i="1"/>
  <c r="I31" i="1"/>
  <c r="J31" i="1" s="1"/>
  <c r="K31" i="1" s="1"/>
  <c r="O30" i="1"/>
  <c r="N30" i="1"/>
  <c r="M30" i="1"/>
  <c r="Q25" i="1"/>
  <c r="P25" i="1"/>
  <c r="O25" i="1"/>
  <c r="Q23" i="1"/>
  <c r="P23" i="1"/>
  <c r="O23" i="1"/>
  <c r="Q22" i="1"/>
  <c r="P22" i="1"/>
  <c r="O22" i="1"/>
  <c r="N25" i="1"/>
  <c r="N23" i="1"/>
  <c r="N22" i="1"/>
  <c r="M25" i="1"/>
  <c r="M23" i="1"/>
  <c r="M22" i="1"/>
  <c r="F14" i="1"/>
  <c r="K14" i="1"/>
  <c r="J14" i="1"/>
  <c r="I14" i="1"/>
  <c r="N32" i="1" l="1"/>
  <c r="O32" i="1"/>
  <c r="R67" i="1"/>
  <c r="R26" i="1" l="1"/>
  <c r="R25" i="1"/>
  <c r="B2" i="5"/>
  <c r="M8" i="8"/>
  <c r="R1" i="1"/>
  <c r="R22" i="1" l="1"/>
  <c r="R23" i="1"/>
  <c r="Q45" i="1"/>
  <c r="I45" i="1"/>
  <c r="J45" i="1"/>
  <c r="K45" i="1"/>
  <c r="L45" i="1"/>
  <c r="M45" i="1"/>
  <c r="N45" i="1"/>
  <c r="O45" i="1"/>
  <c r="P45" i="1"/>
  <c r="H45" i="1"/>
  <c r="R14" i="1"/>
  <c r="M12" i="8" s="1"/>
  <c r="R13" i="1"/>
  <c r="M11" i="8" s="1"/>
  <c r="M6" i="8" s="1"/>
  <c r="C50" i="5"/>
  <c r="D41" i="5"/>
  <c r="F23" i="5"/>
  <c r="H22" i="5"/>
  <c r="F22" i="5"/>
  <c r="G21" i="5"/>
  <c r="J21" i="5" s="1"/>
  <c r="F20" i="5"/>
  <c r="J20" i="5" s="1"/>
  <c r="F19" i="5"/>
  <c r="J19" i="5" s="1"/>
  <c r="R27" i="1" l="1"/>
  <c r="O6" i="8" l="1"/>
  <c r="B4" i="5" l="1"/>
  <c r="H57" i="1"/>
  <c r="K61" i="1"/>
  <c r="J60" i="1"/>
  <c r="I59" i="1"/>
  <c r="C2" i="5" l="1"/>
  <c r="D2" i="5" s="1"/>
  <c r="C12" i="5" l="1"/>
  <c r="C11" i="5" s="1"/>
  <c r="C10" i="5" s="1"/>
  <c r="P30" i="1"/>
  <c r="Q30" i="1" s="1"/>
  <c r="J17" i="1"/>
  <c r="I17" i="1"/>
  <c r="I57" i="1" s="1"/>
  <c r="H58" i="1"/>
  <c r="R30" i="1" l="1"/>
  <c r="M13" i="8" s="1"/>
  <c r="K17" i="1"/>
  <c r="J57" i="1"/>
  <c r="B5" i="5"/>
  <c r="H40" i="1" s="1"/>
  <c r="L17" i="1" l="1"/>
  <c r="K57" i="1"/>
  <c r="M17" i="1" l="1"/>
  <c r="L57" i="1"/>
  <c r="D12" i="5"/>
  <c r="D11" i="5" s="1"/>
  <c r="N17" i="1" l="1"/>
  <c r="M57" i="1"/>
  <c r="D10" i="5"/>
  <c r="O17" i="1" l="1"/>
  <c r="N57" i="1"/>
  <c r="E12" i="5"/>
  <c r="E10" i="5" s="1"/>
  <c r="G32" i="1"/>
  <c r="P17" i="1" l="1"/>
  <c r="O57" i="1"/>
  <c r="F12" i="5"/>
  <c r="F10" i="5" s="1"/>
  <c r="E11" i="5"/>
  <c r="Q17" i="1" l="1"/>
  <c r="Q57" i="1" s="1"/>
  <c r="P57" i="1"/>
  <c r="G12" i="5"/>
  <c r="G10" i="5" s="1"/>
  <c r="F11" i="5"/>
  <c r="G11" i="5" s="1"/>
  <c r="H12" i="5" l="1"/>
  <c r="H68" i="1"/>
  <c r="H38" i="1" s="1"/>
  <c r="G45" i="1"/>
  <c r="R45" i="1" s="1"/>
  <c r="K60" i="1"/>
  <c r="L61" i="1"/>
  <c r="L62" i="1"/>
  <c r="M63" i="1"/>
  <c r="N64" i="1"/>
  <c r="O65" i="1"/>
  <c r="P66" i="1"/>
  <c r="R66" i="1" s="1"/>
  <c r="J59" i="1"/>
  <c r="M62" i="1" l="1"/>
  <c r="N62" i="1" s="1"/>
  <c r="O62" i="1" s="1"/>
  <c r="P62" i="1" s="1"/>
  <c r="O64" i="1"/>
  <c r="P64" i="1" s="1"/>
  <c r="N63" i="1"/>
  <c r="O63" i="1" s="1"/>
  <c r="P63" i="1" s="1"/>
  <c r="P65" i="1"/>
  <c r="R65" i="1" s="1"/>
  <c r="M61" i="1"/>
  <c r="N61" i="1" s="1"/>
  <c r="O61" i="1" s="1"/>
  <c r="P61" i="1" s="1"/>
  <c r="Q61" i="1" s="1"/>
  <c r="L60" i="1"/>
  <c r="M60" i="1" s="1"/>
  <c r="N60" i="1" s="1"/>
  <c r="O60" i="1" s="1"/>
  <c r="P60" i="1" s="1"/>
  <c r="Q60" i="1" s="1"/>
  <c r="K59" i="1"/>
  <c r="L59" i="1" s="1"/>
  <c r="M59" i="1" s="1"/>
  <c r="N59" i="1" s="1"/>
  <c r="O59" i="1" s="1"/>
  <c r="P59" i="1" s="1"/>
  <c r="Q59" i="1" s="1"/>
  <c r="H11" i="5"/>
  <c r="H10" i="5"/>
  <c r="R64" i="1" l="1"/>
  <c r="R62" i="1"/>
  <c r="R59" i="1"/>
  <c r="R63" i="1"/>
  <c r="R60" i="1"/>
  <c r="R61" i="1"/>
  <c r="I12" i="5"/>
  <c r="I11" i="5" s="1"/>
  <c r="M32" i="1"/>
  <c r="I10" i="5" l="1"/>
  <c r="P32" i="1"/>
  <c r="C5" i="5"/>
  <c r="J23" i="5" l="1"/>
  <c r="J22" i="5"/>
  <c r="J12" i="5"/>
  <c r="J11" i="5" s="1"/>
  <c r="I40" i="1"/>
  <c r="P27" i="1"/>
  <c r="Q32" i="1"/>
  <c r="J24" i="5" l="1"/>
  <c r="I32" i="1" s="1"/>
  <c r="J32" i="1" s="1"/>
  <c r="K32" i="1" s="1"/>
  <c r="J10" i="5"/>
  <c r="M10" i="8"/>
  <c r="D5" i="5"/>
  <c r="E2" i="5"/>
  <c r="E5" i="5" s="1"/>
  <c r="R31" i="1"/>
  <c r="R32" i="1" l="1"/>
  <c r="P34" i="1"/>
  <c r="P35" i="1" s="1"/>
  <c r="P36" i="1" s="1"/>
  <c r="K12" i="5"/>
  <c r="J40" i="1"/>
  <c r="K40" i="1"/>
  <c r="F2" i="5"/>
  <c r="F5" i="5" s="1"/>
  <c r="M27" i="1"/>
  <c r="I27" i="1"/>
  <c r="I33" i="1" s="1"/>
  <c r="J27" i="1"/>
  <c r="J33" i="1" s="1"/>
  <c r="K27" i="1"/>
  <c r="K33" i="1" s="1"/>
  <c r="L27" i="1"/>
  <c r="L33" i="1" s="1"/>
  <c r="H27" i="1"/>
  <c r="H33" i="1" s="1"/>
  <c r="F33" i="1" l="1"/>
  <c r="K10" i="5"/>
  <c r="Q34" i="1" s="1"/>
  <c r="K11" i="5"/>
  <c r="G2" i="5"/>
  <c r="G5" i="5" s="1"/>
  <c r="M40" i="1" s="1"/>
  <c r="N27" i="1"/>
  <c r="M34" i="1"/>
  <c r="M35" i="1" s="1"/>
  <c r="O27" i="1"/>
  <c r="Q27" i="1"/>
  <c r="L34" i="1"/>
  <c r="L35" i="1" s="1"/>
  <c r="Q35" i="1" l="1"/>
  <c r="R40" i="1"/>
  <c r="H2" i="5"/>
  <c r="M36" i="1"/>
  <c r="L36" i="1"/>
  <c r="Q36" i="1" l="1"/>
  <c r="N34" i="1"/>
  <c r="N35" i="1" s="1"/>
  <c r="N36" i="1" s="1"/>
  <c r="I2" i="5"/>
  <c r="H5" i="5"/>
  <c r="O34" i="1"/>
  <c r="O35" i="1" s="1"/>
  <c r="J2" i="5" l="1"/>
  <c r="J5" i="5" s="1"/>
  <c r="I5" i="5"/>
  <c r="O36" i="1"/>
  <c r="K2" i="5" l="1"/>
  <c r="K5" i="5" s="1"/>
  <c r="G27" i="1"/>
  <c r="S27" i="1" s="1"/>
  <c r="I58" i="1" l="1"/>
  <c r="I68" i="1" l="1"/>
  <c r="I38" i="1" s="1"/>
  <c r="J58" i="1"/>
  <c r="K58" i="1" l="1"/>
  <c r="J68" i="1"/>
  <c r="J38" i="1" s="1"/>
  <c r="K34" i="1"/>
  <c r="K35" i="1" s="1"/>
  <c r="K36" i="1" s="1"/>
  <c r="J34" i="1"/>
  <c r="J35" i="1" s="1"/>
  <c r="J36" i="1" s="1"/>
  <c r="G33" i="1"/>
  <c r="I34" i="1"/>
  <c r="I35" i="1" s="1"/>
  <c r="I36" i="1" s="1"/>
  <c r="H34" i="1"/>
  <c r="H35" i="1" s="1"/>
  <c r="H39" i="1" s="1"/>
  <c r="H41" i="1" s="1"/>
  <c r="R33" i="1" l="1"/>
  <c r="M14" i="8" s="1"/>
  <c r="L58" i="1"/>
  <c r="K68" i="1"/>
  <c r="K38" i="1" s="1"/>
  <c r="I39" i="1"/>
  <c r="G34" i="1"/>
  <c r="R34" i="1" l="1"/>
  <c r="R35" i="1" s="1"/>
  <c r="R36" i="1" s="1"/>
  <c r="F53" i="1" s="1"/>
  <c r="M17" i="8" s="1"/>
  <c r="G35" i="1"/>
  <c r="G39" i="1" s="1"/>
  <c r="M58" i="1"/>
  <c r="L68" i="1"/>
  <c r="H42" i="1"/>
  <c r="H43" i="1" s="1"/>
  <c r="H36" i="1"/>
  <c r="J39" i="1"/>
  <c r="I41" i="1"/>
  <c r="L38" i="1" l="1"/>
  <c r="L39" i="1" s="1"/>
  <c r="S34" i="1"/>
  <c r="S35" i="1"/>
  <c r="G41" i="1"/>
  <c r="G42" i="1" s="1"/>
  <c r="I42" i="1"/>
  <c r="I43" i="1" s="1"/>
  <c r="I46" i="1" s="1"/>
  <c r="H46" i="1"/>
  <c r="N58" i="1"/>
  <c r="M68" i="1"/>
  <c r="M38" i="1" s="1"/>
  <c r="J41" i="1"/>
  <c r="J42" i="1" l="1"/>
  <c r="J43" i="1" s="1"/>
  <c r="G43" i="1"/>
  <c r="O58" i="1"/>
  <c r="N68" i="1"/>
  <c r="N38" i="1" s="1"/>
  <c r="L41" i="1"/>
  <c r="L42" i="1" l="1"/>
  <c r="L43" i="1" s="1"/>
  <c r="J46" i="1"/>
  <c r="G46" i="1"/>
  <c r="P58" i="1"/>
  <c r="Q58" i="1" s="1"/>
  <c r="R58" i="1" s="1"/>
  <c r="R68" i="1" s="1"/>
  <c r="O68" i="1"/>
  <c r="O38" i="1" s="1"/>
  <c r="M39" i="1"/>
  <c r="M41" i="1" s="1"/>
  <c r="K39" i="1"/>
  <c r="M42" i="1" l="1"/>
  <c r="M43" i="1" s="1"/>
  <c r="L46" i="1"/>
  <c r="G47" i="1"/>
  <c r="Q68" i="1"/>
  <c r="Q38" i="1" s="1"/>
  <c r="P68" i="1"/>
  <c r="N39" i="1"/>
  <c r="K41" i="1"/>
  <c r="P38" i="1" l="1"/>
  <c r="P39" i="1" s="1"/>
  <c r="P41" i="1" s="1"/>
  <c r="M46" i="1"/>
  <c r="G48" i="1"/>
  <c r="H47" i="1"/>
  <c r="K42" i="1"/>
  <c r="K43" i="1" s="1"/>
  <c r="Q39" i="1"/>
  <c r="Q41" i="1" s="1"/>
  <c r="R38" i="1"/>
  <c r="R39" i="1" s="1"/>
  <c r="O39" i="1"/>
  <c r="N41" i="1"/>
  <c r="H48" i="1" l="1"/>
  <c r="P42" i="1"/>
  <c r="P43" i="1" s="1"/>
  <c r="P46" i="1" s="1"/>
  <c r="Q42" i="1"/>
  <c r="Q43" i="1" s="1"/>
  <c r="N42" i="1"/>
  <c r="N43" i="1" s="1"/>
  <c r="S39" i="1"/>
  <c r="K46" i="1"/>
  <c r="I47" i="1"/>
  <c r="O41" i="1"/>
  <c r="I48" i="1" l="1"/>
  <c r="N46" i="1"/>
  <c r="R41" i="1"/>
  <c r="S41" i="1" s="1"/>
  <c r="Q46" i="1"/>
  <c r="J47" i="1"/>
  <c r="O42" i="1"/>
  <c r="R42" i="1" s="1"/>
  <c r="J48" i="1" l="1"/>
  <c r="O43" i="1"/>
  <c r="R43" i="1"/>
  <c r="K47" i="1"/>
  <c r="L47" i="1" s="1"/>
  <c r="S43" i="1" l="1"/>
  <c r="K48" i="1"/>
  <c r="O46" i="1"/>
  <c r="R46" i="1" s="1"/>
  <c r="M47" i="1"/>
  <c r="L48" i="1" l="1"/>
  <c r="F52" i="1"/>
  <c r="M16" i="8" s="1"/>
  <c r="F51" i="1"/>
  <c r="M15" i="8" s="1"/>
  <c r="M48" i="1"/>
  <c r="N47" i="1"/>
  <c r="O47" i="1" l="1"/>
  <c r="O48" i="1" s="1"/>
  <c r="N48" i="1"/>
  <c r="P47" i="1" l="1"/>
  <c r="Q47" i="1" s="1"/>
  <c r="Q48" i="1" s="1"/>
  <c r="F54" i="1" s="1"/>
  <c r="M18" i="8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8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<sst xmlns="http://schemas.openxmlformats.org/spreadsheetml/2006/main" count="264" uniqueCount="218">
  <si>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</si>
  <si>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</si>
  <si>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</si>
  <si>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</si>
  <si>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</si>
  <si>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</si>
  <si>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</si>
  <si>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</si>
  <si>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</si>
  <si>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</si>
  <si>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</si>
  <si>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</si>
  <si>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</si>
  <si>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</si>
  <si>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</si>
  <si>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</si>
  <si>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</si>
  <si>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</si>
  <si>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</si>
  <si>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</si>
  <si>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</si>
  <si>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</si>
  <si>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</si>
  <si>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</si>
  <si>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</si>
  <si>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</si>
  <si>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</si>
  <si>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</si>
  <si>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</si>
  <si>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</si>
  <si>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</si>
  <si>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</si>
  <si>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</si>
  <si>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</si>
  <si>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</si>
  <si>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</si>
  <si>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</si>
  <si>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</si>
  <si>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</si>
  <si>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</si>
  <si>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</si>
  <si>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</si>
  <si>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</si>
  <si>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</si>
  <si>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</si>
  <si>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</si>
  <si>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</si>
  <si>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</si>
  <si>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</si>
  <si>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</si>
  <si>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</si>
  <si>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</si>
  <si>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</si>
  <si>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</si>
  <si>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</si>
  <si>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</si>
  <si>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</si>
  <si>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</si>
  <si>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</si>
  <si>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</si>
  <si>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</si>
  <si>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</si>
  <si>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</si>
  <si>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</si>
  <si>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</si>
  <si>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</si>
  <si>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</si>
  <si>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</si>
  <si>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</si>
  <si>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</si>
  <si>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</si>
  <si>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</si>
  <si>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</si>
  <si>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</si>
  <si>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</si>
  <si>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</si>
  <si>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</si>
  <si>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</si>
  <si>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</si>
  <si>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</si>
  <si>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</si>
  <si>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</si>
  <si>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</si>
  <si>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</si>
  <si>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</si>
  <si>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</si>
  <si>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</si>
  <si>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</si>
  <si>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</si>
  <si>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</si>
  <si>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</si>
  <si>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</si>
  <si>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</si>
  <si>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</si>
  <si>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</si>
  <si>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</si>
  <si>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</si>
  <si>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</si>
  <si>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</si>
  <si>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</si>
  <si>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</si>
  <si>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</si>
  <si>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Y0</t>
  </si>
  <si>
    <t>Year 0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</si>
  <si>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</si>
  <si>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</si>
  <si>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</si>
  <si>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</si>
  <si>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</si>
  <si>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</si>
  <si>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</si>
  <si>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</si>
  <si>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</si>
  <si>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</si>
  <si>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</si>
  <si>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</si>
  <si>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</si>
  <si>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</si>
  <si>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</si>
  <si>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</si>
  <si>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</si>
  <si>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</si>
  <si>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</si>
  <si>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</si>
  <si>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</si>
  <si>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</si>
  <si>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</si>
  <si>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</si>
  <si>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</si>
  <si>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</si>
  <si>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</si>
  <si>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</si>
  <si>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</si>
  <si>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</si>
  <si>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</si>
  <si>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</si>
  <si>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</si>
  <si>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</si>
  <si>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</si>
  <si>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</si>
  <si>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</si>
  <si>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</si>
  <si>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</si>
  <si>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</si>
  <si>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</si>
  <si>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</si>
  <si>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</si>
  <si>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SG&amp;A (inhouse resources)</t>
  </si>
  <si>
    <t>BTS migrasi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</si>
  <si>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</si>
  <si>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</si>
  <si>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</si>
  <si>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</si>
  <si>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</si>
  <si>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</si>
  <si>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</si>
  <si>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Join year</t>
  </si>
  <si>
    <t>% inc (dec)</t>
  </si>
  <si>
    <t>Mall</t>
  </si>
  <si>
    <t>BTS</t>
  </si>
  <si>
    <t>Increase every year</t>
  </si>
  <si>
    <t>IOH-Makro</t>
  </si>
  <si>
    <t>No.</t>
  </si>
  <si>
    <t>No</t>
  </si>
  <si>
    <t>Renewal</t>
  </si>
  <si>
    <t>Cost</t>
  </si>
  <si>
    <t>Note</t>
  </si>
  <si>
    <t>Kenaikan/ Penurunan Harga</t>
  </si>
  <si>
    <t>Operator Join</t>
  </si>
  <si>
    <t xml:space="preserve">Harga Sewa </t>
  </si>
  <si>
    <t>Periode Sewa</t>
  </si>
  <si>
    <t>Obyek Sewa</t>
  </si>
  <si>
    <t>Scope Of Lease</t>
  </si>
  <si>
    <t>Existing</t>
  </si>
  <si>
    <t>Keterangan</t>
  </si>
  <si>
    <t xml:space="preserve">No. </t>
  </si>
  <si>
    <t xml:space="preserve">Obyek Sewa            </t>
  </si>
  <si>
    <t xml:space="preserve">Telp                                            </t>
  </si>
  <si>
    <t xml:space="preserve">Alamat Pemilik      </t>
  </si>
  <si>
    <t xml:space="preserve">Nama Pemilik      </t>
  </si>
  <si>
    <t xml:space="preserve">Nama Site                          </t>
  </si>
  <si>
    <t>SUMMARY REVIEW</t>
  </si>
  <si>
    <t xml:space="preserve">Periode </t>
  </si>
  <si>
    <t>Start</t>
  </si>
  <si>
    <t>End</t>
  </si>
  <si>
    <t>Rev Tsel</t>
  </si>
  <si>
    <t>Sewa BM</t>
  </si>
  <si>
    <t>Days</t>
  </si>
  <si>
    <t xml:space="preserve">Sewa BM </t>
  </si>
  <si>
    <t>Listrik</t>
  </si>
  <si>
    <t xml:space="preserve">OM </t>
  </si>
  <si>
    <t>Antisipasi Add Capex and Pole</t>
  </si>
  <si>
    <t>Profit</t>
  </si>
  <si>
    <t xml:space="preserve">Maintenance </t>
  </si>
  <si>
    <t>0031/03/IRR/IBC/XII/2023</t>
  </si>
  <si>
    <t>Sun City Madiun</t>
  </si>
  <si>
    <t>Jl. Raya Candi No.67 Sidoarjo</t>
  </si>
  <si>
    <t>Sidoarjo</t>
  </si>
  <si>
    <t>renewal</t>
  </si>
  <si>
    <t>1 (@6m)</t>
  </si>
  <si>
    <t>: Sun City Madiun</t>
  </si>
  <si>
    <t>: PT. Indraco</t>
  </si>
  <si>
    <t>: Jl. Raya Candi No.67 Sidoarjo</t>
  </si>
  <si>
    <t>: 031-8921982</t>
  </si>
  <si>
    <t>:  196 Omni +   Unit Pole Antenna + RBS   m²</t>
  </si>
  <si>
    <t>19 Juli 2021 s/d 18 Juli 2022 (1 tahun )</t>
  </si>
  <si>
    <t>19 Juli 2022 sampai gedung mulai renovasi(kontrak terakhir s/d 31 Desember 2023)</t>
  </si>
  <si>
    <t>01 Januari 2024 s/d 31 Desember 2027</t>
  </si>
  <si>
    <t>Rp.50.000.000/Tahun</t>
  </si>
  <si>
    <t>Rp. 5.000.000/bulan, Rp.60.000.000/tahun</t>
  </si>
  <si>
    <t>Rp. 60.000.000/tahun (untuk tahun ke 1&amp;2) 
Rp.70.000.000/tahun (untuk tahun ke 3&amp;4)</t>
  </si>
  <si>
    <t>Telkomsel (19 Juli 2016 s/d 18 Juli 2021)</t>
  </si>
  <si>
    <t>Telkomsel (19 Juli 2021 s/d gedung mulai renovasi)</t>
  </si>
  <si>
    <t>Telkomsel (19 Juli 2022 s/d 18 Juli 2027)on process renewal
Rp.273.000.000/th</t>
  </si>
  <si>
    <t>kenaikan 8,3%</t>
  </si>
  <si>
    <t>Real Book Value 31Des2023</t>
  </si>
  <si>
    <t>Site Sun City Madiun</t>
  </si>
  <si>
    <t>Worse &gt;&gt; Jika Sewa BM diperpanjang dan Tsel sesuai periode eksisting operator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</si>
</sst>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2" formatCode="[$-C09]dd\-mmm\-yy;@"/>
    <numFmt numFmtId="173" formatCode="#,###&quot;/thn&quot;"/>
    <numFmt numFmtId="174" formatCode="#,###&quot;/pole&quot;"/>
  </numFmts>
  <fonts count="4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166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5" fillId="0" borderId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6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2" fillId="0" borderId="0"/>
    <xf numFmtId="166" fontId="32" fillId="0" borderId="0" applyFont="0" applyFill="0" applyBorder="0" applyAlignment="0" applyProtection="0"/>
    <xf numFmtId="0" fontId="4" fillId="0" borderId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2" fillId="0" borderId="0"/>
    <xf numFmtId="165" fontId="4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5" fillId="0" borderId="0"/>
    <xf numFmtId="0" fontId="25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" fillId="0" borderId="0"/>
    <xf numFmtId="0" fontId="25" fillId="0" borderId="0"/>
    <xf numFmtId="165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60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6" fillId="0" borderId="0" xfId="0" applyNumberFormat="1" applyFont="1" applyBorder="1"/>
    <xf numFmtId="41" fontId="13" fillId="0" borderId="0" xfId="0" applyNumberFormat="1" applyFont="1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4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66" fontId="20" fillId="0" borderId="0" xfId="1" applyFont="1"/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9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8" fillId="0" borderId="0" xfId="0" applyNumberFormat="1" applyFont="1" applyBorder="1"/>
    <xf numFmtId="41" fontId="17" fillId="0" borderId="0" xfId="0" applyNumberFormat="1" applyFont="1" applyBorder="1"/>
    <xf numFmtId="167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0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168" fontId="24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167" fontId="11" fillId="0" borderId="0" xfId="17" applyNumberFormat="1" applyFont="1"/>
    <xf numFmtId="41" fontId="0" fillId="0" borderId="0" xfId="2" applyFont="1" applyAlignment="1">
      <alignment vertical="center"/>
    </xf>
    <xf numFmtId="41" fontId="11" fillId="0" borderId="0" xfId="2" applyFont="1" applyFill="1"/>
    <xf numFmtId="167" fontId="0" fillId="4" borderId="0" xfId="0" applyNumberFormat="1" applyFill="1" applyAlignment="1">
      <alignment vertical="center"/>
    </xf>
    <xf numFmtId="0" fontId="15" fillId="0" borderId="0" xfId="0" applyFont="1"/>
    <xf numFmtId="41" fontId="24" fillId="0" borderId="0" xfId="0" applyNumberFormat="1" applyFont="1" applyBorder="1"/>
    <xf numFmtId="41" fontId="26" fillId="0" borderId="0" xfId="0" applyNumberFormat="1" applyFont="1" applyBorder="1"/>
    <xf numFmtId="0" fontId="24" fillId="0" borderId="0" xfId="0" applyFont="1"/>
    <xf numFmtId="41" fontId="0" fillId="0" borderId="0" xfId="0" applyNumberFormat="1" applyAlignment="1">
      <alignment horizontal="right" vertical="center"/>
    </xf>
    <xf numFmtId="168" fontId="19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7" fillId="0" borderId="0" xfId="0" applyFont="1"/>
    <xf numFmtId="38" fontId="27" fillId="0" borderId="0" xfId="0" applyNumberFormat="1" applyFont="1"/>
    <xf numFmtId="167" fontId="29" fillId="0" borderId="0" xfId="1" applyNumberFormat="1" applyFont="1"/>
    <xf numFmtId="168" fontId="29" fillId="0" borderId="0" xfId="1" applyNumberFormat="1" applyFont="1"/>
    <xf numFmtId="0" fontId="27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41" fontId="27" fillId="0" borderId="0" xfId="0" applyNumberFormat="1" applyFont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0" fillId="0" borderId="0" xfId="0" applyFont="1" applyBorder="1"/>
    <xf numFmtId="0" fontId="31" fillId="0" borderId="0" xfId="0" applyFont="1"/>
    <xf numFmtId="0" fontId="30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9" xfId="2" applyNumberFormat="1" applyFont="1" applyBorder="1"/>
    <xf numFmtId="9" fontId="12" fillId="0" borderId="18" xfId="2" applyNumberFormat="1" applyFont="1" applyBorder="1"/>
    <xf numFmtId="169" fontId="12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0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12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4" fillId="0" borderId="9" xfId="0" applyNumberFormat="1" applyFont="1" applyBorder="1"/>
    <xf numFmtId="38" fontId="12" fillId="0" borderId="18" xfId="2" applyNumberFormat="1" applyFont="1" applyBorder="1"/>
    <xf numFmtId="9" fontId="24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2" fillId="0" borderId="12" xfId="0" applyFont="1" applyBorder="1" applyAlignment="1">
      <alignment horizontal="center"/>
    </xf>
    <xf numFmtId="0" fontId="0" fillId="9" borderId="0" xfId="0" applyFill="1"/>
    <xf numFmtId="41" fontId="35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8" fillId="9" borderId="15" xfId="0" applyFont="1" applyFill="1" applyBorder="1" applyAlignment="1">
      <alignment horizontal="right" vertical="top"/>
    </xf>
    <xf numFmtId="41" fontId="24" fillId="9" borderId="0" xfId="0" applyNumberFormat="1" applyFont="1" applyFill="1"/>
    <xf numFmtId="41" fontId="13" fillId="9" borderId="0" xfId="0" applyNumberFormat="1" applyFont="1" applyFill="1" applyBorder="1"/>
    <xf numFmtId="0" fontId="0" fillId="9" borderId="0" xfId="0" applyFont="1" applyFill="1" applyBorder="1"/>
    <xf numFmtId="0" fontId="15" fillId="9" borderId="0" xfId="0" applyFont="1" applyFill="1" applyBorder="1"/>
    <xf numFmtId="0" fontId="0" fillId="0" borderId="0" xfId="0" quotePrefix="1"/>
    <xf numFmtId="9" fontId="27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3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8" fillId="0" borderId="23" xfId="0" applyNumberFormat="1" applyFont="1" applyFill="1" applyBorder="1"/>
    <xf numFmtId="167" fontId="12" fillId="0" borderId="33" xfId="0" applyNumberFormat="1" applyFont="1" applyBorder="1" applyAlignment="1">
      <alignment vertical="center"/>
    </xf>
    <xf numFmtId="0" fontId="24" fillId="0" borderId="29" xfId="0" applyFont="1" applyFill="1" applyBorder="1" applyAlignment="1">
      <alignment horizontal="center"/>
    </xf>
    <xf numFmtId="41" fontId="24" fillId="0" borderId="30" xfId="0" applyNumberFormat="1" applyFont="1" applyFill="1" applyBorder="1" applyAlignment="1">
      <alignment vertical="center"/>
    </xf>
    <xf numFmtId="41" fontId="12" fillId="0" borderId="30" xfId="0" applyNumberFormat="1" applyFont="1" applyFill="1" applyBorder="1" applyAlignment="1">
      <alignment vertical="center"/>
    </xf>
    <xf numFmtId="41" fontId="12" fillId="0" borderId="23" xfId="0" applyNumberFormat="1" applyFont="1" applyFill="1" applyBorder="1" applyAlignment="1">
      <alignment vertical="center"/>
    </xf>
    <xf numFmtId="9" fontId="21" fillId="0" borderId="23" xfId="3" applyFont="1" applyFill="1" applyBorder="1" applyAlignment="1">
      <alignment vertical="center"/>
    </xf>
    <xf numFmtId="0" fontId="12" fillId="0" borderId="25" xfId="0" applyFont="1" applyBorder="1" applyAlignment="1">
      <alignment horizontal="center"/>
    </xf>
    <xf numFmtId="41" fontId="24" fillId="0" borderId="3" xfId="0" applyNumberFormat="1" applyFont="1" applyBorder="1"/>
    <xf numFmtId="41" fontId="24" fillId="0" borderId="34" xfId="0" applyNumberFormat="1" applyFont="1" applyBorder="1"/>
    <xf numFmtId="41" fontId="24" fillId="0" borderId="6" xfId="0" applyNumberFormat="1" applyFont="1" applyBorder="1"/>
    <xf numFmtId="41" fontId="24" fillId="0" borderId="10" xfId="0" applyNumberFormat="1" applyFont="1" applyBorder="1"/>
    <xf numFmtId="41" fontId="24" fillId="0" borderId="2" xfId="0" applyNumberFormat="1" applyFont="1" applyBorder="1"/>
    <xf numFmtId="41" fontId="24" fillId="0" borderId="36" xfId="0" applyNumberFormat="1" applyFont="1" applyBorder="1"/>
    <xf numFmtId="0" fontId="24" fillId="0" borderId="37" xfId="0" applyFont="1" applyFill="1" applyBorder="1" applyAlignment="1">
      <alignment horizontal="center"/>
    </xf>
    <xf numFmtId="0" fontId="12" fillId="3" borderId="0" xfId="0" applyFont="1" applyFill="1"/>
    <xf numFmtId="0" fontId="12" fillId="0" borderId="23" xfId="0" applyFont="1" applyFill="1" applyBorder="1"/>
    <xf numFmtId="41" fontId="24" fillId="0" borderId="35" xfId="0" applyNumberFormat="1" applyFont="1" applyFill="1" applyBorder="1" applyAlignment="1">
      <alignment vertical="center"/>
    </xf>
    <xf numFmtId="41" fontId="24" fillId="0" borderId="31" xfId="0" applyNumberFormat="1" applyFont="1" applyFill="1" applyBorder="1" applyAlignment="1">
      <alignment vertical="center"/>
    </xf>
    <xf numFmtId="0" fontId="24" fillId="0" borderId="23" xfId="0" applyFont="1" applyFill="1" applyBorder="1"/>
    <xf numFmtId="41" fontId="24" fillId="0" borderId="23" xfId="0" applyNumberFormat="1" applyFont="1" applyFill="1" applyBorder="1" applyAlignment="1">
      <alignment vertical="center"/>
    </xf>
    <xf numFmtId="166" fontId="36" fillId="0" borderId="23" xfId="1" applyFont="1" applyFill="1" applyBorder="1"/>
    <xf numFmtId="38" fontId="12" fillId="0" borderId="23" xfId="0" applyNumberFormat="1" applyFont="1" applyFill="1" applyBorder="1" applyAlignment="1">
      <alignment vertical="center"/>
    </xf>
    <xf numFmtId="38" fontId="12" fillId="0" borderId="32" xfId="0" applyNumberFormat="1" applyFont="1" applyFill="1" applyBorder="1" applyAlignment="1">
      <alignment vertical="center"/>
    </xf>
    <xf numFmtId="165" fontId="12" fillId="0" borderId="31" xfId="1" applyNumberFormat="1" applyFont="1" applyFill="1" applyBorder="1"/>
    <xf numFmtId="38" fontId="12" fillId="0" borderId="23" xfId="0" applyNumberFormat="1" applyFont="1" applyFill="1" applyBorder="1"/>
    <xf numFmtId="167" fontId="37" fillId="0" borderId="23" xfId="1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2" fillId="0" borderId="23" xfId="0" applyFont="1" applyBorder="1"/>
    <xf numFmtId="0" fontId="12" fillId="0" borderId="29" xfId="0" applyFont="1" applyBorder="1"/>
    <xf numFmtId="0" fontId="12" fillId="0" borderId="0" xfId="0" applyFont="1" applyAlignment="1">
      <alignment vertical="center"/>
    </xf>
    <xf numFmtId="0" fontId="12" fillId="9" borderId="13" xfId="0" applyFont="1" applyFill="1" applyBorder="1"/>
    <xf numFmtId="14" fontId="12" fillId="9" borderId="0" xfId="0" applyNumberFormat="1" applyFont="1" applyFill="1" applyBorder="1" applyAlignment="1"/>
    <xf numFmtId="41" fontId="15" fillId="0" borderId="0" xfId="2" applyFont="1" applyAlignment="1">
      <alignment vertical="center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2" fillId="0" borderId="17" xfId="0" applyFont="1" applyBorder="1" applyAlignment="1">
      <alignment horizontal="center"/>
    </xf>
    <xf numFmtId="0" fontId="30" fillId="0" borderId="13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5" fillId="0" borderId="0" xfId="33"/>
    <xf numFmtId="0" fontId="25" fillId="0" borderId="38" xfId="33" applyBorder="1" applyAlignment="1">
      <alignment horizontal="center" wrapText="1"/>
    </xf>
    <xf numFmtId="0" fontId="25" fillId="0" borderId="25" xfId="33" applyBorder="1" applyAlignment="1">
      <alignment horizontal="center" wrapText="1"/>
    </xf>
    <xf numFmtId="0" fontId="25" fillId="0" borderId="24" xfId="33" applyBorder="1"/>
    <xf numFmtId="0" fontId="25" fillId="0" borderId="24" xfId="33" applyBorder="1" applyAlignment="1">
      <alignment horizontal="center" vertical="center"/>
    </xf>
    <xf numFmtId="164" fontId="0" fillId="0" borderId="24" xfId="37" applyFont="1" applyBorder="1"/>
    <xf numFmtId="0" fontId="25" fillId="0" borderId="24" xfId="33" applyBorder="1" applyAlignment="1">
      <alignment wrapText="1"/>
    </xf>
    <xf numFmtId="0" fontId="1" fillId="0" borderId="24" xfId="33" applyFont="1" applyBorder="1"/>
    <xf numFmtId="0" fontId="1" fillId="0" borderId="0" xfId="33" applyFont="1"/>
    <xf numFmtId="0" fontId="40" fillId="10" borderId="28" xfId="33" applyFont="1" applyFill="1" applyBorder="1" applyAlignment="1">
      <alignment horizontal="center" vertical="center"/>
    </xf>
    <xf numFmtId="0" fontId="41" fillId="10" borderId="24" xfId="33" applyFont="1" applyFill="1" applyBorder="1" applyAlignment="1">
      <alignment horizontal="center" vertical="center"/>
    </xf>
    <xf numFmtId="0" fontId="40" fillId="10" borderId="26" xfId="33" applyFont="1" applyFill="1" applyBorder="1" applyAlignment="1">
      <alignment horizontal="center" vertical="center"/>
    </xf>
    <xf numFmtId="0" fontId="42" fillId="0" borderId="0" xfId="33" applyFont="1"/>
    <xf numFmtId="0" fontId="42" fillId="0" borderId="0" xfId="33" applyFont="1" applyAlignment="1">
      <alignment horizontal="left" vertical="top"/>
    </xf>
    <xf numFmtId="0" fontId="43" fillId="0" borderId="0" xfId="33" applyFont="1" applyAlignment="1">
      <alignment horizontal="center"/>
    </xf>
    <xf numFmtId="0" fontId="25" fillId="0" borderId="24" xfId="33" applyBorder="1" applyAlignment="1">
      <alignment horizontal="center"/>
    </xf>
    <xf numFmtId="0" fontId="1" fillId="0" borderId="0" xfId="38"/>
    <xf numFmtId="0" fontId="25" fillId="0" borderId="24" xfId="33" applyBorder="1" applyAlignment="1">
      <alignment horizontal="center"/>
    </xf>
    <xf numFmtId="0" fontId="25" fillId="0" borderId="0" xfId="33" applyAlignment="1">
      <alignment horizontal="center"/>
    </xf>
    <xf numFmtId="172" fontId="25" fillId="0" borderId="24" xfId="33" applyNumberFormat="1" applyBorder="1" applyAlignment="1">
      <alignment horizontal="center"/>
    </xf>
    <xf numFmtId="172" fontId="25" fillId="0" borderId="0" xfId="33" applyNumberFormat="1"/>
    <xf numFmtId="0" fontId="25" fillId="8" borderId="0" xfId="33" applyFill="1"/>
    <xf numFmtId="172" fontId="25" fillId="8" borderId="0" xfId="33" applyNumberFormat="1" applyFill="1" applyAlignment="1">
      <alignment horizontal="center"/>
    </xf>
    <xf numFmtId="165" fontId="25" fillId="8" borderId="0" xfId="36" applyFont="1" applyFill="1" applyBorder="1"/>
    <xf numFmtId="173" fontId="25" fillId="8" borderId="0" xfId="35" applyNumberFormat="1" applyFont="1" applyFill="1"/>
    <xf numFmtId="165" fontId="25" fillId="8" borderId="0" xfId="33" applyNumberFormat="1" applyFill="1"/>
    <xf numFmtId="174" fontId="25" fillId="8" borderId="0" xfId="40" applyNumberFormat="1" applyFont="1" applyFill="1"/>
    <xf numFmtId="41" fontId="25" fillId="8" borderId="2" xfId="35" applyFont="1" applyFill="1" applyBorder="1"/>
    <xf numFmtId="167" fontId="0" fillId="0" borderId="0" xfId="19" applyNumberFormat="1" applyFont="1" applyFill="1" applyBorder="1" applyAlignment="1" applyProtection="1">
      <alignment horizontal="left" vertical="top" wrapText="1"/>
      <protection locked="0"/>
    </xf>
    <xf numFmtId="167" fontId="0" fillId="0" borderId="18" xfId="19" applyNumberFormat="1" applyFont="1" applyFill="1" applyBorder="1" applyAlignment="1" applyProtection="1">
      <alignment horizontal="left" vertical="top" wrapText="1"/>
      <protection locked="0"/>
    </xf>
    <xf numFmtId="41" fontId="0" fillId="7" borderId="0" xfId="0" applyNumberFormat="1" applyFill="1" applyAlignment="1">
      <alignment horizontal="center"/>
    </xf>
    <xf numFmtId="164" fontId="0" fillId="0" borderId="24" xfId="37" applyFont="1" applyBorder="1" applyAlignment="1">
      <alignment wrapText="1"/>
    </xf>
    <xf numFmtId="0" fontId="25" fillId="0" borderId="26" xfId="33" applyBorder="1" applyAlignment="1">
      <alignment horizontal="center" vertical="center"/>
    </xf>
    <xf numFmtId="0" fontId="25" fillId="0" borderId="12" xfId="33" applyBorder="1" applyAlignment="1">
      <alignment horizontal="center" wrapText="1"/>
    </xf>
    <xf numFmtId="0" fontId="25" fillId="0" borderId="25" xfId="33" applyBorder="1" applyAlignment="1">
      <alignment horizontal="center"/>
    </xf>
    <xf numFmtId="0" fontId="25" fillId="0" borderId="38" xfId="33" applyBorder="1" applyAlignment="1">
      <alignment horizontal="center"/>
    </xf>
    <xf numFmtId="0" fontId="24" fillId="0" borderId="0" xfId="38" applyFont="1"/>
    <xf numFmtId="41" fontId="25" fillId="0" borderId="0" xfId="41" applyFont="1"/>
    <xf numFmtId="41" fontId="25" fillId="0" borderId="0" xfId="33" applyNumberFormat="1"/>
    <xf numFmtId="172" fontId="25" fillId="8" borderId="24" xfId="33" applyNumberFormat="1" applyFill="1" applyBorder="1" applyAlignment="1">
      <alignment horizontal="center"/>
    </xf>
  </cellXfs>
  <cellStyles count="42">
    <cellStyle name="Comma" xfId="1" builtinId="3"/>
    <cellStyle name="Comma [0]" xfId="2" builtinId="6"/>
    <cellStyle name="Comma [0] 2" xfId="9"/>
    <cellStyle name="Comma [0] 3" xfId="27"/>
    <cellStyle name="Comma [0] 3 2" xfId="35"/>
    <cellStyle name="Comma [0] 3 3" xfId="40"/>
    <cellStyle name="Comma [0] 4" xfId="31"/>
    <cellStyle name="Comma [0] 4 2" xfId="36"/>
    <cellStyle name="Comma [0] 4 3" xfId="41"/>
    <cellStyle name="Comma 2" xfId="7"/>
    <cellStyle name="Comma 2 3" xfId="22"/>
    <cellStyle name="Comma 3" xfId="10"/>
    <cellStyle name="Comma 3 2" xfId="11"/>
    <cellStyle name="Comma 4" xfId="12"/>
    <cellStyle name="Comma 5" xfId="18"/>
    <cellStyle name="Comma 5 2" xfId="19"/>
    <cellStyle name="Comma 6" xfId="20"/>
    <cellStyle name="Comma 7" xfId="32"/>
    <cellStyle name="Currency [0] 2" xfId="25"/>
    <cellStyle name="Currency [0] 2 2" xfId="37"/>
    <cellStyle name="Currency [0] 3" xfId="30"/>
    <cellStyle name="Currency 2" xfId="24"/>
    <cellStyle name="Currency 3" xfId="29"/>
    <cellStyle name="Normal" xfId="0" builtinId="0"/>
    <cellStyle name="Normal 2" xfId="5"/>
    <cellStyle name="Normal 2 2" xfId="6"/>
    <cellStyle name="Normal 2 2 2 2 3" xfId="17"/>
    <cellStyle name="Normal 2 7" xfId="21"/>
    <cellStyle name="Normal 3" xfId="13"/>
    <cellStyle name="Normal 3 2" xfId="14"/>
    <cellStyle name="Normal 3 3" xfId="26"/>
    <cellStyle name="Normal 4" xfId="23"/>
    <cellStyle name="Normal 4 2" xfId="34"/>
    <cellStyle name="Normal 5" xfId="28"/>
    <cellStyle name="Normal 7 2" xfId="33"/>
    <cellStyle name="Normal 7 3" xfId="39"/>
    <cellStyle name="Normal 8" xfId="38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15.xml"/><Relationship Id="rId42" Type="http://schemas.openxmlformats.org/officeDocument/2006/relationships/externalLink" Target="externalLinks/externalLink36.xml"/><Relationship Id="rId47" Type="http://schemas.openxmlformats.org/officeDocument/2006/relationships/externalLink" Target="externalLinks/externalLink41.xml"/><Relationship Id="rId63" Type="http://schemas.openxmlformats.org/officeDocument/2006/relationships/externalLink" Target="externalLinks/externalLink57.xml"/><Relationship Id="rId68" Type="http://schemas.openxmlformats.org/officeDocument/2006/relationships/externalLink" Target="externalLinks/externalLink62.xml"/><Relationship Id="rId84" Type="http://schemas.openxmlformats.org/officeDocument/2006/relationships/styles" Target="styles.xml"/><Relationship Id="rId16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5.xml"/><Relationship Id="rId32" Type="http://schemas.openxmlformats.org/officeDocument/2006/relationships/externalLink" Target="externalLinks/externalLink26.xml"/><Relationship Id="rId37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47.xml"/><Relationship Id="rId58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68.xml"/><Relationship Id="rId79" Type="http://schemas.openxmlformats.org/officeDocument/2006/relationships/externalLink" Target="externalLinks/externalLink73.xml"/><Relationship Id="rId5" Type="http://schemas.openxmlformats.org/officeDocument/2006/relationships/worksheet" Target="worksheets/sheet5.xml"/><Relationship Id="rId19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Relationship Id="rId43" Type="http://schemas.openxmlformats.org/officeDocument/2006/relationships/externalLink" Target="externalLinks/externalLink37.xml"/><Relationship Id="rId48" Type="http://schemas.openxmlformats.org/officeDocument/2006/relationships/externalLink" Target="externalLinks/externalLink42.xml"/><Relationship Id="rId56" Type="http://schemas.openxmlformats.org/officeDocument/2006/relationships/externalLink" Target="externalLinks/externalLink50.xml"/><Relationship Id="rId64" Type="http://schemas.openxmlformats.org/officeDocument/2006/relationships/externalLink" Target="externalLinks/externalLink58.xml"/><Relationship Id="rId69" Type="http://schemas.openxmlformats.org/officeDocument/2006/relationships/externalLink" Target="externalLinks/externalLink63.xml"/><Relationship Id="rId77" Type="http://schemas.openxmlformats.org/officeDocument/2006/relationships/externalLink" Target="externalLinks/externalLink71.xml"/><Relationship Id="rId8" Type="http://schemas.openxmlformats.org/officeDocument/2006/relationships/externalLink" Target="externalLinks/externalLink2.xml"/><Relationship Id="rId51" Type="http://schemas.openxmlformats.org/officeDocument/2006/relationships/externalLink" Target="externalLinks/externalLink45.xml"/><Relationship Id="rId72" Type="http://schemas.openxmlformats.org/officeDocument/2006/relationships/externalLink" Target="externalLinks/externalLink66.xml"/><Relationship Id="rId80" Type="http://schemas.openxmlformats.org/officeDocument/2006/relationships/externalLink" Target="externalLinks/externalLink74.xml"/><Relationship Id="rId85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27.xml"/><Relationship Id="rId38" Type="http://schemas.openxmlformats.org/officeDocument/2006/relationships/externalLink" Target="externalLinks/externalLink32.xml"/><Relationship Id="rId46" Type="http://schemas.openxmlformats.org/officeDocument/2006/relationships/externalLink" Target="externalLinks/externalLink40.xml"/><Relationship Id="rId59" Type="http://schemas.openxmlformats.org/officeDocument/2006/relationships/externalLink" Target="externalLinks/externalLink53.xml"/><Relationship Id="rId67" Type="http://schemas.openxmlformats.org/officeDocument/2006/relationships/externalLink" Target="externalLinks/externalLink61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54" Type="http://schemas.openxmlformats.org/officeDocument/2006/relationships/externalLink" Target="externalLinks/externalLink48.xml"/><Relationship Id="rId62" Type="http://schemas.openxmlformats.org/officeDocument/2006/relationships/externalLink" Target="externalLinks/externalLink56.xml"/><Relationship Id="rId70" Type="http://schemas.openxmlformats.org/officeDocument/2006/relationships/externalLink" Target="externalLinks/externalLink64.xml"/><Relationship Id="rId75" Type="http://schemas.openxmlformats.org/officeDocument/2006/relationships/externalLink" Target="externalLinks/externalLink69.xml"/><Relationship Id="rId83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30.xml"/><Relationship Id="rId49" Type="http://schemas.openxmlformats.org/officeDocument/2006/relationships/externalLink" Target="externalLinks/externalLink43.xml"/><Relationship Id="rId57" Type="http://schemas.openxmlformats.org/officeDocument/2006/relationships/externalLink" Target="externalLinks/externalLink51.xml"/><Relationship Id="rId10" Type="http://schemas.openxmlformats.org/officeDocument/2006/relationships/externalLink" Target="externalLinks/externalLink4.xml"/><Relationship Id="rId31" Type="http://schemas.openxmlformats.org/officeDocument/2006/relationships/externalLink" Target="externalLinks/externalLink25.xml"/><Relationship Id="rId44" Type="http://schemas.openxmlformats.org/officeDocument/2006/relationships/externalLink" Target="externalLinks/externalLink38.xml"/><Relationship Id="rId52" Type="http://schemas.openxmlformats.org/officeDocument/2006/relationships/externalLink" Target="externalLinks/externalLink46.xml"/><Relationship Id="rId60" Type="http://schemas.openxmlformats.org/officeDocument/2006/relationships/externalLink" Target="externalLinks/externalLink54.xml"/><Relationship Id="rId65" Type="http://schemas.openxmlformats.org/officeDocument/2006/relationships/externalLink" Target="externalLinks/externalLink59.xml"/><Relationship Id="rId73" Type="http://schemas.openxmlformats.org/officeDocument/2006/relationships/externalLink" Target="externalLinks/externalLink67.xml"/><Relationship Id="rId78" Type="http://schemas.openxmlformats.org/officeDocument/2006/relationships/externalLink" Target="externalLinks/externalLink72.xml"/><Relationship Id="rId81" Type="http://schemas.openxmlformats.org/officeDocument/2006/relationships/externalLink" Target="externalLinks/externalLink75.xml"/><Relationship Id="rId86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39" Type="http://schemas.openxmlformats.org/officeDocument/2006/relationships/externalLink" Target="externalLinks/externalLink33.xml"/><Relationship Id="rId34" Type="http://schemas.openxmlformats.org/officeDocument/2006/relationships/externalLink" Target="externalLinks/externalLink28.xml"/><Relationship Id="rId50" Type="http://schemas.openxmlformats.org/officeDocument/2006/relationships/externalLink" Target="externalLinks/externalLink44.xml"/><Relationship Id="rId55" Type="http://schemas.openxmlformats.org/officeDocument/2006/relationships/externalLink" Target="externalLinks/externalLink49.xml"/><Relationship Id="rId76" Type="http://schemas.openxmlformats.org/officeDocument/2006/relationships/externalLink" Target="externalLinks/externalLink70.xml"/><Relationship Id="rId7" Type="http://schemas.openxmlformats.org/officeDocument/2006/relationships/externalLink" Target="externalLinks/externalLink1.xml"/><Relationship Id="rId71" Type="http://schemas.openxmlformats.org/officeDocument/2006/relationships/externalLink" Target="externalLinks/externalLink65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3.xml"/><Relationship Id="rId24" Type="http://schemas.openxmlformats.org/officeDocument/2006/relationships/externalLink" Target="externalLinks/externalLink18.xml"/><Relationship Id="rId40" Type="http://schemas.openxmlformats.org/officeDocument/2006/relationships/externalLink" Target="externalLinks/externalLink34.xml"/><Relationship Id="rId45" Type="http://schemas.openxmlformats.org/officeDocument/2006/relationships/externalLink" Target="externalLinks/externalLink39.xml"/><Relationship Id="rId66" Type="http://schemas.openxmlformats.org/officeDocument/2006/relationships/externalLink" Target="externalLinks/externalLink60.xml"/><Relationship Id="rId61" Type="http://schemas.openxmlformats.org/officeDocument/2006/relationships/externalLink" Target="externalLinks/externalLink55.xml"/><Relationship Id="rId82" Type="http://schemas.openxmlformats.org/officeDocument/2006/relationships/externalLink" Target="externalLinks/externalLink7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12</xdr:col>
      <xdr:colOff>982579</xdr:colOff>
      <xdr:row>31</xdr:row>
      <xdr:rowOff>124602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itra.kartika\Downloads\PnL%20ALila%20Seminyak%2026Des23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itra.kartika\Downloads\PnL%20Sun%20City%20Madiun%2026Des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PARAMETER"/>
      <sheetName val="Book Value"/>
      <sheetName val="Analis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H57" t="str">
            <v>A</v>
          </cell>
          <cell r="I57" t="str">
            <v>A</v>
          </cell>
          <cell r="J57" t="str">
            <v>6% Net + T&amp;E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H58" t="str">
            <v>A</v>
          </cell>
          <cell r="I58" t="str">
            <v>A</v>
          </cell>
          <cell r="J58" t="str">
            <v>Custom Quote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D59" t="str">
            <v>Extended Warranty</v>
          </cell>
          <cell r="E59" t="str">
            <v>3% net</v>
          </cell>
          <cell r="F59" t="str">
            <v>A</v>
          </cell>
          <cell r="H59" t="str">
            <v>A</v>
          </cell>
          <cell r="I59" t="str">
            <v>A</v>
          </cell>
          <cell r="J59" t="str">
            <v>3% net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D60" t="str">
            <v>Basic Support</v>
          </cell>
          <cell r="E60" t="str">
            <v>5% net</v>
          </cell>
          <cell r="F60" t="str">
            <v>A</v>
          </cell>
          <cell r="H60" t="str">
            <v>A</v>
          </cell>
          <cell r="I60" t="str">
            <v>A</v>
          </cell>
          <cell r="J60" t="str">
            <v>5% net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D61" t="str">
            <v>Premium Support</v>
          </cell>
          <cell r="E61" t="str">
            <v>12% net</v>
          </cell>
          <cell r="F61" t="str">
            <v>A</v>
          </cell>
          <cell r="H61" t="str">
            <v>A</v>
          </cell>
          <cell r="I61" t="str">
            <v>A</v>
          </cell>
          <cell r="J61" t="str">
            <v>12% net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D62" t="str">
            <v>Software Support</v>
          </cell>
          <cell r="E62" t="str">
            <v>3% net</v>
          </cell>
          <cell r="F62" t="str">
            <v>A</v>
          </cell>
          <cell r="H62" t="str">
            <v>A</v>
          </cell>
          <cell r="I62" t="str">
            <v>A</v>
          </cell>
          <cell r="J62" t="str">
            <v>3% net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H63" t="str">
            <v>A</v>
          </cell>
          <cell r="I63" t="str">
            <v>A</v>
          </cell>
          <cell r="J63" t="str">
            <v>$2750 per student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H64" t="str">
            <v>A</v>
          </cell>
          <cell r="I64" t="str">
            <v>A</v>
          </cell>
          <cell r="J64" t="str">
            <v>$250/hr + T&amp;E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H65" t="str">
            <v>A</v>
          </cell>
          <cell r="I65" t="str">
            <v>A</v>
          </cell>
          <cell r="J65" t="str">
            <v>$375/hr + T&amp;E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H66" t="str">
            <v>A</v>
          </cell>
          <cell r="I66" t="str">
            <v>A</v>
          </cell>
          <cell r="J66" t="str">
            <v>$500/hr + T&amp;E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H67" t="str">
            <v>A</v>
          </cell>
          <cell r="I67" t="str">
            <v>A</v>
          </cell>
          <cell r="J67" t="str">
            <v>Custom Quote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H68" t="str">
            <v>A</v>
          </cell>
          <cell r="I68" t="str">
            <v>A</v>
          </cell>
          <cell r="J68" t="str">
            <v>Actual Costs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Product Data"/>
      <sheetName val="Sheet1"/>
      <sheetName val="Factors"/>
      <sheetName val="    "/>
      <sheetName val="3 - M &amp; T-Series Products"/>
      <sheetName val="DB"/>
      <sheetName val="ReffTable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Calc. Overview"/>
      <sheetName val="Drop List"/>
      <sheetName val="Cum. BTS 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Factors"/>
      <sheetName val="ISAT WCDMA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PARAMETER"/>
      <sheetName val="Capex"/>
      <sheetName val="SummaryBR"/>
      <sheetName val="Analisa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R26"/>
  <sheetViews>
    <sheetView showGridLines="0" tabSelected="1" topLeftCell="A3" zoomScale="90" zoomScaleNormal="90" workbookViewId="0">
      <selection activeCell="H9" sqref="H9:I10"/>
    </sheetView>
  </sheetViews>
  <sheetFormatPr defaultColWidth="8.75" defaultRowHeight="15.75" x14ac:dyDescent="0.25"/>
  <cols>
    <col min="1" max="1" width="4.25" style="88" customWidth="1"/>
    <col min="2" max="2" width="3" style="88" customWidth="1"/>
    <col min="3" max="3" width="16" style="88" customWidth="1"/>
    <col min="4" max="4" width="24.25" style="88" customWidth="1"/>
    <col min="5" max="5" width="4.25" style="88" customWidth="1"/>
    <col min="6" max="6" width="4.875" style="88" customWidth="1"/>
    <col min="7" max="7" width="17" style="88" bestFit="1" customWidth="1"/>
    <col min="8" max="8" width="8.375" style="88" customWidth="1"/>
    <col min="9" max="9" width="7.875" style="88" customWidth="1"/>
    <col min="10" max="10" width="2.125" style="88" customWidth="1"/>
    <col min="11" max="11" width="5.125" style="88" customWidth="1"/>
    <col min="12" max="12" width="18.375" style="88" bestFit="1" customWidth="1"/>
    <col min="13" max="13" width="16.5" style="88" customWidth="1"/>
    <col min="14" max="14" width="2.125" style="88" customWidth="1"/>
    <col min="15" max="15" width="3.75" style="88" customWidth="1"/>
    <col min="16" max="16384" width="8.75" style="88"/>
  </cols>
  <sheetData>
    <row r="1" spans="2:15" x14ac:dyDescent="0.25">
      <c r="B1" s="90"/>
      <c r="C1" s="1" t="s">
        <v>162</v>
      </c>
      <c r="D1" t="s">
        <v>194</v>
      </c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2:15" ht="18.75" x14ac:dyDescent="0.3">
      <c r="B2" s="90"/>
      <c r="C2" s="92" t="s">
        <v>87</v>
      </c>
      <c r="D2" s="89" t="s">
        <v>97</v>
      </c>
      <c r="E2" s="90"/>
      <c r="F2" s="90"/>
      <c r="G2" s="90"/>
      <c r="H2" s="90"/>
      <c r="J2" s="110" t="s">
        <v>93</v>
      </c>
      <c r="K2" s="110"/>
      <c r="L2" s="110"/>
      <c r="M2" s="190">
        <v>45286</v>
      </c>
      <c r="N2" s="90"/>
    </row>
    <row r="3" spans="2:15" ht="19.5" thickBot="1" x14ac:dyDescent="0.35">
      <c r="B3" s="90"/>
      <c r="C3" s="92" t="s">
        <v>88</v>
      </c>
      <c r="D3" s="89" t="s">
        <v>89</v>
      </c>
      <c r="E3" s="90"/>
      <c r="F3" s="90"/>
      <c r="G3" s="90"/>
      <c r="H3" s="90"/>
      <c r="M3" s="90"/>
      <c r="N3" s="90"/>
    </row>
    <row r="4" spans="2:15" ht="16.5" hidden="1" thickBot="1" x14ac:dyDescent="0.3">
      <c r="B4" s="90"/>
      <c r="C4" s="89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2:15" s="91" customFormat="1" ht="19.5" thickBot="1" x14ac:dyDescent="0.35">
      <c r="B5" s="204" t="s">
        <v>71</v>
      </c>
      <c r="C5" s="205"/>
      <c r="D5" s="206"/>
      <c r="E5" s="204" t="s">
        <v>77</v>
      </c>
      <c r="F5" s="205"/>
      <c r="G5" s="205"/>
      <c r="H5" s="205"/>
      <c r="I5" s="205"/>
      <c r="J5" s="204" t="s">
        <v>72</v>
      </c>
      <c r="K5" s="205"/>
      <c r="L5" s="205"/>
      <c r="M5" s="205"/>
      <c r="N5" s="206"/>
    </row>
    <row r="6" spans="2:15" x14ac:dyDescent="0.25">
      <c r="B6" s="207" t="s">
        <v>69</v>
      </c>
      <c r="C6" s="208"/>
      <c r="D6" s="142" t="s">
        <v>195</v>
      </c>
      <c r="E6" s="209" t="s">
        <v>79</v>
      </c>
      <c r="F6" s="209"/>
      <c r="G6" s="209"/>
      <c r="H6" s="209"/>
      <c r="I6" s="209"/>
      <c r="J6" s="105"/>
      <c r="K6" s="208" t="s">
        <v>75</v>
      </c>
      <c r="L6" s="208"/>
      <c r="M6" s="111">
        <f>(M11/H7)*0</f>
        <v>0</v>
      </c>
      <c r="N6" s="112"/>
      <c r="O6" s="86">
        <f>M6-'IRR Approved'!F8</f>
        <v>-7000000</v>
      </c>
    </row>
    <row r="7" spans="2:15" ht="31.5" x14ac:dyDescent="0.25">
      <c r="B7" s="212" t="s">
        <v>70</v>
      </c>
      <c r="C7" s="213"/>
      <c r="D7" s="143" t="s">
        <v>196</v>
      </c>
      <c r="E7" s="195" t="s">
        <v>66</v>
      </c>
      <c r="F7" s="195"/>
      <c r="G7" s="195"/>
      <c r="H7" s="113">
        <v>196</v>
      </c>
      <c r="I7" s="90"/>
      <c r="J7" s="95"/>
      <c r="K7" s="195" t="s">
        <v>74</v>
      </c>
      <c r="L7" s="195"/>
      <c r="M7" s="114">
        <v>5</v>
      </c>
      <c r="N7" s="93"/>
    </row>
    <row r="8" spans="2:15" x14ac:dyDescent="0.25">
      <c r="B8" s="212" t="s">
        <v>81</v>
      </c>
      <c r="C8" s="213"/>
      <c r="D8" s="144" t="s">
        <v>197</v>
      </c>
      <c r="E8" s="195" t="s">
        <v>67</v>
      </c>
      <c r="F8" s="195"/>
      <c r="G8" s="195"/>
      <c r="H8" s="113">
        <f>'IRR Approved'!F13</f>
        <v>209</v>
      </c>
      <c r="I8" s="90"/>
      <c r="J8" s="95"/>
      <c r="K8" s="195" t="s">
        <v>91</v>
      </c>
      <c r="L8" s="195"/>
      <c r="M8" s="115">
        <f>'IRR Approved'!$F$4</f>
        <v>0.1</v>
      </c>
      <c r="N8" s="93"/>
    </row>
    <row r="9" spans="2:15" x14ac:dyDescent="0.25">
      <c r="B9" s="194" t="s">
        <v>82</v>
      </c>
      <c r="C9" s="195"/>
      <c r="D9" s="144" t="s">
        <v>158</v>
      </c>
      <c r="E9" s="195" t="s">
        <v>68</v>
      </c>
      <c r="F9" s="195"/>
      <c r="G9" s="195"/>
      <c r="H9" s="248" t="s">
        <v>199</v>
      </c>
      <c r="I9" s="249"/>
      <c r="J9" s="95"/>
      <c r="K9" s="195" t="s">
        <v>64</v>
      </c>
      <c r="L9" s="195"/>
      <c r="M9" s="111">
        <v>0</v>
      </c>
      <c r="N9" s="93"/>
    </row>
    <row r="10" spans="2:15" x14ac:dyDescent="0.25">
      <c r="B10" s="107" t="s">
        <v>65</v>
      </c>
      <c r="C10" s="108"/>
      <c r="D10" s="144" t="s">
        <v>198</v>
      </c>
      <c r="H10" s="248"/>
      <c r="I10" s="249"/>
      <c r="J10" s="102"/>
      <c r="K10" s="202" t="s">
        <v>73</v>
      </c>
      <c r="L10" s="202"/>
      <c r="M10" s="111">
        <f>'IRR Approved'!$R$27</f>
        <v>1092000000</v>
      </c>
      <c r="N10" s="93"/>
    </row>
    <row r="11" spans="2:15" x14ac:dyDescent="0.25">
      <c r="B11" s="103" t="s">
        <v>83</v>
      </c>
      <c r="C11" s="109"/>
      <c r="D11" s="94">
        <v>4</v>
      </c>
      <c r="J11" s="95"/>
      <c r="K11" s="202" t="s">
        <v>106</v>
      </c>
      <c r="L11" s="202"/>
      <c r="M11" s="111">
        <f>'IRR Approved'!$R$13</f>
        <v>272021039.58333313</v>
      </c>
      <c r="N11" s="93"/>
    </row>
    <row r="12" spans="2:15" x14ac:dyDescent="0.25">
      <c r="B12" s="103" t="s">
        <v>84</v>
      </c>
      <c r="C12" s="109"/>
      <c r="D12" s="94">
        <v>1</v>
      </c>
      <c r="E12" s="197" t="s">
        <v>78</v>
      </c>
      <c r="F12" s="197"/>
      <c r="G12" s="197"/>
      <c r="H12" s="197"/>
      <c r="I12" s="197"/>
      <c r="J12" s="95"/>
      <c r="K12" s="202" t="s">
        <v>107</v>
      </c>
      <c r="L12" s="202"/>
      <c r="M12" s="87">
        <f>'IRR Approved'!$R$14</f>
        <v>0</v>
      </c>
      <c r="N12" s="93"/>
    </row>
    <row r="13" spans="2:15" x14ac:dyDescent="0.25">
      <c r="B13" s="103"/>
      <c r="C13" s="123"/>
      <c r="D13" s="94"/>
      <c r="E13" s="196" t="s">
        <v>76</v>
      </c>
      <c r="F13" s="196"/>
      <c r="G13" s="196"/>
      <c r="H13" s="116">
        <v>0</v>
      </c>
      <c r="I13" s="90"/>
      <c r="J13" s="95"/>
      <c r="K13" s="202" t="s">
        <v>104</v>
      </c>
      <c r="L13" s="202"/>
      <c r="M13" s="87">
        <f>'IRR Approved'!$R$30</f>
        <v>260000000</v>
      </c>
      <c r="N13" s="93"/>
    </row>
    <row r="14" spans="2:15" ht="16.5" thickBot="1" x14ac:dyDescent="0.3">
      <c r="B14" s="95"/>
      <c r="C14" s="90"/>
      <c r="D14" s="93"/>
      <c r="E14" s="196" t="s">
        <v>86</v>
      </c>
      <c r="F14" s="196"/>
      <c r="G14" s="196"/>
      <c r="H14" s="116">
        <v>0</v>
      </c>
      <c r="I14" s="90"/>
      <c r="J14" s="95"/>
      <c r="K14" s="202" t="s">
        <v>105</v>
      </c>
      <c r="L14" s="202"/>
      <c r="M14" s="111">
        <f>'IRR Approved'!$R$31+'IRR Approved'!$R$32+'IRR Approved'!$R$33</f>
        <v>364480000</v>
      </c>
      <c r="N14" s="93"/>
    </row>
    <row r="15" spans="2:15" x14ac:dyDescent="0.25">
      <c r="B15" s="95"/>
      <c r="C15" s="90"/>
      <c r="D15" s="93"/>
      <c r="E15" s="122"/>
      <c r="F15" s="122"/>
      <c r="G15" s="122"/>
      <c r="H15" s="116"/>
      <c r="I15" s="90"/>
      <c r="J15" s="117"/>
      <c r="K15" s="198" t="s">
        <v>26</v>
      </c>
      <c r="L15" s="199"/>
      <c r="M15" s="96">
        <f>'IRR Approved'!$F$51</f>
        <v>0.10867869607103864</v>
      </c>
      <c r="N15" s="93"/>
    </row>
    <row r="16" spans="2:15" x14ac:dyDescent="0.25">
      <c r="B16" s="95"/>
      <c r="C16" s="90"/>
      <c r="D16" s="93"/>
      <c r="E16" s="196" t="s">
        <v>85</v>
      </c>
      <c r="F16" s="196"/>
      <c r="G16" s="196"/>
      <c r="H16" s="116">
        <v>0</v>
      </c>
      <c r="I16" s="90"/>
      <c r="J16" s="118"/>
      <c r="K16" s="200" t="s">
        <v>27</v>
      </c>
      <c r="L16" s="201"/>
      <c r="M16" s="125">
        <f>'IRR Approved'!$F$52</f>
        <v>7684720.9848514199</v>
      </c>
      <c r="N16" s="93"/>
    </row>
    <row r="17" spans="2:18" x14ac:dyDescent="0.25">
      <c r="B17" s="95"/>
      <c r="C17" s="90"/>
      <c r="D17" s="93"/>
      <c r="E17" s="197" t="s">
        <v>80</v>
      </c>
      <c r="F17" s="197"/>
      <c r="G17" s="197"/>
      <c r="H17" s="197"/>
      <c r="I17" s="197"/>
      <c r="J17" s="118"/>
      <c r="K17" s="200" t="s">
        <v>28</v>
      </c>
      <c r="L17" s="201"/>
      <c r="M17" s="97">
        <f>'IRR Approved'!$F$53</f>
        <v>0.42813186813186815</v>
      </c>
      <c r="N17" s="93"/>
      <c r="R17" s="88" t="s">
        <v>59</v>
      </c>
    </row>
    <row r="18" spans="2:18" ht="16.5" thickBot="1" x14ac:dyDescent="0.3">
      <c r="B18" s="95"/>
      <c r="C18" s="90"/>
      <c r="D18" s="93"/>
      <c r="E18" s="90"/>
      <c r="F18" s="90"/>
      <c r="G18" s="90"/>
      <c r="H18" s="90"/>
      <c r="I18" s="90"/>
      <c r="J18" s="118"/>
      <c r="K18" s="210" t="s">
        <v>92</v>
      </c>
      <c r="L18" s="211"/>
      <c r="M18" s="98">
        <f>'IRR Approved'!$F$54</f>
        <v>3.2838094313228559</v>
      </c>
      <c r="N18" s="93"/>
      <c r="Q18" s="88" t="s">
        <v>59</v>
      </c>
    </row>
    <row r="19" spans="2:18" ht="16.5" thickBot="1" x14ac:dyDescent="0.3">
      <c r="B19" s="99"/>
      <c r="C19" s="100"/>
      <c r="D19" s="101"/>
      <c r="E19" s="100"/>
      <c r="F19" s="100" t="s">
        <v>59</v>
      </c>
      <c r="G19" s="100"/>
      <c r="H19" s="100"/>
      <c r="I19" s="100"/>
      <c r="J19" s="95"/>
      <c r="K19" s="121"/>
      <c r="L19" s="104"/>
      <c r="M19" s="104"/>
      <c r="N19" s="93"/>
    </row>
    <row r="20" spans="2:18" x14ac:dyDescent="0.25">
      <c r="B20" s="119" t="s">
        <v>98</v>
      </c>
      <c r="C20" s="120"/>
      <c r="D20" s="120"/>
      <c r="E20" s="120"/>
      <c r="F20" s="120"/>
      <c r="G20" s="120"/>
      <c r="H20" s="120"/>
      <c r="I20" s="120"/>
      <c r="J20" s="120"/>
      <c r="K20" s="120"/>
      <c r="L20" s="203" t="s">
        <v>94</v>
      </c>
      <c r="M20" s="203"/>
      <c r="N20" s="112"/>
    </row>
    <row r="21" spans="2:18" x14ac:dyDescent="0.25">
      <c r="B21" s="95" t="s">
        <v>95</v>
      </c>
      <c r="C21" s="90"/>
      <c r="D21" s="148"/>
      <c r="E21" s="148"/>
      <c r="F21" s="148"/>
      <c r="G21" s="148"/>
      <c r="H21" s="90"/>
      <c r="I21" s="90"/>
      <c r="J21" s="90"/>
      <c r="K21" s="90"/>
      <c r="L21" s="192" t="s">
        <v>101</v>
      </c>
      <c r="M21" s="193"/>
      <c r="N21" s="93"/>
    </row>
    <row r="22" spans="2:18" x14ac:dyDescent="0.25">
      <c r="B22" s="95" t="s">
        <v>165</v>
      </c>
      <c r="C22" s="90"/>
      <c r="D22" s="148"/>
      <c r="E22" s="148"/>
      <c r="F22" s="148"/>
      <c r="G22" s="148"/>
      <c r="H22" s="90"/>
      <c r="I22" s="90"/>
      <c r="J22" s="90"/>
      <c r="K22" s="90"/>
      <c r="L22" s="90"/>
      <c r="M22" s="90"/>
      <c r="N22" s="93"/>
    </row>
    <row r="23" spans="2:18" x14ac:dyDescent="0.25">
      <c r="B23" s="95"/>
      <c r="C23" s="90"/>
      <c r="D23" s="149"/>
      <c r="E23" s="148"/>
      <c r="F23" s="148"/>
      <c r="G23" s="148"/>
      <c r="H23" s="90"/>
      <c r="I23" s="90"/>
      <c r="J23" s="90"/>
      <c r="K23" s="90"/>
      <c r="L23" s="90"/>
      <c r="M23" s="90"/>
      <c r="N23" s="93"/>
    </row>
    <row r="24" spans="2:18" x14ac:dyDescent="0.25">
      <c r="B24" s="95" t="s">
        <v>166</v>
      </c>
      <c r="C24" s="90"/>
      <c r="E24" s="90"/>
      <c r="F24" s="90"/>
      <c r="G24" s="90"/>
      <c r="H24" s="90"/>
      <c r="I24" s="90"/>
      <c r="J24" s="90"/>
      <c r="K24" s="90"/>
      <c r="L24" s="90"/>
      <c r="M24" s="90"/>
      <c r="N24" s="93"/>
    </row>
    <row r="25" spans="2:18" ht="16.5" thickBot="1" x14ac:dyDescent="0.3">
      <c r="B25" s="99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2:18" x14ac:dyDescent="0.25">
      <c r="B26" s="1" t="s">
        <v>96</v>
      </c>
    </row>
  </sheetData>
  <mergeCells count="32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H9:I10"/>
    <mergeCell ref="B5:D5"/>
    <mergeCell ref="E5:I5"/>
    <mergeCell ref="J5:N5"/>
    <mergeCell ref="B6:C6"/>
    <mergeCell ref="E6:I6"/>
    <mergeCell ref="K6:L6"/>
    <mergeCell ref="L21:M21"/>
    <mergeCell ref="B9:C9"/>
    <mergeCell ref="E16:G16"/>
    <mergeCell ref="E17:I17"/>
    <mergeCell ref="K15:L15"/>
    <mergeCell ref="K16:L16"/>
    <mergeCell ref="K17:L17"/>
    <mergeCell ref="E9:G9"/>
    <mergeCell ref="K9:L9"/>
    <mergeCell ref="E12:I12"/>
    <mergeCell ref="K11:L11"/>
    <mergeCell ref="E13:G13"/>
    <mergeCell ref="K14:L14"/>
    <mergeCell ref="L20:M20"/>
    <mergeCell ref="E14:G14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B1:AB89"/>
  <sheetViews>
    <sheetView showGridLines="0" zoomScale="70" zoomScaleNormal="70" workbookViewId="0">
      <selection activeCell="R47" sqref="R47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19.625" customWidth="1"/>
    <col min="5" max="5" width="7.125" bestFit="1" customWidth="1"/>
    <col min="6" max="6" width="16.75" customWidth="1"/>
    <col min="7" max="7" width="17.625" style="2" customWidth="1"/>
    <col min="8" max="8" width="17.75" customWidth="1"/>
    <col min="9" max="9" width="15.625" bestFit="1" customWidth="1"/>
    <col min="10" max="10" width="15.25" bestFit="1" customWidth="1"/>
    <col min="11" max="12" width="13.125" bestFit="1" customWidth="1"/>
    <col min="13" max="16" width="12.125" hidden="1" customWidth="1"/>
    <col min="17" max="17" width="16" hidden="1" customWidth="1"/>
    <col min="18" max="18" width="16.875" style="1" bestFit="1" customWidth="1"/>
    <col min="19" max="19" width="12.75" bestFit="1" customWidth="1"/>
    <col min="20" max="23" width="15" bestFit="1" customWidth="1"/>
    <col min="24" max="24" width="15.625" bestFit="1" customWidth="1"/>
    <col min="25" max="25" width="11.625" bestFit="1" customWidth="1"/>
  </cols>
  <sheetData>
    <row r="1" spans="2:27" s="1" customFormat="1" ht="27" thickBot="1" x14ac:dyDescent="0.3">
      <c r="B1" s="1" t="s">
        <v>163</v>
      </c>
      <c r="C1" t="str">
        <f>Summary!D1</f>
        <v>0031/03/IRR/IBC/XII/2023</v>
      </c>
      <c r="G1" s="188"/>
      <c r="Q1" s="189"/>
      <c r="R1" s="145" t="str">
        <f>Summary!$D$6</f>
        <v>Sun City Madiun</v>
      </c>
    </row>
    <row r="2" spans="2:27" x14ac:dyDescent="0.25">
      <c r="B2" s="35" t="s">
        <v>99</v>
      </c>
      <c r="I2" s="154" t="s">
        <v>156</v>
      </c>
      <c r="L2" s="155" t="s">
        <v>157</v>
      </c>
    </row>
    <row r="3" spans="2:27" x14ac:dyDescent="0.25">
      <c r="C3" t="s">
        <v>0</v>
      </c>
      <c r="F3" s="4">
        <v>0.02</v>
      </c>
      <c r="I3" s="34"/>
      <c r="J3" t="s">
        <v>152</v>
      </c>
      <c r="K3" s="152">
        <f>H22/12</f>
        <v>22750000</v>
      </c>
      <c r="L3" s="156">
        <v>0.15</v>
      </c>
      <c r="R3" s="172"/>
      <c r="S3" s="3"/>
      <c r="T3" s="3"/>
    </row>
    <row r="4" spans="2:27" x14ac:dyDescent="0.25">
      <c r="C4" t="s">
        <v>44</v>
      </c>
      <c r="F4" s="4">
        <v>0.1</v>
      </c>
      <c r="I4" s="34"/>
      <c r="J4" t="s">
        <v>153</v>
      </c>
      <c r="K4" s="153">
        <f>H23/12</f>
        <v>0</v>
      </c>
      <c r="L4" s="156">
        <v>0.15</v>
      </c>
      <c r="R4" s="172"/>
      <c r="S4" s="3"/>
      <c r="T4" s="3"/>
    </row>
    <row r="5" spans="2:27" x14ac:dyDescent="0.25">
      <c r="C5" t="s">
        <v>1</v>
      </c>
      <c r="F5" s="4">
        <v>0.05</v>
      </c>
      <c r="G5" s="2" t="s">
        <v>160</v>
      </c>
      <c r="I5" s="34"/>
      <c r="J5" t="s">
        <v>154</v>
      </c>
      <c r="K5" s="152">
        <f>(H25+H24)/12</f>
        <v>0</v>
      </c>
      <c r="L5" s="156">
        <v>0.15</v>
      </c>
    </row>
    <row r="6" spans="2:27" x14ac:dyDescent="0.25">
      <c r="C6" t="s">
        <v>3</v>
      </c>
      <c r="F6" s="5">
        <v>0</v>
      </c>
      <c r="G6" s="2" t="s">
        <v>2</v>
      </c>
      <c r="J6" t="s">
        <v>155</v>
      </c>
      <c r="K6" s="153"/>
    </row>
    <row r="7" spans="2:27" x14ac:dyDescent="0.25">
      <c r="C7" t="s">
        <v>100</v>
      </c>
      <c r="F7" s="4">
        <v>0.15</v>
      </c>
    </row>
    <row r="8" spans="2:27" x14ac:dyDescent="0.25">
      <c r="C8" t="s">
        <v>149</v>
      </c>
      <c r="F8" s="147">
        <v>7000000</v>
      </c>
      <c r="G8" s="9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  <c r="V8" s="43"/>
      <c r="W8" s="43"/>
      <c r="X8" s="43"/>
      <c r="Y8" s="43"/>
      <c r="Z8" s="43"/>
    </row>
    <row r="9" spans="2:27" x14ac:dyDescent="0.25">
      <c r="C9" t="s">
        <v>150</v>
      </c>
      <c r="F9" s="147">
        <v>150000000</v>
      </c>
      <c r="G9" s="9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  <c r="V9" s="43"/>
      <c r="W9" s="43"/>
      <c r="X9" s="43"/>
      <c r="Y9" s="43"/>
      <c r="Z9" s="43"/>
    </row>
    <row r="10" spans="2:27" ht="16.5" thickBot="1" x14ac:dyDescent="0.3">
      <c r="G10" s="9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4"/>
      <c r="V10" s="43"/>
      <c r="W10" s="43"/>
      <c r="X10" s="43"/>
      <c r="Y10" s="43"/>
      <c r="Z10" s="43"/>
    </row>
    <row r="11" spans="2:27" s="1" customFormat="1" x14ac:dyDescent="0.25">
      <c r="G11" s="164" t="s">
        <v>102</v>
      </c>
      <c r="H11" s="139" t="s">
        <v>39</v>
      </c>
      <c r="I11" s="139" t="s">
        <v>40</v>
      </c>
      <c r="J11" s="139" t="s">
        <v>41</v>
      </c>
      <c r="K11" s="139" t="s">
        <v>42</v>
      </c>
      <c r="L11" s="139" t="s">
        <v>43</v>
      </c>
      <c r="M11" s="139" t="s">
        <v>46</v>
      </c>
      <c r="N11" s="139" t="s">
        <v>47</v>
      </c>
      <c r="O11" s="139" t="s">
        <v>48</v>
      </c>
      <c r="P11" s="139" t="s">
        <v>49</v>
      </c>
      <c r="Q11" s="139" t="s">
        <v>50</v>
      </c>
      <c r="R11" s="171" t="s">
        <v>11</v>
      </c>
      <c r="S11" s="43"/>
      <c r="T11" s="43"/>
      <c r="U11" s="141"/>
      <c r="V11" s="43"/>
      <c r="W11" s="43"/>
      <c r="X11" s="43"/>
      <c r="Y11" s="43"/>
      <c r="Z11" s="43"/>
    </row>
    <row r="12" spans="2:27" x14ac:dyDescent="0.25">
      <c r="B12" s="1" t="s">
        <v>56</v>
      </c>
      <c r="G12"/>
      <c r="R12" s="173"/>
      <c r="S12" s="43"/>
      <c r="T12" s="43"/>
      <c r="U12" s="44"/>
      <c r="V12" s="43"/>
      <c r="W12" s="43"/>
      <c r="X12" s="43"/>
      <c r="Y12" s="43"/>
      <c r="Z12" s="43"/>
    </row>
    <row r="13" spans="2:27" s="72" customFormat="1" x14ac:dyDescent="0.25">
      <c r="B13" s="75" t="s">
        <v>57</v>
      </c>
      <c r="E13" s="72" t="s">
        <v>90</v>
      </c>
      <c r="F13" s="146">
        <v>209</v>
      </c>
      <c r="G13" s="167">
        <v>272021039.58333313</v>
      </c>
      <c r="H13" s="165">
        <v>0</v>
      </c>
      <c r="I13" s="165">
        <v>0</v>
      </c>
      <c r="J13" s="165">
        <v>0</v>
      </c>
      <c r="K13" s="165"/>
      <c r="L13" s="165"/>
      <c r="M13" s="165"/>
      <c r="N13" s="165"/>
      <c r="O13" s="165"/>
      <c r="P13" s="165"/>
      <c r="Q13" s="166"/>
      <c r="R13" s="174">
        <f>SUM(G13:Q13)</f>
        <v>272021039.58333313</v>
      </c>
      <c r="S13" s="73"/>
      <c r="T13" s="73"/>
      <c r="U13" s="74"/>
      <c r="V13" s="73"/>
      <c r="W13" s="73"/>
      <c r="X13" s="73"/>
      <c r="Y13" s="73"/>
      <c r="Z13" s="73"/>
    </row>
    <row r="14" spans="2:27" s="72" customFormat="1" x14ac:dyDescent="0.25">
      <c r="B14" s="75"/>
      <c r="E14" s="72" t="s">
        <v>148</v>
      </c>
      <c r="F14" s="146">
        <f>3*0</f>
        <v>0</v>
      </c>
      <c r="G14" s="168"/>
      <c r="H14" s="169"/>
      <c r="I14" s="169">
        <f>$F$9*0</f>
        <v>0</v>
      </c>
      <c r="J14" s="169">
        <f>$F$9*0</f>
        <v>0</v>
      </c>
      <c r="K14" s="169">
        <f>$F$9*0</f>
        <v>0</v>
      </c>
      <c r="L14" s="169"/>
      <c r="M14" s="169"/>
      <c r="N14" s="169"/>
      <c r="O14" s="169"/>
      <c r="P14" s="169"/>
      <c r="Q14" s="170"/>
      <c r="R14" s="175">
        <f>SUM(G14:Q14)</f>
        <v>0</v>
      </c>
      <c r="S14" s="73"/>
      <c r="T14" s="73"/>
      <c r="U14" s="74"/>
      <c r="V14" s="73"/>
      <c r="W14" s="73"/>
      <c r="X14" s="73"/>
      <c r="Y14" s="73"/>
      <c r="Z14" s="73"/>
    </row>
    <row r="15" spans="2:27" x14ac:dyDescent="0.25">
      <c r="F15" s="43"/>
      <c r="G15" s="73"/>
      <c r="H15" s="87"/>
      <c r="I15" s="43"/>
      <c r="J15" s="43"/>
      <c r="K15" s="43"/>
      <c r="L15" s="43"/>
      <c r="M15" s="43"/>
      <c r="N15" s="43"/>
      <c r="O15" s="43"/>
      <c r="P15" s="43"/>
      <c r="Q15" s="43"/>
      <c r="R15" s="157"/>
      <c r="S15" s="43"/>
      <c r="T15" s="43"/>
      <c r="U15" s="44"/>
      <c r="V15" s="43"/>
      <c r="W15" s="43"/>
      <c r="X15" s="43"/>
      <c r="Y15" s="43"/>
      <c r="Z15" s="43"/>
    </row>
    <row r="16" spans="2:27" x14ac:dyDescent="0.25">
      <c r="F16" s="10"/>
      <c r="R16" s="173"/>
      <c r="U16" s="42"/>
      <c r="V16" s="42"/>
      <c r="W16" s="42"/>
      <c r="X16" s="42"/>
      <c r="Y16" s="42"/>
      <c r="Z16" s="42"/>
      <c r="AA16" s="42"/>
    </row>
    <row r="17" spans="2:27" ht="16.5" thickBot="1" x14ac:dyDescent="0.3">
      <c r="B17" s="11" t="s">
        <v>10</v>
      </c>
      <c r="C17" s="6"/>
      <c r="D17" s="6"/>
      <c r="E17" s="6"/>
      <c r="F17" s="6"/>
      <c r="G17" s="7" t="s">
        <v>103</v>
      </c>
      <c r="H17" s="12">
        <v>2024</v>
      </c>
      <c r="I17" s="7">
        <f>H17+1</f>
        <v>2025</v>
      </c>
      <c r="J17" s="7">
        <f t="shared" ref="J17:Q17" si="0">I17+1</f>
        <v>2026</v>
      </c>
      <c r="K17" s="7">
        <f t="shared" si="0"/>
        <v>2027</v>
      </c>
      <c r="L17" s="7">
        <f t="shared" si="0"/>
        <v>2028</v>
      </c>
      <c r="M17" s="7">
        <f t="shared" si="0"/>
        <v>2029</v>
      </c>
      <c r="N17" s="7">
        <f t="shared" si="0"/>
        <v>2030</v>
      </c>
      <c r="O17" s="7">
        <f t="shared" si="0"/>
        <v>2031</v>
      </c>
      <c r="P17" s="7">
        <f t="shared" si="0"/>
        <v>2032</v>
      </c>
      <c r="Q17" s="7">
        <f t="shared" si="0"/>
        <v>2033</v>
      </c>
      <c r="R17" s="159" t="s">
        <v>11</v>
      </c>
      <c r="S17" s="57"/>
      <c r="T17" s="57"/>
      <c r="U17" s="57"/>
      <c r="V17" s="57"/>
      <c r="W17" s="57"/>
      <c r="X17" s="57"/>
      <c r="Y17" s="42"/>
      <c r="Z17" s="42"/>
      <c r="AA17" s="42"/>
    </row>
    <row r="18" spans="2:27" x14ac:dyDescent="0.2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6"/>
    </row>
    <row r="19" spans="2:27" x14ac:dyDescent="0.25">
      <c r="B19" s="150" t="s">
        <v>151</v>
      </c>
      <c r="M19" s="151">
        <v>0.1</v>
      </c>
      <c r="R19" s="176"/>
    </row>
    <row r="20" spans="2:27" x14ac:dyDescent="0.25">
      <c r="R20" s="176"/>
    </row>
    <row r="21" spans="2:27" x14ac:dyDescent="0.25">
      <c r="B21" s="1" t="s">
        <v>4</v>
      </c>
      <c r="E21" s="18"/>
      <c r="G21" s="19"/>
      <c r="H21" s="18"/>
      <c r="I21" s="20"/>
      <c r="J21" s="20"/>
      <c r="K21" s="20"/>
      <c r="L21" s="20"/>
      <c r="M21" s="20"/>
      <c r="N21" s="20"/>
      <c r="O21" s="20"/>
      <c r="P21" s="20"/>
      <c r="Q21" s="20"/>
      <c r="R21" s="176"/>
    </row>
    <row r="22" spans="2:27" x14ac:dyDescent="0.25">
      <c r="C22" t="s">
        <v>35</v>
      </c>
      <c r="E22" s="15"/>
      <c r="G22" s="69"/>
      <c r="H22" s="191">
        <v>273000000</v>
      </c>
      <c r="I22" s="191">
        <f>H22</f>
        <v>273000000</v>
      </c>
      <c r="J22" s="191">
        <f>I22</f>
        <v>273000000</v>
      </c>
      <c r="K22" s="191">
        <f>J22</f>
        <v>273000000</v>
      </c>
      <c r="L22" s="191">
        <f>K22*0</f>
        <v>0</v>
      </c>
      <c r="M22" s="69">
        <f>$K$3*0</f>
        <v>0</v>
      </c>
      <c r="N22" s="69">
        <f>$K$3*(1-$L$3)*0</f>
        <v>0</v>
      </c>
      <c r="O22" s="69">
        <f>$K$3*(1-$L$3)*0</f>
        <v>0</v>
      </c>
      <c r="P22" s="69">
        <f>$K$3*(1-$L$3)*0</f>
        <v>0</v>
      </c>
      <c r="Q22" s="69">
        <f>$K$3*(1-$L$3)*0</f>
        <v>0</v>
      </c>
      <c r="R22" s="177">
        <f>SUM($G22:Q22)</f>
        <v>1092000000</v>
      </c>
      <c r="S22" s="13"/>
      <c r="T22" s="13"/>
      <c r="U22" s="13"/>
      <c r="V22" s="13"/>
      <c r="W22" s="13"/>
      <c r="X22" s="14"/>
    </row>
    <row r="23" spans="2:27" x14ac:dyDescent="0.25">
      <c r="C23" t="s">
        <v>36</v>
      </c>
      <c r="G23" s="13"/>
      <c r="H23" s="69"/>
      <c r="I23" s="191">
        <f>H23</f>
        <v>0</v>
      </c>
      <c r="J23" s="191">
        <f>I23</f>
        <v>0</v>
      </c>
      <c r="K23" s="191">
        <f>J23</f>
        <v>0</v>
      </c>
      <c r="L23" s="191">
        <f>K23</f>
        <v>0</v>
      </c>
      <c r="M23" s="69">
        <f>$K$4*0</f>
        <v>0</v>
      </c>
      <c r="N23" s="69">
        <f>$K$4*0</f>
        <v>0</v>
      </c>
      <c r="O23" s="69">
        <f>$K$4*0</f>
        <v>0</v>
      </c>
      <c r="P23" s="69">
        <f>$K$4*(1-$L$4)*0</f>
        <v>0</v>
      </c>
      <c r="Q23" s="69">
        <f>$K$4*(1-$L$4)*0</f>
        <v>0</v>
      </c>
      <c r="R23" s="177">
        <f>SUM($G23:Q23)</f>
        <v>0</v>
      </c>
      <c r="S23" s="13"/>
      <c r="T23" s="13"/>
      <c r="U23" s="13"/>
      <c r="V23" s="13"/>
      <c r="W23" s="13"/>
      <c r="X23" s="14"/>
    </row>
    <row r="24" spans="2:27" x14ac:dyDescent="0.25">
      <c r="C24" t="s">
        <v>161</v>
      </c>
      <c r="G24" s="13"/>
      <c r="H24" s="69"/>
      <c r="I24" s="191"/>
      <c r="J24" s="191"/>
      <c r="K24" s="191"/>
      <c r="L24" s="191"/>
      <c r="M24" s="69"/>
      <c r="N24" s="69"/>
      <c r="O24" s="69"/>
      <c r="P24" s="69"/>
      <c r="Q24" s="69"/>
      <c r="R24" s="177">
        <f>SUM($G24:Q24)</f>
        <v>0</v>
      </c>
      <c r="S24" s="13"/>
      <c r="T24" s="13"/>
      <c r="U24" s="13"/>
      <c r="V24" s="13"/>
      <c r="W24" s="13"/>
      <c r="X24" s="14"/>
    </row>
    <row r="25" spans="2:27" x14ac:dyDescent="0.25">
      <c r="C25" t="s">
        <v>38</v>
      </c>
      <c r="G25" s="13"/>
      <c r="H25" s="191"/>
      <c r="I25" s="191"/>
      <c r="J25" s="191"/>
      <c r="K25" s="191"/>
      <c r="L25" s="191"/>
      <c r="M25" s="69">
        <f>$K$5*0</f>
        <v>0</v>
      </c>
      <c r="N25" s="69">
        <f>$K$5*0</f>
        <v>0</v>
      </c>
      <c r="O25" s="69">
        <f>$K$5*(1-$L$5)*0</f>
        <v>0</v>
      </c>
      <c r="P25" s="69">
        <f>$K$5*(1-$L$5)*0</f>
        <v>0</v>
      </c>
      <c r="Q25" s="69">
        <f>$K$5*(1-$L$5)*0</f>
        <v>0</v>
      </c>
      <c r="R25" s="177">
        <f>SUM($G25:Q25)</f>
        <v>0</v>
      </c>
      <c r="S25" s="13"/>
      <c r="T25" s="13"/>
      <c r="U25" s="13"/>
      <c r="V25" s="13"/>
      <c r="W25" s="13"/>
      <c r="X25" s="14"/>
    </row>
    <row r="26" spans="2:27" x14ac:dyDescent="0.25">
      <c r="C26" t="s">
        <v>37</v>
      </c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77">
        <f>SUM($G26:Q26)</f>
        <v>0</v>
      </c>
      <c r="S26" s="46"/>
      <c r="T26" s="46"/>
      <c r="U26" s="46"/>
      <c r="V26" s="46"/>
      <c r="W26" s="46"/>
      <c r="X26" s="47"/>
      <c r="Y26" s="48"/>
    </row>
    <row r="27" spans="2:27" x14ac:dyDescent="0.25">
      <c r="B27" s="66" t="s">
        <v>13</v>
      </c>
      <c r="C27" s="66"/>
      <c r="D27" s="66"/>
      <c r="E27" s="214"/>
      <c r="F27" s="215"/>
      <c r="G27" s="67">
        <f>SUM(G22:G26)</f>
        <v>0</v>
      </c>
      <c r="H27" s="67">
        <f>SUM(H22:H26)</f>
        <v>273000000</v>
      </c>
      <c r="I27" s="67">
        <f t="shared" ref="I27:L27" si="1">SUM(I22:I26)</f>
        <v>273000000</v>
      </c>
      <c r="J27" s="67">
        <f t="shared" si="1"/>
        <v>273000000</v>
      </c>
      <c r="K27" s="67">
        <f t="shared" si="1"/>
        <v>273000000</v>
      </c>
      <c r="L27" s="67">
        <f t="shared" si="1"/>
        <v>0</v>
      </c>
      <c r="M27" s="67">
        <f>SUM(M22:M26)</f>
        <v>0</v>
      </c>
      <c r="N27" s="67">
        <f>SUM(N22:N26)</f>
        <v>0</v>
      </c>
      <c r="O27" s="67">
        <f t="shared" ref="O27:P27" si="2">SUM(O22:O26)</f>
        <v>0</v>
      </c>
      <c r="P27" s="67">
        <f t="shared" si="2"/>
        <v>0</v>
      </c>
      <c r="Q27" s="67">
        <f t="shared" ref="Q27" si="3">SUM(Q22:Q26)</f>
        <v>0</v>
      </c>
      <c r="R27" s="160">
        <f>SUM(R22:R26)</f>
        <v>1092000000</v>
      </c>
      <c r="S27" s="46">
        <f>SUM(G27:Q27)-R27</f>
        <v>0</v>
      </c>
      <c r="T27" s="46"/>
      <c r="U27" s="46"/>
      <c r="V27" s="46"/>
      <c r="W27" s="46"/>
      <c r="X27" s="46"/>
      <c r="Y27" s="48"/>
    </row>
    <row r="28" spans="2:27" x14ac:dyDescent="0.25">
      <c r="R28" s="176"/>
      <c r="S28" s="48"/>
      <c r="T28" s="48"/>
      <c r="U28" s="48"/>
      <c r="V28" s="48"/>
      <c r="W28" s="48"/>
      <c r="X28" s="48"/>
      <c r="Y28" s="48"/>
    </row>
    <row r="29" spans="2:27" x14ac:dyDescent="0.25">
      <c r="B29" s="1" t="s">
        <v>14</v>
      </c>
      <c r="E29" s="18"/>
      <c r="F29" s="18"/>
      <c r="G29" s="19"/>
      <c r="H29" s="18"/>
      <c r="I29" s="20"/>
      <c r="J29" s="20"/>
      <c r="K29" s="20"/>
      <c r="L29" s="20"/>
      <c r="M29" s="20"/>
      <c r="N29" s="20"/>
      <c r="O29" s="20"/>
      <c r="P29" s="20"/>
      <c r="Q29" s="20"/>
      <c r="R29" s="178"/>
      <c r="S29" s="49"/>
      <c r="T29" s="49"/>
      <c r="U29" s="49"/>
      <c r="V29" s="49"/>
      <c r="W29" s="49"/>
      <c r="X29" s="48"/>
      <c r="Y29" s="48"/>
    </row>
    <row r="30" spans="2:27" x14ac:dyDescent="0.25">
      <c r="C30" t="s">
        <v>45</v>
      </c>
      <c r="G30" s="13"/>
      <c r="H30" s="13">
        <v>260000000</v>
      </c>
      <c r="I30" s="13"/>
      <c r="J30" s="13"/>
      <c r="K30" s="13"/>
      <c r="L30" s="13"/>
      <c r="M30" s="13">
        <f>800000000*10%*0</f>
        <v>0</v>
      </c>
      <c r="N30" s="13">
        <f>800000000*30%*0</f>
        <v>0</v>
      </c>
      <c r="O30" s="13">
        <f>800000000*20%*0</f>
        <v>0</v>
      </c>
      <c r="P30" s="13">
        <f t="shared" ref="P30" si="4">O30</f>
        <v>0</v>
      </c>
      <c r="Q30" s="13">
        <f t="shared" ref="Q30" si="5">P30</f>
        <v>0</v>
      </c>
      <c r="R30" s="177">
        <f>SUM($G30:Q30)</f>
        <v>260000000</v>
      </c>
      <c r="S30" s="46"/>
      <c r="T30" s="46"/>
      <c r="U30" s="46"/>
      <c r="V30" s="46"/>
      <c r="W30" s="46"/>
      <c r="X30" s="47"/>
      <c r="Y30" s="48"/>
    </row>
    <row r="31" spans="2:27" x14ac:dyDescent="0.25">
      <c r="C31" t="s">
        <v>15</v>
      </c>
      <c r="G31" s="13"/>
      <c r="H31" s="13">
        <f>PARAMETER!B50</f>
        <v>48000000</v>
      </c>
      <c r="I31" s="13">
        <f>H31</f>
        <v>48000000</v>
      </c>
      <c r="J31" s="13">
        <f>I31</f>
        <v>48000000</v>
      </c>
      <c r="K31" s="13">
        <f>J31</f>
        <v>48000000</v>
      </c>
      <c r="L31" s="13">
        <f>K31*0</f>
        <v>0</v>
      </c>
      <c r="M31" s="13">
        <f>200000000*0.5*0</f>
        <v>0</v>
      </c>
      <c r="N31" s="13">
        <f>200000000*0.5*0</f>
        <v>0</v>
      </c>
      <c r="O31" s="13">
        <f>200000000*0.5*0</f>
        <v>0</v>
      </c>
      <c r="P31" s="13">
        <f>200000000*0.5*0</f>
        <v>0</v>
      </c>
      <c r="Q31" s="13">
        <f>200000000*0.5*0</f>
        <v>0</v>
      </c>
      <c r="R31" s="177">
        <f>SUM($G31:Q31)</f>
        <v>192000000</v>
      </c>
      <c r="S31" s="46"/>
      <c r="T31" s="46"/>
      <c r="U31" s="46"/>
      <c r="V31" s="46"/>
      <c r="W31" s="46"/>
      <c r="X31" s="47"/>
      <c r="Y31" s="48"/>
    </row>
    <row r="32" spans="2:27" x14ac:dyDescent="0.25">
      <c r="C32" t="s">
        <v>193</v>
      </c>
      <c r="G32" s="106">
        <f>IF(G22&gt;0,COUNTIF(G22:G26,"&gt;0")*7000000,
IF(G23&gt;0,COUNTIF(G22:G26,"&gt;0")*7000000,
IF(G25&gt;0,COUNTIF(G22:G26,"&gt;0")*7000000,
IF(G26&gt;0,COUNTIF(G22:G26,"&gt;0")*7000000,0))))</f>
        <v>0</v>
      </c>
      <c r="H32" s="106">
        <f>PARAMETER!K24+PARAMETER!B33+PARAMETER!B41</f>
        <v>29470000</v>
      </c>
      <c r="I32" s="106">
        <f>H32</f>
        <v>29470000</v>
      </c>
      <c r="J32" s="106">
        <f>I32</f>
        <v>29470000</v>
      </c>
      <c r="K32" s="106">
        <f>J32</f>
        <v>29470000</v>
      </c>
      <c r="L32" s="106">
        <f>K32*0</f>
        <v>0</v>
      </c>
      <c r="M32" s="106">
        <f>IF(N22&gt;0,COUNTIF(M22:M26,"&gt;0")*7000000,
IF(M23&gt;0,COUNTIF(M22:M26,"&gt;0")*7000000,
IF(O25&gt;0,COUNTIF(M22:M26,"&gt;0")*7000000,
IF(M26&gt;0,COUNTIF(M22:M26,"&gt;0")*7000000,0))))</f>
        <v>0</v>
      </c>
      <c r="N32" s="106">
        <f>IF(O22&gt;0,COUNTIF(N22:N26,"&gt;0")*7000000,
IF(N23&gt;0,COUNTIF(N22:N26,"&gt;0")*7000000,
IF(P25&gt;0,COUNTIF(N22:N26,"&gt;0")*7000000,
IF(N26&gt;0,COUNTIF(N22:N26,"&gt;0")*7000000,0))))</f>
        <v>0</v>
      </c>
      <c r="O32" s="106">
        <f>IF(P22&gt;0,COUNTIF(O22:O26,"&gt;0")*7000000,
IF(O23&gt;0,COUNTIF(O22:O26,"&gt;0")*7000000,
IF(Q25&gt;0,COUNTIF(O22:O26,"&gt;0")*7000000,
IF(O26&gt;0,COUNTIF(O22:O26,"&gt;0")*7000000,0))))</f>
        <v>0</v>
      </c>
      <c r="P32" s="106">
        <f t="shared" ref="H32:Q32" si="6">IF(P22&gt;0,COUNTIF(P22:P26,"&gt;0")*7000000,
IF(P23&gt;0,COUNTIF(P22:P26,"&gt;0")*7000000,
IF(P25&gt;0,COUNTIF(P22:P26,"&gt;0")*7000000,
IF(P26&gt;0,COUNTIF(P22:P26,"&gt;0")*7000000,0))))</f>
        <v>0</v>
      </c>
      <c r="Q32" s="106">
        <f t="shared" si="6"/>
        <v>0</v>
      </c>
      <c r="R32" s="177">
        <f>SUM($G32:Q32)</f>
        <v>117880000</v>
      </c>
      <c r="S32" s="46"/>
      <c r="T32" s="46"/>
      <c r="U32" s="46"/>
      <c r="V32" s="46"/>
      <c r="W32" s="46"/>
      <c r="X32" s="47"/>
      <c r="Y32" s="48"/>
    </row>
    <row r="33" spans="2:25" x14ac:dyDescent="0.25">
      <c r="B33" s="16"/>
      <c r="C33" s="16" t="s">
        <v>147</v>
      </c>
      <c r="D33" s="16"/>
      <c r="E33" s="16"/>
      <c r="F33" s="138">
        <f>H33/K27</f>
        <v>0.05</v>
      </c>
      <c r="G33" s="21">
        <f t="shared" ref="G33" si="7">$F$5*G27</f>
        <v>0</v>
      </c>
      <c r="H33" s="21">
        <f>H27*$F$5</f>
        <v>13650000</v>
      </c>
      <c r="I33" s="21">
        <f>I27*$F$5</f>
        <v>13650000</v>
      </c>
      <c r="J33" s="21">
        <f>J27*$F$5</f>
        <v>13650000</v>
      </c>
      <c r="K33" s="21">
        <f>K27*$F$5</f>
        <v>13650000</v>
      </c>
      <c r="L33" s="21">
        <f>L27*$F$5</f>
        <v>0</v>
      </c>
      <c r="M33" s="21">
        <f>PARAMETER!G10*0</f>
        <v>0</v>
      </c>
      <c r="N33" s="21">
        <f>PARAMETER!H10*0</f>
        <v>0</v>
      </c>
      <c r="O33" s="21">
        <f>PARAMETER!I10*0</f>
        <v>0</v>
      </c>
      <c r="P33" s="21">
        <f>PARAMETER!J10*0</f>
        <v>0</v>
      </c>
      <c r="Q33" s="21">
        <f>PARAMETER!K10*0</f>
        <v>0</v>
      </c>
      <c r="R33" s="177">
        <f>SUM($G33:Q33)</f>
        <v>54600000</v>
      </c>
      <c r="S33" s="50"/>
      <c r="T33" s="50"/>
      <c r="U33" s="50"/>
      <c r="V33" s="50"/>
      <c r="W33" s="50"/>
      <c r="X33" s="47"/>
      <c r="Y33" s="48"/>
    </row>
    <row r="34" spans="2:25" s="1" customFormat="1" x14ac:dyDescent="0.25">
      <c r="B34" s="66" t="s">
        <v>16</v>
      </c>
      <c r="C34" s="66"/>
      <c r="D34" s="66"/>
      <c r="E34" s="66"/>
      <c r="F34" s="66"/>
      <c r="G34" s="67">
        <f>SUM(G30:G33)</f>
        <v>0</v>
      </c>
      <c r="H34" s="67">
        <f>SUM(H30:H33)</f>
        <v>351120000</v>
      </c>
      <c r="I34" s="67">
        <f t="shared" ref="I34:Q34" si="8">SUM(I30:I33)</f>
        <v>91120000</v>
      </c>
      <c r="J34" s="67">
        <f t="shared" si="8"/>
        <v>91120000</v>
      </c>
      <c r="K34" s="67">
        <f t="shared" si="8"/>
        <v>91120000</v>
      </c>
      <c r="L34" s="67">
        <f t="shared" si="8"/>
        <v>0</v>
      </c>
      <c r="M34" s="67">
        <f t="shared" si="8"/>
        <v>0</v>
      </c>
      <c r="N34" s="67">
        <f t="shared" si="8"/>
        <v>0</v>
      </c>
      <c r="O34" s="67">
        <f t="shared" si="8"/>
        <v>0</v>
      </c>
      <c r="P34" s="67">
        <f t="shared" si="8"/>
        <v>0</v>
      </c>
      <c r="Q34" s="67">
        <f t="shared" si="8"/>
        <v>0</v>
      </c>
      <c r="R34" s="161">
        <f>SUM(R30:R33)</f>
        <v>624480000</v>
      </c>
      <c r="S34" s="46">
        <f>SUM(G34:Q34)-R34</f>
        <v>0</v>
      </c>
      <c r="T34" s="51"/>
      <c r="U34" s="51"/>
      <c r="V34" s="51"/>
      <c r="W34" s="51"/>
      <c r="X34" s="51"/>
      <c r="Y34" s="52"/>
    </row>
    <row r="35" spans="2:25" s="1" customFormat="1" x14ac:dyDescent="0.25">
      <c r="B35" s="1" t="s">
        <v>17</v>
      </c>
      <c r="G35" s="22">
        <f>G27-G34</f>
        <v>0</v>
      </c>
      <c r="H35" s="22">
        <f>H27-H34</f>
        <v>-78120000</v>
      </c>
      <c r="I35" s="22">
        <f t="shared" ref="I35:Q35" si="9">I27-I34</f>
        <v>181880000</v>
      </c>
      <c r="J35" s="22">
        <f t="shared" si="9"/>
        <v>181880000</v>
      </c>
      <c r="K35" s="22">
        <f t="shared" si="9"/>
        <v>181880000</v>
      </c>
      <c r="L35" s="22">
        <f t="shared" si="9"/>
        <v>0</v>
      </c>
      <c r="M35" s="22">
        <f>M27-M34</f>
        <v>0</v>
      </c>
      <c r="N35" s="22">
        <f t="shared" si="9"/>
        <v>0</v>
      </c>
      <c r="O35" s="22">
        <f t="shared" si="9"/>
        <v>0</v>
      </c>
      <c r="P35" s="22">
        <f t="shared" si="9"/>
        <v>0</v>
      </c>
      <c r="Q35" s="22">
        <f t="shared" si="9"/>
        <v>0</v>
      </c>
      <c r="R35" s="162">
        <f>R27-R34</f>
        <v>467520000</v>
      </c>
      <c r="S35" s="46">
        <f>SUM(G35:Q35)-R35</f>
        <v>0</v>
      </c>
      <c r="T35" s="51"/>
      <c r="U35" s="51"/>
      <c r="V35" s="51"/>
      <c r="W35" s="51"/>
      <c r="X35" s="51"/>
      <c r="Y35" s="52"/>
    </row>
    <row r="36" spans="2:25" s="1" customFormat="1" x14ac:dyDescent="0.25">
      <c r="B36" s="23" t="s">
        <v>18</v>
      </c>
      <c r="C36" s="24"/>
      <c r="D36" s="24"/>
      <c r="E36" s="24"/>
      <c r="F36" s="24"/>
      <c r="G36" s="25"/>
      <c r="H36" s="25">
        <f>H35/H27</f>
        <v>-0.28615384615384615</v>
      </c>
      <c r="I36" s="25">
        <f t="shared" ref="I36:Q36" si="10">I35/I27</f>
        <v>0.66622710622710624</v>
      </c>
      <c r="J36" s="25">
        <f t="shared" si="10"/>
        <v>0.66622710622710624</v>
      </c>
      <c r="K36" s="25">
        <f t="shared" si="10"/>
        <v>0.66622710622710624</v>
      </c>
      <c r="L36" s="25" t="e">
        <f t="shared" si="10"/>
        <v>#DIV/0!</v>
      </c>
      <c r="M36" s="25" t="e">
        <f t="shared" si="10"/>
        <v>#DIV/0!</v>
      </c>
      <c r="N36" s="25" t="e">
        <f t="shared" si="10"/>
        <v>#DIV/0!</v>
      </c>
      <c r="O36" s="25" t="e">
        <f t="shared" si="10"/>
        <v>#DIV/0!</v>
      </c>
      <c r="P36" s="25" t="e">
        <f t="shared" si="10"/>
        <v>#DIV/0!</v>
      </c>
      <c r="Q36" s="25" t="e">
        <f t="shared" si="10"/>
        <v>#DIV/0!</v>
      </c>
      <c r="R36" s="163">
        <f>R35/R27</f>
        <v>0.42813186813186815</v>
      </c>
      <c r="S36" s="53"/>
      <c r="T36" s="53"/>
      <c r="U36" s="53"/>
      <c r="V36" s="53"/>
      <c r="W36" s="53"/>
      <c r="X36" s="53"/>
      <c r="Y36" s="52"/>
    </row>
    <row r="37" spans="2:25" x14ac:dyDescent="0.25">
      <c r="R37" s="176"/>
      <c r="S37" s="48"/>
      <c r="T37" s="48"/>
      <c r="U37" s="48"/>
      <c r="V37" s="48"/>
      <c r="W37" s="48"/>
      <c r="X37" s="48"/>
      <c r="Y37" s="48"/>
    </row>
    <row r="38" spans="2:25" x14ac:dyDescent="0.25">
      <c r="B38" s="16" t="s">
        <v>19</v>
      </c>
      <c r="C38" s="16"/>
      <c r="D38" s="16"/>
      <c r="E38" s="16"/>
      <c r="F38" s="16"/>
      <c r="G38" s="17"/>
      <c r="H38" s="17">
        <f>H68</f>
        <v>68005259.895833284</v>
      </c>
      <c r="I38" s="17">
        <f t="shared" ref="I38:L38" si="11">I68</f>
        <v>68005259.895833284</v>
      </c>
      <c r="J38" s="17">
        <f t="shared" si="11"/>
        <v>68005259.895833284</v>
      </c>
      <c r="K38" s="17">
        <f t="shared" si="11"/>
        <v>68005259.895833284</v>
      </c>
      <c r="L38" s="17">
        <f>L68*0</f>
        <v>0</v>
      </c>
      <c r="M38" s="17">
        <f>M68*0</f>
        <v>0</v>
      </c>
      <c r="N38" s="17">
        <f>N68*0</f>
        <v>0</v>
      </c>
      <c r="O38" s="17">
        <f>O68*0</f>
        <v>0</v>
      </c>
      <c r="P38" s="17">
        <f>P68*0</f>
        <v>0</v>
      </c>
      <c r="Q38" s="17">
        <f>Q68*0</f>
        <v>0</v>
      </c>
      <c r="R38" s="175">
        <f>SUM($G38:Q38)</f>
        <v>272021039.58333313</v>
      </c>
      <c r="S38" s="46"/>
      <c r="T38" s="46"/>
      <c r="U38" s="46"/>
      <c r="V38" s="46"/>
      <c r="W38" s="46"/>
      <c r="X38" s="46"/>
      <c r="Y38" s="48"/>
    </row>
    <row r="39" spans="2:25" x14ac:dyDescent="0.25">
      <c r="B39" s="26" t="s">
        <v>20</v>
      </c>
      <c r="G39" s="27">
        <f>G35-G38</f>
        <v>0</v>
      </c>
      <c r="H39" s="27">
        <f>H35-H38</f>
        <v>-146125259.89583328</v>
      </c>
      <c r="I39" s="27">
        <f t="shared" ref="I39:P39" si="12">I35-I38</f>
        <v>113874740.10416672</v>
      </c>
      <c r="J39" s="27">
        <f t="shared" si="12"/>
        <v>113874740.10416672</v>
      </c>
      <c r="K39" s="27">
        <f t="shared" si="12"/>
        <v>113874740.10416672</v>
      </c>
      <c r="L39" s="27">
        <f>L35-L38</f>
        <v>0</v>
      </c>
      <c r="M39" s="27">
        <f t="shared" si="12"/>
        <v>0</v>
      </c>
      <c r="N39" s="27">
        <f t="shared" si="12"/>
        <v>0</v>
      </c>
      <c r="O39" s="27">
        <f t="shared" si="12"/>
        <v>0</v>
      </c>
      <c r="P39" s="27">
        <f t="shared" si="12"/>
        <v>0</v>
      </c>
      <c r="Q39" s="27">
        <f>Q35-Q38</f>
        <v>0</v>
      </c>
      <c r="R39" s="179">
        <f>R35-R38</f>
        <v>195498960.41666687</v>
      </c>
      <c r="S39" s="46">
        <f>SUM(G39:Q39)-R39</f>
        <v>0</v>
      </c>
      <c r="T39" s="54"/>
      <c r="U39" s="54"/>
      <c r="V39" s="54"/>
      <c r="W39" s="54"/>
      <c r="X39" s="54"/>
      <c r="Y39" s="48"/>
    </row>
    <row r="40" spans="2:25" x14ac:dyDescent="0.25">
      <c r="B40" s="16" t="s">
        <v>33</v>
      </c>
      <c r="C40" s="16"/>
      <c r="D40" s="16"/>
      <c r="E40" s="16"/>
      <c r="F40" s="16"/>
      <c r="G40" s="17"/>
      <c r="H40" s="17">
        <f>PARAMETER!B$5</f>
        <v>13601051.979166657</v>
      </c>
      <c r="I40" s="17">
        <f>PARAMETER!C$5</f>
        <v>24481893.562499985</v>
      </c>
      <c r="J40" s="17">
        <f>PARAMETER!D$5</f>
        <v>19041472.770833321</v>
      </c>
      <c r="K40" s="17">
        <f>PARAMETER!E$5</f>
        <v>13601051.979166657</v>
      </c>
      <c r="L40" s="17">
        <f>PARAMETER!F$5*0</f>
        <v>0</v>
      </c>
      <c r="M40" s="17">
        <f>PARAMETER!G$5*0</f>
        <v>0</v>
      </c>
      <c r="N40" s="17"/>
      <c r="O40" s="17"/>
      <c r="P40" s="17"/>
      <c r="Q40" s="17"/>
      <c r="R40" s="175">
        <f>SUM($G40:Q40)</f>
        <v>70725470.291666627</v>
      </c>
      <c r="S40" s="46"/>
      <c r="T40" s="46"/>
      <c r="U40" s="46"/>
      <c r="V40" s="46"/>
      <c r="W40" s="46"/>
      <c r="X40" s="46"/>
      <c r="Y40" s="48"/>
    </row>
    <row r="41" spans="2:25" x14ac:dyDescent="0.25">
      <c r="B41" s="26" t="s">
        <v>34</v>
      </c>
      <c r="G41" s="70">
        <f t="shared" ref="G41:Q41" si="13">G39-G40</f>
        <v>0</v>
      </c>
      <c r="H41" s="70">
        <f t="shared" si="13"/>
        <v>-159726311.87499994</v>
      </c>
      <c r="I41" s="70">
        <f t="shared" si="13"/>
        <v>89392846.541666731</v>
      </c>
      <c r="J41" s="70">
        <f t="shared" si="13"/>
        <v>94833267.333333403</v>
      </c>
      <c r="K41" s="70">
        <f t="shared" si="13"/>
        <v>100273688.12500006</v>
      </c>
      <c r="L41" s="70">
        <f t="shared" si="13"/>
        <v>0</v>
      </c>
      <c r="M41" s="70">
        <f t="shared" si="13"/>
        <v>0</v>
      </c>
      <c r="N41" s="70">
        <f t="shared" si="13"/>
        <v>0</v>
      </c>
      <c r="O41" s="70">
        <f t="shared" si="13"/>
        <v>0</v>
      </c>
      <c r="P41" s="70">
        <f t="shared" si="13"/>
        <v>0</v>
      </c>
      <c r="Q41" s="70">
        <f t="shared" si="13"/>
        <v>0</v>
      </c>
      <c r="R41" s="177">
        <f>SUM($G41:Q41)</f>
        <v>124773490.12500025</v>
      </c>
      <c r="S41" s="46">
        <f>SUM(G41:Q41)-R41</f>
        <v>0</v>
      </c>
      <c r="T41" s="54"/>
      <c r="U41" s="54"/>
      <c r="V41" s="54"/>
      <c r="W41" s="54"/>
      <c r="X41" s="54"/>
      <c r="Y41" s="48"/>
    </row>
    <row r="42" spans="2:25" x14ac:dyDescent="0.25">
      <c r="B42" s="16" t="s">
        <v>21</v>
      </c>
      <c r="C42" s="16"/>
      <c r="D42" s="16"/>
      <c r="E42" s="16"/>
      <c r="F42" s="16"/>
      <c r="G42" s="68">
        <f>IF(G41&lt;0,0,G41*$F$3)</f>
        <v>0</v>
      </c>
      <c r="H42" s="68">
        <f t="shared" ref="H42:Q42" si="14">IF(H41&lt;0,0,H41*$F$3)</f>
        <v>0</v>
      </c>
      <c r="I42" s="68">
        <f>IF(I41&lt;0,0,I41*$F$3)</f>
        <v>1787856.9308333346</v>
      </c>
      <c r="J42" s="68">
        <f t="shared" si="14"/>
        <v>1896665.3466666681</v>
      </c>
      <c r="K42" s="68">
        <f t="shared" si="14"/>
        <v>2005473.7625000011</v>
      </c>
      <c r="L42" s="68">
        <f t="shared" si="14"/>
        <v>0</v>
      </c>
      <c r="M42" s="68">
        <f t="shared" si="14"/>
        <v>0</v>
      </c>
      <c r="N42" s="68">
        <f t="shared" si="14"/>
        <v>0</v>
      </c>
      <c r="O42" s="68">
        <f t="shared" si="14"/>
        <v>0</v>
      </c>
      <c r="P42" s="68">
        <f t="shared" si="14"/>
        <v>0</v>
      </c>
      <c r="Q42" s="68">
        <f t="shared" si="14"/>
        <v>0</v>
      </c>
      <c r="R42" s="177">
        <f>SUM($G42:Q42)</f>
        <v>5689996.0400000038</v>
      </c>
      <c r="S42" s="56"/>
      <c r="T42" s="56"/>
      <c r="U42" s="56"/>
      <c r="V42" s="56"/>
      <c r="W42" s="56"/>
      <c r="X42" s="55"/>
      <c r="Y42" s="48"/>
    </row>
    <row r="43" spans="2:25" ht="16.5" thickBot="1" x14ac:dyDescent="0.3">
      <c r="B43" s="29" t="s">
        <v>58</v>
      </c>
      <c r="C43" s="29"/>
      <c r="D43" s="29"/>
      <c r="E43" s="29"/>
      <c r="F43" s="29"/>
      <c r="G43" s="30">
        <f>G41-G42</f>
        <v>0</v>
      </c>
      <c r="H43" s="30">
        <f t="shared" ref="H43:Q43" si="15">H41-H42</f>
        <v>-159726311.87499994</v>
      </c>
      <c r="I43" s="30">
        <f t="shared" si="15"/>
        <v>87604989.610833392</v>
      </c>
      <c r="J43" s="30">
        <f t="shared" si="15"/>
        <v>92936601.986666739</v>
      </c>
      <c r="K43" s="30">
        <f t="shared" si="15"/>
        <v>98268214.362500057</v>
      </c>
      <c r="L43" s="30">
        <f t="shared" si="15"/>
        <v>0</v>
      </c>
      <c r="M43" s="30">
        <f t="shared" si="15"/>
        <v>0</v>
      </c>
      <c r="N43" s="30">
        <f t="shared" si="15"/>
        <v>0</v>
      </c>
      <c r="O43" s="30">
        <f t="shared" si="15"/>
        <v>0</v>
      </c>
      <c r="P43" s="30">
        <f t="shared" si="15"/>
        <v>0</v>
      </c>
      <c r="Q43" s="30">
        <f t="shared" si="15"/>
        <v>0</v>
      </c>
      <c r="R43" s="180">
        <f>R41-R42</f>
        <v>119083494.08500025</v>
      </c>
      <c r="S43" s="46">
        <f>SUM(G43:Q43)-R43</f>
        <v>0</v>
      </c>
      <c r="T43" s="54"/>
      <c r="U43" s="54"/>
      <c r="V43" s="54"/>
      <c r="W43" s="54"/>
      <c r="X43" s="54"/>
      <c r="Y43" s="48"/>
    </row>
    <row r="44" spans="2:25" x14ac:dyDescent="0.25">
      <c r="R44" s="176"/>
      <c r="S44" s="48"/>
      <c r="T44" s="48"/>
      <c r="U44" s="48"/>
      <c r="V44" s="48"/>
      <c r="W44" s="48"/>
      <c r="X44" s="48"/>
      <c r="Y44" s="48"/>
    </row>
    <row r="45" spans="2:25" x14ac:dyDescent="0.25">
      <c r="B45" s="16" t="s">
        <v>22</v>
      </c>
      <c r="C45" s="16"/>
      <c r="D45" s="16"/>
      <c r="E45" s="16"/>
      <c r="F45" s="31"/>
      <c r="G45" s="31">
        <f>-G13+-G14</f>
        <v>-272021039.58333313</v>
      </c>
      <c r="H45" s="31">
        <f>-H14</f>
        <v>0</v>
      </c>
      <c r="I45" s="31">
        <f t="shared" ref="I45:P45" si="16">-I14</f>
        <v>0</v>
      </c>
      <c r="J45" s="31">
        <f t="shared" si="16"/>
        <v>0</v>
      </c>
      <c r="K45" s="31">
        <f t="shared" si="16"/>
        <v>0</v>
      </c>
      <c r="L45" s="31">
        <f t="shared" si="16"/>
        <v>0</v>
      </c>
      <c r="M45" s="31">
        <f t="shared" si="16"/>
        <v>0</v>
      </c>
      <c r="N45" s="31">
        <f t="shared" si="16"/>
        <v>0</v>
      </c>
      <c r="O45" s="31">
        <f t="shared" si="16"/>
        <v>0</v>
      </c>
      <c r="P45" s="31">
        <f t="shared" si="16"/>
        <v>0</v>
      </c>
      <c r="Q45" s="31">
        <f>-Q14</f>
        <v>0</v>
      </c>
      <c r="R45" s="181">
        <f>SUM($G$45:Q45)</f>
        <v>-272021039.58333313</v>
      </c>
      <c r="S45" s="55"/>
      <c r="T45" s="55"/>
      <c r="U45" s="55"/>
      <c r="V45" s="55"/>
      <c r="W45" s="55"/>
      <c r="X45" s="55"/>
      <c r="Y45" s="48"/>
    </row>
    <row r="46" spans="2:25" x14ac:dyDescent="0.25">
      <c r="B46" t="s">
        <v>23</v>
      </c>
      <c r="F46" s="28"/>
      <c r="G46" s="28">
        <f t="shared" ref="G46:Q46" si="17">G45+G43+G38</f>
        <v>-272021039.58333313</v>
      </c>
      <c r="H46" s="28">
        <f t="shared" si="17"/>
        <v>-91721051.979166657</v>
      </c>
      <c r="I46" s="28">
        <f t="shared" si="17"/>
        <v>155610249.50666666</v>
      </c>
      <c r="J46" s="28">
        <f t="shared" si="17"/>
        <v>160941861.88250002</v>
      </c>
      <c r="K46" s="28">
        <f t="shared" si="17"/>
        <v>166273474.25833333</v>
      </c>
      <c r="L46" s="28">
        <f t="shared" si="17"/>
        <v>0</v>
      </c>
      <c r="M46" s="28">
        <f t="shared" si="17"/>
        <v>0</v>
      </c>
      <c r="N46" s="28">
        <f t="shared" si="17"/>
        <v>0</v>
      </c>
      <c r="O46" s="28">
        <f t="shared" si="17"/>
        <v>0</v>
      </c>
      <c r="P46" s="28">
        <f t="shared" si="17"/>
        <v>0</v>
      </c>
      <c r="Q46" s="28">
        <f t="shared" si="17"/>
        <v>0</v>
      </c>
      <c r="R46" s="182">
        <f>SUM($G$46:Q46)</f>
        <v>119083494.08500025</v>
      </c>
      <c r="S46" s="55"/>
      <c r="T46" s="55"/>
      <c r="U46" s="55"/>
      <c r="V46" s="55"/>
      <c r="W46" s="55"/>
      <c r="X46" s="55"/>
      <c r="Y46" s="48"/>
    </row>
    <row r="47" spans="2:25" x14ac:dyDescent="0.25">
      <c r="B47" t="s">
        <v>24</v>
      </c>
      <c r="F47" s="28"/>
      <c r="G47" s="28">
        <f>F47+G46</f>
        <v>-272021039.58333313</v>
      </c>
      <c r="H47" s="28">
        <f>G47+H46</f>
        <v>-363742091.56249976</v>
      </c>
      <c r="I47" s="28">
        <f t="shared" ref="I47:O47" si="18">H47+I46</f>
        <v>-208131842.0558331</v>
      </c>
      <c r="J47" s="28">
        <f t="shared" si="18"/>
        <v>-47189980.173333079</v>
      </c>
      <c r="K47" s="28">
        <f t="shared" si="18"/>
        <v>119083494.08500025</v>
      </c>
      <c r="L47" s="28">
        <f>(K47+L46)*0</f>
        <v>0</v>
      </c>
      <c r="M47" s="28">
        <f>(L47+M46)*0</f>
        <v>0</v>
      </c>
      <c r="N47" s="28">
        <f t="shared" si="18"/>
        <v>0</v>
      </c>
      <c r="O47" s="28">
        <f t="shared" si="18"/>
        <v>0</v>
      </c>
      <c r="P47" s="28">
        <f t="shared" ref="P47" si="19">O47+P46</f>
        <v>0</v>
      </c>
      <c r="Q47" s="28">
        <f t="shared" ref="Q47" si="20">P47+Q46</f>
        <v>0</v>
      </c>
      <c r="R47" s="182"/>
      <c r="S47" s="55"/>
      <c r="T47" s="55"/>
      <c r="U47" s="55"/>
      <c r="V47" s="55"/>
      <c r="W47" s="55"/>
      <c r="X47" s="55"/>
      <c r="Y47" s="48"/>
    </row>
    <row r="48" spans="2:25" x14ac:dyDescent="0.25">
      <c r="B48" t="s">
        <v>25</v>
      </c>
      <c r="F48" s="28"/>
      <c r="G48" s="32">
        <f t="shared" ref="G48:O48" si="21">IF(AND(F47&lt;0,G47&gt;0),H56-(G47/G46),0)</f>
        <v>0</v>
      </c>
      <c r="H48" s="32">
        <f>IF(AND(G47&lt;0,H47&gt;0),H56-(H47/H46),0)</f>
        <v>0</v>
      </c>
      <c r="I48" s="32">
        <f>IF(AND(H47&lt;0,I47&gt;0),I56-(I47/I46),0)</f>
        <v>0</v>
      </c>
      <c r="J48" s="32">
        <f>IF(AND(I47&lt;0,J47&gt;0),J56-(J47/J46),0)</f>
        <v>0</v>
      </c>
      <c r="K48" s="77">
        <f>IF(AND(J47&lt;0,K47&gt;0),K56-(K47/K46),0)</f>
        <v>3.2838094313228559</v>
      </c>
      <c r="L48" s="32">
        <f>IF(AND(K47&lt;0,L47&gt;0),L56-(L47/L46),0)</f>
        <v>0</v>
      </c>
      <c r="M48" s="32">
        <f t="shared" si="21"/>
        <v>0</v>
      </c>
      <c r="N48" s="32">
        <f t="shared" si="21"/>
        <v>0</v>
      </c>
      <c r="O48" s="32">
        <f t="shared" si="21"/>
        <v>0</v>
      </c>
      <c r="P48" s="32"/>
      <c r="Q48" s="32">
        <f>IF(AND(O47&lt;0,Q47&gt;0),R56-(Q47/Q46),0)</f>
        <v>0</v>
      </c>
      <c r="R48" s="183"/>
      <c r="S48" s="32"/>
      <c r="T48" s="32"/>
      <c r="U48" s="32"/>
      <c r="V48" s="32"/>
      <c r="W48" s="32"/>
      <c r="X48" s="32"/>
    </row>
    <row r="49" spans="2:25" s="80" customFormat="1" x14ac:dyDescent="0.25">
      <c r="F49" s="81"/>
      <c r="G49" s="82"/>
      <c r="H49" s="82"/>
      <c r="I49" s="82"/>
      <c r="J49" s="82"/>
      <c r="K49" s="83"/>
      <c r="L49" s="82"/>
      <c r="M49" s="82"/>
      <c r="N49" s="82"/>
      <c r="O49" s="82"/>
      <c r="P49" s="82"/>
      <c r="Q49" s="82"/>
      <c r="R49" s="184"/>
      <c r="S49" s="82"/>
      <c r="T49" s="82"/>
      <c r="U49" s="82"/>
      <c r="V49" s="82"/>
      <c r="W49" s="82"/>
      <c r="X49" s="82"/>
    </row>
    <row r="50" spans="2:25" s="80" customFormat="1" x14ac:dyDescent="0.25">
      <c r="G50" s="84"/>
      <c r="R50" s="185"/>
    </row>
    <row r="51" spans="2:25" x14ac:dyDescent="0.25">
      <c r="B51" s="58" t="s">
        <v>26</v>
      </c>
      <c r="C51" s="59"/>
      <c r="D51" s="59"/>
      <c r="E51" s="59"/>
      <c r="F51" s="126">
        <f>IRR(G46:Q46)</f>
        <v>0.10867869607103864</v>
      </c>
      <c r="R51" s="173"/>
    </row>
    <row r="52" spans="2:25" x14ac:dyDescent="0.25">
      <c r="B52" s="60" t="s">
        <v>27</v>
      </c>
      <c r="C52" s="61"/>
      <c r="D52" s="61"/>
      <c r="E52" s="61"/>
      <c r="F52" s="124">
        <f>NPV(F4,H46:Q46)+G46</f>
        <v>7684720.9848514199</v>
      </c>
      <c r="H52" s="76"/>
      <c r="I52" s="14"/>
      <c r="R52" s="186"/>
    </row>
    <row r="53" spans="2:25" x14ac:dyDescent="0.25">
      <c r="B53" s="60" t="s">
        <v>28</v>
      </c>
      <c r="C53" s="61"/>
      <c r="D53" s="61"/>
      <c r="E53" s="61"/>
      <c r="F53" s="62">
        <f>R36</f>
        <v>0.42813186813186815</v>
      </c>
      <c r="H53" s="69"/>
      <c r="R53" s="186"/>
    </row>
    <row r="54" spans="2:25" x14ac:dyDescent="0.25">
      <c r="B54" s="63" t="s">
        <v>29</v>
      </c>
      <c r="C54" s="64"/>
      <c r="D54" s="64"/>
      <c r="E54" s="64"/>
      <c r="F54" s="65">
        <f>SUM(G48:Q48)</f>
        <v>3.2838094313228559</v>
      </c>
      <c r="R54" s="186"/>
    </row>
    <row r="55" spans="2:25" x14ac:dyDescent="0.25">
      <c r="F55" s="33"/>
      <c r="G55" s="33"/>
      <c r="H55" s="2"/>
      <c r="R55" s="186"/>
    </row>
    <row r="56" spans="2:25" x14ac:dyDescent="0.25">
      <c r="G56"/>
      <c r="H56" s="8">
        <v>1</v>
      </c>
      <c r="I56" s="34">
        <v>2</v>
      </c>
      <c r="J56" s="8">
        <v>3</v>
      </c>
      <c r="K56" s="34">
        <v>4</v>
      </c>
      <c r="L56" s="8">
        <v>5</v>
      </c>
      <c r="M56" s="34">
        <v>6</v>
      </c>
      <c r="N56" s="8">
        <v>7</v>
      </c>
      <c r="O56" s="34">
        <v>8</v>
      </c>
      <c r="P56" s="8">
        <v>9</v>
      </c>
      <c r="Q56" s="8">
        <v>10</v>
      </c>
      <c r="R56" s="173"/>
      <c r="S56" s="34"/>
      <c r="T56" s="8"/>
      <c r="U56" s="34"/>
      <c r="V56" s="8"/>
      <c r="W56" s="34"/>
      <c r="X56" s="8"/>
    </row>
    <row r="57" spans="2:25" ht="16.5" thickBot="1" x14ac:dyDescent="0.3">
      <c r="B57" s="35" t="s">
        <v>30</v>
      </c>
      <c r="E57" s="36" t="s">
        <v>31</v>
      </c>
      <c r="G57"/>
      <c r="H57" s="36">
        <f t="shared" ref="H57:Q57" si="22">H17</f>
        <v>2024</v>
      </c>
      <c r="I57" s="36">
        <f t="shared" si="22"/>
        <v>2025</v>
      </c>
      <c r="J57" s="36">
        <f t="shared" si="22"/>
        <v>2026</v>
      </c>
      <c r="K57" s="36">
        <f t="shared" si="22"/>
        <v>2027</v>
      </c>
      <c r="L57" s="36">
        <f t="shared" si="22"/>
        <v>2028</v>
      </c>
      <c r="M57" s="36">
        <f t="shared" si="22"/>
        <v>2029</v>
      </c>
      <c r="N57" s="36">
        <f t="shared" si="22"/>
        <v>2030</v>
      </c>
      <c r="O57" s="36">
        <f t="shared" si="22"/>
        <v>2031</v>
      </c>
      <c r="P57" s="36">
        <f t="shared" si="22"/>
        <v>2032</v>
      </c>
      <c r="Q57" s="36">
        <f t="shared" si="22"/>
        <v>2033</v>
      </c>
      <c r="R57" s="159" t="s">
        <v>11</v>
      </c>
      <c r="S57" s="36"/>
      <c r="T57" s="36"/>
      <c r="U57" s="36"/>
      <c r="V57" s="36"/>
      <c r="W57" s="36"/>
      <c r="X57" s="36"/>
      <c r="Y57" s="36"/>
    </row>
    <row r="58" spans="2:25" x14ac:dyDescent="0.25">
      <c r="D58" t="s">
        <v>5</v>
      </c>
      <c r="E58">
        <v>4</v>
      </c>
      <c r="G58"/>
      <c r="H58" s="71">
        <f>(G$13+G14)/$E58</f>
        <v>68005259.895833284</v>
      </c>
      <c r="I58" s="37">
        <f>H58</f>
        <v>68005259.895833284</v>
      </c>
      <c r="J58" s="37">
        <f t="shared" ref="J58:Q58" si="23">I58</f>
        <v>68005259.895833284</v>
      </c>
      <c r="K58" s="37">
        <f t="shared" si="23"/>
        <v>68005259.895833284</v>
      </c>
      <c r="L58" s="37">
        <f t="shared" si="23"/>
        <v>68005259.895833284</v>
      </c>
      <c r="M58" s="37">
        <f t="shared" si="23"/>
        <v>68005259.895833284</v>
      </c>
      <c r="N58" s="37">
        <f t="shared" si="23"/>
        <v>68005259.895833284</v>
      </c>
      <c r="O58" s="37">
        <f t="shared" si="23"/>
        <v>68005259.895833284</v>
      </c>
      <c r="P58" s="37">
        <f t="shared" si="23"/>
        <v>68005259.895833284</v>
      </c>
      <c r="Q58" s="37">
        <f t="shared" si="23"/>
        <v>68005259.895833284</v>
      </c>
      <c r="R58" s="177">
        <f>SUM($G58:Q58)</f>
        <v>680052598.95833266</v>
      </c>
      <c r="S58" s="37"/>
      <c r="T58" s="37"/>
      <c r="U58" s="37"/>
      <c r="V58" s="37"/>
      <c r="W58" s="37"/>
      <c r="X58" s="37"/>
      <c r="Y58" s="38"/>
    </row>
    <row r="59" spans="2:25" x14ac:dyDescent="0.25">
      <c r="D59" t="s">
        <v>6</v>
      </c>
      <c r="E59">
        <v>3</v>
      </c>
      <c r="G59"/>
      <c r="H59" s="2"/>
      <c r="I59" s="71">
        <f>I14/E59</f>
        <v>0</v>
      </c>
      <c r="J59" s="37">
        <f>I59</f>
        <v>0</v>
      </c>
      <c r="K59" s="37">
        <f t="shared" ref="K59:Q60" si="24">J59</f>
        <v>0</v>
      </c>
      <c r="L59" s="37">
        <f t="shared" si="24"/>
        <v>0</v>
      </c>
      <c r="M59" s="37">
        <f t="shared" si="24"/>
        <v>0</v>
      </c>
      <c r="N59" s="37">
        <f t="shared" si="24"/>
        <v>0</v>
      </c>
      <c r="O59" s="37">
        <f t="shared" si="24"/>
        <v>0</v>
      </c>
      <c r="P59" s="37">
        <f t="shared" si="24"/>
        <v>0</v>
      </c>
      <c r="Q59" s="37">
        <f t="shared" si="24"/>
        <v>0</v>
      </c>
      <c r="R59" s="177">
        <f>SUM($G59:Q59)</f>
        <v>0</v>
      </c>
      <c r="S59" s="37"/>
      <c r="T59" s="37"/>
      <c r="U59" s="37"/>
      <c r="V59" s="37"/>
      <c r="W59" s="37"/>
      <c r="X59" s="37"/>
      <c r="Y59" s="38"/>
    </row>
    <row r="60" spans="2:25" x14ac:dyDescent="0.25">
      <c r="D60" t="s">
        <v>7</v>
      </c>
      <c r="E60">
        <v>2</v>
      </c>
      <c r="G60"/>
      <c r="H60" s="2"/>
      <c r="J60" s="71">
        <f>J14/$E60</f>
        <v>0</v>
      </c>
      <c r="K60" s="37">
        <f>J60</f>
        <v>0</v>
      </c>
      <c r="L60" s="37">
        <f t="shared" ref="L60:P60" si="25">K60</f>
        <v>0</v>
      </c>
      <c r="M60" s="37">
        <f t="shared" si="25"/>
        <v>0</v>
      </c>
      <c r="N60" s="37">
        <f t="shared" si="25"/>
        <v>0</v>
      </c>
      <c r="O60" s="37">
        <f t="shared" si="25"/>
        <v>0</v>
      </c>
      <c r="P60" s="37">
        <f t="shared" si="25"/>
        <v>0</v>
      </c>
      <c r="Q60" s="37">
        <f t="shared" si="24"/>
        <v>0</v>
      </c>
      <c r="R60" s="177">
        <f>SUM($G60:Q60)</f>
        <v>0</v>
      </c>
      <c r="S60" s="37"/>
      <c r="T60" s="37"/>
      <c r="U60" s="37"/>
      <c r="V60" s="37"/>
      <c r="W60" s="37"/>
      <c r="X60" s="37"/>
      <c r="Y60" s="38"/>
    </row>
    <row r="61" spans="2:25" x14ac:dyDescent="0.25">
      <c r="D61" t="s">
        <v>8</v>
      </c>
      <c r="E61">
        <v>1</v>
      </c>
      <c r="G61"/>
      <c r="H61" s="2"/>
      <c r="K61" s="71">
        <f>K14/$E61</f>
        <v>0</v>
      </c>
      <c r="L61" s="37">
        <f>K61</f>
        <v>0</v>
      </c>
      <c r="M61" s="37">
        <f t="shared" ref="M61:Q64" si="26">L61</f>
        <v>0</v>
      </c>
      <c r="N61" s="37">
        <f t="shared" si="26"/>
        <v>0</v>
      </c>
      <c r="O61" s="37">
        <f t="shared" si="26"/>
        <v>0</v>
      </c>
      <c r="P61" s="37">
        <f t="shared" si="26"/>
        <v>0</v>
      </c>
      <c r="Q61" s="37">
        <f t="shared" si="26"/>
        <v>0</v>
      </c>
      <c r="R61" s="177">
        <f>SUM($G61:Q61)</f>
        <v>0</v>
      </c>
      <c r="S61" s="37"/>
      <c r="T61" s="37"/>
      <c r="U61" s="37"/>
      <c r="V61" s="37"/>
      <c r="W61" s="37"/>
      <c r="X61" s="37"/>
      <c r="Y61" s="38"/>
    </row>
    <row r="62" spans="2:25" hidden="1" x14ac:dyDescent="0.25">
      <c r="D62" t="s">
        <v>9</v>
      </c>
      <c r="E62">
        <v>1</v>
      </c>
      <c r="G62"/>
      <c r="H62" s="2"/>
      <c r="L62" s="71">
        <f>K$13/$E62</f>
        <v>0</v>
      </c>
      <c r="M62" s="37">
        <f>L62</f>
        <v>0</v>
      </c>
      <c r="N62" s="37">
        <f t="shared" si="26"/>
        <v>0</v>
      </c>
      <c r="O62" s="37">
        <f t="shared" si="26"/>
        <v>0</v>
      </c>
      <c r="P62" s="37">
        <f t="shared" si="26"/>
        <v>0</v>
      </c>
      <c r="Q62" s="37"/>
      <c r="R62" s="177">
        <f>SUM($G62:Q62)</f>
        <v>0</v>
      </c>
      <c r="S62" s="37"/>
      <c r="T62" s="37"/>
      <c r="U62" s="37"/>
      <c r="V62" s="37"/>
      <c r="W62" s="37"/>
      <c r="X62" s="37"/>
      <c r="Y62" s="38"/>
    </row>
    <row r="63" spans="2:25" hidden="1" x14ac:dyDescent="0.25">
      <c r="D63" t="s">
        <v>51</v>
      </c>
      <c r="E63">
        <v>5</v>
      </c>
      <c r="G63"/>
      <c r="H63" s="2"/>
      <c r="L63" s="37"/>
      <c r="M63" s="71">
        <f>L$13/$E63</f>
        <v>0</v>
      </c>
      <c r="N63" s="37">
        <f>M63</f>
        <v>0</v>
      </c>
      <c r="O63" s="37">
        <f t="shared" si="26"/>
        <v>0</v>
      </c>
      <c r="P63" s="37">
        <f t="shared" si="26"/>
        <v>0</v>
      </c>
      <c r="Q63" s="37"/>
      <c r="R63" s="177">
        <f>SUM($G63:Q63)</f>
        <v>0</v>
      </c>
      <c r="S63" s="37"/>
      <c r="T63" s="37"/>
      <c r="U63" s="37"/>
      <c r="V63" s="37"/>
      <c r="W63" s="37"/>
      <c r="X63" s="37"/>
      <c r="Y63" s="38"/>
    </row>
    <row r="64" spans="2:25" hidden="1" x14ac:dyDescent="0.25">
      <c r="D64" t="s">
        <v>52</v>
      </c>
      <c r="E64">
        <v>4</v>
      </c>
      <c r="G64"/>
      <c r="H64" s="2"/>
      <c r="L64" s="37"/>
      <c r="M64" s="37"/>
      <c r="N64" s="71">
        <f>M$13/$E64</f>
        <v>0</v>
      </c>
      <c r="O64" s="37">
        <f>N64</f>
        <v>0</v>
      </c>
      <c r="P64" s="37">
        <f t="shared" si="26"/>
        <v>0</v>
      </c>
      <c r="Q64" s="37"/>
      <c r="R64" s="177">
        <f>SUM($G64:Q64)</f>
        <v>0</v>
      </c>
      <c r="S64" s="37"/>
      <c r="T64" s="37"/>
      <c r="U64" s="37"/>
      <c r="V64" s="37"/>
      <c r="W64" s="37"/>
      <c r="X64" s="37"/>
      <c r="Y64" s="38"/>
    </row>
    <row r="65" spans="2:28" hidden="1" x14ac:dyDescent="0.25">
      <c r="D65" t="s">
        <v>53</v>
      </c>
      <c r="E65">
        <v>3</v>
      </c>
      <c r="G65"/>
      <c r="H65" s="2"/>
      <c r="L65" s="37"/>
      <c r="M65" s="37"/>
      <c r="N65" s="37"/>
      <c r="O65" s="71">
        <f>N$13/$E65</f>
        <v>0</v>
      </c>
      <c r="P65" s="37">
        <f>O65</f>
        <v>0</v>
      </c>
      <c r="Q65" s="37"/>
      <c r="R65" s="177">
        <f>SUM($G65:Q65)</f>
        <v>0</v>
      </c>
      <c r="S65" s="37"/>
      <c r="T65" s="37"/>
      <c r="U65" s="37"/>
      <c r="V65" s="37"/>
      <c r="W65" s="37"/>
      <c r="X65" s="37"/>
      <c r="Y65" s="38"/>
    </row>
    <row r="66" spans="2:28" hidden="1" x14ac:dyDescent="0.25">
      <c r="D66" t="s">
        <v>54</v>
      </c>
      <c r="E66">
        <v>2</v>
      </c>
      <c r="G66"/>
      <c r="H66" s="2"/>
      <c r="L66" s="37"/>
      <c r="M66" s="37"/>
      <c r="N66" s="37"/>
      <c r="O66" s="37"/>
      <c r="P66" s="71">
        <f>O$13/$E66</f>
        <v>0</v>
      </c>
      <c r="Q66" s="71"/>
      <c r="R66" s="177">
        <f>SUM($G66:Q66)</f>
        <v>0</v>
      </c>
      <c r="S66" s="37"/>
      <c r="T66" s="37"/>
      <c r="U66" s="37"/>
      <c r="V66" s="37"/>
      <c r="W66" s="37"/>
      <c r="X66" s="37"/>
      <c r="Y66" s="38"/>
    </row>
    <row r="67" spans="2:28" hidden="1" x14ac:dyDescent="0.25">
      <c r="D67" t="s">
        <v>55</v>
      </c>
      <c r="E67">
        <v>1</v>
      </c>
      <c r="G67"/>
      <c r="H67" s="2"/>
      <c r="K67" s="37"/>
      <c r="L67" s="78"/>
      <c r="M67" s="78"/>
      <c r="N67" s="78"/>
      <c r="O67" s="78"/>
      <c r="P67" s="78"/>
      <c r="Q67" s="78"/>
      <c r="R67" s="177">
        <f>SUM($G67:Q67)</f>
        <v>0</v>
      </c>
      <c r="S67" s="37"/>
      <c r="T67" s="37"/>
      <c r="U67" s="37"/>
      <c r="V67" s="37"/>
      <c r="W67" s="37"/>
      <c r="X67" s="37"/>
      <c r="Y67" s="38"/>
    </row>
    <row r="68" spans="2:28" ht="16.5" thickBot="1" x14ac:dyDescent="0.3">
      <c r="B68" s="39" t="s">
        <v>32</v>
      </c>
      <c r="C68" s="40"/>
      <c r="D68" s="40"/>
      <c r="E68" s="40"/>
      <c r="F68" s="40"/>
      <c r="G68" s="40"/>
      <c r="H68" s="41">
        <f>SUM(H58:H67)</f>
        <v>68005259.895833284</v>
      </c>
      <c r="I68" s="41">
        <f t="shared" ref="I68:P68" si="27">SUM(I58:I67)</f>
        <v>68005259.895833284</v>
      </c>
      <c r="J68" s="41">
        <f t="shared" si="27"/>
        <v>68005259.895833284</v>
      </c>
      <c r="K68" s="41">
        <f t="shared" si="27"/>
        <v>68005259.895833284</v>
      </c>
      <c r="L68" s="41">
        <f t="shared" si="27"/>
        <v>68005259.895833284</v>
      </c>
      <c r="M68" s="41">
        <f t="shared" si="27"/>
        <v>68005259.895833284</v>
      </c>
      <c r="N68" s="41">
        <f t="shared" si="27"/>
        <v>68005259.895833284</v>
      </c>
      <c r="O68" s="41">
        <f t="shared" si="27"/>
        <v>68005259.895833284</v>
      </c>
      <c r="P68" s="41">
        <f t="shared" si="27"/>
        <v>68005259.895833284</v>
      </c>
      <c r="Q68" s="41">
        <f>SUM(Q58:Q67)</f>
        <v>68005259.895833284</v>
      </c>
      <c r="R68" s="158">
        <f>SUM(R58:R67)</f>
        <v>680052598.95833266</v>
      </c>
      <c r="S68" s="45"/>
      <c r="T68" s="45"/>
      <c r="U68" s="45"/>
      <c r="V68" s="45"/>
      <c r="W68" s="45"/>
      <c r="X68" s="45"/>
      <c r="Y68" s="45"/>
      <c r="Z68" s="42"/>
      <c r="AA68" s="42"/>
      <c r="AB68" s="42"/>
    </row>
    <row r="69" spans="2:28" ht="17.25" thickTop="1" thickBot="1" x14ac:dyDescent="0.3">
      <c r="G69"/>
      <c r="H69" s="2"/>
      <c r="M69" s="38"/>
      <c r="N69" s="38"/>
      <c r="O69" s="38"/>
      <c r="P69" s="38"/>
      <c r="Q69" s="38"/>
      <c r="R69" s="187"/>
      <c r="Y69" s="14"/>
    </row>
    <row r="71" spans="2:28" x14ac:dyDescent="0.25">
      <c r="F71" t="s">
        <v>59</v>
      </c>
    </row>
    <row r="80" spans="2:28" x14ac:dyDescent="0.25">
      <c r="G80" s="69"/>
      <c r="H80" s="14"/>
    </row>
    <row r="82" spans="6:12" x14ac:dyDescent="0.25">
      <c r="G82" s="13"/>
    </row>
    <row r="83" spans="6:12" x14ac:dyDescent="0.25">
      <c r="G83" s="13"/>
      <c r="H83" s="14"/>
      <c r="I83" s="14"/>
      <c r="J83" s="14"/>
      <c r="K83" s="14"/>
      <c r="L83" s="14"/>
    </row>
    <row r="84" spans="6:12" x14ac:dyDescent="0.25">
      <c r="F84" s="80"/>
      <c r="G84" s="85"/>
      <c r="H84" s="86"/>
      <c r="I84" s="86"/>
      <c r="J84" s="86"/>
      <c r="K84" s="86"/>
      <c r="L84" s="86"/>
    </row>
    <row r="87" spans="6:12" x14ac:dyDescent="0.25">
      <c r="G87" s="13"/>
      <c r="L87" s="14"/>
    </row>
    <row r="89" spans="6:12" x14ac:dyDescent="0.25">
      <c r="G89" s="69"/>
      <c r="H89" s="69"/>
      <c r="I89" s="69"/>
      <c r="J89" s="69"/>
      <c r="K89" s="69"/>
      <c r="L89" s="69"/>
    </row>
  </sheetData>
  <mergeCells count="1">
    <mergeCell ref="E27:F27"/>
  </mergeCells>
  <phoneticPr fontId="26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K54"/>
  <sheetViews>
    <sheetView topLeftCell="A22" zoomScale="80" zoomScaleNormal="80" workbookViewId="0">
      <selection activeCell="K46" sqref="K46"/>
    </sheetView>
  </sheetViews>
  <sheetFormatPr defaultRowHeight="15.75" x14ac:dyDescent="0.25"/>
  <cols>
    <col min="1" max="1" width="13.5" bestFit="1" customWidth="1"/>
    <col min="2" max="2" width="15.75" bestFit="1" customWidth="1"/>
    <col min="3" max="4" width="13.75" bestFit="1" customWidth="1"/>
    <col min="5" max="9" width="12.125" bestFit="1" customWidth="1"/>
    <col min="10" max="11" width="13.75" bestFit="1" customWidth="1"/>
  </cols>
  <sheetData>
    <row r="1" spans="1:11" s="1" customFormat="1" x14ac:dyDescent="0.2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51</v>
      </c>
      <c r="H1" s="1" t="s">
        <v>52</v>
      </c>
      <c r="I1" s="1" t="s">
        <v>53</v>
      </c>
      <c r="J1" s="1" t="s">
        <v>54</v>
      </c>
      <c r="K1" s="1" t="s">
        <v>55</v>
      </c>
    </row>
    <row r="2" spans="1:11" x14ac:dyDescent="0.25">
      <c r="A2" t="s">
        <v>60</v>
      </c>
      <c r="B2" s="87">
        <f>SUM('IRR Approved'!G13:K14)</f>
        <v>272021039.58333313</v>
      </c>
      <c r="C2" s="14">
        <f>$B$2-$B$4</f>
        <v>217616831.66666651</v>
      </c>
      <c r="D2" s="14">
        <f>$C$2-$B$4</f>
        <v>163212623.74999988</v>
      </c>
      <c r="E2" s="14">
        <f>$D$2-$B$4</f>
        <v>108808415.83333325</v>
      </c>
      <c r="F2" s="14">
        <f>$E$2-$B$4</f>
        <v>54404207.916666627</v>
      </c>
      <c r="G2" s="14">
        <f>$F$2-$B$4</f>
        <v>0</v>
      </c>
      <c r="H2" s="14">
        <f>$G$2-$B$4</f>
        <v>-54404207.916666627</v>
      </c>
      <c r="I2" s="14">
        <f>$H$2-$B$4</f>
        <v>-108808415.83333325</v>
      </c>
      <c r="J2" s="14">
        <f>$I$2-$B$4</f>
        <v>-163212623.74999988</v>
      </c>
      <c r="K2" s="14">
        <f>$J$2-$B$4</f>
        <v>-217616831.66666651</v>
      </c>
    </row>
    <row r="3" spans="1:11" x14ac:dyDescent="0.25">
      <c r="A3" t="s">
        <v>61</v>
      </c>
      <c r="B3" s="87">
        <v>5</v>
      </c>
    </row>
    <row r="4" spans="1:11" x14ac:dyDescent="0.25">
      <c r="A4" t="s">
        <v>62</v>
      </c>
      <c r="B4" s="87">
        <f>$B$2/$B$3</f>
        <v>54404207.916666627</v>
      </c>
      <c r="C4" s="87"/>
      <c r="D4" s="87"/>
    </row>
    <row r="5" spans="1:11" x14ac:dyDescent="0.25">
      <c r="A5" t="s">
        <v>63</v>
      </c>
      <c r="B5" s="87">
        <f>(($B$2*'IRR Approved'!$F$4)*6)/12</f>
        <v>13601051.979166657</v>
      </c>
      <c r="C5" s="14">
        <f>AVERAGE($B$2:$C$2)*'IRR Approved'!$F$4</f>
        <v>24481893.562499985</v>
      </c>
      <c r="D5" s="14">
        <f>AVERAGE($C$2:$D$2)*'IRR Approved'!$F$4</f>
        <v>19041472.770833321</v>
      </c>
      <c r="E5" s="14">
        <f>AVERAGE($D$2:$E$2)*'IRR Approved'!$F$4</f>
        <v>13601051.979166657</v>
      </c>
      <c r="F5" s="14">
        <f>AVERAGE($E$2:$F$2)*'IRR Approved'!$F$4</f>
        <v>8160631.1874999944</v>
      </c>
      <c r="G5" s="14">
        <f>AVERAGE($F$2:$G$2)*'IRR Approved'!$F$4</f>
        <v>2720210.3958333316</v>
      </c>
      <c r="H5" s="14">
        <f>AVERAGE($G$2:$H$2)*'IRR Approved'!$F$4</f>
        <v>-2720210.3958333316</v>
      </c>
      <c r="I5" s="14">
        <f>AVERAGE($H$2:$I$2)*'IRR Approved'!$F$4</f>
        <v>-8160631.1874999944</v>
      </c>
      <c r="J5" s="14">
        <f>AVERAGE($I$2:$J$2)*'IRR Approved'!$F$4</f>
        <v>-13601051.979166657</v>
      </c>
      <c r="K5" s="14">
        <f>AVERAGE($J$2:$K$2)*'IRR Approved'!$F$4</f>
        <v>-19041472.770833321</v>
      </c>
    </row>
    <row r="8" spans="1:11" s="140" customFormat="1" x14ac:dyDescent="0.25"/>
    <row r="10" spans="1:11" x14ac:dyDescent="0.25">
      <c r="A10" t="s">
        <v>1</v>
      </c>
      <c r="B10" s="87">
        <v>50000000</v>
      </c>
      <c r="C10" s="14">
        <f>B10+C11</f>
        <v>51000000</v>
      </c>
      <c r="D10" s="14">
        <f>C10+D12</f>
        <v>52020000</v>
      </c>
      <c r="E10" s="14">
        <f t="shared" ref="E10:K10" si="0">D10+E12</f>
        <v>53060400</v>
      </c>
      <c r="F10" s="14">
        <f t="shared" si="0"/>
        <v>54121608</v>
      </c>
      <c r="G10" s="14">
        <f t="shared" si="0"/>
        <v>55204040.159999996</v>
      </c>
      <c r="H10" s="14">
        <f t="shared" si="0"/>
        <v>56308120.963199995</v>
      </c>
      <c r="I10" s="14">
        <f t="shared" si="0"/>
        <v>57434283.382463992</v>
      </c>
      <c r="J10" s="14">
        <f t="shared" si="0"/>
        <v>58582969.050113268</v>
      </c>
      <c r="K10" s="14">
        <f t="shared" si="0"/>
        <v>59754628.43111553</v>
      </c>
    </row>
    <row r="11" spans="1:11" x14ac:dyDescent="0.25">
      <c r="A11" s="79">
        <v>0.02</v>
      </c>
      <c r="C11" s="14">
        <f>C12</f>
        <v>1000000</v>
      </c>
      <c r="D11" s="14">
        <f>C11+D12</f>
        <v>2020000</v>
      </c>
      <c r="E11" s="14">
        <f t="shared" ref="E11:K11" si="1">D11+E12</f>
        <v>3060400</v>
      </c>
      <c r="F11" s="14">
        <f t="shared" si="1"/>
        <v>4121608</v>
      </c>
      <c r="G11" s="14">
        <f t="shared" si="1"/>
        <v>5204040.16</v>
      </c>
      <c r="H11" s="14">
        <f t="shared" si="1"/>
        <v>6308120.9632000001</v>
      </c>
      <c r="I11" s="14">
        <f t="shared" si="1"/>
        <v>7434283.382464</v>
      </c>
      <c r="J11" s="14">
        <f t="shared" si="1"/>
        <v>8582969.0501132794</v>
      </c>
      <c r="K11" s="14">
        <f t="shared" si="1"/>
        <v>9754628.4311155453</v>
      </c>
    </row>
    <row r="12" spans="1:11" x14ac:dyDescent="0.25">
      <c r="C12" s="14">
        <f>B10*$A$11</f>
        <v>1000000</v>
      </c>
      <c r="D12" s="14">
        <f>C10*$A$11</f>
        <v>1020000</v>
      </c>
      <c r="E12" s="14">
        <f t="shared" ref="E12:K12" si="2">D10*$A$11</f>
        <v>1040400</v>
      </c>
      <c r="F12" s="14">
        <f t="shared" si="2"/>
        <v>1061208</v>
      </c>
      <c r="G12" s="14">
        <f t="shared" si="2"/>
        <v>1082432.1599999999</v>
      </c>
      <c r="H12" s="14">
        <f t="shared" si="2"/>
        <v>1104080.8032</v>
      </c>
      <c r="I12" s="14">
        <f t="shared" si="2"/>
        <v>1126162.4192639999</v>
      </c>
      <c r="J12" s="14">
        <f t="shared" si="2"/>
        <v>1148685.6676492798</v>
      </c>
      <c r="K12" s="14">
        <f t="shared" si="2"/>
        <v>1171659.3810022655</v>
      </c>
    </row>
    <row r="13" spans="1:11" x14ac:dyDescent="0.25">
      <c r="F13" s="87"/>
    </row>
    <row r="15" spans="1:11" s="140" customFormat="1" x14ac:dyDescent="0.25"/>
    <row r="17" spans="1:11" x14ac:dyDescent="0.25">
      <c r="F17" s="127" t="s">
        <v>108</v>
      </c>
      <c r="G17" s="127" t="s">
        <v>109</v>
      </c>
      <c r="H17" s="127" t="s">
        <v>110</v>
      </c>
      <c r="I17" s="128" t="s">
        <v>111</v>
      </c>
      <c r="J17" s="216" t="s">
        <v>112</v>
      </c>
      <c r="K17" s="216" t="s">
        <v>113</v>
      </c>
    </row>
    <row r="18" spans="1:11" x14ac:dyDescent="0.25">
      <c r="E18" s="129" t="s">
        <v>114</v>
      </c>
      <c r="F18" s="130">
        <v>2</v>
      </c>
      <c r="G18" s="131">
        <v>1</v>
      </c>
      <c r="H18" s="131">
        <v>1</v>
      </c>
      <c r="I18" s="250">
        <f>'IRR Approved'!F13</f>
        <v>209</v>
      </c>
      <c r="J18" s="216"/>
      <c r="K18" s="216"/>
    </row>
    <row r="19" spans="1:11" x14ac:dyDescent="0.25">
      <c r="B19" s="217" t="s">
        <v>115</v>
      </c>
      <c r="C19" s="132" t="s">
        <v>116</v>
      </c>
      <c r="D19" s="133">
        <v>2000000</v>
      </c>
      <c r="E19" s="132" t="s">
        <v>108</v>
      </c>
      <c r="F19" s="127">
        <f>F18</f>
        <v>2</v>
      </c>
      <c r="G19" s="127"/>
      <c r="H19" s="127"/>
      <c r="I19" s="128"/>
      <c r="J19" s="134">
        <f>F19*D19</f>
        <v>4000000</v>
      </c>
    </row>
    <row r="20" spans="1:11" x14ac:dyDescent="0.25">
      <c r="B20" s="218"/>
      <c r="C20" s="132" t="s">
        <v>117</v>
      </c>
      <c r="D20" s="135">
        <v>600000</v>
      </c>
      <c r="E20" s="132" t="s">
        <v>108</v>
      </c>
      <c r="F20" s="127">
        <f>F18</f>
        <v>2</v>
      </c>
      <c r="G20" s="127"/>
      <c r="H20" s="127"/>
      <c r="I20" s="128">
        <f>IF($I$18&lt;=120,2,IF($I$18&gt;220,4,3))</f>
        <v>3</v>
      </c>
      <c r="J20" s="135">
        <f>D20*F20</f>
        <v>1200000</v>
      </c>
    </row>
    <row r="21" spans="1:11" x14ac:dyDescent="0.25">
      <c r="B21" s="219"/>
      <c r="C21" s="132" t="s">
        <v>115</v>
      </c>
      <c r="D21" s="135">
        <v>200000</v>
      </c>
      <c r="E21" s="132" t="s">
        <v>118</v>
      </c>
      <c r="F21" s="127"/>
      <c r="G21" s="127">
        <f>G18</f>
        <v>1</v>
      </c>
      <c r="H21" s="127"/>
      <c r="I21" s="128"/>
      <c r="J21" s="135">
        <f>G21*D21</f>
        <v>200000</v>
      </c>
    </row>
    <row r="22" spans="1:11" x14ac:dyDescent="0.25">
      <c r="B22" s="132" t="s">
        <v>119</v>
      </c>
      <c r="C22" s="132" t="s">
        <v>119</v>
      </c>
      <c r="D22" s="135">
        <v>450000</v>
      </c>
      <c r="E22" s="132" t="s">
        <v>110</v>
      </c>
      <c r="F22" s="127">
        <f>F18</f>
        <v>2</v>
      </c>
      <c r="G22" s="127"/>
      <c r="H22" s="127">
        <f>H18</f>
        <v>1</v>
      </c>
      <c r="I22" s="128">
        <f>IF($I$18&lt;=120,2,IF($I$18&gt;220,4,3))</f>
        <v>3</v>
      </c>
      <c r="J22" s="135">
        <f>H22*D22*I22</f>
        <v>1350000</v>
      </c>
    </row>
    <row r="23" spans="1:11" x14ac:dyDescent="0.25">
      <c r="B23" s="132" t="s">
        <v>120</v>
      </c>
      <c r="C23" s="132" t="s">
        <v>120</v>
      </c>
      <c r="D23" s="135">
        <v>120000</v>
      </c>
      <c r="E23" s="132" t="s">
        <v>108</v>
      </c>
      <c r="F23" s="127">
        <f>F18</f>
        <v>2</v>
      </c>
      <c r="G23" s="127"/>
      <c r="H23" s="127"/>
      <c r="I23" s="128">
        <f>IF($I$18&lt;=120,2,IF($I$18&gt;220,4,3))</f>
        <v>3</v>
      </c>
      <c r="J23" s="135">
        <f>I23*D23*F23</f>
        <v>720000</v>
      </c>
    </row>
    <row r="24" spans="1:11" x14ac:dyDescent="0.25">
      <c r="J24" s="136">
        <f>SUM(J19:J23)</f>
        <v>7470000</v>
      </c>
      <c r="K24" s="137">
        <f>J24</f>
        <v>7470000</v>
      </c>
    </row>
    <row r="26" spans="1:11" s="140" customFormat="1" x14ac:dyDescent="0.25"/>
    <row r="27" spans="1:11" x14ac:dyDescent="0.25">
      <c r="K27" s="14"/>
    </row>
    <row r="28" spans="1:11" x14ac:dyDescent="0.25">
      <c r="B28" s="127" t="s">
        <v>121</v>
      </c>
      <c r="C28" s="127" t="s">
        <v>116</v>
      </c>
      <c r="E28" s="132" t="s">
        <v>122</v>
      </c>
      <c r="K28" s="38"/>
    </row>
    <row r="29" spans="1:11" x14ac:dyDescent="0.25">
      <c r="A29" t="s">
        <v>123</v>
      </c>
      <c r="B29" s="87">
        <v>16800000</v>
      </c>
      <c r="C29" s="87">
        <v>4000000</v>
      </c>
      <c r="D29" s="14"/>
      <c r="E29" t="s">
        <v>124</v>
      </c>
      <c r="K29" s="14"/>
    </row>
    <row r="30" spans="1:11" x14ac:dyDescent="0.25">
      <c r="A30" t="s">
        <v>125</v>
      </c>
      <c r="B30" s="87"/>
      <c r="C30" s="87">
        <v>3000000</v>
      </c>
      <c r="E30" t="s">
        <v>126</v>
      </c>
      <c r="I30" s="87">
        <v>10000000</v>
      </c>
    </row>
    <row r="31" spans="1:11" x14ac:dyDescent="0.25">
      <c r="A31" t="s">
        <v>127</v>
      </c>
      <c r="B31" s="87">
        <v>15600000</v>
      </c>
      <c r="C31" s="87">
        <v>2500000</v>
      </c>
      <c r="D31" s="14"/>
      <c r="E31" t="s">
        <v>126</v>
      </c>
      <c r="H31" t="s">
        <v>128</v>
      </c>
      <c r="I31" s="87">
        <v>12000000</v>
      </c>
    </row>
    <row r="32" spans="1:11" x14ac:dyDescent="0.25">
      <c r="A32" t="s">
        <v>129</v>
      </c>
      <c r="B32" s="87">
        <v>15000000</v>
      </c>
      <c r="C32" s="87">
        <v>2000000</v>
      </c>
      <c r="D32" s="14"/>
      <c r="E32" t="s">
        <v>126</v>
      </c>
      <c r="H32" t="s">
        <v>130</v>
      </c>
      <c r="I32" s="87">
        <v>14000000</v>
      </c>
    </row>
    <row r="33" spans="1:9" x14ac:dyDescent="0.25">
      <c r="A33" t="s">
        <v>131</v>
      </c>
      <c r="B33" s="87">
        <v>15000000</v>
      </c>
      <c r="C33" s="87">
        <v>1850000</v>
      </c>
      <c r="D33" s="14"/>
      <c r="E33" t="s">
        <v>126</v>
      </c>
      <c r="H33" t="s">
        <v>132</v>
      </c>
      <c r="I33" s="87">
        <v>14000000</v>
      </c>
    </row>
    <row r="34" spans="1:9" x14ac:dyDescent="0.25">
      <c r="A34" t="s">
        <v>133</v>
      </c>
      <c r="B34" s="87">
        <v>12000000</v>
      </c>
      <c r="C34" s="87">
        <v>1200000</v>
      </c>
      <c r="D34" s="14"/>
      <c r="E34" t="s">
        <v>126</v>
      </c>
      <c r="H34" t="s">
        <v>123</v>
      </c>
      <c r="I34" s="87">
        <v>17000000</v>
      </c>
    </row>
    <row r="35" spans="1:9" x14ac:dyDescent="0.25">
      <c r="A35" t="s">
        <v>134</v>
      </c>
      <c r="B35" s="87">
        <v>16800000</v>
      </c>
      <c r="C35" s="87">
        <v>2000000</v>
      </c>
      <c r="D35" s="14"/>
      <c r="E35" t="s">
        <v>126</v>
      </c>
      <c r="H35" t="s">
        <v>134</v>
      </c>
      <c r="I35" s="87">
        <v>14000000</v>
      </c>
    </row>
    <row r="36" spans="1:9" x14ac:dyDescent="0.25">
      <c r="A36" t="s">
        <v>135</v>
      </c>
      <c r="B36" s="87">
        <v>15720000</v>
      </c>
      <c r="C36" s="87">
        <v>3500000</v>
      </c>
      <c r="D36" s="14"/>
    </row>
    <row r="37" spans="1:9" x14ac:dyDescent="0.25">
      <c r="A37" t="s">
        <v>136</v>
      </c>
      <c r="C37" s="87">
        <v>2800000</v>
      </c>
      <c r="D37" s="14"/>
    </row>
    <row r="38" spans="1:9" x14ac:dyDescent="0.25">
      <c r="A38" t="s">
        <v>137</v>
      </c>
      <c r="B38">
        <v>0</v>
      </c>
      <c r="C38" s="87">
        <v>0</v>
      </c>
      <c r="D38" t="s">
        <v>138</v>
      </c>
    </row>
    <row r="40" spans="1:9" x14ac:dyDescent="0.25">
      <c r="B40" s="127" t="s">
        <v>139</v>
      </c>
      <c r="C40" s="127"/>
    </row>
    <row r="41" spans="1:9" x14ac:dyDescent="0.25">
      <c r="B41" s="87">
        <v>7000000</v>
      </c>
      <c r="D41" s="14">
        <f>B41/12</f>
        <v>583333.33333333337</v>
      </c>
    </row>
    <row r="42" spans="1:9" x14ac:dyDescent="0.25">
      <c r="B42" s="87"/>
      <c r="D42" s="14"/>
    </row>
    <row r="44" spans="1:9" s="140" customFormat="1" x14ac:dyDescent="0.25"/>
    <row r="46" spans="1:9" x14ac:dyDescent="0.25">
      <c r="A46" s="132" t="s">
        <v>140</v>
      </c>
      <c r="B46" s="14"/>
    </row>
    <row r="47" spans="1:9" x14ac:dyDescent="0.25">
      <c r="A47" t="s">
        <v>141</v>
      </c>
    </row>
    <row r="48" spans="1:9" x14ac:dyDescent="0.25">
      <c r="A48" t="s">
        <v>142</v>
      </c>
      <c r="B48" s="87">
        <v>36000000</v>
      </c>
    </row>
    <row r="49" spans="1:3" x14ac:dyDescent="0.25">
      <c r="A49" t="s">
        <v>143</v>
      </c>
      <c r="B49" s="87">
        <v>42000000</v>
      </c>
    </row>
    <row r="50" spans="1:3" x14ac:dyDescent="0.25">
      <c r="A50" t="s">
        <v>144</v>
      </c>
      <c r="B50" s="87">
        <v>48000000</v>
      </c>
      <c r="C50" s="14">
        <f>B50/12</f>
        <v>4000000</v>
      </c>
    </row>
    <row r="52" spans="1:3" x14ac:dyDescent="0.25">
      <c r="A52" t="s">
        <v>145</v>
      </c>
    </row>
    <row r="53" spans="1:3" x14ac:dyDescent="0.25">
      <c r="A53" t="s">
        <v>146</v>
      </c>
      <c r="B53" s="87">
        <v>75000000</v>
      </c>
    </row>
    <row r="54" spans="1:3" x14ac:dyDescent="0.25">
      <c r="A54" t="s">
        <v>144</v>
      </c>
      <c r="B54" s="87">
        <v>95000000</v>
      </c>
    </row>
  </sheetData>
  <mergeCells count="3">
    <mergeCell ref="J17:J18"/>
    <mergeCell ref="K17:K18"/>
    <mergeCell ref="B19:B21"/>
  </mergeCells>
  <phoneticPr fontId="26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opLeftCell="A6" zoomScaleNormal="100" workbookViewId="0">
      <selection activeCell="E24" sqref="E24"/>
    </sheetView>
  </sheetViews>
  <sheetFormatPr defaultColWidth="8.25" defaultRowHeight="15" x14ac:dyDescent="0.25"/>
  <cols>
    <col min="1" max="1" width="5" style="220" customWidth="1"/>
    <col min="2" max="2" width="26.375" style="220" customWidth="1"/>
    <col min="3" max="3" width="38.75" style="220" hidden="1" customWidth="1"/>
    <col min="4" max="4" width="41.375" style="220" customWidth="1"/>
    <col min="5" max="5" width="48.25" style="220" customWidth="1"/>
    <col min="6" max="16384" width="8.25" style="220"/>
  </cols>
  <sheetData>
    <row r="1" spans="1:5" ht="21" x14ac:dyDescent="0.35">
      <c r="D1" s="234" t="s">
        <v>181</v>
      </c>
    </row>
    <row r="3" spans="1:5" x14ac:dyDescent="0.25">
      <c r="A3" s="233" t="s">
        <v>180</v>
      </c>
      <c r="B3" s="233"/>
      <c r="D3" s="232" t="s">
        <v>200</v>
      </c>
    </row>
    <row r="4" spans="1:5" x14ac:dyDescent="0.25">
      <c r="A4" s="233" t="s">
        <v>179</v>
      </c>
      <c r="B4" s="233"/>
      <c r="D4" s="232" t="s">
        <v>201</v>
      </c>
    </row>
    <row r="5" spans="1:5" x14ac:dyDescent="0.25">
      <c r="A5" s="233" t="s">
        <v>178</v>
      </c>
      <c r="B5" s="233"/>
      <c r="D5" s="232" t="s">
        <v>202</v>
      </c>
    </row>
    <row r="6" spans="1:5" x14ac:dyDescent="0.25">
      <c r="A6" s="233" t="s">
        <v>177</v>
      </c>
      <c r="B6" s="233"/>
      <c r="D6" s="232" t="s">
        <v>203</v>
      </c>
    </row>
    <row r="7" spans="1:5" x14ac:dyDescent="0.25">
      <c r="A7" s="233" t="s">
        <v>176</v>
      </c>
      <c r="B7" s="233"/>
      <c r="D7" s="232" t="s">
        <v>204</v>
      </c>
    </row>
    <row r="9" spans="1:5" ht="14.45" customHeight="1" x14ac:dyDescent="0.25">
      <c r="A9" s="230" t="s">
        <v>175</v>
      </c>
      <c r="B9" s="231" t="s">
        <v>174</v>
      </c>
      <c r="D9" s="231" t="s">
        <v>173</v>
      </c>
      <c r="E9" s="231" t="s">
        <v>164</v>
      </c>
    </row>
    <row r="10" spans="1:5" ht="14.45" customHeight="1" x14ac:dyDescent="0.25">
      <c r="A10" s="230"/>
      <c r="B10" s="229"/>
      <c r="D10" s="229"/>
      <c r="E10" s="229"/>
    </row>
    <row r="11" spans="1:5" x14ac:dyDescent="0.25">
      <c r="A11" s="224">
        <v>1</v>
      </c>
      <c r="B11" s="223" t="s">
        <v>172</v>
      </c>
      <c r="C11" s="223" t="s">
        <v>79</v>
      </c>
      <c r="D11" s="223" t="s">
        <v>79</v>
      </c>
      <c r="E11" s="223" t="s">
        <v>79</v>
      </c>
    </row>
    <row r="12" spans="1:5" x14ac:dyDescent="0.25">
      <c r="A12" s="224">
        <v>2</v>
      </c>
      <c r="B12" s="223" t="s">
        <v>171</v>
      </c>
      <c r="C12" s="228" t="str">
        <f>D7</f>
        <v>:  196 Omni +   Unit Pole Antenna + RBS   m²</v>
      </c>
      <c r="D12" s="227" t="str">
        <f>D7</f>
        <v>:  196 Omni +   Unit Pole Antenna + RBS   m²</v>
      </c>
      <c r="E12" s="227" t="str">
        <f>D7</f>
        <v>:  196 Omni +   Unit Pole Antenna + RBS   m²</v>
      </c>
    </row>
    <row r="13" spans="1:5" ht="30" x14ac:dyDescent="0.25">
      <c r="A13" s="224">
        <v>3</v>
      </c>
      <c r="B13" s="223" t="s">
        <v>170</v>
      </c>
      <c r="C13" s="223" t="s">
        <v>205</v>
      </c>
      <c r="D13" s="226" t="s">
        <v>206</v>
      </c>
      <c r="E13" s="223" t="s">
        <v>207</v>
      </c>
    </row>
    <row r="14" spans="1:5" ht="31.5" x14ac:dyDescent="0.25">
      <c r="A14" s="224">
        <v>4</v>
      </c>
      <c r="B14" s="226" t="s">
        <v>169</v>
      </c>
      <c r="C14" s="251" t="s">
        <v>208</v>
      </c>
      <c r="D14" s="225" t="s">
        <v>209</v>
      </c>
      <c r="E14" s="251" t="s">
        <v>210</v>
      </c>
    </row>
    <row r="15" spans="1:5" ht="30" x14ac:dyDescent="0.25">
      <c r="A15" s="252">
        <v>6</v>
      </c>
      <c r="B15" s="223" t="s">
        <v>168</v>
      </c>
      <c r="C15" s="223" t="s">
        <v>211</v>
      </c>
      <c r="D15" s="223" t="s">
        <v>212</v>
      </c>
      <c r="E15" s="226" t="s">
        <v>213</v>
      </c>
    </row>
    <row r="16" spans="1:5" x14ac:dyDescent="0.25">
      <c r="A16" s="224">
        <v>7</v>
      </c>
      <c r="B16" s="223" t="s">
        <v>167</v>
      </c>
      <c r="C16" s="222" t="s">
        <v>214</v>
      </c>
      <c r="D16" s="253"/>
      <c r="E16" s="221"/>
    </row>
    <row r="17" spans="1:5" x14ac:dyDescent="0.25">
      <c r="A17" s="223"/>
      <c r="B17" s="223"/>
      <c r="C17" s="223"/>
      <c r="D17" s="254"/>
      <c r="E17" s="255"/>
    </row>
    <row r="20" spans="1:5" ht="15.75" x14ac:dyDescent="0.25">
      <c r="B20" s="256"/>
    </row>
    <row r="21" spans="1:5" ht="15.75" x14ac:dyDescent="0.25">
      <c r="B21" s="256"/>
      <c r="C21" s="257"/>
      <c r="D21" s="257"/>
    </row>
    <row r="23" spans="1:5" x14ac:dyDescent="0.25">
      <c r="C23" s="258"/>
    </row>
  </sheetData>
  <mergeCells count="6">
    <mergeCell ref="A9:A10"/>
    <mergeCell ref="B9:B10"/>
    <mergeCell ref="D9:D10"/>
    <mergeCell ref="E9:E10"/>
    <mergeCell ref="C16:E16"/>
    <mergeCell ref="D17:E17"/>
  </mergeCells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"/>
  <sheetViews>
    <sheetView zoomScale="80" zoomScaleNormal="80" workbookViewId="0">
      <selection activeCell="G25" sqref="G25"/>
    </sheetView>
  </sheetViews>
  <sheetFormatPr defaultColWidth="14.25" defaultRowHeight="15.75" x14ac:dyDescent="0.25"/>
  <cols>
    <col min="2" max="4" width="14.875" bestFit="1" customWidth="1"/>
  </cols>
  <sheetData>
    <row r="2" spans="1:13" x14ac:dyDescent="0.25">
      <c r="B2">
        <v>2015</v>
      </c>
      <c r="C2">
        <v>2016</v>
      </c>
      <c r="D2">
        <v>2017</v>
      </c>
      <c r="E2">
        <v>2018</v>
      </c>
      <c r="F2">
        <v>2019</v>
      </c>
      <c r="G2">
        <v>2020</v>
      </c>
      <c r="H2">
        <v>2021</v>
      </c>
      <c r="I2">
        <v>2022</v>
      </c>
      <c r="J2">
        <v>2023</v>
      </c>
      <c r="K2">
        <v>2024</v>
      </c>
      <c r="L2">
        <v>2025</v>
      </c>
      <c r="M2">
        <v>2026</v>
      </c>
    </row>
    <row r="3" spans="1:13" s="87" customFormat="1" x14ac:dyDescent="0.25">
      <c r="A3" s="87" t="s">
        <v>90</v>
      </c>
      <c r="B3" s="87">
        <f>314452190</f>
        <v>314452190</v>
      </c>
      <c r="C3" s="87">
        <v>1270616000</v>
      </c>
      <c r="D3" s="87">
        <v>82740431</v>
      </c>
      <c r="I3" s="87">
        <v>0</v>
      </c>
      <c r="J3" s="87">
        <v>0</v>
      </c>
      <c r="K3" s="87">
        <v>0</v>
      </c>
      <c r="L3" s="87">
        <f>294097543*0</f>
        <v>0</v>
      </c>
      <c r="M3" s="87">
        <v>0</v>
      </c>
    </row>
    <row r="4" spans="1:13" s="87" customFormat="1" x14ac:dyDescent="0.25">
      <c r="A4" s="87" t="s">
        <v>159</v>
      </c>
      <c r="C4" s="87">
        <v>220663120</v>
      </c>
      <c r="I4" s="87">
        <v>0</v>
      </c>
      <c r="J4" s="87">
        <v>0</v>
      </c>
      <c r="K4" s="87">
        <v>0</v>
      </c>
      <c r="L4" s="87">
        <v>0</v>
      </c>
      <c r="M4" s="87">
        <v>0</v>
      </c>
    </row>
    <row r="6" spans="1:13" x14ac:dyDescent="0.25">
      <c r="A6" s="87" t="s">
        <v>90</v>
      </c>
      <c r="B6" s="87">
        <f>(B3/10)*(2023-B2)</f>
        <v>251561752</v>
      </c>
      <c r="C6" s="87">
        <f>(C3/10)*(2023-C2)</f>
        <v>889431200</v>
      </c>
      <c r="D6" s="87">
        <f t="shared" ref="D6:M6" si="0">(D3/10)*(2023-D2)</f>
        <v>49644258.599999994</v>
      </c>
      <c r="E6" s="87">
        <f t="shared" si="0"/>
        <v>0</v>
      </c>
      <c r="F6" s="87">
        <f t="shared" si="0"/>
        <v>0</v>
      </c>
      <c r="G6" s="87">
        <f t="shared" si="0"/>
        <v>0</v>
      </c>
      <c r="H6" s="87">
        <f t="shared" si="0"/>
        <v>0</v>
      </c>
      <c r="I6" s="87">
        <f t="shared" si="0"/>
        <v>0</v>
      </c>
      <c r="J6" s="87">
        <f t="shared" si="0"/>
        <v>0</v>
      </c>
      <c r="K6" s="87">
        <f t="shared" si="0"/>
        <v>0</v>
      </c>
      <c r="L6" s="87">
        <f t="shared" si="0"/>
        <v>0</v>
      </c>
      <c r="M6" s="87">
        <f t="shared" si="0"/>
        <v>0</v>
      </c>
    </row>
    <row r="7" spans="1:13" x14ac:dyDescent="0.25">
      <c r="A7" s="87" t="s">
        <v>159</v>
      </c>
      <c r="B7" s="87">
        <f>(B4/10)*(2023-B2)</f>
        <v>0</v>
      </c>
      <c r="C7" s="87">
        <f>(C4/10)*(2023-C2)</f>
        <v>154464184</v>
      </c>
      <c r="D7" s="87">
        <f t="shared" ref="D7:M7" si="1">(D4/10)*(2023-D2)</f>
        <v>0</v>
      </c>
      <c r="E7" s="87">
        <f t="shared" si="1"/>
        <v>0</v>
      </c>
      <c r="F7" s="87">
        <f t="shared" si="1"/>
        <v>0</v>
      </c>
      <c r="G7" s="87">
        <f t="shared" si="1"/>
        <v>0</v>
      </c>
      <c r="H7" s="87">
        <f t="shared" si="1"/>
        <v>0</v>
      </c>
      <c r="I7" s="87">
        <f t="shared" si="1"/>
        <v>0</v>
      </c>
      <c r="J7" s="87">
        <f t="shared" si="1"/>
        <v>0</v>
      </c>
      <c r="K7" s="87">
        <f t="shared" si="1"/>
        <v>0</v>
      </c>
      <c r="L7" s="87">
        <f t="shared" si="1"/>
        <v>0</v>
      </c>
      <c r="M7" s="87">
        <f t="shared" si="1"/>
        <v>0</v>
      </c>
    </row>
    <row r="9" spans="1:13" x14ac:dyDescent="0.25">
      <c r="A9" s="87" t="s">
        <v>90</v>
      </c>
      <c r="B9" s="14">
        <f>B3-B6</f>
        <v>62890438</v>
      </c>
      <c r="C9" s="14">
        <f t="shared" ref="C9:M10" si="2">C3-C6</f>
        <v>381184800</v>
      </c>
      <c r="D9" s="14">
        <f t="shared" si="2"/>
        <v>33096172.400000006</v>
      </c>
      <c r="E9" s="14">
        <f t="shared" si="2"/>
        <v>0</v>
      </c>
      <c r="F9" s="14">
        <f t="shared" si="2"/>
        <v>0</v>
      </c>
      <c r="G9" s="14">
        <f t="shared" si="2"/>
        <v>0</v>
      </c>
      <c r="H9" s="14">
        <f t="shared" si="2"/>
        <v>0</v>
      </c>
      <c r="I9" s="14">
        <f t="shared" si="2"/>
        <v>0</v>
      </c>
      <c r="J9" s="14">
        <f t="shared" si="2"/>
        <v>0</v>
      </c>
      <c r="K9" s="14">
        <f t="shared" si="2"/>
        <v>0</v>
      </c>
      <c r="L9" s="14">
        <f>(L3-L6)</f>
        <v>0</v>
      </c>
      <c r="M9" s="14">
        <f t="shared" si="2"/>
        <v>0</v>
      </c>
    </row>
    <row r="10" spans="1:13" x14ac:dyDescent="0.25">
      <c r="A10" s="87" t="s">
        <v>159</v>
      </c>
      <c r="B10" s="14">
        <f>B4-B7</f>
        <v>0</v>
      </c>
      <c r="C10" s="14">
        <f t="shared" si="2"/>
        <v>66198936</v>
      </c>
      <c r="D10" s="14">
        <f t="shared" si="2"/>
        <v>0</v>
      </c>
      <c r="E10" s="14">
        <f t="shared" si="2"/>
        <v>0</v>
      </c>
      <c r="F10" s="14">
        <f t="shared" si="2"/>
        <v>0</v>
      </c>
      <c r="G10" s="14">
        <f t="shared" si="2"/>
        <v>0</v>
      </c>
      <c r="H10" s="14">
        <f t="shared" si="2"/>
        <v>0</v>
      </c>
      <c r="I10" s="14">
        <f t="shared" si="2"/>
        <v>0</v>
      </c>
      <c r="J10" s="14">
        <f t="shared" si="2"/>
        <v>0</v>
      </c>
      <c r="K10" s="14">
        <f t="shared" si="2"/>
        <v>0</v>
      </c>
      <c r="L10" s="14">
        <f t="shared" si="2"/>
        <v>0</v>
      </c>
      <c r="M10" s="14">
        <f t="shared" si="2"/>
        <v>0</v>
      </c>
    </row>
    <row r="13" spans="1:13" x14ac:dyDescent="0.25">
      <c r="B13" s="87">
        <v>272021039.58333313</v>
      </c>
      <c r="C13" t="s">
        <v>215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"/>
  <sheetViews>
    <sheetView workbookViewId="0">
      <selection activeCell="A29" sqref="A29"/>
    </sheetView>
  </sheetViews>
  <sheetFormatPr defaultColWidth="8.75" defaultRowHeight="15" x14ac:dyDescent="0.25"/>
  <cols>
    <col min="1" max="1" width="24.375" style="236" customWidth="1"/>
    <col min="2" max="2" width="11.625" style="236" customWidth="1"/>
    <col min="3" max="3" width="12.625" style="236" customWidth="1"/>
    <col min="4" max="4" width="8" style="236" customWidth="1"/>
    <col min="5" max="5" width="14.5" style="236" bestFit="1" customWidth="1"/>
    <col min="6" max="6" width="12.875" style="236" bestFit="1" customWidth="1"/>
    <col min="7" max="10" width="8.75" style="236"/>
    <col min="11" max="11" width="10.125" style="236" bestFit="1" customWidth="1"/>
    <col min="12" max="16384" width="8.75" style="236"/>
  </cols>
  <sheetData>
    <row r="2" spans="1:13" x14ac:dyDescent="0.25">
      <c r="A2" s="235" t="s">
        <v>216</v>
      </c>
      <c r="B2" s="235"/>
      <c r="C2" s="235"/>
      <c r="D2" s="235"/>
      <c r="E2" s="235"/>
      <c r="F2" s="235"/>
      <c r="G2" s="220"/>
      <c r="H2" s="220"/>
      <c r="I2" s="220"/>
      <c r="J2" s="220"/>
      <c r="K2" s="220"/>
      <c r="L2" s="220"/>
      <c r="M2" s="220"/>
    </row>
    <row r="3" spans="1:13" x14ac:dyDescent="0.25">
      <c r="A3" s="237" t="s">
        <v>182</v>
      </c>
      <c r="B3" s="237" t="s">
        <v>183</v>
      </c>
      <c r="C3" s="237" t="s">
        <v>184</v>
      </c>
      <c r="D3" s="238"/>
      <c r="G3" s="220"/>
      <c r="H3" s="220"/>
      <c r="I3" s="220"/>
      <c r="J3" s="220"/>
      <c r="K3" s="220"/>
      <c r="L3" s="220"/>
      <c r="M3" s="220"/>
    </row>
    <row r="4" spans="1:13" x14ac:dyDescent="0.25">
      <c r="A4" s="223" t="s">
        <v>185</v>
      </c>
      <c r="B4" s="239">
        <v>44761</v>
      </c>
      <c r="C4" s="239">
        <v>46586</v>
      </c>
      <c r="D4" s="240"/>
      <c r="E4" s="240"/>
      <c r="F4" s="240"/>
      <c r="G4" s="240"/>
      <c r="H4" s="220"/>
      <c r="I4" s="220"/>
      <c r="J4" s="220"/>
      <c r="K4" s="220"/>
      <c r="L4" s="220"/>
      <c r="M4" s="220"/>
    </row>
    <row r="5" spans="1:13" x14ac:dyDescent="0.25">
      <c r="A5" s="223" t="s">
        <v>186</v>
      </c>
      <c r="B5" s="239">
        <v>45292</v>
      </c>
      <c r="C5" s="239">
        <v>46752</v>
      </c>
      <c r="D5" s="240"/>
      <c r="G5" s="220"/>
      <c r="H5" s="220"/>
      <c r="I5" s="220"/>
      <c r="J5" s="220"/>
      <c r="K5" s="220"/>
      <c r="L5" s="220"/>
      <c r="M5" s="220"/>
    </row>
    <row r="6" spans="1:13" x14ac:dyDescent="0.25">
      <c r="A6" s="220"/>
      <c r="G6" s="220"/>
      <c r="H6" s="220"/>
      <c r="I6" s="220"/>
      <c r="J6" s="220"/>
      <c r="K6" s="220"/>
      <c r="L6" s="220"/>
      <c r="M6" s="220"/>
    </row>
    <row r="7" spans="1:13" x14ac:dyDescent="0.25">
      <c r="A7" s="220"/>
      <c r="B7" s="237" t="s">
        <v>183</v>
      </c>
      <c r="C7" s="237" t="s">
        <v>184</v>
      </c>
      <c r="D7" s="237" t="s">
        <v>187</v>
      </c>
      <c r="E7" s="240"/>
      <c r="F7" s="240"/>
      <c r="G7" s="220"/>
      <c r="H7" s="220"/>
      <c r="I7" s="220"/>
      <c r="J7" s="220"/>
      <c r="K7" s="220"/>
      <c r="L7" s="220"/>
      <c r="M7" s="220"/>
    </row>
    <row r="8" spans="1:13" x14ac:dyDescent="0.25">
      <c r="A8" s="241" t="s">
        <v>217</v>
      </c>
      <c r="B8" s="241"/>
      <c r="C8" s="241"/>
      <c r="D8" s="241"/>
      <c r="E8" s="241"/>
      <c r="F8" s="241"/>
      <c r="G8" s="220"/>
      <c r="H8" s="220"/>
      <c r="I8" s="220"/>
      <c r="J8" s="220"/>
      <c r="K8" s="220"/>
      <c r="L8" s="220"/>
      <c r="M8" s="220"/>
    </row>
    <row r="9" spans="1:13" x14ac:dyDescent="0.25">
      <c r="A9" s="241" t="s">
        <v>185</v>
      </c>
      <c r="B9" s="242">
        <f>B5</f>
        <v>45292</v>
      </c>
      <c r="C9" s="259">
        <v>46586</v>
      </c>
      <c r="D9" s="243">
        <f t="shared" ref="D9:D12" si="0">C9-B9</f>
        <v>1294</v>
      </c>
      <c r="E9" s="244">
        <v>273000000</v>
      </c>
      <c r="F9" s="245">
        <f>E9/365*D9</f>
        <v>967841095.8904109</v>
      </c>
      <c r="G9" s="220"/>
      <c r="H9" s="220"/>
      <c r="I9" s="220"/>
      <c r="J9" s="220"/>
      <c r="K9" s="220"/>
      <c r="L9" s="220"/>
      <c r="M9" s="220"/>
    </row>
    <row r="10" spans="1:13" x14ac:dyDescent="0.25">
      <c r="A10" s="241" t="s">
        <v>188</v>
      </c>
      <c r="B10" s="242">
        <f>B5</f>
        <v>45292</v>
      </c>
      <c r="C10" s="242">
        <v>46752</v>
      </c>
      <c r="D10" s="243">
        <f t="shared" si="0"/>
        <v>1460</v>
      </c>
      <c r="E10" s="244">
        <v>65000000</v>
      </c>
      <c r="F10" s="245">
        <f>-E10/365*D10</f>
        <v>-260000000</v>
      </c>
      <c r="G10" s="220"/>
      <c r="H10" s="220"/>
      <c r="I10" s="220"/>
      <c r="J10" s="220"/>
      <c r="K10" s="220"/>
      <c r="L10" s="220"/>
      <c r="M10" s="220"/>
    </row>
    <row r="11" spans="1:13" x14ac:dyDescent="0.25">
      <c r="A11" s="241" t="s">
        <v>189</v>
      </c>
      <c r="B11" s="242">
        <f>B5</f>
        <v>45292</v>
      </c>
      <c r="C11" s="242">
        <v>46586</v>
      </c>
      <c r="D11" s="243">
        <f t="shared" si="0"/>
        <v>1294</v>
      </c>
      <c r="E11" s="244">
        <v>48000000</v>
      </c>
      <c r="F11" s="245">
        <f>-E11/365*D11</f>
        <v>-170169863.01369861</v>
      </c>
      <c r="G11" s="220"/>
      <c r="H11" s="220"/>
      <c r="I11" s="220"/>
      <c r="J11" s="220"/>
      <c r="K11" s="220"/>
      <c r="L11" s="220"/>
      <c r="M11" s="220"/>
    </row>
    <row r="12" spans="1:13" x14ac:dyDescent="0.25">
      <c r="A12" s="241" t="s">
        <v>190</v>
      </c>
      <c r="B12" s="242">
        <f>B5</f>
        <v>45292</v>
      </c>
      <c r="C12" s="242">
        <v>46586</v>
      </c>
      <c r="D12" s="243">
        <f t="shared" si="0"/>
        <v>1294</v>
      </c>
      <c r="E12" s="244">
        <v>29470000</v>
      </c>
      <c r="F12" s="245">
        <f>-E12/365*D12</f>
        <v>-104477205.47945206</v>
      </c>
      <c r="G12" s="220"/>
      <c r="H12" s="220"/>
      <c r="I12" s="220"/>
      <c r="J12" s="220"/>
      <c r="K12" s="220"/>
      <c r="L12" s="220"/>
      <c r="M12" s="220"/>
    </row>
    <row r="13" spans="1:13" x14ac:dyDescent="0.25">
      <c r="A13" s="241" t="s">
        <v>191</v>
      </c>
      <c r="B13" s="241"/>
      <c r="C13" s="241"/>
      <c r="D13" s="241"/>
      <c r="E13" s="246">
        <v>100000000</v>
      </c>
      <c r="F13" s="247"/>
      <c r="G13" s="220"/>
      <c r="H13" s="220"/>
      <c r="I13" s="220"/>
      <c r="J13" s="220"/>
      <c r="K13" s="220"/>
      <c r="L13" s="220"/>
      <c r="M13" s="220"/>
    </row>
    <row r="14" spans="1:13" x14ac:dyDescent="0.25">
      <c r="A14" s="241" t="s">
        <v>192</v>
      </c>
      <c r="B14" s="241"/>
      <c r="C14" s="241"/>
      <c r="D14" s="241"/>
      <c r="E14" s="241"/>
      <c r="F14" s="245">
        <f>SUM(F9:F13)</f>
        <v>433194027.39726025</v>
      </c>
      <c r="G14" s="220"/>
      <c r="H14" s="220"/>
      <c r="I14" s="220"/>
      <c r="J14" s="220"/>
      <c r="K14" s="220"/>
      <c r="L14" s="220"/>
      <c r="M14" s="220"/>
    </row>
    <row r="15" spans="1:13" x14ac:dyDescent="0.25">
      <c r="A15" s="220"/>
      <c r="B15" s="220"/>
      <c r="C15" s="220"/>
      <c r="D15" s="220"/>
      <c r="E15" s="220"/>
      <c r="F15" s="220"/>
      <c r="G15" s="220"/>
      <c r="H15" s="220"/>
      <c r="I15" s="220"/>
      <c r="J15" s="220"/>
      <c r="K15" s="220"/>
      <c r="L15" s="220"/>
      <c r="M15" s="220"/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Summary</vt:lpstr>
      <vt:lpstr>IRR Approved</vt:lpstr>
      <vt:lpstr>PARAMETER</vt:lpstr>
      <vt:lpstr>SummaryBR</vt:lpstr>
      <vt:lpstr>Book Value</vt:lpstr>
      <vt:lpstr>Analisa (2)</vt:lpstr>
      <vt:lpstr>'IRR Approved'!Print_Area</vt:lpstr>
      <vt:lpstr>Summary!Print_Area</vt:lpstr>
      <vt:lpstr>SummaryBR!Print_Area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2023-12-28T04:24:17Z</dcterms:modified>
</cp:coreProperties>
</file>