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0 strategic planning\PnL\OPENET\PIR\"/>
    </mc:Choice>
  </mc:AlternateContent>
  <bookViews>
    <workbookView xWindow="-105" yWindow="-105" windowWidth="19425" windowHeight="10425" activeTab="1"/>
  </bookViews>
  <sheets>
    <sheet name="Summary" sheetId="6" r:id="rId1"/>
    <sheet name="IRR" sheetId="1" r:id="rId2"/>
    <sheet name="Rev" sheetId="11" state="hidden" r:id="rId3"/>
    <sheet name="BOQ" sheetId="12" r:id="rId4"/>
    <sheet name="REVENUE" sheetId="13" r:id="rId5"/>
    <sheet name="PI Shopping Center" sheetId="14" r:id="rId6"/>
    <sheet name="The Plaza Office" sheetId="15" r:id="rId7"/>
    <sheet name="PARAMETER" sheetId="2" r:id="rId8"/>
  </sheets>
  <externalReferences>
    <externalReference r:id="rId9"/>
    <externalReference r:id="rId10"/>
    <externalReference r:id="rId11"/>
    <externalReference r:id="rId12"/>
    <externalReference r:id="rId13"/>
  </externalReferences>
  <definedNames>
    <definedName name="_xlnm._FilterDatabase" localSheetId="5" hidden="1">'PI Shopping Center'!$A$1:$N$85</definedName>
    <definedName name="_xlnm._FilterDatabase" localSheetId="6" hidden="1">'The Plaza Office'!$A$1:$N$77</definedName>
    <definedName name="_xlnm.Print_Area" localSheetId="1">IRR!$A$1:$L$56</definedName>
    <definedName name="_xlnm.Print_Area" localSheetId="0">Summary!$A$2:$N$34</definedName>
    <definedName name="years_contract">[1]Kerlink!$D$5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3" i="1" l="1"/>
  <c r="J23" i="1"/>
  <c r="I23" i="1"/>
  <c r="H23" i="1"/>
  <c r="G23" i="1"/>
  <c r="G21" i="1"/>
  <c r="K18" i="1" l="1"/>
  <c r="J18" i="1"/>
  <c r="I18" i="1"/>
  <c r="H18" i="1"/>
  <c r="G18" i="1"/>
  <c r="G17" i="1"/>
  <c r="K16" i="1"/>
  <c r="J16" i="1"/>
  <c r="I16" i="1"/>
  <c r="H16" i="1"/>
  <c r="G16" i="1"/>
  <c r="L16" i="1" l="1"/>
  <c r="H17" i="1" l="1"/>
  <c r="I17" i="1" s="1"/>
  <c r="N3" i="13"/>
  <c r="M3" i="13"/>
  <c r="L3" i="13"/>
  <c r="K3" i="13"/>
  <c r="J3" i="13"/>
  <c r="I3" i="13"/>
  <c r="H3" i="13"/>
  <c r="G3" i="13"/>
  <c r="F3" i="13"/>
  <c r="E3" i="13"/>
  <c r="D3" i="13"/>
  <c r="C3" i="13"/>
  <c r="B3" i="13"/>
  <c r="N2" i="13"/>
  <c r="M2" i="13"/>
  <c r="L2" i="13"/>
  <c r="K2" i="13"/>
  <c r="J2" i="13"/>
  <c r="I2" i="13"/>
  <c r="H2" i="13"/>
  <c r="G2" i="13"/>
  <c r="F2" i="13"/>
  <c r="E2" i="13"/>
  <c r="D2" i="13"/>
  <c r="C2" i="13"/>
  <c r="B2" i="13"/>
  <c r="K58" i="15"/>
  <c r="J58" i="15"/>
  <c r="J57" i="15"/>
  <c r="K56" i="15"/>
  <c r="J56" i="15"/>
  <c r="K55" i="15"/>
  <c r="J55" i="15"/>
  <c r="Z55" i="15" s="1"/>
  <c r="K54" i="15"/>
  <c r="J54" i="15"/>
  <c r="K53" i="15"/>
  <c r="J53" i="15"/>
  <c r="K52" i="15"/>
  <c r="J52" i="15"/>
  <c r="J51" i="15"/>
  <c r="Y51" i="15" s="1"/>
  <c r="X50" i="15"/>
  <c r="T50" i="15"/>
  <c r="J50" i="15"/>
  <c r="W50" i="15" s="1"/>
  <c r="Y49" i="15"/>
  <c r="X49" i="15"/>
  <c r="U49" i="15"/>
  <c r="T49" i="15"/>
  <c r="J49" i="15"/>
  <c r="W49" i="15" s="1"/>
  <c r="J48" i="15"/>
  <c r="Y48" i="15" s="1"/>
  <c r="Z47" i="15"/>
  <c r="Y47" i="15"/>
  <c r="X47" i="15"/>
  <c r="W47" i="15"/>
  <c r="V47" i="15"/>
  <c r="U47" i="15"/>
  <c r="T47" i="15"/>
  <c r="S47" i="15"/>
  <c r="R47" i="15"/>
  <c r="Q47" i="15"/>
  <c r="P47" i="15"/>
  <c r="O47" i="15"/>
  <c r="AA47" i="15" s="1"/>
  <c r="Z46" i="15"/>
  <c r="Y46" i="15"/>
  <c r="X46" i="15"/>
  <c r="W46" i="15"/>
  <c r="V46" i="15"/>
  <c r="U46" i="15"/>
  <c r="T46" i="15"/>
  <c r="S46" i="15"/>
  <c r="R46" i="15"/>
  <c r="Q46" i="15"/>
  <c r="P46" i="15"/>
  <c r="O46" i="15"/>
  <c r="AA46" i="15" s="1"/>
  <c r="Z44" i="15"/>
  <c r="Y44" i="15"/>
  <c r="X44" i="15"/>
  <c r="W44" i="15"/>
  <c r="V44" i="15"/>
  <c r="U44" i="15"/>
  <c r="T44" i="15"/>
  <c r="S44" i="15"/>
  <c r="R44" i="15"/>
  <c r="Q44" i="15"/>
  <c r="P44" i="15"/>
  <c r="O44" i="15"/>
  <c r="AA44" i="15" s="1"/>
  <c r="Z43" i="15"/>
  <c r="Y43" i="15"/>
  <c r="X43" i="15"/>
  <c r="W43" i="15"/>
  <c r="V43" i="15"/>
  <c r="U43" i="15"/>
  <c r="T43" i="15"/>
  <c r="S43" i="15"/>
  <c r="R43" i="15"/>
  <c r="Q43" i="15"/>
  <c r="P43" i="15"/>
  <c r="O43" i="15"/>
  <c r="AA43" i="15" s="1"/>
  <c r="Z42" i="15"/>
  <c r="Y42" i="15"/>
  <c r="X42" i="15"/>
  <c r="W42" i="15"/>
  <c r="V42" i="15"/>
  <c r="U42" i="15"/>
  <c r="T42" i="15"/>
  <c r="S42" i="15"/>
  <c r="R42" i="15"/>
  <c r="Q42" i="15"/>
  <c r="P42" i="15"/>
  <c r="O42" i="15"/>
  <c r="AA42" i="15" s="1"/>
  <c r="AA39" i="15"/>
  <c r="Z38" i="15"/>
  <c r="Y38" i="15"/>
  <c r="X38" i="15"/>
  <c r="W38" i="15"/>
  <c r="V38" i="15"/>
  <c r="U38" i="15"/>
  <c r="T38" i="15"/>
  <c r="S38" i="15"/>
  <c r="R38" i="15"/>
  <c r="Q38" i="15"/>
  <c r="P38" i="15"/>
  <c r="O38" i="15"/>
  <c r="AA38" i="15" s="1"/>
  <c r="Z37" i="15"/>
  <c r="Y37" i="15"/>
  <c r="X37" i="15"/>
  <c r="W37" i="15"/>
  <c r="V37" i="15"/>
  <c r="U37" i="15"/>
  <c r="T37" i="15"/>
  <c r="S37" i="15"/>
  <c r="R37" i="15"/>
  <c r="Q37" i="15"/>
  <c r="P37" i="15"/>
  <c r="O37" i="15"/>
  <c r="AA37" i="15" s="1"/>
  <c r="Z36" i="15"/>
  <c r="Y36" i="15"/>
  <c r="X36" i="15"/>
  <c r="W36" i="15"/>
  <c r="V36" i="15"/>
  <c r="U36" i="15"/>
  <c r="T36" i="15"/>
  <c r="S36" i="15"/>
  <c r="R36" i="15"/>
  <c r="Q36" i="15"/>
  <c r="P36" i="15"/>
  <c r="O36" i="15"/>
  <c r="AA36" i="15" s="1"/>
  <c r="Z35" i="15"/>
  <c r="Y35" i="15"/>
  <c r="X35" i="15"/>
  <c r="W35" i="15"/>
  <c r="V35" i="15"/>
  <c r="U35" i="15"/>
  <c r="T35" i="15"/>
  <c r="S35" i="15"/>
  <c r="R35" i="15"/>
  <c r="Q35" i="15"/>
  <c r="P35" i="15"/>
  <c r="O35" i="15"/>
  <c r="AA35" i="15" s="1"/>
  <c r="Z34" i="15"/>
  <c r="Y34" i="15"/>
  <c r="X34" i="15"/>
  <c r="W34" i="15"/>
  <c r="V34" i="15"/>
  <c r="U34" i="15"/>
  <c r="T34" i="15"/>
  <c r="S34" i="15"/>
  <c r="R34" i="15"/>
  <c r="Q34" i="15"/>
  <c r="P34" i="15"/>
  <c r="O34" i="15"/>
  <c r="AA34" i="15" s="1"/>
  <c r="Z33" i="15"/>
  <c r="Y33" i="15"/>
  <c r="X33" i="15"/>
  <c r="W33" i="15"/>
  <c r="V33" i="15"/>
  <c r="U33" i="15"/>
  <c r="T33" i="15"/>
  <c r="S33" i="15"/>
  <c r="R33" i="15"/>
  <c r="Q33" i="15"/>
  <c r="P33" i="15"/>
  <c r="O33" i="15"/>
  <c r="AA33" i="15" s="1"/>
  <c r="Z32" i="15"/>
  <c r="Y32" i="15"/>
  <c r="X32" i="15"/>
  <c r="W32" i="15"/>
  <c r="V32" i="15"/>
  <c r="U32" i="15"/>
  <c r="T32" i="15"/>
  <c r="S32" i="15"/>
  <c r="R32" i="15"/>
  <c r="Q32" i="15"/>
  <c r="P32" i="15"/>
  <c r="O32" i="15"/>
  <c r="AA32" i="15" s="1"/>
  <c r="Z31" i="15"/>
  <c r="Y31" i="15"/>
  <c r="X31" i="15"/>
  <c r="W31" i="15"/>
  <c r="V31" i="15"/>
  <c r="U31" i="15"/>
  <c r="T31" i="15"/>
  <c r="S31" i="15"/>
  <c r="R31" i="15"/>
  <c r="Q31" i="15"/>
  <c r="P31" i="15"/>
  <c r="O31" i="15"/>
  <c r="AA31" i="15" s="1"/>
  <c r="Z30" i="15"/>
  <c r="Y30" i="15"/>
  <c r="X30" i="15"/>
  <c r="W30" i="15"/>
  <c r="V30" i="15"/>
  <c r="U30" i="15"/>
  <c r="T30" i="15"/>
  <c r="S30" i="15"/>
  <c r="R30" i="15"/>
  <c r="Q30" i="15"/>
  <c r="P30" i="15"/>
  <c r="O30" i="15"/>
  <c r="AA30" i="15" s="1"/>
  <c r="Z29" i="15"/>
  <c r="Y29" i="15"/>
  <c r="X29" i="15"/>
  <c r="W29" i="15"/>
  <c r="V29" i="15"/>
  <c r="U29" i="15"/>
  <c r="T29" i="15"/>
  <c r="S29" i="15"/>
  <c r="R29" i="15"/>
  <c r="Q29" i="15"/>
  <c r="P29" i="15"/>
  <c r="O29" i="15"/>
  <c r="AA29" i="15" s="1"/>
  <c r="Z28" i="15"/>
  <c r="Y28" i="15"/>
  <c r="X28" i="15"/>
  <c r="W28" i="15"/>
  <c r="V28" i="15"/>
  <c r="U28" i="15"/>
  <c r="T28" i="15"/>
  <c r="S28" i="15"/>
  <c r="R28" i="15"/>
  <c r="Q28" i="15"/>
  <c r="P28" i="15"/>
  <c r="O28" i="15"/>
  <c r="AA28" i="15" s="1"/>
  <c r="Z27" i="15"/>
  <c r="Y27" i="15"/>
  <c r="X27" i="15"/>
  <c r="W27" i="15"/>
  <c r="V27" i="15"/>
  <c r="U27" i="15"/>
  <c r="T27" i="15"/>
  <c r="S27" i="15"/>
  <c r="R27" i="15"/>
  <c r="Q27" i="15"/>
  <c r="P27" i="15"/>
  <c r="O27" i="15"/>
  <c r="AA27" i="15" s="1"/>
  <c r="Z26" i="15"/>
  <c r="Y26" i="15"/>
  <c r="X26" i="15"/>
  <c r="W26" i="15"/>
  <c r="V26" i="15"/>
  <c r="U26" i="15"/>
  <c r="T26" i="15"/>
  <c r="S26" i="15"/>
  <c r="R26" i="15"/>
  <c r="Q26" i="15"/>
  <c r="P26" i="15"/>
  <c r="O26" i="15"/>
  <c r="AA26" i="15" s="1"/>
  <c r="S25" i="15"/>
  <c r="R25" i="15"/>
  <c r="Q25" i="15"/>
  <c r="P25" i="15"/>
  <c r="O25" i="15"/>
  <c r="AA23" i="15"/>
  <c r="AA21" i="15"/>
  <c r="Z16" i="15"/>
  <c r="Y16" i="15"/>
  <c r="X16" i="15"/>
  <c r="W16" i="15"/>
  <c r="V16" i="15"/>
  <c r="U16" i="15"/>
  <c r="T16" i="15"/>
  <c r="S16" i="15"/>
  <c r="R16" i="15"/>
  <c r="Q16" i="15"/>
  <c r="P16" i="15"/>
  <c r="O16" i="15"/>
  <c r="AA16" i="15" s="1"/>
  <c r="Z15" i="15"/>
  <c r="Y15" i="15"/>
  <c r="X15" i="15"/>
  <c r="W15" i="15"/>
  <c r="V15" i="15"/>
  <c r="U15" i="15"/>
  <c r="T15" i="15"/>
  <c r="S15" i="15"/>
  <c r="R15" i="15"/>
  <c r="Q15" i="15"/>
  <c r="P15" i="15"/>
  <c r="O15" i="15"/>
  <c r="AA15" i="15" s="1"/>
  <c r="Z14" i="15"/>
  <c r="Y14" i="15"/>
  <c r="X14" i="15"/>
  <c r="W14" i="15"/>
  <c r="V14" i="15"/>
  <c r="U14" i="15"/>
  <c r="T14" i="15"/>
  <c r="S14" i="15"/>
  <c r="R14" i="15"/>
  <c r="Q14" i="15"/>
  <c r="P14" i="15"/>
  <c r="O14" i="15"/>
  <c r="AA14" i="15" s="1"/>
  <c r="Z13" i="15"/>
  <c r="Y13" i="15"/>
  <c r="X13" i="15"/>
  <c r="W13" i="15"/>
  <c r="V13" i="15"/>
  <c r="U13" i="15"/>
  <c r="T13" i="15"/>
  <c r="S13" i="15"/>
  <c r="R13" i="15"/>
  <c r="Q13" i="15"/>
  <c r="P13" i="15"/>
  <c r="O13" i="15"/>
  <c r="AA13" i="15" s="1"/>
  <c r="Z11" i="15"/>
  <c r="Y11" i="15"/>
  <c r="X11" i="15"/>
  <c r="W11" i="15"/>
  <c r="V11" i="15"/>
  <c r="U11" i="15"/>
  <c r="T11" i="15"/>
  <c r="S11" i="15"/>
  <c r="R11" i="15"/>
  <c r="Q11" i="15"/>
  <c r="P11" i="15"/>
  <c r="O11" i="15"/>
  <c r="AA11" i="15" s="1"/>
  <c r="Z9" i="15"/>
  <c r="Y9" i="15"/>
  <c r="X9" i="15"/>
  <c r="W9" i="15"/>
  <c r="V9" i="15"/>
  <c r="U9" i="15"/>
  <c r="T9" i="15"/>
  <c r="S9" i="15"/>
  <c r="R9" i="15"/>
  <c r="Q9" i="15"/>
  <c r="P9" i="15"/>
  <c r="O9" i="15"/>
  <c r="AA9" i="15" s="1"/>
  <c r="Z8" i="15"/>
  <c r="Y8" i="15"/>
  <c r="X8" i="15"/>
  <c r="W8" i="15"/>
  <c r="V8" i="15"/>
  <c r="U8" i="15"/>
  <c r="T8" i="15"/>
  <c r="S8" i="15"/>
  <c r="R8" i="15"/>
  <c r="Q8" i="15"/>
  <c r="P8" i="15"/>
  <c r="O8" i="15"/>
  <c r="AA8" i="15" s="1"/>
  <c r="Z6" i="15"/>
  <c r="Y6" i="15"/>
  <c r="X6" i="15"/>
  <c r="W6" i="15"/>
  <c r="V6" i="15"/>
  <c r="U6" i="15"/>
  <c r="T6" i="15"/>
  <c r="S6" i="15"/>
  <c r="R6" i="15"/>
  <c r="Q6" i="15"/>
  <c r="Q61" i="15" s="1"/>
  <c r="Q77" i="15" s="1"/>
  <c r="P6" i="15"/>
  <c r="O6" i="15"/>
  <c r="AA6" i="15" s="1"/>
  <c r="Z4" i="15"/>
  <c r="Y4" i="15"/>
  <c r="X4" i="15"/>
  <c r="W4" i="15"/>
  <c r="V4" i="15"/>
  <c r="U4" i="15"/>
  <c r="T4" i="15"/>
  <c r="S4" i="15"/>
  <c r="R4" i="15"/>
  <c r="R61" i="15" s="1"/>
  <c r="R77" i="15" s="1"/>
  <c r="Q4" i="15"/>
  <c r="P4" i="15"/>
  <c r="P61" i="15" s="1"/>
  <c r="P77" i="15" s="1"/>
  <c r="O4" i="15"/>
  <c r="O61" i="15" s="1"/>
  <c r="M72" i="14"/>
  <c r="K72" i="14"/>
  <c r="M71" i="14"/>
  <c r="K71" i="14"/>
  <c r="M70" i="14"/>
  <c r="K70" i="14"/>
  <c r="M69" i="14"/>
  <c r="K69" i="14"/>
  <c r="M68" i="14"/>
  <c r="K68" i="14"/>
  <c r="M67" i="14"/>
  <c r="K67" i="14"/>
  <c r="M66" i="14"/>
  <c r="K66" i="14"/>
  <c r="M65" i="14"/>
  <c r="K65" i="14"/>
  <c r="M64" i="14"/>
  <c r="K64" i="14"/>
  <c r="M63" i="14"/>
  <c r="K63" i="14"/>
  <c r="M62" i="14"/>
  <c r="K62" i="14"/>
  <c r="M61" i="14"/>
  <c r="K61" i="14"/>
  <c r="K60" i="14"/>
  <c r="Y60" i="14" s="1"/>
  <c r="Z59" i="14"/>
  <c r="Y59" i="14"/>
  <c r="X59" i="14"/>
  <c r="V59" i="14"/>
  <c r="U59" i="14"/>
  <c r="T59" i="14"/>
  <c r="K59" i="14"/>
  <c r="W59" i="14" s="1"/>
  <c r="Z58" i="14"/>
  <c r="Y58" i="14"/>
  <c r="X58" i="14"/>
  <c r="W58" i="14"/>
  <c r="V58" i="14"/>
  <c r="U58" i="14"/>
  <c r="T58" i="14"/>
  <c r="S58" i="14"/>
  <c r="AA58" i="14" s="1"/>
  <c r="K57" i="14"/>
  <c r="Z56" i="14"/>
  <c r="Y56" i="14"/>
  <c r="X56" i="14"/>
  <c r="W56" i="14"/>
  <c r="V56" i="14"/>
  <c r="U56" i="14"/>
  <c r="T56" i="14"/>
  <c r="S56" i="14"/>
  <c r="AA56" i="14" s="1"/>
  <c r="R56" i="14"/>
  <c r="Q56" i="14"/>
  <c r="Z55" i="14"/>
  <c r="Y55" i="14"/>
  <c r="X55" i="14"/>
  <c r="W55" i="14"/>
  <c r="V55" i="14"/>
  <c r="U55" i="14"/>
  <c r="T55" i="14"/>
  <c r="S55" i="14"/>
  <c r="R55" i="14"/>
  <c r="AA55" i="14" s="1"/>
  <c r="Q55" i="14"/>
  <c r="Z54" i="14"/>
  <c r="Y54" i="14"/>
  <c r="X54" i="14"/>
  <c r="W54" i="14"/>
  <c r="V54" i="14"/>
  <c r="U54" i="14"/>
  <c r="T54" i="14"/>
  <c r="S54" i="14"/>
  <c r="R54" i="14"/>
  <c r="Q54" i="14"/>
  <c r="AA54" i="14" s="1"/>
  <c r="Z53" i="14"/>
  <c r="Y53" i="14"/>
  <c r="X53" i="14"/>
  <c r="W53" i="14"/>
  <c r="V53" i="14"/>
  <c r="U53" i="14"/>
  <c r="T53" i="14"/>
  <c r="S53" i="14"/>
  <c r="R53" i="14"/>
  <c r="Q53" i="14"/>
  <c r="P53" i="14"/>
  <c r="AA53" i="14" s="1"/>
  <c r="Z52" i="14"/>
  <c r="Y52" i="14"/>
  <c r="X52" i="14"/>
  <c r="W52" i="14"/>
  <c r="V52" i="14"/>
  <c r="U52" i="14"/>
  <c r="T52" i="14"/>
  <c r="S52" i="14"/>
  <c r="R52" i="14"/>
  <c r="Q52" i="14"/>
  <c r="P52" i="14"/>
  <c r="AA52" i="14" s="1"/>
  <c r="Z51" i="14"/>
  <c r="Y51" i="14"/>
  <c r="X51" i="14"/>
  <c r="W51" i="14"/>
  <c r="V51" i="14"/>
  <c r="U51" i="14"/>
  <c r="T51" i="14"/>
  <c r="S51" i="14"/>
  <c r="R51" i="14"/>
  <c r="Q51" i="14"/>
  <c r="P51" i="14"/>
  <c r="O51" i="14"/>
  <c r="AA51" i="14" s="1"/>
  <c r="Z50" i="14"/>
  <c r="Y50" i="14"/>
  <c r="AA50" i="14" s="1"/>
  <c r="X50" i="14"/>
  <c r="Z49" i="14"/>
  <c r="Y49" i="14"/>
  <c r="AA49" i="14" s="1"/>
  <c r="X49" i="14"/>
  <c r="Z48" i="14"/>
  <c r="Y48" i="14"/>
  <c r="X48" i="14"/>
  <c r="W48" i="14"/>
  <c r="V48" i="14"/>
  <c r="U48" i="14"/>
  <c r="T48" i="14"/>
  <c r="S48" i="14"/>
  <c r="R48" i="14"/>
  <c r="Q48" i="14"/>
  <c r="P48" i="14"/>
  <c r="O48" i="14"/>
  <c r="AA48" i="14" s="1"/>
  <c r="Z47" i="14"/>
  <c r="Y47" i="14"/>
  <c r="X47" i="14"/>
  <c r="W47" i="14"/>
  <c r="V47" i="14"/>
  <c r="U47" i="14"/>
  <c r="T47" i="14"/>
  <c r="S47" i="14"/>
  <c r="R47" i="14"/>
  <c r="Q47" i="14"/>
  <c r="P47" i="14"/>
  <c r="O47" i="14"/>
  <c r="AA47" i="14" s="1"/>
  <c r="Z46" i="14"/>
  <c r="Y46" i="14"/>
  <c r="X46" i="14"/>
  <c r="W46" i="14"/>
  <c r="V46" i="14"/>
  <c r="U46" i="14"/>
  <c r="T46" i="14"/>
  <c r="S46" i="14"/>
  <c r="R46" i="14"/>
  <c r="Q46" i="14"/>
  <c r="P46" i="14"/>
  <c r="O46" i="14"/>
  <c r="AA46" i="14" s="1"/>
  <c r="Z45" i="14"/>
  <c r="Y45" i="14"/>
  <c r="X45" i="14"/>
  <c r="W45" i="14"/>
  <c r="V45" i="14"/>
  <c r="U45" i="14"/>
  <c r="T45" i="14"/>
  <c r="S45" i="14"/>
  <c r="R45" i="14"/>
  <c r="Q45" i="14"/>
  <c r="P45" i="14"/>
  <c r="O45" i="14"/>
  <c r="AA45" i="14" s="1"/>
  <c r="Z44" i="14"/>
  <c r="Y44" i="14"/>
  <c r="X44" i="14"/>
  <c r="W44" i="14"/>
  <c r="V44" i="14"/>
  <c r="U44" i="14"/>
  <c r="T44" i="14"/>
  <c r="S44" i="14"/>
  <c r="R44" i="14"/>
  <c r="Q44" i="14"/>
  <c r="P44" i="14"/>
  <c r="O44" i="14"/>
  <c r="AA44" i="14" s="1"/>
  <c r="Z43" i="14"/>
  <c r="Y43" i="14"/>
  <c r="X43" i="14"/>
  <c r="W43" i="14"/>
  <c r="V43" i="14"/>
  <c r="U43" i="14"/>
  <c r="T43" i="14"/>
  <c r="S43" i="14"/>
  <c r="R43" i="14"/>
  <c r="Q43" i="14"/>
  <c r="P43" i="14"/>
  <c r="O43" i="14"/>
  <c r="AA43" i="14" s="1"/>
  <c r="Z42" i="14"/>
  <c r="Y42" i="14"/>
  <c r="X42" i="14"/>
  <c r="W42" i="14"/>
  <c r="V42" i="14"/>
  <c r="U42" i="14"/>
  <c r="T42" i="14"/>
  <c r="S42" i="14"/>
  <c r="R42" i="14"/>
  <c r="Q42" i="14"/>
  <c r="P42" i="14"/>
  <c r="O42" i="14"/>
  <c r="AA42" i="14" s="1"/>
  <c r="Z41" i="14"/>
  <c r="Y41" i="14"/>
  <c r="X41" i="14"/>
  <c r="W41" i="14"/>
  <c r="V41" i="14"/>
  <c r="U41" i="14"/>
  <c r="T41" i="14"/>
  <c r="S41" i="14"/>
  <c r="R41" i="14"/>
  <c r="Q41" i="14"/>
  <c r="P41" i="14"/>
  <c r="O41" i="14"/>
  <c r="AA41" i="14" s="1"/>
  <c r="Z40" i="14"/>
  <c r="Y40" i="14"/>
  <c r="X40" i="14"/>
  <c r="W40" i="14"/>
  <c r="V40" i="14"/>
  <c r="U40" i="14"/>
  <c r="T40" i="14"/>
  <c r="S40" i="14"/>
  <c r="R40" i="14"/>
  <c r="Q40" i="14"/>
  <c r="P40" i="14"/>
  <c r="O40" i="14"/>
  <c r="AA40" i="14" s="1"/>
  <c r="Z39" i="14"/>
  <c r="Y39" i="14"/>
  <c r="X39" i="14"/>
  <c r="W39" i="14"/>
  <c r="V39" i="14"/>
  <c r="U39" i="14"/>
  <c r="T39" i="14"/>
  <c r="S39" i="14"/>
  <c r="R39" i="14"/>
  <c r="Q39" i="14"/>
  <c r="P39" i="14"/>
  <c r="O39" i="14"/>
  <c r="AA39" i="14" s="1"/>
  <c r="Z38" i="14"/>
  <c r="Y38" i="14"/>
  <c r="X38" i="14"/>
  <c r="W38" i="14"/>
  <c r="V38" i="14"/>
  <c r="U38" i="14"/>
  <c r="T38" i="14"/>
  <c r="S38" i="14"/>
  <c r="R38" i="14"/>
  <c r="Q38" i="14"/>
  <c r="P38" i="14"/>
  <c r="O38" i="14"/>
  <c r="AA38" i="14" s="1"/>
  <c r="Z37" i="14"/>
  <c r="Y37" i="14"/>
  <c r="X37" i="14"/>
  <c r="W37" i="14"/>
  <c r="V37" i="14"/>
  <c r="U37" i="14"/>
  <c r="T37" i="14"/>
  <c r="S37" i="14"/>
  <c r="R37" i="14"/>
  <c r="Q37" i="14"/>
  <c r="P37" i="14"/>
  <c r="O37" i="14"/>
  <c r="AA37" i="14" s="1"/>
  <c r="Z36" i="14"/>
  <c r="Y36" i="14"/>
  <c r="X36" i="14"/>
  <c r="W36" i="14"/>
  <c r="V36" i="14"/>
  <c r="U36" i="14"/>
  <c r="T36" i="14"/>
  <c r="S36" i="14"/>
  <c r="R36" i="14"/>
  <c r="Q36" i="14"/>
  <c r="P36" i="14"/>
  <c r="O36" i="14"/>
  <c r="AA36" i="14" s="1"/>
  <c r="Z35" i="14"/>
  <c r="Y35" i="14"/>
  <c r="X35" i="14"/>
  <c r="W35" i="14"/>
  <c r="V35" i="14"/>
  <c r="U35" i="14"/>
  <c r="T35" i="14"/>
  <c r="S35" i="14"/>
  <c r="R35" i="14"/>
  <c r="Q35" i="14"/>
  <c r="P35" i="14"/>
  <c r="O35" i="14"/>
  <c r="AA35" i="14" s="1"/>
  <c r="Z34" i="14"/>
  <c r="Y34" i="14"/>
  <c r="X34" i="14"/>
  <c r="W34" i="14"/>
  <c r="V34" i="14"/>
  <c r="U34" i="14"/>
  <c r="T34" i="14"/>
  <c r="S34" i="14"/>
  <c r="R34" i="14"/>
  <c r="Q34" i="14"/>
  <c r="P34" i="14"/>
  <c r="O34" i="14"/>
  <c r="AA34" i="14" s="1"/>
  <c r="Z33" i="14"/>
  <c r="Y33" i="14"/>
  <c r="X33" i="14"/>
  <c r="W33" i="14"/>
  <c r="V33" i="14"/>
  <c r="U33" i="14"/>
  <c r="T33" i="14"/>
  <c r="S33" i="14"/>
  <c r="R33" i="14"/>
  <c r="Q33" i="14"/>
  <c r="P33" i="14"/>
  <c r="O33" i="14"/>
  <c r="AA33" i="14" s="1"/>
  <c r="Z32" i="14"/>
  <c r="Y32" i="14"/>
  <c r="X32" i="14"/>
  <c r="W32" i="14"/>
  <c r="V32" i="14"/>
  <c r="U32" i="14"/>
  <c r="T32" i="14"/>
  <c r="S32" i="14"/>
  <c r="R32" i="14"/>
  <c r="Q32" i="14"/>
  <c r="P32" i="14"/>
  <c r="O32" i="14"/>
  <c r="AA32" i="14" s="1"/>
  <c r="Z31" i="14"/>
  <c r="Y31" i="14"/>
  <c r="X31" i="14"/>
  <c r="W31" i="14"/>
  <c r="V31" i="14"/>
  <c r="U31" i="14"/>
  <c r="T31" i="14"/>
  <c r="S31" i="14"/>
  <c r="R31" i="14"/>
  <c r="Q31" i="14"/>
  <c r="P31" i="14"/>
  <c r="O31" i="14"/>
  <c r="AA31" i="14" s="1"/>
  <c r="Z30" i="14"/>
  <c r="Y30" i="14"/>
  <c r="X30" i="14"/>
  <c r="W30" i="14"/>
  <c r="V30" i="14"/>
  <c r="U30" i="14"/>
  <c r="T30" i="14"/>
  <c r="S30" i="14"/>
  <c r="R30" i="14"/>
  <c r="Q30" i="14"/>
  <c r="P30" i="14"/>
  <c r="O30" i="14"/>
  <c r="AA30" i="14" s="1"/>
  <c r="Z29" i="14"/>
  <c r="Y29" i="14"/>
  <c r="X29" i="14"/>
  <c r="W29" i="14"/>
  <c r="V29" i="14"/>
  <c r="U29" i="14"/>
  <c r="T29" i="14"/>
  <c r="S29" i="14"/>
  <c r="R29" i="14"/>
  <c r="Q29" i="14"/>
  <c r="P29" i="14"/>
  <c r="O29" i="14"/>
  <c r="AA29" i="14" s="1"/>
  <c r="S28" i="14"/>
  <c r="R28" i="14"/>
  <c r="Q28" i="14"/>
  <c r="P28" i="14"/>
  <c r="O28" i="14"/>
  <c r="AA28" i="14" s="1"/>
  <c r="Z27" i="14"/>
  <c r="Y27" i="14"/>
  <c r="X27" i="14"/>
  <c r="W27" i="14"/>
  <c r="V27" i="14"/>
  <c r="U27" i="14"/>
  <c r="T27" i="14"/>
  <c r="S27" i="14"/>
  <c r="R27" i="14"/>
  <c r="Q27" i="14"/>
  <c r="P27" i="14"/>
  <c r="O27" i="14"/>
  <c r="AA27" i="14" s="1"/>
  <c r="Z26" i="14"/>
  <c r="Y26" i="14"/>
  <c r="X26" i="14"/>
  <c r="W26" i="14"/>
  <c r="V26" i="14"/>
  <c r="U26" i="14"/>
  <c r="T26" i="14"/>
  <c r="S26" i="14"/>
  <c r="R26" i="14"/>
  <c r="Q26" i="14"/>
  <c r="P26" i="14"/>
  <c r="O26" i="14"/>
  <c r="AA26" i="14" s="1"/>
  <c r="Z25" i="14"/>
  <c r="Y25" i="14"/>
  <c r="X25" i="14"/>
  <c r="W25" i="14"/>
  <c r="V25" i="14"/>
  <c r="U25" i="14"/>
  <c r="T25" i="14"/>
  <c r="S25" i="14"/>
  <c r="R25" i="14"/>
  <c r="Q25" i="14"/>
  <c r="P25" i="14"/>
  <c r="O25" i="14"/>
  <c r="AA25" i="14" s="1"/>
  <c r="Z23" i="14"/>
  <c r="Y23" i="14"/>
  <c r="X23" i="14"/>
  <c r="W23" i="14"/>
  <c r="V23" i="14"/>
  <c r="U23" i="14"/>
  <c r="T23" i="14"/>
  <c r="S23" i="14"/>
  <c r="R23" i="14"/>
  <c r="Q23" i="14"/>
  <c r="P23" i="14"/>
  <c r="O23" i="14"/>
  <c r="AA23" i="14" s="1"/>
  <c r="Z22" i="14"/>
  <c r="Y22" i="14"/>
  <c r="X22" i="14"/>
  <c r="W22" i="14"/>
  <c r="V22" i="14"/>
  <c r="U22" i="14"/>
  <c r="T22" i="14"/>
  <c r="S22" i="14"/>
  <c r="R22" i="14"/>
  <c r="Q22" i="14"/>
  <c r="P22" i="14"/>
  <c r="O22" i="14"/>
  <c r="AA22" i="14" s="1"/>
  <c r="Z20" i="14"/>
  <c r="Y20" i="14"/>
  <c r="X20" i="14"/>
  <c r="W20" i="14"/>
  <c r="V20" i="14"/>
  <c r="U20" i="14"/>
  <c r="T20" i="14"/>
  <c r="S20" i="14"/>
  <c r="R20" i="14"/>
  <c r="Q20" i="14"/>
  <c r="P20" i="14"/>
  <c r="O20" i="14"/>
  <c r="AA20" i="14" s="1"/>
  <c r="Z19" i="14"/>
  <c r="Y19" i="14"/>
  <c r="X19" i="14"/>
  <c r="W19" i="14"/>
  <c r="V19" i="14"/>
  <c r="U19" i="14"/>
  <c r="T19" i="14"/>
  <c r="S19" i="14"/>
  <c r="R19" i="14"/>
  <c r="Q19" i="14"/>
  <c r="P19" i="14"/>
  <c r="O19" i="14"/>
  <c r="AA19" i="14" s="1"/>
  <c r="Z18" i="14"/>
  <c r="Y18" i="14"/>
  <c r="X18" i="14"/>
  <c r="W18" i="14"/>
  <c r="V18" i="14"/>
  <c r="U18" i="14"/>
  <c r="T18" i="14"/>
  <c r="S18" i="14"/>
  <c r="R18" i="14"/>
  <c r="Q18" i="14"/>
  <c r="P18" i="14"/>
  <c r="O18" i="14"/>
  <c r="AA18" i="14" s="1"/>
  <c r="Z17" i="14"/>
  <c r="Y17" i="14"/>
  <c r="X17" i="14"/>
  <c r="W17" i="14"/>
  <c r="V17" i="14"/>
  <c r="U17" i="14"/>
  <c r="T17" i="14"/>
  <c r="S17" i="14"/>
  <c r="R17" i="14"/>
  <c r="Q17" i="14"/>
  <c r="P17" i="14"/>
  <c r="O17" i="14"/>
  <c r="AA17" i="14" s="1"/>
  <c r="Z16" i="14"/>
  <c r="Y16" i="14"/>
  <c r="X16" i="14"/>
  <c r="W16" i="14"/>
  <c r="V16" i="14"/>
  <c r="U16" i="14"/>
  <c r="T16" i="14"/>
  <c r="S16" i="14"/>
  <c r="R16" i="14"/>
  <c r="Q16" i="14"/>
  <c r="P16" i="14"/>
  <c r="O16" i="14"/>
  <c r="AA16" i="14" s="1"/>
  <c r="Z15" i="14"/>
  <c r="Y15" i="14"/>
  <c r="X15" i="14"/>
  <c r="W15" i="14"/>
  <c r="V15" i="14"/>
  <c r="U15" i="14"/>
  <c r="T15" i="14"/>
  <c r="S15" i="14"/>
  <c r="R15" i="14"/>
  <c r="Q15" i="14"/>
  <c r="P15" i="14"/>
  <c r="O15" i="14"/>
  <c r="AA15" i="14" s="1"/>
  <c r="Z14" i="14"/>
  <c r="Y14" i="14"/>
  <c r="X14" i="14"/>
  <c r="W14" i="14"/>
  <c r="V14" i="14"/>
  <c r="U14" i="14"/>
  <c r="T14" i="14"/>
  <c r="S14" i="14"/>
  <c r="R14" i="14"/>
  <c r="Q14" i="14"/>
  <c r="P14" i="14"/>
  <c r="O14" i="14"/>
  <c r="AA14" i="14" s="1"/>
  <c r="Z13" i="14"/>
  <c r="Y13" i="14"/>
  <c r="X13" i="14"/>
  <c r="W13" i="14"/>
  <c r="V13" i="14"/>
  <c r="U13" i="14"/>
  <c r="T13" i="14"/>
  <c r="S13" i="14"/>
  <c r="R13" i="14"/>
  <c r="Q13" i="14"/>
  <c r="P13" i="14"/>
  <c r="O13" i="14"/>
  <c r="AA13" i="14" s="1"/>
  <c r="Z12" i="14"/>
  <c r="Y12" i="14"/>
  <c r="X12" i="14"/>
  <c r="W12" i="14"/>
  <c r="V12" i="14"/>
  <c r="U12" i="14"/>
  <c r="T12" i="14"/>
  <c r="S12" i="14"/>
  <c r="R12" i="14"/>
  <c r="Q12" i="14"/>
  <c r="P12" i="14"/>
  <c r="O12" i="14"/>
  <c r="AA12" i="14" s="1"/>
  <c r="O11" i="14"/>
  <c r="AA11" i="14" s="1"/>
  <c r="Z10" i="14"/>
  <c r="Y10" i="14"/>
  <c r="X10" i="14"/>
  <c r="W10" i="14"/>
  <c r="V10" i="14"/>
  <c r="U10" i="14"/>
  <c r="T10" i="14"/>
  <c r="S10" i="14"/>
  <c r="R10" i="14"/>
  <c r="Q10" i="14"/>
  <c r="P10" i="14"/>
  <c r="O10" i="14"/>
  <c r="AA10" i="14" s="1"/>
  <c r="Z7" i="14"/>
  <c r="Y7" i="14"/>
  <c r="X7" i="14"/>
  <c r="W7" i="14"/>
  <c r="V7" i="14"/>
  <c r="U7" i="14"/>
  <c r="T7" i="14"/>
  <c r="S7" i="14"/>
  <c r="R7" i="14"/>
  <c r="Q7" i="14"/>
  <c r="P7" i="14"/>
  <c r="O7" i="14"/>
  <c r="AA7" i="14" s="1"/>
  <c r="Z4" i="14"/>
  <c r="Y4" i="14"/>
  <c r="Y85" i="14" s="1"/>
  <c r="X4" i="14"/>
  <c r="W4" i="14"/>
  <c r="V4" i="14"/>
  <c r="V85" i="14" s="1"/>
  <c r="U4" i="14"/>
  <c r="U85" i="14" s="1"/>
  <c r="T4" i="14"/>
  <c r="T85" i="14" s="1"/>
  <c r="S4" i="14"/>
  <c r="S85" i="14" s="1"/>
  <c r="R4" i="14"/>
  <c r="R85" i="14" s="1"/>
  <c r="Q4" i="14"/>
  <c r="Q85" i="14" s="1"/>
  <c r="P4" i="14"/>
  <c r="P85" i="14" s="1"/>
  <c r="O4" i="14"/>
  <c r="O85" i="14" s="1"/>
  <c r="K41" i="1"/>
  <c r="J41" i="1"/>
  <c r="I41" i="1"/>
  <c r="H41" i="1"/>
  <c r="G41" i="1"/>
  <c r="K50" i="1"/>
  <c r="J50" i="1"/>
  <c r="I50" i="1"/>
  <c r="H50" i="1"/>
  <c r="G50" i="1"/>
  <c r="I53" i="1"/>
  <c r="K53" i="1" s="1"/>
  <c r="H52" i="1"/>
  <c r="J52" i="1" s="1"/>
  <c r="K52" i="1" s="1"/>
  <c r="J17" i="1" l="1"/>
  <c r="AA49" i="15"/>
  <c r="O77" i="15"/>
  <c r="V48" i="15"/>
  <c r="AA4" i="15"/>
  <c r="S48" i="15"/>
  <c r="W48" i="15"/>
  <c r="V49" i="15"/>
  <c r="Z49" i="15"/>
  <c r="U50" i="15"/>
  <c r="AA50" i="15" s="1"/>
  <c r="Y50" i="15"/>
  <c r="Y61" i="15" s="1"/>
  <c r="S51" i="15"/>
  <c r="W51" i="15"/>
  <c r="W61" i="15" s="1"/>
  <c r="X55" i="15"/>
  <c r="Z48" i="15"/>
  <c r="Z61" i="15" s="1"/>
  <c r="V51" i="15"/>
  <c r="Z51" i="15"/>
  <c r="W55" i="15"/>
  <c r="T48" i="15"/>
  <c r="X48" i="15"/>
  <c r="V50" i="15"/>
  <c r="Z50" i="15"/>
  <c r="T51" i="15"/>
  <c r="X51" i="15"/>
  <c r="U55" i="15"/>
  <c r="Y55" i="15"/>
  <c r="U48" i="15"/>
  <c r="U61" i="15" s="1"/>
  <c r="U51" i="15"/>
  <c r="V55" i="15"/>
  <c r="AA59" i="14"/>
  <c r="Z85" i="14"/>
  <c r="W85" i="14"/>
  <c r="Z60" i="14"/>
  <c r="W60" i="14"/>
  <c r="AA4" i="14"/>
  <c r="X60" i="14"/>
  <c r="X85" i="14" s="1"/>
  <c r="K17" i="1" l="1"/>
  <c r="I25" i="1"/>
  <c r="I21" i="1"/>
  <c r="Y77" i="15"/>
  <c r="S77" i="15"/>
  <c r="AA48" i="15"/>
  <c r="AA55" i="15"/>
  <c r="AA51" i="15"/>
  <c r="S61" i="15"/>
  <c r="U77" i="15"/>
  <c r="T77" i="15"/>
  <c r="Z77" i="15"/>
  <c r="W77" i="15"/>
  <c r="X61" i="15"/>
  <c r="X77" i="15" s="1"/>
  <c r="V61" i="15"/>
  <c r="V77" i="15" s="1"/>
  <c r="T61" i="15"/>
  <c r="AA60" i="14"/>
  <c r="AA85" i="14" s="1"/>
  <c r="AA87" i="14" s="1"/>
  <c r="I26" i="1" l="1"/>
  <c r="I27" i="1" s="1"/>
  <c r="I28" i="1" s="1"/>
  <c r="J21" i="1"/>
  <c r="J25" i="1"/>
  <c r="L17" i="1"/>
  <c r="AA61" i="15"/>
  <c r="AA77" i="15"/>
  <c r="K21" i="1" l="1"/>
  <c r="K25" i="1"/>
  <c r="J26" i="1"/>
  <c r="J27" i="1" s="1"/>
  <c r="N4" i="13"/>
  <c r="M4" i="13"/>
  <c r="L4" i="13"/>
  <c r="K4" i="13"/>
  <c r="J4" i="13"/>
  <c r="I4" i="13"/>
  <c r="H4" i="13"/>
  <c r="G4" i="13"/>
  <c r="F4" i="13"/>
  <c r="E4" i="13"/>
  <c r="D4" i="13"/>
  <c r="C4" i="13"/>
  <c r="B4" i="13"/>
  <c r="K26" i="1" l="1"/>
  <c r="K27" i="1" s="1"/>
  <c r="K28" i="1" s="1"/>
  <c r="J28" i="1"/>
  <c r="L4" i="11"/>
  <c r="K4" i="11"/>
  <c r="G51" i="1"/>
  <c r="H51" i="1" s="1"/>
  <c r="I51" i="1" s="1"/>
  <c r="E15" i="12"/>
  <c r="E14" i="12"/>
  <c r="E13" i="12"/>
  <c r="E12" i="12"/>
  <c r="E11" i="12"/>
  <c r="J51" i="1" l="1"/>
  <c r="I56" i="1"/>
  <c r="I30" i="1" s="1"/>
  <c r="I32" i="1" s="1"/>
  <c r="P13" i="1"/>
  <c r="K51" i="1" l="1"/>
  <c r="K56" i="1" s="1"/>
  <c r="K30" i="1" s="1"/>
  <c r="K32" i="1" s="1"/>
  <c r="J56" i="1"/>
  <c r="J30" i="1" s="1"/>
  <c r="J32" i="1" s="1"/>
  <c r="H21" i="1"/>
  <c r="H25" i="1"/>
  <c r="H26" i="1" l="1"/>
  <c r="H27" i="1" s="1"/>
  <c r="H28" i="1" s="1"/>
  <c r="L24" i="1"/>
  <c r="I13" i="2"/>
  <c r="F12" i="2"/>
  <c r="L23" i="1" l="1"/>
  <c r="L22" i="1"/>
  <c r="L18" i="1"/>
  <c r="P17" i="1" s="1"/>
  <c r="L21" i="1"/>
  <c r="P14" i="1" l="1"/>
  <c r="H56" i="1"/>
  <c r="G56" i="1"/>
  <c r="L56" i="1" s="1"/>
  <c r="G25" i="1"/>
  <c r="L25" i="1" s="1"/>
  <c r="P15" i="1" s="1"/>
  <c r="B2" i="2"/>
  <c r="H30" i="1" l="1"/>
  <c r="H32" i="1" s="1"/>
  <c r="G26" i="1"/>
  <c r="M10" i="6"/>
  <c r="I16" i="2"/>
  <c r="F16" i="2"/>
  <c r="I15" i="2"/>
  <c r="H15" i="2"/>
  <c r="J15" i="2" s="1"/>
  <c r="F15" i="2"/>
  <c r="G14" i="2"/>
  <c r="J14" i="2" s="1"/>
  <c r="F13" i="2"/>
  <c r="J13" i="2" s="1"/>
  <c r="J12" i="2"/>
  <c r="D12" i="2"/>
  <c r="L26" i="1" l="1"/>
  <c r="L27" i="1" s="1"/>
  <c r="L28" i="1" s="1"/>
  <c r="J16" i="2"/>
  <c r="J17" i="2" s="1"/>
  <c r="K17" i="2" s="1"/>
  <c r="F41" i="1" l="1"/>
  <c r="M8" i="6" l="1"/>
  <c r="B4" i="2" l="1"/>
  <c r="C2" i="2" s="1"/>
  <c r="B5" i="2"/>
  <c r="G34" i="1" s="1"/>
  <c r="C5" i="2" l="1"/>
  <c r="H34" i="1" s="1"/>
  <c r="H36" i="1" s="1"/>
  <c r="D2" i="2"/>
  <c r="H37" i="1" l="1"/>
  <c r="H39" i="1" s="1"/>
  <c r="H42" i="1" s="1"/>
  <c r="D5" i="2"/>
  <c r="I34" i="1" s="1"/>
  <c r="I36" i="1" s="1"/>
  <c r="I37" i="1" s="1"/>
  <c r="I39" i="1" s="1"/>
  <c r="I42" i="1" s="1"/>
  <c r="E2" i="2"/>
  <c r="E5" i="2" l="1"/>
  <c r="J34" i="1" s="1"/>
  <c r="J36" i="1" s="1"/>
  <c r="F2" i="2"/>
  <c r="J37" i="1" l="1"/>
  <c r="J39" i="1" s="1"/>
  <c r="J42" i="1" s="1"/>
  <c r="F5" i="2"/>
  <c r="K34" i="1" s="1"/>
  <c r="K36" i="1" s="1"/>
  <c r="K37" i="1" s="1"/>
  <c r="K39" i="1" s="1"/>
  <c r="K42" i="1" s="1"/>
  <c r="G2" i="2"/>
  <c r="G5" i="2" s="1"/>
  <c r="L34" i="1" l="1"/>
  <c r="H2" i="2"/>
  <c r="H5" i="2" s="1"/>
  <c r="I2" i="2" l="1"/>
  <c r="I5" i="2" s="1"/>
  <c r="J2" i="2" l="1"/>
  <c r="J5" i="2" s="1"/>
  <c r="K2" i="2" l="1"/>
  <c r="K5" i="2" s="1"/>
  <c r="G30" i="1" l="1"/>
  <c r="L30" i="1" l="1"/>
  <c r="L32" i="1" s="1"/>
  <c r="M12" i="6"/>
  <c r="F42" i="1" l="1"/>
  <c r="F43" i="1" l="1"/>
  <c r="M11" i="6" l="1"/>
  <c r="G27" i="1"/>
  <c r="G28" i="1" s="1"/>
  <c r="F47" i="1" l="1"/>
  <c r="G32" i="1"/>
  <c r="G36" i="1" s="1"/>
  <c r="L36" i="1" s="1"/>
  <c r="Q21" i="1" l="1"/>
  <c r="M16" i="6"/>
  <c r="G37" i="1"/>
  <c r="L37" i="1" l="1"/>
  <c r="L39" i="1" s="1"/>
  <c r="G39" i="1"/>
  <c r="G42" i="1" s="1"/>
  <c r="G43" i="1" l="1"/>
  <c r="F46" i="1"/>
  <c r="Q20" i="1" s="1"/>
  <c r="F45" i="1"/>
  <c r="Q19" i="1" s="1"/>
  <c r="G44" i="1" l="1"/>
  <c r="H43" i="1"/>
  <c r="H44" i="1" s="1"/>
  <c r="M14" i="6"/>
  <c r="M15" i="6"/>
  <c r="I43" i="1" l="1"/>
  <c r="I44" i="1" s="1"/>
  <c r="J43" i="1" l="1"/>
  <c r="K43" i="1" s="1"/>
  <c r="K44" i="1" s="1"/>
  <c r="J44" i="1" l="1"/>
  <c r="F48" i="1" s="1"/>
  <c r="Q22" i="1" s="1"/>
  <c r="M17" i="6" l="1"/>
</calcChain>
</file>

<file path=xl/comments1.xml><?xml version="1.0" encoding="utf-8"?>
<comments xmlns="http://schemas.openxmlformats.org/spreadsheetml/2006/main">
  <authors>
    <author/>
  </authors>
  <commentList>
    <comment ref="M73" authorId="0" shapeId="0">
      <text>
        <r>
          <rPr>
            <sz val="11"/>
            <color theme="1"/>
            <rFont val="Arial"/>
            <family val="2"/>
          </rPr>
          <t>======
ID#AAAANkjjtH8
Yudha Dewa    (2021-07-30 05:27:53)
promo bulan agustus</t>
        </r>
      </text>
    </comment>
    <comment ref="M74" authorId="0" shapeId="0">
      <text>
        <r>
          <rPr>
            <sz val="11"/>
            <color theme="1"/>
            <rFont val="Arial"/>
            <family val="2"/>
          </rPr>
          <t>======
ID#AAAANkjjtIM
Yudha Dewa    (2021-07-30 05:27:53)
promo bulan agustus</t>
        </r>
      </text>
    </comment>
    <comment ref="M75" authorId="0" shapeId="0">
      <text>
        <r>
          <rPr>
            <sz val="11"/>
            <color theme="1"/>
            <rFont val="Arial"/>
            <family val="2"/>
          </rPr>
          <t>======
ID#AAAANkjjtHY
Yudha Dewa    (2021-07-30 05:27:53)
promo bulan agustus</t>
        </r>
      </text>
    </comment>
    <comment ref="M76" authorId="0" shapeId="0">
      <text>
        <r>
          <rPr>
            <sz val="11"/>
            <color theme="1"/>
            <rFont val="Arial"/>
            <family val="2"/>
          </rPr>
          <t>======
ID#AAAANkjjtHg
Yudha Dewa    (2021-07-30 05:27:53)
promo bulan agustus</t>
        </r>
      </text>
    </comment>
    <comment ref="M78" authorId="0" shapeId="0">
      <text>
        <r>
          <rPr>
            <sz val="11"/>
            <color theme="1"/>
            <rFont val="Arial"/>
            <family val="2"/>
          </rPr>
          <t>======
ID#AAAANkjjtHw
Yudha Dewa    (2021-07-30 05:27:53)
promo bulan agustus</t>
        </r>
      </text>
    </comment>
    <comment ref="M79" authorId="0" shapeId="0">
      <text>
        <r>
          <rPr>
            <sz val="11"/>
            <color theme="1"/>
            <rFont val="Arial"/>
            <family val="2"/>
          </rPr>
          <t>======
ID#AAAANkjjtHo
Yudha Dewa    (2021-07-30 05:27:53)
promo bulan agustus</t>
        </r>
      </text>
    </comment>
    <comment ref="M80" authorId="0" shapeId="0">
      <text>
        <r>
          <rPr>
            <sz val="11"/>
            <color theme="1"/>
            <rFont val="Arial"/>
            <family val="2"/>
          </rPr>
          <t>======
ID#AAAANkjjtIE
Yudha Dewa    (2021-07-30 05:27:53)
promo bulan agustus</t>
        </r>
      </text>
    </comment>
    <comment ref="D86" authorId="0" shapeId="0">
      <text>
        <r>
          <rPr>
            <sz val="11"/>
            <color theme="1"/>
            <rFont val="Arial"/>
            <family val="2"/>
          </rPr>
          <t>======
ID#AAAANkjjtHc
Siti Hapsah    (2021-07-30 05:27:53)
info dr lapangan di cancel</t>
        </r>
      </text>
    </comment>
    <comment ref="M90" authorId="0" shapeId="0">
      <text>
        <r>
          <rPr>
            <sz val="11"/>
            <color theme="1"/>
            <rFont val="Arial"/>
            <family val="2"/>
          </rPr>
          <t>======
ID#AAAANkjjtHk
Yudha Dewa    (2021-07-30 05:27:53)
promo bulan agustus</t>
        </r>
      </text>
    </comment>
    <comment ref="M93" authorId="0" shapeId="0">
      <text>
        <r>
          <rPr>
            <sz val="11"/>
            <color theme="1"/>
            <rFont val="Arial"/>
            <family val="2"/>
          </rPr>
          <t>======
ID#AAAANkjjtIA
Yudha Dewa    (2021-07-30 05:27:53)
promo bulan agustus</t>
        </r>
      </text>
    </comment>
    <comment ref="M94" authorId="0" shapeId="0">
      <text>
        <r>
          <rPr>
            <sz val="11"/>
            <color theme="1"/>
            <rFont val="Arial"/>
            <family val="2"/>
          </rPr>
          <t>======
ID#AAAANkjjtHI
Yudha Dewa    (2021-07-30 05:27:53)
promo bulan agustus</t>
        </r>
      </text>
    </comment>
    <comment ref="M95" authorId="0" shapeId="0">
      <text>
        <r>
          <rPr>
            <sz val="11"/>
            <color theme="1"/>
            <rFont val="Arial"/>
            <family val="2"/>
          </rPr>
          <t>======
ID#AAAANkjjtII
Yudha Dewa    (2021-07-30 05:27:53)
promo bulan agustus</t>
        </r>
      </text>
    </comment>
    <comment ref="M96" authorId="0" shapeId="0">
      <text>
        <r>
          <rPr>
            <sz val="11"/>
            <color theme="1"/>
            <rFont val="Arial"/>
            <family val="2"/>
          </rPr>
          <t>======
ID#AAAANkjjtH4
Yudha Dewa    (2021-07-30 05:27:53)
promo bulan agustus</t>
        </r>
      </text>
    </comment>
    <comment ref="M97" authorId="0" shapeId="0">
      <text>
        <r>
          <rPr>
            <sz val="11"/>
            <color theme="1"/>
            <rFont val="Arial"/>
            <family val="2"/>
          </rPr>
          <t>======
ID#AAAANkjjtH0
Yudha Dewa    (2021-07-30 05:27:53)
promo bulan agustus</t>
        </r>
      </text>
    </comment>
  </commentList>
</comments>
</file>

<file path=xl/comments2.xml><?xml version="1.0" encoding="utf-8"?>
<comments xmlns="http://schemas.openxmlformats.org/spreadsheetml/2006/main">
  <authors>
    <author>Yudha Dewa</author>
  </authors>
  <commentList>
    <comment ref="J13" authorId="0" shapeId="0">
      <text>
        <r>
          <rPr>
            <b/>
            <sz val="9"/>
            <color indexed="81"/>
            <rFont val="Tahoma"/>
            <family val="2"/>
          </rPr>
          <t>Yudha Dewa:</t>
        </r>
        <r>
          <rPr>
            <sz val="9"/>
            <color indexed="81"/>
            <rFont val="Tahoma"/>
            <family val="2"/>
          </rPr>
          <t xml:space="preserve">
Upgrade 12 May 2022</t>
        </r>
      </text>
    </comment>
  </commentList>
</comments>
</file>

<file path=xl/comments3.xml><?xml version="1.0" encoding="utf-8"?>
<comments xmlns="http://schemas.openxmlformats.org/spreadsheetml/2006/main">
  <authors>
    <author xml:space="preserve"> Subianto  Kasmun </author>
  </authors>
  <commentList>
    <comment ref="I11" authorId="0" shapeId="0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<sst xmlns="http://schemas.openxmlformats.org/spreadsheetml/2006/main" count="800" uniqueCount="462">
  <si>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</si>
  <si>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</si>
  <si>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</si>
  <si>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</si>
  <si>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</si>
  <si>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</si>
  <si>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</si>
  <si>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</si>
  <si>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</si>
  <si>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</si>
  <si>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</si>
  <si>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</si>
  <si>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</si>
  <si>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</si>
  <si>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</si>
  <si>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</si>
  <si>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</si>
  <si>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</si>
  <si>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</si>
  <si>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</si>
  <si>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</si>
  <si>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</si>
  <si>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</si>
  <si>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</si>
  <si>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</si>
  <si>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</si>
  <si>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</si>
  <si>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</si>
  <si>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</si>
  <si>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</si>
  <si>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</si>
  <si>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</si>
  <si>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</si>
  <si>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</si>
  <si>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</si>
  <si>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</si>
  <si>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Interest Rate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</si>
  <si>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</si>
  <si>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</si>
  <si>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</si>
  <si>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</si>
  <si>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</si>
  <si>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</si>
  <si>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</si>
  <si>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</si>
  <si>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</si>
  <si>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</si>
  <si>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</si>
  <si>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</si>
  <si>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</si>
  <si>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</si>
  <si>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</si>
  <si>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</si>
  <si>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</si>
  <si>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</si>
  <si>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</si>
  <si>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</si>
  <si>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</si>
  <si>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</si>
  <si>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</si>
  <si>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</si>
  <si>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</si>
  <si>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</si>
  <si>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</si>
  <si>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Kurs 1USD</t>
  </si>
  <si>
    <t>Status</t>
  </si>
  <si>
    <t>OPENET</t>
  </si>
  <si>
    <t>Total Capex</t>
  </si>
  <si>
    <t>Total floor</t>
  </si>
  <si>
    <t>Cable FO (Core)</t>
  </si>
  <si>
    <t>Total Opex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</si>
  <si>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</si>
  <si>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</si>
  <si>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</si>
  <si>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</si>
  <si>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</si>
  <si>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</si>
  <si>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</si>
  <si>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Price Adjustment after 5 years</t>
  </si>
  <si>
    <t>Revenue</t>
  </si>
  <si>
    <t>Target Achieved by Commercial:</t>
  </si>
  <si>
    <t xml:space="preserve">Tanggal P&amp;L:  </t>
  </si>
  <si>
    <t>IBS / DAS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</si>
  <si>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</si>
  <si>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</si>
  <si>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</si>
  <si>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</si>
  <si>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</si>
  <si>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</si>
  <si>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</si>
  <si>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</si>
  <si>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</si>
  <si>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</si>
  <si>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</si>
  <si>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</si>
  <si>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</si>
  <si>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</si>
  <si>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</si>
  <si>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</si>
  <si>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</si>
  <si>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</si>
  <si>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</si>
  <si>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</si>
  <si>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</si>
  <si>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</si>
  <si>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</si>
  <si>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</si>
  <si>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</si>
  <si>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</si>
  <si>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</si>
  <si>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</si>
  <si>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</si>
  <si>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</si>
  <si>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</si>
  <si>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</si>
  <si>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</si>
  <si>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</si>
  <si>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</si>
  <si>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</si>
  <si>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</si>
  <si>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</si>
  <si>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</si>
  <si>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</si>
  <si>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</si>
  <si>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Monthly Charge</t>
  </si>
  <si>
    <t>Renewal</t>
  </si>
  <si>
    <t>renewal</t>
  </si>
  <si>
    <t>Total Revenues</t>
  </si>
  <si>
    <t>No</t>
  </si>
  <si>
    <t>Nama Bulan</t>
  </si>
  <si>
    <t>Total Pelanggan Paket</t>
  </si>
  <si>
    <t>Total Revenue Paket</t>
  </si>
  <si>
    <t xml:space="preserve">Rata -Rata Pelanggan </t>
  </si>
  <si>
    <t xml:space="preserve">Oxygen Mall </t>
  </si>
  <si>
    <t>Oxygen Soho</t>
  </si>
  <si>
    <t>Mei 23</t>
  </si>
  <si>
    <t xml:space="preserve">TOTAL </t>
  </si>
  <si>
    <t xml:space="preserve">                8.366 </t>
  </si>
  <si>
    <t xml:space="preserve">                   392 </t>
  </si>
  <si>
    <t xml:space="preserve">          1.316.614.798 </t>
  </si>
  <si>
    <t xml:space="preserve">        326.916.190 </t>
  </si>
  <si>
    <t xml:space="preserve">              943.985 </t>
  </si>
  <si>
    <t xml:space="preserve">         5.002.203 </t>
  </si>
  <si>
    <t>              155.316</t>
  </si>
  <si>
    <t>              146.951</t>
  </si>
  <si>
    <t>              154.504</t>
  </si>
  <si>
    <t>              152.734</t>
  </si>
  <si>
    <t>              170.309</t>
  </si>
  <si>
    <t>              164.171</t>
  </si>
  <si>
    <t>Share to BM</t>
  </si>
  <si>
    <t>Capex per HC</t>
  </si>
  <si>
    <t>Jasa + ONT</t>
  </si>
  <si>
    <t>Opex</t>
  </si>
  <si>
    <t>Average price of subs</t>
  </si>
  <si>
    <t>Cash flow</t>
  </si>
  <si>
    <t>amount</t>
  </si>
  <si>
    <t>Desc</t>
  </si>
  <si>
    <t>Summary Cost Tarikan Kabel</t>
  </si>
  <si>
    <t>Cabling - Office Tower - 192 Tarikan</t>
  </si>
  <si>
    <t>Cabling - Mall/Shopping Center - 340 Tarikan</t>
  </si>
  <si>
    <t>Switch - Tower - 12 Unit Pluss Accessories</t>
  </si>
  <si>
    <t>Switch - Mall/Shopping Center - 21 Unit Plus Accessories</t>
  </si>
  <si>
    <t>Jakarta</t>
  </si>
  <si>
    <t>Plaza Indonesia Office dan Mall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</si>
  <si>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</si>
  <si>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</si>
  <si>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</si>
  <si>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</si>
  <si>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</si>
  <si>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</si>
  <si>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</si>
  <si>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</si>
  <si>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</si>
  <si>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</si>
  <si>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</si>
  <si>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</si>
  <si>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PISC</t>
  </si>
  <si>
    <t>Paza Office</t>
  </si>
  <si>
    <t>ISP</t>
  </si>
  <si>
    <t>CID/SO</t>
  </si>
  <si>
    <t>Nama Tenant</t>
  </si>
  <si>
    <t>Nama Toko</t>
  </si>
  <si>
    <t>Lantai</t>
  </si>
  <si>
    <t>No Unit</t>
  </si>
  <si>
    <t>WO Release</t>
  </si>
  <si>
    <t>Tgl On Service</t>
  </si>
  <si>
    <t>Jenis Paket</t>
  </si>
  <si>
    <t>Harga</t>
  </si>
  <si>
    <t>Tanggal Dismantle</t>
  </si>
  <si>
    <t xml:space="preserve">Biaya Installasi </t>
  </si>
  <si>
    <t>Keterangan</t>
  </si>
  <si>
    <t>BALI FIBER</t>
  </si>
  <si>
    <t xml:space="preserve">PT. Christian Louboutin </t>
  </si>
  <si>
    <t xml:space="preserve">Louboutin </t>
  </si>
  <si>
    <t>8-9</t>
  </si>
  <si>
    <t>-</t>
  </si>
  <si>
    <t xml:space="preserve">Infinylink 24 &amp; 25 Mbps </t>
  </si>
  <si>
    <t>PT. Central Mega Kencana (Miss Mondial)</t>
  </si>
  <si>
    <t>Miss Mondial</t>
  </si>
  <si>
    <t xml:space="preserve">122A </t>
  </si>
  <si>
    <t>Smartlink 25 Mbps</t>
  </si>
  <si>
    <t>Dismantle dikarenakan perangkat customer tidak bisa di remote dengan menggunakan layanan Bali Fiber, sehingga customer menggunakan provider lain</t>
  </si>
  <si>
    <t xml:space="preserve">PT. Optik Tunggal Sempurna </t>
  </si>
  <si>
    <t xml:space="preserve">Optik Tunggal </t>
  </si>
  <si>
    <t>93-94A</t>
  </si>
  <si>
    <t>Sushi Tei Indonesia</t>
  </si>
  <si>
    <t>118C</t>
  </si>
  <si>
    <t>PT Harlan Holden Indonesia</t>
  </si>
  <si>
    <t>Info Hold By AM 13 agust 2019</t>
  </si>
  <si>
    <t>PT Lestari Muda Hidup</t>
  </si>
  <si>
    <t>Counter Make Up Forever</t>
  </si>
  <si>
    <t xml:space="preserve">Infinylink 15 &amp; 3 Mbps </t>
  </si>
  <si>
    <t>PT GIORDANO INDONESIA</t>
  </si>
  <si>
    <t>Nike</t>
  </si>
  <si>
    <t>B28</t>
  </si>
  <si>
    <t>Smartlink 50 Mbps</t>
  </si>
  <si>
    <t xml:space="preserve">PT Kolaborasi Global Sukses </t>
  </si>
  <si>
    <t>Go Work</t>
  </si>
  <si>
    <t>Smartlink 250 Mbps</t>
  </si>
  <si>
    <t>Dsimantle MAR 2023</t>
  </si>
  <si>
    <t>PT Champ Resto Indonesia</t>
  </si>
  <si>
    <t>Chopstik</t>
  </si>
  <si>
    <t>L</t>
  </si>
  <si>
    <t>A39</t>
  </si>
  <si>
    <t>Smartlink 5 Mbps</t>
  </si>
  <si>
    <t>Smartlink 10 Mbps</t>
  </si>
  <si>
    <t>Dismantle dikarenakan boutique tutup</t>
  </si>
  <si>
    <t>PT. Atmos Isvara Ritelindo</t>
  </si>
  <si>
    <t>PT. Graha Citra Prima (Store Gucci)</t>
  </si>
  <si>
    <t>GF</t>
  </si>
  <si>
    <t>PT. Graha Citra Prima (Store Balenciaga)</t>
  </si>
  <si>
    <t>PT. Graha Citra Prima (Store Bottega Veneta)</t>
  </si>
  <si>
    <t>PT. Graha Citra Prima ((Store Saint Laurent)</t>
  </si>
  <si>
    <t>PT. Graha Citra Prima (Store Burberry)</t>
  </si>
  <si>
    <t>PT. Adi Reka Mapras Sampurna</t>
  </si>
  <si>
    <t>Batavorum Barberia</t>
  </si>
  <si>
    <t>PT Asharia Karya Indonesia</t>
  </si>
  <si>
    <t>LG</t>
  </si>
  <si>
    <t>3 Mongkis</t>
  </si>
  <si>
    <t>Harlan Store</t>
  </si>
  <si>
    <t>cancel</t>
  </si>
  <si>
    <t>PT Dharaya Anugerah Lestari</t>
  </si>
  <si>
    <t>Agabang Gallery</t>
  </si>
  <si>
    <t>PT Feel Buy Indonesia</t>
  </si>
  <si>
    <t>Lock &amp; Lock</t>
  </si>
  <si>
    <t>LB</t>
  </si>
  <si>
    <t>PT. Mitra Aditya Parama</t>
  </si>
  <si>
    <t>L2</t>
  </si>
  <si>
    <t>E012A, E013</t>
  </si>
  <si>
    <t>Infinylink 10 Mbps</t>
  </si>
  <si>
    <t>Holdy by Customer</t>
  </si>
  <si>
    <t>PT Sinergi Insani Primalink</t>
  </si>
  <si>
    <t>occitane</t>
  </si>
  <si>
    <t>L3</t>
  </si>
  <si>
    <t>PT Sinergi Insani Primalink (Elemis)</t>
  </si>
  <si>
    <t>L1</t>
  </si>
  <si>
    <t xml:space="preserve">PT. Sinergi Insani Primalink  </t>
  </si>
  <si>
    <t xml:space="preserve">Toko Venchi </t>
  </si>
  <si>
    <t>PT Nusa Abadi Gemilang</t>
  </si>
  <si>
    <t>The Face Shop</t>
  </si>
  <si>
    <t>B-34</t>
  </si>
  <si>
    <t>Store tutup - Temporary store (Input in W25)</t>
  </si>
  <si>
    <t>PT Artha Persada Kreatif</t>
  </si>
  <si>
    <t>Store Saturdays</t>
  </si>
  <si>
    <t>PT. Sembilan OHM Sembilan</t>
  </si>
  <si>
    <t>PT. Aktual Grup Indonesia</t>
  </si>
  <si>
    <t>Outside Store</t>
  </si>
  <si>
    <t>EO027</t>
  </si>
  <si>
    <t>PT. Moda Perkasa Internasional</t>
  </si>
  <si>
    <t>E010-E011</t>
  </si>
  <si>
    <t>PT. WORLD INNOVATIVE TELECOMMUNICATION</t>
  </si>
  <si>
    <t>Smartlink 100 Mbps</t>
  </si>
  <si>
    <t>Upgrade 26 Agustus 2022</t>
  </si>
  <si>
    <t>CV ARTHA JAYA SEJAHTERA PANGAN</t>
  </si>
  <si>
    <t>BOGA MAKMUR PRIMA PLPI (PAPER LUNCH PLAZA INDONESIA)</t>
  </si>
  <si>
    <t>PT KOPI ARABIKA NUSANTARA</t>
  </si>
  <si>
    <t>PT Mogems Putri International (BVGARI)</t>
  </si>
  <si>
    <t>(BVGARI)</t>
  </si>
  <si>
    <t>133, 157-158</t>
  </si>
  <si>
    <t>CV STEAK NASIONAL INDONESIA</t>
  </si>
  <si>
    <t>L5</t>
  </si>
  <si>
    <t xml:space="preserve">PT.PANORAMA JTB TOURS INDONESIA </t>
  </si>
  <si>
    <t>Basement</t>
  </si>
  <si>
    <t>PT EXCELSO MULTIRASA</t>
  </si>
  <si>
    <t>61A</t>
  </si>
  <si>
    <t>PT BUSANA PRIMA INTERNASIONAL</t>
  </si>
  <si>
    <t>Ceria Jusindo</t>
  </si>
  <si>
    <t>PT ENAK JUGA INDONESIA / IKKUDO ICHI PLAZA INDONESIA</t>
  </si>
  <si>
    <t>PT HARLAN HOLDEN COFFEE INDONESIA</t>
  </si>
  <si>
    <t>064B</t>
  </si>
  <si>
    <t>Dedicated 10 Mbps</t>
  </si>
  <si>
    <t>102G -103B -103C-103D</t>
  </si>
  <si>
    <t>Moratelindo</t>
  </si>
  <si>
    <t>PT Omega Fashindo Adiperkasa Ritel</t>
  </si>
  <si>
    <t>Oysho</t>
  </si>
  <si>
    <t>Oxygen DIA MIX 5 Mbps</t>
  </si>
  <si>
    <t>Bank Mandiri</t>
  </si>
  <si>
    <t>10 Mbps MPLS-VPNIP</t>
  </si>
  <si>
    <t>PT MAP AKTIF ADI PERKASA</t>
  </si>
  <si>
    <t>CARTES'S STORE</t>
  </si>
  <si>
    <t>PT. LOKAL HIJAU LESTARI (GREENS)</t>
  </si>
  <si>
    <t>PT. ELITE GRAHA CIPTA</t>
  </si>
  <si>
    <t>63-64</t>
  </si>
  <si>
    <t>PT. CITRA RASA BETAWI</t>
  </si>
  <si>
    <t>PT. Aldo Indonesia Adiperkasa Ritel</t>
  </si>
  <si>
    <t>Oxygen DIA MIX 2 Mbps</t>
  </si>
  <si>
    <t>PT WAHANA ANAK INDONESIA</t>
  </si>
  <si>
    <t>PT MEGA AKSES PERSADA - SHISEIDO</t>
  </si>
  <si>
    <t>Metro E 20 Mbps</t>
  </si>
  <si>
    <t>DATA CITRA MANDIRI PT (IBOX) 1</t>
  </si>
  <si>
    <t>DATA CITRA MANDIRI PT (IBOX) 2</t>
  </si>
  <si>
    <t>GUERLAIN COSMETICS INDONESIA PT</t>
  </si>
  <si>
    <t>Active</t>
  </si>
  <si>
    <t>MAP AKTIF ADIPERKASA TBK PT</t>
  </si>
  <si>
    <t>Kids Station</t>
  </si>
  <si>
    <t>DIA Mix 10 MBps</t>
  </si>
  <si>
    <t>HAIRTITUDE SALON</t>
  </si>
  <si>
    <t>LUVITASINDO PT</t>
  </si>
  <si>
    <t>LOUIS VUITTON</t>
  </si>
  <si>
    <t>50 Mbps</t>
  </si>
  <si>
    <t>CENTRALINDO PERKASA INTERNASIONAL PT</t>
  </si>
  <si>
    <t>Cartier</t>
  </si>
  <si>
    <t>On Installation</t>
  </si>
  <si>
    <t>GRANDIA PRIMATAMA SENTOSA PT</t>
  </si>
  <si>
    <t>Herschel Supply Company</t>
  </si>
  <si>
    <t>25 Mbps</t>
  </si>
  <si>
    <t>MORATELINDO</t>
  </si>
  <si>
    <t>Planet Sports</t>
  </si>
  <si>
    <t>PS 89</t>
  </si>
  <si>
    <t>New Balance</t>
  </si>
  <si>
    <t>NE 44</t>
  </si>
  <si>
    <t>EVO</t>
  </si>
  <si>
    <t>Dedicated 20 Mbps</t>
  </si>
  <si>
    <t>CONVERSE (2nd Link)</t>
  </si>
  <si>
    <t>CVA5</t>
  </si>
  <si>
    <t>SECURINDO PACKATAMA INDONESIA ( PLAZA INDONESIA) PT</t>
  </si>
  <si>
    <t>Secure Parking</t>
  </si>
  <si>
    <t>B2</t>
  </si>
  <si>
    <t>Up To 10 Mbps</t>
  </si>
  <si>
    <t>AURA CANTIK RETAILINDO ( BUTIK MAISON DE AURA PLAZA INDONESIA ) PT</t>
  </si>
  <si>
    <t>BUTIK MAISON DE AURA</t>
  </si>
  <si>
    <t>AURA CANTIK RETAILINDO ( 4 BRAND ) PT</t>
  </si>
  <si>
    <t>030, 030 A , 034 A , 034 B</t>
  </si>
  <si>
    <t>AURA CANTIK RETAILINDO ( AMARIS ) PT</t>
  </si>
  <si>
    <t>047 047 A</t>
  </si>
  <si>
    <t>MORNINGSOL</t>
  </si>
  <si>
    <t>INTI CITRA AGUNG PT - OPTIK MELAWAI PLAZA INDONESIA</t>
  </si>
  <si>
    <t>OPTIK MELAWAI</t>
  </si>
  <si>
    <t>Dismantle Date</t>
  </si>
  <si>
    <t>Cancel Date</t>
  </si>
  <si>
    <t xml:space="preserve">Jan </t>
  </si>
  <si>
    <t>TOTAL</t>
  </si>
  <si>
    <t xml:space="preserve">PT. Avnos Global Indonesia </t>
  </si>
  <si>
    <t xml:space="preserve">Infinylink 25 Mbps </t>
  </si>
  <si>
    <t>Dismantle 17 Januari 2020</t>
  </si>
  <si>
    <t xml:space="preserve">PT. Itochu </t>
  </si>
  <si>
    <t>PT. Vue Restaurant Indonesia</t>
  </si>
  <si>
    <t xml:space="preserve">Shabu -Gen </t>
  </si>
  <si>
    <t xml:space="preserve">Smartlink 50 Mbps </t>
  </si>
  <si>
    <t>PT Cona Global Indonesia</t>
  </si>
  <si>
    <t>Cancel</t>
  </si>
  <si>
    <t>PT Indosat TBK</t>
  </si>
  <si>
    <t>Leased line / Metro E 105 Mbps</t>
  </si>
  <si>
    <t>Leased line / Metro E 30 Mbps</t>
  </si>
  <si>
    <t>China Life</t>
  </si>
  <si>
    <t>28-30</t>
  </si>
  <si>
    <t>Leased line / Metro E 50 Mbps</t>
  </si>
  <si>
    <t>SKY Perfect JAST Corporation Jakarta Office</t>
  </si>
  <si>
    <t>Infinylink Local 15 Mbps / International 15 Mbps</t>
  </si>
  <si>
    <t>PT UnionPay International Indonesia</t>
  </si>
  <si>
    <t xml:space="preserve">Infinylink 20 Mbps </t>
  </si>
  <si>
    <t>Free Installasi</t>
  </si>
  <si>
    <t>PT Acer Indonesia</t>
  </si>
  <si>
    <t xml:space="preserve">Smartlink 100 Mbps </t>
  </si>
  <si>
    <t>PT Hitaya Daya Energy</t>
  </si>
  <si>
    <t>A1 &amp; B2</t>
  </si>
  <si>
    <t>Infinylink Local 30 Mbps / International 10 Mbps</t>
  </si>
  <si>
    <t>PT Teknovatus Solusi Sejahtera</t>
  </si>
  <si>
    <t>Metro E 45 Mbps</t>
  </si>
  <si>
    <t>Tourism Australia</t>
  </si>
  <si>
    <t>Infinylink Local 50 Mbps / International 50 Mbps</t>
  </si>
  <si>
    <t>PT JCREAL</t>
  </si>
  <si>
    <t>Infinylink Local 25 Mbps/International 10 Mbps</t>
  </si>
  <si>
    <t>PT ORIGIN</t>
  </si>
  <si>
    <t xml:space="preserve">Smartlink 75 Mbps </t>
  </si>
  <si>
    <t>PT Fortinet Singapore Limited</t>
  </si>
  <si>
    <t>PT. Jala BerIkat Nusantara Perkasa</t>
  </si>
  <si>
    <t>PT. Indosat Tbk</t>
  </si>
  <si>
    <t>IBM Indonesia</t>
  </si>
  <si>
    <t>16-18</t>
  </si>
  <si>
    <t>Metro-E 200 Mbps</t>
  </si>
  <si>
    <t>PT. Esa Energy</t>
  </si>
  <si>
    <t>PT Plaza Indonesia Realty</t>
  </si>
  <si>
    <t>Infinylink 100 Mbps</t>
  </si>
  <si>
    <t>PT. Leverate Service Indonesia  - (Site 1)</t>
  </si>
  <si>
    <t xml:space="preserve">Area HR &amp; Creative Strategy </t>
  </si>
  <si>
    <t>Infinylink 60 Mbps</t>
  </si>
  <si>
    <t>Dismantle 31 Jan 2022</t>
  </si>
  <si>
    <t>PT. Leverate Service Indonesia  - (Site 2)</t>
  </si>
  <si>
    <t xml:space="preserve">Area Finance &amp; BusDev </t>
  </si>
  <si>
    <t>PT Begjosh Karya</t>
  </si>
  <si>
    <t>Dismantle 22 Mei 23</t>
  </si>
  <si>
    <t>PT. Karya Central Bisnis</t>
  </si>
  <si>
    <t>Marquee</t>
  </si>
  <si>
    <t xml:space="preserve">PT Cyberindo Aditama QQ </t>
  </si>
  <si>
    <t>PT Inggris Prima Indonesia</t>
  </si>
  <si>
    <t>PT. Enex Trading Indonesia</t>
  </si>
  <si>
    <t>Infinyink 25 Mbps</t>
  </si>
  <si>
    <t>PT. Primacom Interbuana</t>
  </si>
  <si>
    <t>Metro E 1 Mbps</t>
  </si>
  <si>
    <t>PT. Indovest Panorama Busana</t>
  </si>
  <si>
    <t>E2</t>
  </si>
  <si>
    <t>NTT GLOBAL (Deloitte)</t>
  </si>
  <si>
    <t>400Mbps</t>
  </si>
  <si>
    <t>PT KARYA CENTRA BISNIS</t>
  </si>
  <si>
    <t>PT TIMAS SUPLINDO</t>
  </si>
  <si>
    <t>Metro E 10 Mbps</t>
  </si>
  <si>
    <t xml:space="preserve">Infinylink 120 Mbps </t>
  </si>
  <si>
    <t>PT IBM INDONESIA</t>
  </si>
  <si>
    <t xml:space="preserve">Infinylink 30 Mbps </t>
  </si>
  <si>
    <t>Infinylink 1 Mbps</t>
  </si>
  <si>
    <t>PT. Luvitasindo</t>
  </si>
  <si>
    <t>Infinylink 50 Mbps</t>
  </si>
  <si>
    <t>Hanya berlangganan 20 Hari (24 Okt - 12 Nov 21)</t>
  </si>
  <si>
    <t>PT LEVERATE SERVICES INDONESIA</t>
  </si>
  <si>
    <t>Dedicated 150 Mbps</t>
  </si>
  <si>
    <t>Relokasi</t>
  </si>
  <si>
    <t>Upgrade 8 Agustus 2022</t>
  </si>
  <si>
    <t>PT MULTIARTHA PRIMA GEMILANG</t>
  </si>
  <si>
    <t>F2</t>
  </si>
  <si>
    <t>PT ANUGRAH INOVASI INDONESIA</t>
  </si>
  <si>
    <t xml:space="preserve">Infinylink 5 Mbps </t>
  </si>
  <si>
    <t>88 JEWELLERY</t>
  </si>
  <si>
    <t>A1</t>
  </si>
  <si>
    <t>Chombipar</t>
  </si>
  <si>
    <t>Dedicated 50 Mbps</t>
  </si>
  <si>
    <t>PT ANEKA BUMI PRATAMA</t>
  </si>
  <si>
    <t xml:space="preserve">Infinylink 150 Mbps </t>
  </si>
  <si>
    <t>PT TELTONIKA IOT INDONESIA</t>
  </si>
  <si>
    <t>PT. DELOITTE CONSULTING</t>
  </si>
  <si>
    <t>BUMI SANTOSA CEMERLANG PT</t>
  </si>
  <si>
    <t>Smartlink up to 50 Mbps</t>
  </si>
  <si>
    <t>PLUANG EMAS SEJAHTERA PT</t>
  </si>
  <si>
    <t>SARANA SANTOSA SEJATI PT</t>
  </si>
  <si>
    <t>PG BERJANGKA PT</t>
  </si>
  <si>
    <t>INDOSAT PT (DC SUNLIFE THE PLAZA)</t>
  </si>
  <si>
    <t>100 Mbps</t>
  </si>
  <si>
    <t>KYNDRYL SOLUTIONS INDONESIA PT</t>
  </si>
  <si>
    <t>HOLD</t>
  </si>
  <si>
    <t>INDONESIA CHINA MOBILE PT</t>
  </si>
  <si>
    <t>BADAN IMAGE FUTURE INDONESIA PT (WETV)</t>
  </si>
  <si>
    <t>Smartlink up to 250 Mbps</t>
  </si>
  <si>
    <t>250 Mbps</t>
  </si>
  <si>
    <t>DELOITTE ADVIS INDONESIA PT</t>
  </si>
  <si>
    <t>Citra Kartika</t>
  </si>
  <si>
    <t>BHP</t>
  </si>
  <si>
    <t>20% Rev share to BM</t>
  </si>
  <si>
    <t>PI Mall</t>
  </si>
  <si>
    <t>Office</t>
  </si>
  <si>
    <t>Maintanace</t>
  </si>
  <si>
    <t>DAS BV PIO 31Des2023</t>
  </si>
  <si>
    <t>DAS BV PISC 31Des2023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</si>
</sst>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2" formatCode="_-&quot;Rp&quot;* #,##0_-;\-&quot;Rp&quot;* #,##0_-;_-&quot;Rp&quot;* &quot;-&quot;_-;_-@_-"/>
    <numFmt numFmtId="41" formatCode="_-* #,##0_-;\-* #,##0_-;_-* &quot;-&quot;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  <numFmt numFmtId="167" formatCode="_-* #,##0.0_-;\-* #,##0.0_-;_-* &quot;-&quot;_-;_-@_-"/>
    <numFmt numFmtId="168" formatCode="_(&quot;Rp&quot;* #,##0_);_(&quot;Rp&quot;* \(#,##0\);_(&quot;Rp&quot;* &quot;-&quot;_);_(@_)"/>
    <numFmt numFmtId="169" formatCode="_(&quot;$&quot;* #,##0.00_);_(&quot;$&quot;* \(#,##0.00\);_(&quot;$&quot;* &quot;-&quot;??_);_(@_)"/>
    <numFmt numFmtId="170" formatCode="0.0%"/>
    <numFmt numFmtId="171" formatCode="_ * #,##0_ ;_ * \-#,##0_ ;_ * &quot;-&quot;_ ;_ @_ "/>
    <numFmt numFmtId="172" formatCode="d\-mmm"/>
    <numFmt numFmtId="173" formatCode="d\-mmm\-yy"/>
    <numFmt numFmtId="174" formatCode="_-&quot;Rp&quot;* #,##0_-;\-&quot;Rp&quot;* #,##0_-;_-&quot;Rp&quot;* &quot;-&quot;??_-;_-@"/>
    <numFmt numFmtId="175" formatCode="_-* #,##0_-;\-* #,##0_-;_-* \-_-;_-@"/>
    <numFmt numFmtId="176" formatCode="[$-421]dd\ mmmm\ yyyy"/>
  </numFmts>
  <fonts count="4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Arial"/>
      <family val="2"/>
    </font>
    <font>
      <sz val="11"/>
      <color theme="1"/>
      <name val="Calibri Light"/>
      <family val="2"/>
      <scheme val="major"/>
    </font>
    <font>
      <sz val="9"/>
      <color rgb="FFFFFFFF"/>
      <name val="Calibri Light"/>
      <family val="2"/>
      <scheme val="major"/>
    </font>
    <font>
      <sz val="9"/>
      <color rgb="FF000000"/>
      <name val="Calibri Light"/>
      <family val="2"/>
      <scheme val="major"/>
    </font>
    <font>
      <sz val="9"/>
      <color theme="1"/>
      <name val="Calibri Light"/>
      <family val="2"/>
      <scheme val="major"/>
    </font>
    <font>
      <b/>
      <sz val="9"/>
      <color rgb="FF000000"/>
      <name val="Calibri Light"/>
      <family val="2"/>
      <scheme val="major"/>
    </font>
    <font>
      <b/>
      <sz val="11"/>
      <color rgb="FFFFFFFF"/>
      <name val="Calibri Light"/>
      <family val="2"/>
      <scheme val="major"/>
    </font>
    <font>
      <sz val="11"/>
      <color rgb="FF000000"/>
      <name val="Calibri Light"/>
      <family val="2"/>
      <scheme val="major"/>
    </font>
  </fonts>
  <fills count="1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theme="1"/>
      </patternFill>
    </fill>
    <fill>
      <patternFill patternType="solid">
        <fgColor rgb="FFFF0000"/>
        <bgColor rgb="FFFF0000"/>
      </patternFill>
    </fill>
    <fill>
      <patternFill patternType="solid">
        <fgColor rgb="FFE46C0A"/>
        <bgColor rgb="FFE46C0A"/>
      </patternFill>
    </fill>
  </fills>
  <borders count="4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37">
    <xf numFmtId="0" fontId="0" fillId="0" borderId="0"/>
    <xf numFmtId="165" fontId="8" fillId="0" borderId="0" applyFont="0" applyFill="0" applyBorder="0" applyAlignment="0" applyProtection="0"/>
    <xf numFmtId="41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7" fillId="0" borderId="0"/>
    <xf numFmtId="0" fontId="23" fillId="0" borderId="0"/>
    <xf numFmtId="165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64" fontId="9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9" fillId="0" borderId="0"/>
    <xf numFmtId="165" fontId="5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9" fillId="0" borderId="0"/>
    <xf numFmtId="0" fontId="29" fillId="0" borderId="0"/>
    <xf numFmtId="165" fontId="29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>
      <alignment vertical="center"/>
    </xf>
    <xf numFmtId="171" fontId="29" fillId="0" borderId="0" applyFont="0" applyFill="0" applyBorder="0" applyAlignment="0" applyProtection="0">
      <alignment vertical="center"/>
    </xf>
    <xf numFmtId="0" fontId="32" fillId="0" borderId="0"/>
    <xf numFmtId="42" fontId="32" fillId="0" borderId="0" applyFont="0" applyFill="0" applyBorder="0" applyAlignment="0" applyProtection="0"/>
    <xf numFmtId="41" fontId="32" fillId="0" borderId="0" applyFont="0" applyFill="0" applyBorder="0" applyAlignment="0" applyProtection="0"/>
  </cellStyleXfs>
  <cellXfs count="386">
    <xf numFmtId="0" fontId="0" fillId="0" borderId="0" xfId="0"/>
    <xf numFmtId="0" fontId="10" fillId="0" borderId="0" xfId="0" applyFont="1"/>
    <xf numFmtId="0" fontId="0" fillId="0" borderId="0" xfId="0" applyAlignment="1">
      <alignment vertical="center"/>
    </xf>
    <xf numFmtId="0" fontId="11" fillId="0" borderId="0" xfId="0" applyFont="1"/>
    <xf numFmtId="0" fontId="0" fillId="3" borderId="0" xfId="0" applyFill="1"/>
    <xf numFmtId="9" fontId="12" fillId="0" borderId="0" xfId="2" applyNumberFormat="1" applyFont="1"/>
    <xf numFmtId="10" fontId="12" fillId="0" borderId="0" xfId="2" applyNumberFormat="1" applyFont="1"/>
    <xf numFmtId="0" fontId="0" fillId="0" borderId="1" xfId="0" applyBorder="1"/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2" fillId="0" borderId="0" xfId="0" applyNumberFormat="1" applyFont="1" applyBorder="1"/>
    <xf numFmtId="0" fontId="10" fillId="0" borderId="1" xfId="0" applyFont="1" applyBorder="1"/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0" fontId="17" fillId="0" borderId="0" xfId="0" applyFont="1"/>
    <xf numFmtId="0" fontId="17" fillId="0" borderId="0" xfId="0" applyFont="1" applyAlignment="1">
      <alignment vertical="center"/>
    </xf>
    <xf numFmtId="41" fontId="0" fillId="0" borderId="2" xfId="2" applyFont="1" applyBorder="1" applyAlignment="1">
      <alignment vertical="center"/>
    </xf>
    <xf numFmtId="41" fontId="10" fillId="0" borderId="0" xfId="0" applyNumberFormat="1" applyFont="1" applyAlignment="1">
      <alignment vertical="center"/>
    </xf>
    <xf numFmtId="0" fontId="18" fillId="0" borderId="0" xfId="0" applyFont="1"/>
    <xf numFmtId="0" fontId="19" fillId="0" borderId="0" xfId="0" applyFont="1"/>
    <xf numFmtId="0" fontId="0" fillId="0" borderId="0" xfId="0" applyFill="1" applyBorder="1"/>
    <xf numFmtId="38" fontId="13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6" fontId="16" fillId="0" borderId="0" xfId="1" applyNumberFormat="1" applyFont="1"/>
    <xf numFmtId="0" fontId="0" fillId="0" borderId="0" xfId="0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166" fontId="0" fillId="0" borderId="0" xfId="0" applyNumberFormat="1" applyAlignment="1">
      <alignment vertical="center"/>
    </xf>
    <xf numFmtId="166" fontId="0" fillId="0" borderId="0" xfId="0" applyNumberFormat="1"/>
    <xf numFmtId="0" fontId="10" fillId="0" borderId="4" xfId="0" applyFont="1" applyBorder="1"/>
    <xf numFmtId="0" fontId="0" fillId="0" borderId="4" xfId="0" applyBorder="1"/>
    <xf numFmtId="166" fontId="10" fillId="0" borderId="4" xfId="0" applyNumberFormat="1" applyFont="1" applyBorder="1" applyAlignment="1">
      <alignment vertical="center"/>
    </xf>
    <xf numFmtId="0" fontId="0" fillId="0" borderId="0" xfId="0" applyBorder="1"/>
    <xf numFmtId="41" fontId="15" fillId="0" borderId="0" xfId="0" applyNumberFormat="1" applyFont="1" applyBorder="1"/>
    <xf numFmtId="41" fontId="14" fillId="0" borderId="0" xfId="0" applyNumberFormat="1" applyFont="1" applyBorder="1"/>
    <xf numFmtId="166" fontId="10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5" fontId="17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0" fillId="3" borderId="0" xfId="0" applyNumberFormat="1" applyFont="1" applyFill="1" applyBorder="1" applyAlignment="1">
      <alignment vertical="center"/>
    </xf>
    <xf numFmtId="0" fontId="10" fillId="3" borderId="0" xfId="0" applyFont="1" applyFill="1" applyBorder="1"/>
    <xf numFmtId="9" fontId="18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0" fillId="0" borderId="0" xfId="0" applyFont="1" applyBorder="1" applyAlignment="1">
      <alignment horizontal="center"/>
    </xf>
    <xf numFmtId="0" fontId="21" fillId="0" borderId="6" xfId="0" applyFont="1" applyBorder="1"/>
    <xf numFmtId="0" fontId="21" fillId="0" borderId="3" xfId="0" applyFont="1" applyBorder="1"/>
    <xf numFmtId="0" fontId="21" fillId="0" borderId="8" xfId="0" applyFont="1" applyBorder="1"/>
    <xf numFmtId="0" fontId="21" fillId="0" borderId="0" xfId="0" applyFont="1" applyBorder="1"/>
    <xf numFmtId="41" fontId="21" fillId="0" borderId="9" xfId="0" applyNumberFormat="1" applyFont="1" applyBorder="1"/>
    <xf numFmtId="9" fontId="21" fillId="0" borderId="9" xfId="3" applyFont="1" applyBorder="1"/>
    <xf numFmtId="0" fontId="21" fillId="0" borderId="10" xfId="0" applyFont="1" applyBorder="1"/>
    <xf numFmtId="0" fontId="21" fillId="0" borderId="2" xfId="0" applyFont="1" applyBorder="1"/>
    <xf numFmtId="0" fontId="10" fillId="0" borderId="12" xfId="0" applyFont="1" applyBorder="1"/>
    <xf numFmtId="41" fontId="10" fillId="0" borderId="12" xfId="0" applyNumberFormat="1" applyFont="1" applyBorder="1" applyAlignment="1">
      <alignment vertical="center"/>
    </xf>
    <xf numFmtId="166" fontId="9" fillId="0" borderId="0" xfId="17" applyNumberFormat="1" applyFont="1"/>
    <xf numFmtId="41" fontId="9" fillId="0" borderId="0" xfId="2" applyFont="1" applyFill="1"/>
    <xf numFmtId="0" fontId="21" fillId="4" borderId="1" xfId="0" applyFont="1" applyFill="1" applyBorder="1" applyAlignment="1">
      <alignment horizontal="center"/>
    </xf>
    <xf numFmtId="0" fontId="13" fillId="4" borderId="0" xfId="0" applyFont="1" applyFill="1"/>
    <xf numFmtId="41" fontId="21" fillId="4" borderId="12" xfId="0" applyNumberFormat="1" applyFont="1" applyFill="1" applyBorder="1" applyAlignment="1">
      <alignment vertical="center"/>
    </xf>
    <xf numFmtId="165" fontId="22" fillId="4" borderId="0" xfId="1" applyFont="1" applyFill="1"/>
    <xf numFmtId="41" fontId="13" fillId="4" borderId="0" xfId="0" applyNumberFormat="1" applyFont="1" applyFill="1" applyBorder="1" applyAlignment="1">
      <alignment vertical="center"/>
    </xf>
    <xf numFmtId="41" fontId="10" fillId="4" borderId="0" xfId="0" applyNumberFormat="1" applyFont="1" applyFill="1" applyAlignment="1">
      <alignment vertical="center"/>
    </xf>
    <xf numFmtId="9" fontId="18" fillId="4" borderId="0" xfId="3" applyFont="1" applyFill="1" applyAlignment="1">
      <alignment vertical="center"/>
    </xf>
    <xf numFmtId="38" fontId="0" fillId="4" borderId="0" xfId="0" applyNumberFormat="1" applyFill="1" applyAlignment="1">
      <alignment vertical="center"/>
    </xf>
    <xf numFmtId="38" fontId="0" fillId="4" borderId="5" xfId="0" applyNumberFormat="1" applyFill="1" applyBorder="1" applyAlignment="1">
      <alignment vertical="center"/>
    </xf>
    <xf numFmtId="165" fontId="0" fillId="4" borderId="2" xfId="1" applyFont="1" applyFill="1" applyBorder="1"/>
    <xf numFmtId="38" fontId="0" fillId="4" borderId="0" xfId="0" applyNumberFormat="1" applyFill="1"/>
    <xf numFmtId="166" fontId="16" fillId="4" borderId="0" xfId="1" applyNumberFormat="1" applyFont="1" applyFill="1"/>
    <xf numFmtId="0" fontId="13" fillId="0" borderId="0" xfId="0" applyFont="1"/>
    <xf numFmtId="41" fontId="21" fillId="0" borderId="4" xfId="0" applyNumberFormat="1" applyFont="1" applyBorder="1"/>
    <xf numFmtId="41" fontId="21" fillId="0" borderId="0" xfId="0" applyNumberFormat="1" applyFont="1" applyBorder="1"/>
    <xf numFmtId="41" fontId="24" fillId="0" borderId="0" xfId="0" applyNumberFormat="1" applyFont="1" applyBorder="1"/>
    <xf numFmtId="41" fontId="10" fillId="4" borderId="12" xfId="0" applyNumberFormat="1" applyFont="1" applyFill="1" applyBorder="1" applyAlignment="1">
      <alignment vertical="center"/>
    </xf>
    <xf numFmtId="41" fontId="21" fillId="0" borderId="0" xfId="0" applyNumberFormat="1" applyFont="1" applyFill="1" applyBorder="1"/>
    <xf numFmtId="41" fontId="21" fillId="0" borderId="0" xfId="0" applyNumberFormat="1" applyFont="1"/>
    <xf numFmtId="0" fontId="21" fillId="0" borderId="0" xfId="0" applyFont="1"/>
    <xf numFmtId="41" fontId="0" fillId="4" borderId="0" xfId="2" applyFont="1" applyFill="1" applyBorder="1"/>
    <xf numFmtId="9" fontId="21" fillId="0" borderId="7" xfId="0" applyNumberFormat="1" applyFont="1" applyBorder="1"/>
    <xf numFmtId="41" fontId="0" fillId="0" borderId="0" xfId="2" applyFont="1"/>
    <xf numFmtId="0" fontId="0" fillId="0" borderId="0" xfId="0" applyFont="1"/>
    <xf numFmtId="0" fontId="10" fillId="0" borderId="0" xfId="0" applyFont="1" applyBorder="1"/>
    <xf numFmtId="0" fontId="26" fillId="0" borderId="0" xfId="0" applyFont="1"/>
    <xf numFmtId="0" fontId="0" fillId="0" borderId="0" xfId="0" applyFont="1" applyBorder="1"/>
    <xf numFmtId="0" fontId="25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0" fillId="0" borderId="19" xfId="2" applyNumberFormat="1" applyFont="1" applyBorder="1"/>
    <xf numFmtId="9" fontId="10" fillId="0" borderId="18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0" fillId="0" borderId="1" xfId="0" applyFont="1" applyBorder="1" applyAlignment="1">
      <alignment horizontal="left" indent="1"/>
    </xf>
    <xf numFmtId="41" fontId="0" fillId="0" borderId="0" xfId="0" quotePrefix="1" applyNumberFormat="1" applyAlignment="1">
      <alignment vertical="center"/>
    </xf>
    <xf numFmtId="0" fontId="10" fillId="0" borderId="16" xfId="0" applyFont="1" applyBorder="1"/>
    <xf numFmtId="0" fontId="0" fillId="0" borderId="17" xfId="0" applyFont="1" applyBorder="1"/>
    <xf numFmtId="0" fontId="0" fillId="0" borderId="19" xfId="0" applyFont="1" applyBorder="1"/>
    <xf numFmtId="43" fontId="0" fillId="0" borderId="0" xfId="0" applyNumberFormat="1"/>
    <xf numFmtId="0" fontId="10" fillId="0" borderId="16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0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5" fillId="0" borderId="0" xfId="0" applyFont="1" applyBorder="1" applyAlignment="1"/>
    <xf numFmtId="14" fontId="25" fillId="0" borderId="0" xfId="0" applyNumberFormat="1" applyFont="1" applyBorder="1" applyAlignment="1"/>
    <xf numFmtId="41" fontId="0" fillId="0" borderId="0" xfId="2" applyFont="1" applyBorder="1"/>
    <xf numFmtId="0" fontId="0" fillId="0" borderId="18" xfId="0" applyFont="1" applyBorder="1" applyAlignment="1">
      <alignment horizontal="left" vertical="justify" wrapText="1"/>
    </xf>
    <xf numFmtId="166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6" fontId="0" fillId="0" borderId="0" xfId="19" applyNumberFormat="1" applyFont="1" applyFill="1" applyBorder="1" applyAlignment="1" applyProtection="1">
      <alignment horizontal="center"/>
      <protection locked="0"/>
    </xf>
    <xf numFmtId="166" fontId="0" fillId="0" borderId="0" xfId="19" applyNumberFormat="1" applyFont="1" applyBorder="1"/>
    <xf numFmtId="0" fontId="10" fillId="0" borderId="23" xfId="0" applyFont="1" applyBorder="1" applyAlignment="1">
      <alignment horizontal="left"/>
    </xf>
    <xf numFmtId="0" fontId="0" fillId="0" borderId="23" xfId="0" applyFont="1" applyBorder="1"/>
    <xf numFmtId="0" fontId="10" fillId="0" borderId="17" xfId="0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5" borderId="24" xfId="0" applyFill="1" applyBorder="1"/>
    <xf numFmtId="0" fontId="0" fillId="5" borderId="0" xfId="0" applyFill="1" applyAlignment="1">
      <alignment horizontal="center"/>
    </xf>
    <xf numFmtId="0" fontId="0" fillId="5" borderId="24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0" borderId="24" xfId="0" applyBorder="1"/>
    <xf numFmtId="166" fontId="0" fillId="6" borderId="24" xfId="0" applyNumberFormat="1" applyFill="1" applyBorder="1"/>
    <xf numFmtId="166" fontId="0" fillId="0" borderId="24" xfId="0" applyNumberFormat="1" applyBorder="1" applyAlignment="1">
      <alignment horizontal="center"/>
    </xf>
    <xf numFmtId="166" fontId="0" fillId="0" borderId="24" xfId="1" applyNumberFormat="1" applyFont="1" applyBorder="1"/>
    <xf numFmtId="166" fontId="0" fillId="0" borderId="24" xfId="0" applyNumberFormat="1" applyBorder="1"/>
    <xf numFmtId="166" fontId="0" fillId="7" borderId="24" xfId="1" applyNumberFormat="1" applyFont="1" applyFill="1" applyBorder="1"/>
    <xf numFmtId="41" fontId="10" fillId="0" borderId="18" xfId="2" applyFont="1" applyBorder="1"/>
    <xf numFmtId="167" fontId="10" fillId="0" borderId="22" xfId="2" applyNumberFormat="1" applyFont="1" applyBorder="1"/>
    <xf numFmtId="41" fontId="13" fillId="0" borderId="0" xfId="2" applyFont="1" applyAlignment="1">
      <alignment vertical="center"/>
    </xf>
    <xf numFmtId="41" fontId="12" fillId="0" borderId="0" xfId="2" applyFont="1"/>
    <xf numFmtId="0" fontId="30" fillId="8" borderId="22" xfId="0" applyFont="1" applyFill="1" applyBorder="1" applyAlignment="1">
      <alignment horizontal="center" vertical="center"/>
    </xf>
    <xf numFmtId="0" fontId="31" fillId="0" borderId="31" xfId="0" applyFont="1" applyBorder="1" applyAlignment="1">
      <alignment vertical="center"/>
    </xf>
    <xf numFmtId="0" fontId="31" fillId="0" borderId="22" xfId="0" applyFont="1" applyBorder="1" applyAlignment="1">
      <alignment vertical="center"/>
    </xf>
    <xf numFmtId="0" fontId="31" fillId="0" borderId="31" xfId="0" applyFont="1" applyBorder="1" applyAlignment="1">
      <alignment horizontal="right" vertical="center"/>
    </xf>
    <xf numFmtId="17" fontId="31" fillId="0" borderId="22" xfId="0" applyNumberFormat="1" applyFont="1" applyBorder="1" applyAlignment="1">
      <alignment vertical="center"/>
    </xf>
    <xf numFmtId="0" fontId="31" fillId="0" borderId="22" xfId="0" applyFont="1" applyBorder="1" applyAlignment="1">
      <alignment horizontal="right" vertical="center"/>
    </xf>
    <xf numFmtId="0" fontId="30" fillId="8" borderId="22" xfId="0" applyFont="1" applyFill="1" applyBorder="1" applyAlignment="1">
      <alignment vertical="center"/>
    </xf>
    <xf numFmtId="3" fontId="31" fillId="0" borderId="22" xfId="0" applyNumberFormat="1" applyFont="1" applyBorder="1" applyAlignment="1">
      <alignment vertical="center"/>
    </xf>
    <xf numFmtId="9" fontId="0" fillId="0" borderId="0" xfId="3" applyFont="1" applyAlignment="1">
      <alignment vertical="center"/>
    </xf>
    <xf numFmtId="9" fontId="18" fillId="0" borderId="0" xfId="3" applyFont="1" applyFill="1" applyAlignment="1">
      <alignment vertical="center"/>
    </xf>
    <xf numFmtId="41" fontId="0" fillId="0" borderId="24" xfId="2" applyFont="1" applyBorder="1"/>
    <xf numFmtId="41" fontId="0" fillId="0" borderId="24" xfId="0" applyNumberFormat="1" applyBorder="1"/>
    <xf numFmtId="0" fontId="10" fillId="0" borderId="24" xfId="0" applyFont="1" applyBorder="1" applyAlignment="1">
      <alignment horizontal="center"/>
    </xf>
    <xf numFmtId="170" fontId="0" fillId="3" borderId="7" xfId="3" applyNumberFormat="1" applyFont="1" applyFill="1" applyBorder="1"/>
    <xf numFmtId="41" fontId="0" fillId="3" borderId="9" xfId="2" applyFont="1" applyFill="1" applyBorder="1"/>
    <xf numFmtId="9" fontId="0" fillId="3" borderId="9" xfId="3" applyFont="1" applyFill="1" applyBorder="1"/>
    <xf numFmtId="167" fontId="0" fillId="3" borderId="11" xfId="2" applyNumberFormat="1" applyFont="1" applyFill="1" applyBorder="1"/>
    <xf numFmtId="0" fontId="29" fillId="0" borderId="0" xfId="32" applyFont="1">
      <alignment vertical="center"/>
    </xf>
    <xf numFmtId="0" fontId="29" fillId="0" borderId="0" xfId="32">
      <alignment vertical="center"/>
    </xf>
    <xf numFmtId="0" fontId="29" fillId="0" borderId="24" xfId="32" applyFont="1" applyBorder="1">
      <alignment vertical="center"/>
    </xf>
    <xf numFmtId="171" fontId="29" fillId="7" borderId="24" xfId="33" applyFont="1" applyFill="1" applyBorder="1">
      <alignment vertical="center"/>
    </xf>
    <xf numFmtId="171" fontId="0" fillId="0" borderId="24" xfId="33" applyFont="1" applyBorder="1">
      <alignment vertical="center"/>
    </xf>
    <xf numFmtId="0" fontId="29" fillId="0" borderId="24" xfId="32" applyBorder="1">
      <alignment vertical="center"/>
    </xf>
    <xf numFmtId="171" fontId="29" fillId="9" borderId="24" xfId="33" applyFont="1" applyFill="1" applyBorder="1">
      <alignment vertical="center"/>
    </xf>
    <xf numFmtId="41" fontId="31" fillId="0" borderId="22" xfId="2" applyFont="1" applyBorder="1" applyAlignment="1">
      <alignment vertical="center"/>
    </xf>
    <xf numFmtId="41" fontId="31" fillId="0" borderId="22" xfId="2" applyFont="1" applyBorder="1" applyAlignment="1">
      <alignment horizontal="right" vertical="center"/>
    </xf>
    <xf numFmtId="166" fontId="0" fillId="10" borderId="0" xfId="0" applyNumberFormat="1" applyFill="1" applyAlignment="1">
      <alignment vertical="center"/>
    </xf>
    <xf numFmtId="41" fontId="33" fillId="0" borderId="0" xfId="2" applyFont="1"/>
    <xf numFmtId="0" fontId="10" fillId="0" borderId="1" xfId="0" applyFont="1" applyBorder="1" applyAlignment="1">
      <alignment horizontal="center"/>
    </xf>
    <xf numFmtId="0" fontId="34" fillId="11" borderId="33" xfId="34" applyFont="1" applyFill="1" applyBorder="1" applyAlignment="1">
      <alignment horizontal="center" vertical="center"/>
    </xf>
    <xf numFmtId="0" fontId="34" fillId="11" borderId="34" xfId="34" applyFont="1" applyFill="1" applyBorder="1" applyAlignment="1">
      <alignment horizontal="center" vertical="center"/>
    </xf>
    <xf numFmtId="15" fontId="34" fillId="11" borderId="34" xfId="34" applyNumberFormat="1" applyFont="1" applyFill="1" applyBorder="1" applyAlignment="1">
      <alignment horizontal="center" vertical="center"/>
    </xf>
    <xf numFmtId="42" fontId="34" fillId="11" borderId="34" xfId="35" applyFont="1" applyFill="1" applyBorder="1" applyAlignment="1">
      <alignment horizontal="center" vertical="center"/>
    </xf>
    <xf numFmtId="17" fontId="34" fillId="11" borderId="34" xfId="34" applyNumberFormat="1" applyFont="1" applyFill="1" applyBorder="1" applyAlignment="1">
      <alignment horizontal="center" vertical="center"/>
    </xf>
    <xf numFmtId="41" fontId="33" fillId="0" borderId="0" xfId="36" applyFont="1"/>
    <xf numFmtId="0" fontId="33" fillId="0" borderId="0" xfId="34" applyFont="1"/>
    <xf numFmtId="0" fontId="35" fillId="12" borderId="35" xfId="34" applyFont="1" applyFill="1" applyBorder="1" applyAlignment="1">
      <alignment horizontal="center" vertical="center"/>
    </xf>
    <xf numFmtId="172" fontId="35" fillId="12" borderId="35" xfId="34" applyNumberFormat="1" applyFont="1" applyFill="1" applyBorder="1" applyAlignment="1">
      <alignment horizontal="center" vertical="center"/>
    </xf>
    <xf numFmtId="173" fontId="35" fillId="12" borderId="35" xfId="34" applyNumberFormat="1" applyFont="1" applyFill="1" applyBorder="1" applyAlignment="1">
      <alignment horizontal="center" vertical="center"/>
    </xf>
    <xf numFmtId="174" fontId="35" fillId="12" borderId="35" xfId="34" applyNumberFormat="1" applyFont="1" applyFill="1" applyBorder="1" applyAlignment="1">
      <alignment horizontal="right" vertical="center"/>
    </xf>
    <xf numFmtId="15" fontId="35" fillId="12" borderId="35" xfId="34" applyNumberFormat="1" applyFont="1" applyFill="1" applyBorder="1" applyAlignment="1">
      <alignment horizontal="center" vertical="center"/>
    </xf>
    <xf numFmtId="42" fontId="35" fillId="12" borderId="35" xfId="35" applyFont="1" applyFill="1" applyBorder="1" applyAlignment="1">
      <alignment horizontal="center" vertical="center"/>
    </xf>
    <xf numFmtId="0" fontId="35" fillId="12" borderId="0" xfId="34" applyFont="1" applyFill="1" applyBorder="1" applyAlignment="1">
      <alignment horizontal="center" vertical="center"/>
    </xf>
    <xf numFmtId="0" fontId="35" fillId="12" borderId="0" xfId="34" applyFont="1" applyFill="1" applyBorder="1" applyAlignment="1">
      <alignment horizontal="center"/>
    </xf>
    <xf numFmtId="0" fontId="35" fillId="12" borderId="35" xfId="34" applyFont="1" applyFill="1" applyBorder="1" applyAlignment="1">
      <alignment horizontal="left" vertical="center" wrapText="1"/>
    </xf>
    <xf numFmtId="0" fontId="35" fillId="0" borderId="35" xfId="34" applyFont="1" applyBorder="1" applyAlignment="1">
      <alignment horizontal="center" vertical="center"/>
    </xf>
    <xf numFmtId="173" fontId="35" fillId="0" borderId="35" xfId="34" applyNumberFormat="1" applyFont="1" applyBorder="1" applyAlignment="1">
      <alignment horizontal="center" vertical="center"/>
    </xf>
    <xf numFmtId="174" fontId="35" fillId="0" borderId="35" xfId="34" applyNumberFormat="1" applyFont="1" applyBorder="1" applyAlignment="1">
      <alignment horizontal="right" vertical="center"/>
    </xf>
    <xf numFmtId="15" fontId="35" fillId="0" borderId="35" xfId="34" applyNumberFormat="1" applyFont="1" applyBorder="1" applyAlignment="1">
      <alignment horizontal="center" vertical="center"/>
    </xf>
    <xf numFmtId="42" fontId="35" fillId="0" borderId="35" xfId="35" applyFont="1" applyFill="1" applyBorder="1" applyAlignment="1">
      <alignment horizontal="center" vertical="center"/>
    </xf>
    <xf numFmtId="174" fontId="33" fillId="0" borderId="0" xfId="34" applyNumberFormat="1" applyFont="1"/>
    <xf numFmtId="174" fontId="35" fillId="0" borderId="35" xfId="34" applyNumberFormat="1" applyFont="1" applyBorder="1" applyAlignment="1">
      <alignment horizontal="center" vertical="center"/>
    </xf>
    <xf numFmtId="174" fontId="35" fillId="12" borderId="35" xfId="34" applyNumberFormat="1" applyFont="1" applyFill="1" applyBorder="1" applyAlignment="1">
      <alignment horizontal="center" vertical="center"/>
    </xf>
    <xf numFmtId="0" fontId="35" fillId="13" borderId="35" xfId="34" applyFont="1" applyFill="1" applyBorder="1" applyAlignment="1">
      <alignment horizontal="center" vertical="center"/>
    </xf>
    <xf numFmtId="0" fontId="35" fillId="0" borderId="0" xfId="34" applyFont="1" applyBorder="1" applyAlignment="1">
      <alignment horizontal="center" vertical="center"/>
    </xf>
    <xf numFmtId="0" fontId="35" fillId="0" borderId="0" xfId="34" applyFont="1" applyBorder="1" applyAlignment="1">
      <alignment horizontal="center" wrapText="1"/>
    </xf>
    <xf numFmtId="0" fontId="35" fillId="0" borderId="35" xfId="34" applyFont="1" applyFill="1" applyBorder="1" applyAlignment="1">
      <alignment horizontal="center" vertical="center"/>
    </xf>
    <xf numFmtId="0" fontId="35" fillId="9" borderId="35" xfId="34" applyFont="1" applyFill="1" applyBorder="1" applyAlignment="1">
      <alignment horizontal="center" vertical="center"/>
    </xf>
    <xf numFmtId="0" fontId="35" fillId="0" borderId="36" xfId="34" applyFont="1" applyBorder="1" applyAlignment="1">
      <alignment horizontal="center" vertical="center"/>
    </xf>
    <xf numFmtId="15" fontId="35" fillId="0" borderId="36" xfId="34" applyNumberFormat="1" applyFont="1" applyBorder="1" applyAlignment="1">
      <alignment horizontal="center" vertical="center"/>
    </xf>
    <xf numFmtId="174" fontId="35" fillId="0" borderId="36" xfId="34" applyNumberFormat="1" applyFont="1" applyBorder="1" applyAlignment="1">
      <alignment horizontal="center" vertical="center"/>
    </xf>
    <xf numFmtId="42" fontId="35" fillId="0" borderId="36" xfId="35" applyFont="1" applyFill="1" applyBorder="1" applyAlignment="1">
      <alignment horizontal="center" vertical="center"/>
    </xf>
    <xf numFmtId="0" fontId="35" fillId="0" borderId="37" xfId="34" applyFont="1" applyBorder="1" applyAlignment="1">
      <alignment horizontal="center" vertical="center"/>
    </xf>
    <xf numFmtId="0" fontId="35" fillId="0" borderId="24" xfId="34" applyFont="1" applyBorder="1" applyAlignment="1">
      <alignment horizontal="center" vertical="center"/>
    </xf>
    <xf numFmtId="0" fontId="36" fillId="0" borderId="12" xfId="34" applyFont="1" applyBorder="1"/>
    <xf numFmtId="0" fontId="35" fillId="0" borderId="24" xfId="34" applyFont="1" applyBorder="1" applyAlignment="1">
      <alignment horizontal="center" vertical="center" wrapText="1"/>
    </xf>
    <xf numFmtId="0" fontId="33" fillId="0" borderId="12" xfId="34" applyFont="1" applyBorder="1"/>
    <xf numFmtId="15" fontId="35" fillId="0" borderId="24" xfId="34" applyNumberFormat="1" applyFont="1" applyBorder="1" applyAlignment="1">
      <alignment horizontal="center" vertical="center"/>
    </xf>
    <xf numFmtId="174" fontId="35" fillId="0" borderId="24" xfId="34" applyNumberFormat="1" applyFont="1" applyBorder="1" applyAlignment="1">
      <alignment horizontal="center" vertical="center"/>
    </xf>
    <xf numFmtId="42" fontId="35" fillId="0" borderId="24" xfId="35" applyFont="1" applyFill="1" applyBorder="1" applyAlignment="1">
      <alignment horizontal="center" vertical="center"/>
    </xf>
    <xf numFmtId="0" fontId="36" fillId="0" borderId="24" xfId="34" applyFont="1" applyBorder="1"/>
    <xf numFmtId="0" fontId="33" fillId="0" borderId="24" xfId="34" applyFont="1" applyBorder="1"/>
    <xf numFmtId="0" fontId="33" fillId="0" borderId="0" xfId="34" applyFont="1" applyBorder="1"/>
    <xf numFmtId="0" fontId="35" fillId="0" borderId="38" xfId="34" applyFont="1" applyBorder="1" applyAlignment="1">
      <alignment horizontal="center" vertical="center"/>
    </xf>
    <xf numFmtId="0" fontId="35" fillId="0" borderId="34" xfId="34" applyFont="1" applyBorder="1" applyAlignment="1">
      <alignment horizontal="center" vertical="center"/>
    </xf>
    <xf numFmtId="0" fontId="35" fillId="0" borderId="28" xfId="34" applyFont="1" applyBorder="1" applyAlignment="1">
      <alignment horizontal="center" vertical="center"/>
    </xf>
    <xf numFmtId="0" fontId="35" fillId="0" borderId="28" xfId="34" applyFont="1" applyBorder="1" applyAlignment="1">
      <alignment horizontal="center" vertical="center" wrapText="1"/>
    </xf>
    <xf numFmtId="15" fontId="35" fillId="0" borderId="28" xfId="34" applyNumberFormat="1" applyFont="1" applyBorder="1" applyAlignment="1">
      <alignment horizontal="center" vertical="center"/>
    </xf>
    <xf numFmtId="174" fontId="35" fillId="0" borderId="28" xfId="34" applyNumberFormat="1" applyFont="1" applyBorder="1" applyAlignment="1">
      <alignment horizontal="center" vertical="center"/>
    </xf>
    <xf numFmtId="42" fontId="35" fillId="0" borderId="28" xfId="35" applyFont="1" applyFill="1" applyBorder="1" applyAlignment="1">
      <alignment horizontal="center" vertical="center"/>
    </xf>
    <xf numFmtId="173" fontId="35" fillId="0" borderId="0" xfId="34" applyNumberFormat="1" applyFont="1" applyBorder="1" applyAlignment="1">
      <alignment horizontal="center" vertical="center"/>
    </xf>
    <xf numFmtId="15" fontId="35" fillId="0" borderId="0" xfId="34" applyNumberFormat="1" applyFont="1" applyBorder="1" applyAlignment="1">
      <alignment horizontal="center" vertical="center"/>
    </xf>
    <xf numFmtId="174" fontId="35" fillId="0" borderId="0" xfId="34" applyNumberFormat="1" applyFont="1" applyBorder="1" applyAlignment="1">
      <alignment horizontal="center" vertical="center"/>
    </xf>
    <xf numFmtId="42" fontId="35" fillId="0" borderId="0" xfId="35" applyFont="1" applyFill="1" applyBorder="1" applyAlignment="1">
      <alignment horizontal="center" vertical="center"/>
    </xf>
    <xf numFmtId="41" fontId="33" fillId="0" borderId="0" xfId="36" applyFont="1" applyBorder="1"/>
    <xf numFmtId="0" fontId="35" fillId="0" borderId="0" xfId="34" applyFont="1" applyBorder="1" applyAlignment="1">
      <alignment horizontal="center"/>
    </xf>
    <xf numFmtId="15" fontId="35" fillId="0" borderId="0" xfId="34" applyNumberFormat="1" applyFont="1" applyBorder="1" applyAlignment="1">
      <alignment horizontal="center"/>
    </xf>
    <xf numFmtId="173" fontId="35" fillId="0" borderId="0" xfId="34" applyNumberFormat="1" applyFont="1" applyBorder="1" applyAlignment="1">
      <alignment horizontal="center"/>
    </xf>
    <xf numFmtId="174" fontId="35" fillId="0" borderId="0" xfId="34" applyNumberFormat="1" applyFont="1" applyBorder="1" applyAlignment="1">
      <alignment horizontal="right"/>
    </xf>
    <xf numFmtId="0" fontId="35" fillId="0" borderId="0" xfId="34" applyFont="1" applyBorder="1"/>
    <xf numFmtId="174" fontId="35" fillId="0" borderId="0" xfId="34" applyNumberFormat="1" applyFont="1" applyBorder="1" applyAlignment="1">
      <alignment horizontal="center"/>
    </xf>
    <xf numFmtId="42" fontId="35" fillId="0" borderId="0" xfId="35" applyFont="1" applyFill="1" applyBorder="1" applyAlignment="1">
      <alignment horizontal="center"/>
    </xf>
    <xf numFmtId="172" fontId="35" fillId="0" borderId="0" xfId="34" applyNumberFormat="1" applyFont="1" applyBorder="1" applyAlignment="1">
      <alignment horizontal="center" vertical="center"/>
    </xf>
    <xf numFmtId="0" fontId="37" fillId="0" borderId="0" xfId="34" applyFont="1" applyBorder="1" applyAlignment="1">
      <alignment horizontal="center" vertical="center"/>
    </xf>
    <xf numFmtId="174" fontId="37" fillId="0" borderId="0" xfId="34" applyNumberFormat="1" applyFont="1" applyBorder="1" applyAlignment="1">
      <alignment horizontal="center" vertical="center"/>
    </xf>
    <xf numFmtId="15" fontId="37" fillId="0" borderId="0" xfId="34" applyNumberFormat="1" applyFont="1" applyBorder="1" applyAlignment="1">
      <alignment horizontal="center" vertical="center"/>
    </xf>
    <xf numFmtId="0" fontId="36" fillId="0" borderId="0" xfId="34" applyFont="1" applyBorder="1"/>
    <xf numFmtId="42" fontId="33" fillId="0" borderId="0" xfId="35" applyFont="1" applyFill="1" applyBorder="1" applyAlignment="1"/>
    <xf numFmtId="0" fontId="36" fillId="0" borderId="0" xfId="34" applyFont="1"/>
    <xf numFmtId="42" fontId="33" fillId="0" borderId="0" xfId="35" applyFont="1" applyAlignment="1"/>
    <xf numFmtId="0" fontId="38" fillId="14" borderId="33" xfId="34" applyFont="1" applyFill="1" applyBorder="1" applyAlignment="1">
      <alignment horizontal="center" vertical="center"/>
    </xf>
    <xf numFmtId="0" fontId="38" fillId="14" borderId="34" xfId="34" applyFont="1" applyFill="1" applyBorder="1" applyAlignment="1">
      <alignment horizontal="center" vertical="center"/>
    </xf>
    <xf numFmtId="42" fontId="38" fillId="14" borderId="34" xfId="35" applyFont="1" applyFill="1" applyBorder="1" applyAlignment="1">
      <alignment horizontal="center" vertical="center" wrapText="1"/>
    </xf>
    <xf numFmtId="175" fontId="38" fillId="14" borderId="34" xfId="34" applyNumberFormat="1" applyFont="1" applyFill="1" applyBorder="1" applyAlignment="1">
      <alignment horizontal="center" vertical="center"/>
    </xf>
    <xf numFmtId="176" fontId="38" fillId="14" borderId="38" xfId="34" applyNumberFormat="1" applyFont="1" applyFill="1" applyBorder="1" applyAlignment="1">
      <alignment horizontal="center" vertical="center"/>
    </xf>
    <xf numFmtId="0" fontId="38" fillId="14" borderId="38" xfId="34" applyFont="1" applyFill="1" applyBorder="1" applyAlignment="1">
      <alignment horizontal="center" vertical="center"/>
    </xf>
    <xf numFmtId="0" fontId="39" fillId="15" borderId="39" xfId="34" applyFont="1" applyFill="1" applyBorder="1" applyAlignment="1">
      <alignment horizontal="center" vertical="center"/>
    </xf>
    <xf numFmtId="0" fontId="39" fillId="15" borderId="35" xfId="34" applyFont="1" applyFill="1" applyBorder="1" applyAlignment="1">
      <alignment horizontal="center" vertical="center"/>
    </xf>
    <xf numFmtId="173" fontId="39" fillId="15" borderId="35" xfId="34" applyNumberFormat="1" applyFont="1" applyFill="1" applyBorder="1" applyAlignment="1">
      <alignment horizontal="center" vertical="center"/>
    </xf>
    <xf numFmtId="42" fontId="39" fillId="15" borderId="35" xfId="35" applyFont="1" applyFill="1" applyBorder="1" applyAlignment="1">
      <alignment horizontal="center" vertical="center"/>
    </xf>
    <xf numFmtId="174" fontId="39" fillId="15" borderId="35" xfId="34" applyNumberFormat="1" applyFont="1" applyFill="1" applyBorder="1" applyAlignment="1">
      <alignment horizontal="center" vertical="center"/>
    </xf>
    <xf numFmtId="176" fontId="39" fillId="15" borderId="40" xfId="34" applyNumberFormat="1" applyFont="1" applyFill="1" applyBorder="1" applyAlignment="1">
      <alignment horizontal="center" vertical="center"/>
    </xf>
    <xf numFmtId="3" fontId="39" fillId="15" borderId="40" xfId="34" applyNumberFormat="1" applyFont="1" applyFill="1" applyBorder="1" applyAlignment="1">
      <alignment horizontal="center" vertical="center"/>
    </xf>
    <xf numFmtId="0" fontId="39" fillId="12" borderId="39" xfId="34" applyFont="1" applyFill="1" applyBorder="1" applyAlignment="1">
      <alignment horizontal="center" vertical="center"/>
    </xf>
    <xf numFmtId="0" fontId="39" fillId="12" borderId="35" xfId="34" applyFont="1" applyFill="1" applyBorder="1" applyAlignment="1">
      <alignment horizontal="center" vertical="center"/>
    </xf>
    <xf numFmtId="173" fontId="39" fillId="12" borderId="35" xfId="34" applyNumberFormat="1" applyFont="1" applyFill="1" applyBorder="1" applyAlignment="1">
      <alignment horizontal="center" vertical="center"/>
    </xf>
    <xf numFmtId="42" fontId="39" fillId="12" borderId="35" xfId="35" applyFont="1" applyFill="1" applyBorder="1" applyAlignment="1">
      <alignment horizontal="center" vertical="center"/>
    </xf>
    <xf numFmtId="174" fontId="39" fillId="12" borderId="35" xfId="34" applyNumberFormat="1" applyFont="1" applyFill="1" applyBorder="1" applyAlignment="1">
      <alignment horizontal="center" vertical="center"/>
    </xf>
    <xf numFmtId="176" fontId="39" fillId="12" borderId="40" xfId="34" applyNumberFormat="1" applyFont="1" applyFill="1" applyBorder="1" applyAlignment="1">
      <alignment horizontal="center" vertical="center"/>
    </xf>
    <xf numFmtId="3" fontId="39" fillId="12" borderId="40" xfId="34" applyNumberFormat="1" applyFont="1" applyFill="1" applyBorder="1" applyAlignment="1">
      <alignment horizontal="center" vertical="center"/>
    </xf>
    <xf numFmtId="0" fontId="39" fillId="0" borderId="39" xfId="34" applyFont="1" applyBorder="1" applyAlignment="1">
      <alignment horizontal="center" vertical="center"/>
    </xf>
    <xf numFmtId="0" fontId="39" fillId="0" borderId="35" xfId="34" applyFont="1" applyBorder="1" applyAlignment="1">
      <alignment horizontal="center" vertical="center"/>
    </xf>
    <xf numFmtId="173" fontId="39" fillId="0" borderId="35" xfId="34" applyNumberFormat="1" applyFont="1" applyBorder="1" applyAlignment="1">
      <alignment horizontal="center" vertical="center"/>
    </xf>
    <xf numFmtId="42" fontId="39" fillId="0" borderId="35" xfId="35" applyFont="1" applyBorder="1" applyAlignment="1">
      <alignment horizontal="center" vertical="center"/>
    </xf>
    <xf numFmtId="174" fontId="39" fillId="0" borderId="35" xfId="34" applyNumberFormat="1" applyFont="1" applyBorder="1" applyAlignment="1">
      <alignment horizontal="center" vertical="center"/>
    </xf>
    <xf numFmtId="176" fontId="39" fillId="0" borderId="40" xfId="34" applyNumberFormat="1" applyFont="1" applyBorder="1" applyAlignment="1">
      <alignment horizontal="center" vertical="center"/>
    </xf>
    <xf numFmtId="3" fontId="39" fillId="0" borderId="40" xfId="34" applyNumberFormat="1" applyFont="1" applyBorder="1" applyAlignment="1">
      <alignment horizontal="center" vertical="center"/>
    </xf>
    <xf numFmtId="42" fontId="33" fillId="0" borderId="0" xfId="34" applyNumberFormat="1" applyFont="1"/>
    <xf numFmtId="0" fontId="39" fillId="16" borderId="39" xfId="34" applyFont="1" applyFill="1" applyBorder="1" applyAlignment="1">
      <alignment horizontal="center" vertical="center"/>
    </xf>
    <xf numFmtId="0" fontId="39" fillId="16" borderId="35" xfId="34" applyFont="1" applyFill="1" applyBorder="1" applyAlignment="1">
      <alignment horizontal="center" vertical="center"/>
    </xf>
    <xf numFmtId="173" fontId="39" fillId="16" borderId="35" xfId="34" applyNumberFormat="1" applyFont="1" applyFill="1" applyBorder="1" applyAlignment="1">
      <alignment horizontal="center" vertical="center"/>
    </xf>
    <xf numFmtId="42" fontId="39" fillId="16" borderId="35" xfId="35" applyFont="1" applyFill="1" applyBorder="1" applyAlignment="1">
      <alignment horizontal="center" vertical="center"/>
    </xf>
    <xf numFmtId="174" fontId="39" fillId="16" borderId="35" xfId="34" applyNumberFormat="1" applyFont="1" applyFill="1" applyBorder="1" applyAlignment="1">
      <alignment horizontal="center" vertical="center"/>
    </xf>
    <xf numFmtId="176" fontId="39" fillId="16" borderId="40" xfId="34" applyNumberFormat="1" applyFont="1" applyFill="1" applyBorder="1" applyAlignment="1">
      <alignment horizontal="center" vertical="center"/>
    </xf>
    <xf numFmtId="3" fontId="39" fillId="16" borderId="40" xfId="34" applyNumberFormat="1" applyFont="1" applyFill="1" applyBorder="1" applyAlignment="1">
      <alignment horizontal="center" vertical="center"/>
    </xf>
    <xf numFmtId="3" fontId="39" fillId="15" borderId="40" xfId="34" applyNumberFormat="1" applyFont="1" applyFill="1" applyBorder="1" applyAlignment="1">
      <alignment horizontal="center" vertical="center" wrapText="1"/>
    </xf>
    <xf numFmtId="3" fontId="39" fillId="0" borderId="40" xfId="34" applyNumberFormat="1" applyFont="1" applyBorder="1" applyAlignment="1">
      <alignment horizontal="center" vertical="center" wrapText="1"/>
    </xf>
    <xf numFmtId="15" fontId="39" fillId="16" borderId="35" xfId="34" applyNumberFormat="1" applyFont="1" applyFill="1" applyBorder="1" applyAlignment="1">
      <alignment horizontal="center" vertical="center"/>
    </xf>
    <xf numFmtId="0" fontId="39" fillId="16" borderId="40" xfId="34" applyFont="1" applyFill="1" applyBorder="1" applyAlignment="1">
      <alignment horizontal="center" vertical="center"/>
    </xf>
    <xf numFmtId="15" fontId="39" fillId="0" borderId="35" xfId="34" applyNumberFormat="1" applyFont="1" applyBorder="1" applyAlignment="1">
      <alignment horizontal="center" vertical="center"/>
    </xf>
    <xf numFmtId="0" fontId="39" fillId="0" borderId="40" xfId="34" applyFont="1" applyBorder="1" applyAlignment="1">
      <alignment horizontal="center" vertical="center"/>
    </xf>
    <xf numFmtId="15" fontId="39" fillId="15" borderId="35" xfId="34" applyNumberFormat="1" applyFont="1" applyFill="1" applyBorder="1" applyAlignment="1">
      <alignment horizontal="center" vertical="center"/>
    </xf>
    <xf numFmtId="0" fontId="39" fillId="15" borderId="40" xfId="34" applyFont="1" applyFill="1" applyBorder="1" applyAlignment="1">
      <alignment horizontal="center" vertical="center"/>
    </xf>
    <xf numFmtId="172" fontId="39" fillId="0" borderId="35" xfId="34" applyNumberFormat="1" applyFont="1" applyBorder="1" applyAlignment="1">
      <alignment horizontal="center" vertical="center"/>
    </xf>
    <xf numFmtId="175" fontId="39" fillId="0" borderId="35" xfId="34" applyNumberFormat="1" applyFont="1" applyBorder="1" applyAlignment="1">
      <alignment horizontal="center" vertical="center"/>
    </xf>
    <xf numFmtId="15" fontId="39" fillId="12" borderId="35" xfId="34" applyNumberFormat="1" applyFont="1" applyFill="1" applyBorder="1" applyAlignment="1">
      <alignment horizontal="center" vertical="center"/>
    </xf>
    <xf numFmtId="0" fontId="39" fillId="12" borderId="40" xfId="34" applyFont="1" applyFill="1" applyBorder="1" applyAlignment="1">
      <alignment horizontal="center" vertical="center"/>
    </xf>
    <xf numFmtId="0" fontId="39" fillId="0" borderId="35" xfId="34" applyFont="1" applyBorder="1" applyAlignment="1">
      <alignment horizontal="center"/>
    </xf>
    <xf numFmtId="173" fontId="39" fillId="0" borderId="35" xfId="34" applyNumberFormat="1" applyFont="1" applyBorder="1" applyAlignment="1">
      <alignment horizontal="center"/>
    </xf>
    <xf numFmtId="42" fontId="39" fillId="0" borderId="35" xfId="35" applyFont="1" applyBorder="1" applyAlignment="1">
      <alignment horizontal="center"/>
    </xf>
    <xf numFmtId="174" fontId="39" fillId="0" borderId="35" xfId="34" applyNumberFormat="1" applyFont="1" applyBorder="1" applyAlignment="1">
      <alignment horizontal="center"/>
    </xf>
    <xf numFmtId="176" fontId="39" fillId="0" borderId="40" xfId="34" applyNumberFormat="1" applyFont="1" applyBorder="1" applyAlignment="1">
      <alignment horizontal="center"/>
    </xf>
    <xf numFmtId="0" fontId="39" fillId="0" borderId="40" xfId="34" applyFont="1" applyBorder="1" applyAlignment="1">
      <alignment horizontal="center"/>
    </xf>
    <xf numFmtId="15" fontId="39" fillId="0" borderId="35" xfId="34" applyNumberFormat="1" applyFont="1" applyBorder="1" applyAlignment="1">
      <alignment horizontal="center"/>
    </xf>
    <xf numFmtId="0" fontId="39" fillId="12" borderId="35" xfId="34" applyFont="1" applyFill="1" applyBorder="1" applyAlignment="1">
      <alignment horizontal="center"/>
    </xf>
    <xf numFmtId="15" fontId="39" fillId="12" borderId="35" xfId="34" applyNumberFormat="1" applyFont="1" applyFill="1" applyBorder="1" applyAlignment="1">
      <alignment horizontal="center"/>
    </xf>
    <xf numFmtId="173" fontId="39" fillId="12" borderId="35" xfId="34" applyNumberFormat="1" applyFont="1" applyFill="1" applyBorder="1" applyAlignment="1">
      <alignment horizontal="center"/>
    </xf>
    <xf numFmtId="42" fontId="39" fillId="12" borderId="35" xfId="35" applyFont="1" applyFill="1" applyBorder="1" applyAlignment="1">
      <alignment horizontal="center"/>
    </xf>
    <xf numFmtId="174" fontId="39" fillId="12" borderId="35" xfId="34" applyNumberFormat="1" applyFont="1" applyFill="1" applyBorder="1" applyAlignment="1">
      <alignment horizontal="center"/>
    </xf>
    <xf numFmtId="176" fontId="39" fillId="12" borderId="40" xfId="34" applyNumberFormat="1" applyFont="1" applyFill="1" applyBorder="1" applyAlignment="1">
      <alignment horizontal="center"/>
    </xf>
    <xf numFmtId="0" fontId="39" fillId="12" borderId="40" xfId="34" applyFont="1" applyFill="1" applyBorder="1" applyAlignment="1">
      <alignment horizontal="center"/>
    </xf>
    <xf numFmtId="0" fontId="39" fillId="0" borderId="41" xfId="34" applyFont="1" applyBorder="1" applyAlignment="1">
      <alignment horizontal="center" vertical="center"/>
    </xf>
    <xf numFmtId="0" fontId="39" fillId="0" borderId="36" xfId="34" applyFont="1" applyBorder="1" applyAlignment="1">
      <alignment horizontal="center"/>
    </xf>
    <xf numFmtId="15" fontId="39" fillId="0" borderId="36" xfId="34" applyNumberFormat="1" applyFont="1" applyBorder="1" applyAlignment="1">
      <alignment horizontal="center"/>
    </xf>
    <xf numFmtId="173" fontId="39" fillId="0" borderId="36" xfId="34" applyNumberFormat="1" applyFont="1" applyBorder="1" applyAlignment="1">
      <alignment horizontal="center"/>
    </xf>
    <xf numFmtId="42" fontId="39" fillId="0" borderId="36" xfId="35" applyFont="1" applyBorder="1" applyAlignment="1">
      <alignment horizontal="center"/>
    </xf>
    <xf numFmtId="174" fontId="39" fillId="0" borderId="36" xfId="34" applyNumberFormat="1" applyFont="1" applyBorder="1" applyAlignment="1">
      <alignment horizontal="center"/>
    </xf>
    <xf numFmtId="176" fontId="39" fillId="0" borderId="42" xfId="34" applyNumberFormat="1" applyFont="1" applyBorder="1" applyAlignment="1">
      <alignment horizontal="center"/>
    </xf>
    <xf numFmtId="0" fontId="39" fillId="0" borderId="42" xfId="34" applyFont="1" applyBorder="1" applyAlignment="1">
      <alignment horizontal="center"/>
    </xf>
    <xf numFmtId="0" fontId="39" fillId="0" borderId="39" xfId="34" applyFont="1" applyFill="1" applyBorder="1" applyAlignment="1">
      <alignment horizontal="center" vertical="center"/>
    </xf>
    <xf numFmtId="0" fontId="33" fillId="0" borderId="35" xfId="34" applyFont="1" applyBorder="1" applyAlignment="1">
      <alignment horizontal="center"/>
    </xf>
    <xf numFmtId="16" fontId="33" fillId="0" borderId="35" xfId="34" applyNumberFormat="1" applyFont="1" applyBorder="1" applyAlignment="1">
      <alignment horizontal="center"/>
    </xf>
    <xf numFmtId="42" fontId="39" fillId="0" borderId="35" xfId="35" applyFont="1" applyFill="1" applyBorder="1" applyAlignment="1">
      <alignment horizontal="center" vertical="center"/>
    </xf>
    <xf numFmtId="0" fontId="39" fillId="0" borderId="35" xfId="34" applyFont="1" applyBorder="1" applyAlignment="1">
      <alignment horizontal="center" vertical="center" wrapText="1"/>
    </xf>
    <xf numFmtId="174" fontId="39" fillId="0" borderId="39" xfId="34" applyNumberFormat="1" applyFont="1" applyBorder="1" applyAlignment="1">
      <alignment horizontal="center" vertical="center"/>
    </xf>
    <xf numFmtId="0" fontId="39" fillId="0" borderId="28" xfId="34" applyFont="1" applyBorder="1" applyAlignment="1">
      <alignment horizontal="center" vertical="center"/>
    </xf>
    <xf numFmtId="0" fontId="39" fillId="0" borderId="28" xfId="34" applyFont="1" applyBorder="1" applyAlignment="1">
      <alignment horizontal="center" vertical="center" wrapText="1"/>
    </xf>
    <xf numFmtId="15" fontId="39" fillId="0" borderId="28" xfId="34" applyNumberFormat="1" applyFont="1" applyBorder="1" applyAlignment="1">
      <alignment horizontal="center" vertical="center"/>
    </xf>
    <xf numFmtId="173" fontId="39" fillId="0" borderId="28" xfId="34" applyNumberFormat="1" applyFont="1" applyBorder="1" applyAlignment="1">
      <alignment horizontal="center" vertical="center"/>
    </xf>
    <xf numFmtId="42" fontId="39" fillId="0" borderId="28" xfId="35" applyFont="1" applyBorder="1" applyAlignment="1">
      <alignment horizontal="center" vertical="center"/>
    </xf>
    <xf numFmtId="174" fontId="39" fillId="0" borderId="28" xfId="34" applyNumberFormat="1" applyFont="1" applyBorder="1" applyAlignment="1">
      <alignment horizontal="center" vertical="center"/>
    </xf>
    <xf numFmtId="0" fontId="39" fillId="0" borderId="33" xfId="34" applyFont="1" applyBorder="1" applyAlignment="1">
      <alignment horizontal="center" vertical="center"/>
    </xf>
    <xf numFmtId="0" fontId="39" fillId="0" borderId="34" xfId="34" applyFont="1" applyBorder="1" applyAlignment="1">
      <alignment horizontal="center" vertical="center" wrapText="1"/>
    </xf>
    <xf numFmtId="0" fontId="39" fillId="0" borderId="34" xfId="34" applyFont="1" applyBorder="1" applyAlignment="1">
      <alignment horizontal="center" vertical="center"/>
    </xf>
    <xf numFmtId="15" fontId="39" fillId="0" borderId="34" xfId="34" applyNumberFormat="1" applyFont="1" applyBorder="1" applyAlignment="1">
      <alignment horizontal="center" vertical="center"/>
    </xf>
    <xf numFmtId="173" fontId="39" fillId="0" borderId="34" xfId="34" applyNumberFormat="1" applyFont="1" applyBorder="1" applyAlignment="1">
      <alignment horizontal="center" vertical="center"/>
    </xf>
    <xf numFmtId="42" fontId="39" fillId="0" borderId="34" xfId="35" applyFont="1" applyBorder="1" applyAlignment="1">
      <alignment horizontal="center" vertical="center"/>
    </xf>
    <xf numFmtId="174" fontId="39" fillId="0" borderId="34" xfId="34" applyNumberFormat="1" applyFont="1" applyBorder="1" applyAlignment="1">
      <alignment horizontal="center" vertical="center"/>
    </xf>
    <xf numFmtId="174" fontId="39" fillId="0" borderId="38" xfId="34" applyNumberFormat="1" applyFont="1" applyBorder="1" applyAlignment="1">
      <alignment horizontal="center" vertical="center"/>
    </xf>
    <xf numFmtId="176" fontId="39" fillId="0" borderId="38" xfId="34" applyNumberFormat="1" applyFont="1" applyBorder="1" applyAlignment="1">
      <alignment horizontal="center" vertical="center"/>
    </xf>
    <xf numFmtId="0" fontId="39" fillId="0" borderId="38" xfId="34" applyFont="1" applyBorder="1" applyAlignment="1">
      <alignment horizontal="center" vertical="center"/>
    </xf>
    <xf numFmtId="174" fontId="39" fillId="0" borderId="39" xfId="34" applyNumberFormat="1" applyFont="1" applyBorder="1" applyAlignment="1">
      <alignment horizontal="center"/>
    </xf>
    <xf numFmtId="0" fontId="36" fillId="0" borderId="0" xfId="34" applyFont="1" applyAlignment="1">
      <alignment horizontal="center"/>
    </xf>
    <xf numFmtId="41" fontId="33" fillId="0" borderId="0" xfId="34" applyNumberFormat="1" applyFont="1"/>
    <xf numFmtId="41" fontId="13" fillId="4" borderId="0" xfId="0" applyNumberFormat="1" applyFont="1" applyFill="1"/>
    <xf numFmtId="9" fontId="0" fillId="0" borderId="0" xfId="0" applyNumberFormat="1"/>
    <xf numFmtId="9" fontId="0" fillId="0" borderId="2" xfId="0" applyNumberFormat="1" applyBorder="1"/>
    <xf numFmtId="10" fontId="0" fillId="0" borderId="0" xfId="3" applyNumberFormat="1" applyFont="1"/>
    <xf numFmtId="41" fontId="0" fillId="0" borderId="0" xfId="0" applyNumberFormat="1" applyBorder="1" applyAlignment="1">
      <alignment vertical="center"/>
    </xf>
    <xf numFmtId="0" fontId="0" fillId="0" borderId="12" xfId="0" applyFill="1" applyBorder="1"/>
    <xf numFmtId="0" fontId="0" fillId="0" borderId="12" xfId="0" applyBorder="1"/>
    <xf numFmtId="38" fontId="13" fillId="0" borderId="12" xfId="0" applyNumberFormat="1" applyFont="1" applyBorder="1" applyAlignment="1">
      <alignment vertical="center"/>
    </xf>
    <xf numFmtId="38" fontId="0" fillId="4" borderId="12" xfId="0" applyNumberFormat="1" applyFill="1" applyBorder="1" applyAlignment="1">
      <alignment vertical="center"/>
    </xf>
    <xf numFmtId="165" fontId="16" fillId="0" borderId="0" xfId="1" applyNumberFormat="1" applyFont="1"/>
    <xf numFmtId="165" fontId="21" fillId="0" borderId="11" xfId="1" applyNumberFormat="1" applyFont="1" applyBorder="1"/>
    <xf numFmtId="0" fontId="0" fillId="0" borderId="24" xfId="0" applyBorder="1" applyAlignment="1">
      <alignment horizontal="left" vertical="center"/>
    </xf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0" fillId="0" borderId="17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0" fontId="10" fillId="0" borderId="0" xfId="0" applyFont="1" applyBorder="1" applyAlignment="1">
      <alignment horizontal="left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0" fillId="0" borderId="20" xfId="0" applyFont="1" applyFill="1" applyBorder="1" applyAlignment="1" applyProtection="1">
      <alignment horizontal="left" indent="1"/>
    </xf>
    <xf numFmtId="0" fontId="10" fillId="0" borderId="0" xfId="0" applyFont="1" applyFill="1" applyBorder="1" applyAlignment="1" applyProtection="1">
      <alignment horizontal="left" indent="1"/>
    </xf>
    <xf numFmtId="0" fontId="10" fillId="0" borderId="21" xfId="0" applyFont="1" applyFill="1" applyBorder="1" applyAlignment="1" applyProtection="1">
      <alignment horizontal="left" indent="1"/>
    </xf>
    <xf numFmtId="0" fontId="10" fillId="0" borderId="1" xfId="0" applyFont="1" applyFill="1" applyBorder="1" applyAlignment="1" applyProtection="1">
      <alignment horizontal="left" indent="1"/>
    </xf>
    <xf numFmtId="0" fontId="1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0" fillId="0" borderId="16" xfId="0" applyFont="1" applyFill="1" applyBorder="1" applyAlignment="1" applyProtection="1">
      <alignment horizontal="left" indent="1"/>
    </xf>
    <xf numFmtId="0" fontId="10" fillId="0" borderId="17" xfId="0" applyFont="1" applyFill="1" applyBorder="1" applyAlignment="1" applyProtection="1">
      <alignment horizontal="left" indent="1"/>
    </xf>
    <xf numFmtId="0" fontId="0" fillId="3" borderId="8" xfId="0" applyFont="1" applyFill="1" applyBorder="1" applyAlignment="1">
      <alignment horizontal="center"/>
    </xf>
    <xf numFmtId="0" fontId="0" fillId="3" borderId="0" xfId="0" applyFont="1" applyFill="1" applyBorder="1" applyAlignment="1">
      <alignment horizontal="center"/>
    </xf>
    <xf numFmtId="0" fontId="0" fillId="3" borderId="10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41" fontId="10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0" fillId="0" borderId="24" xfId="0" applyBorder="1" applyAlignment="1">
      <alignment horizontal="left" vertical="center"/>
    </xf>
    <xf numFmtId="0" fontId="0" fillId="3" borderId="6" xfId="0" applyFont="1" applyFill="1" applyBorder="1" applyAlignment="1">
      <alignment horizontal="center"/>
    </xf>
    <xf numFmtId="0" fontId="0" fillId="3" borderId="3" xfId="0" applyFont="1" applyFill="1" applyBorder="1" applyAlignment="1">
      <alignment horizontal="center"/>
    </xf>
    <xf numFmtId="0" fontId="30" fillId="8" borderId="13" xfId="0" applyFont="1" applyFill="1" applyBorder="1" applyAlignment="1">
      <alignment horizontal="center" vertical="center"/>
    </xf>
    <xf numFmtId="0" fontId="30" fillId="8" borderId="15" xfId="0" applyFont="1" applyFill="1" applyBorder="1" applyAlignment="1">
      <alignment horizontal="center" vertical="center"/>
    </xf>
    <xf numFmtId="0" fontId="30" fillId="8" borderId="32" xfId="0" applyFont="1" applyFill="1" applyBorder="1" applyAlignment="1">
      <alignment horizontal="center" vertical="center"/>
    </xf>
    <xf numFmtId="0" fontId="30" fillId="8" borderId="29" xfId="0" applyFont="1" applyFill="1" applyBorder="1" applyAlignment="1">
      <alignment horizontal="center" vertical="center"/>
    </xf>
    <xf numFmtId="0" fontId="30" fillId="8" borderId="30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</cellXfs>
  <cellStyles count="37">
    <cellStyle name="Comma" xfId="1" builtinId="3"/>
    <cellStyle name="Comma [0]" xfId="2" builtinId="6"/>
    <cellStyle name="Comma [0] 2" xfId="9"/>
    <cellStyle name="Comma [0] 3" xfId="31"/>
    <cellStyle name="Comma [0] 4" xfId="33"/>
    <cellStyle name="Comma [0] 5" xfId="36"/>
    <cellStyle name="Comma 2" xfId="7"/>
    <cellStyle name="Comma 2 3" xfId="22"/>
    <cellStyle name="Comma 3" xfId="10"/>
    <cellStyle name="Comma 3 2" xfId="11"/>
    <cellStyle name="Comma 4" xfId="12"/>
    <cellStyle name="Comma 5" xfId="18"/>
    <cellStyle name="Comma 5 2" xfId="19"/>
    <cellStyle name="Currency [0] 2" xfId="23"/>
    <cellStyle name="Currency [0] 3" xfId="27"/>
    <cellStyle name="Currency [0] 4" xfId="30"/>
    <cellStyle name="Currency [0] 5" xfId="35"/>
    <cellStyle name="Currency 2" xfId="26"/>
    <cellStyle name="Currency 3" xfId="28"/>
    <cellStyle name="Normal" xfId="0" builtinId="0"/>
    <cellStyle name="Normal 2" xfId="5"/>
    <cellStyle name="Normal 2 2" xfId="6"/>
    <cellStyle name="Normal 2 2 2 2 3" xfId="17"/>
    <cellStyle name="Normal 2 7" xfId="20"/>
    <cellStyle name="Normal 3" xfId="13"/>
    <cellStyle name="Normal 3 2" xfId="14"/>
    <cellStyle name="Normal 3 3" xfId="21"/>
    <cellStyle name="Normal 4" xfId="24"/>
    <cellStyle name="Normal 5" xfId="25"/>
    <cellStyle name="Normal 6" xfId="29"/>
    <cellStyle name="Normal 7" xfId="32"/>
    <cellStyle name="Normal 8" xfId="34"/>
    <cellStyle name="Percent" xfId="3" builtinId="5"/>
    <cellStyle name="Percent 2" xfId="8"/>
    <cellStyle name="Percent 2 2" xfId="4"/>
    <cellStyle name="Percent 3" xfId="15"/>
    <cellStyle name="Percent 3 2" xfId="16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26700</xdr:colOff>
      <xdr:row>27</xdr:row>
      <xdr:rowOff>30954</xdr:rowOff>
    </xdr:from>
    <xdr:to>
      <xdr:col>12</xdr:col>
      <xdr:colOff>984250</xdr:colOff>
      <xdr:row>28</xdr:row>
      <xdr:rowOff>111126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4DAA910B-6198-46CA-9A30-952F7227332E}"/>
            </a:ext>
          </a:extLst>
        </xdr:cNvPr>
        <xdr:cNvGrpSpPr/>
      </xdr:nvGrpSpPr>
      <xdr:grpSpPr>
        <a:xfrm>
          <a:off x="570986" y="5378561"/>
          <a:ext cx="8686407" cy="284279"/>
          <a:chOff x="570986" y="5042917"/>
          <a:chExt cx="14774690" cy="343744"/>
        </a:xfrm>
      </xdr:grpSpPr>
      <xdr:sp macro="" textlink="">
        <xdr:nvSpPr>
          <xdr:cNvPr id="3" name="TextBox 2">
            <a:extLst>
              <a:ext uri="{FF2B5EF4-FFF2-40B4-BE49-F238E27FC236}">
                <a16:creationId xmlns:a16="http://schemas.microsoft.com/office/drawing/2014/main" id="{E903E39F-A18C-4AF2-9738-3856D73C3B33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</a:t>
            </a:r>
          </a:p>
        </xdr:txBody>
      </xdr: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6AB35D35-9FD6-4CBA-9B17-9A632CD9A718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1E041942-7F20-4076-9993-E79B52EBF34D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Robert P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248189FE-8A6A-4547-9ADA-8CE27706581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931E21B1-9E7C-4DA0-9078-6931B1C6F4D3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47613EEE-6713-4762-B24D-BC4290367B50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F H</a:t>
            </a:r>
          </a:p>
        </xdr:txBody>
      </xdr:sp>
    </xdr:grpSp>
    <xdr:clientData/>
  </xdr:twoCellAnchor>
  <xdr:twoCellAnchor>
    <xdr:from>
      <xdr:col>1</xdr:col>
      <xdr:colOff>87947</xdr:colOff>
      <xdr:row>32</xdr:row>
      <xdr:rowOff>104251</xdr:rowOff>
    </xdr:from>
    <xdr:to>
      <xdr:col>12</xdr:col>
      <xdr:colOff>1063625</xdr:colOff>
      <xdr:row>33</xdr:row>
      <xdr:rowOff>79374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361AC916-26C4-41DB-865F-45B43725DD6F}"/>
            </a:ext>
          </a:extLst>
        </xdr:cNvPr>
        <xdr:cNvGrpSpPr/>
      </xdr:nvGrpSpPr>
      <xdr:grpSpPr>
        <a:xfrm>
          <a:off x="400911" y="6472394"/>
          <a:ext cx="8935857" cy="179230"/>
          <a:chOff x="722947" y="7327377"/>
          <a:chExt cx="10285884" cy="0"/>
        </a:xfrm>
      </xdr:grpSpPr>
      <xdr:cxnSp macro="">
        <xdr:nvCxnSpPr>
          <xdr:cNvPr id="10" name="Straight Connector 9">
            <a:extLst>
              <a:ext uri="{FF2B5EF4-FFF2-40B4-BE49-F238E27FC236}">
                <a16:creationId xmlns:a16="http://schemas.microsoft.com/office/drawing/2014/main" id="{F7793B60-6109-47CA-BE5B-CEA42B255936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91950703-6F63-43D2-B33E-806F2C47E951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AF9F6D0C-6CE4-4EDA-BC55-17EE3E28E45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13BD3E8C-678F-428D-874A-7208714808B3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3FC5317F-00EF-41A4-820C-F30CC60C1EF6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344E174A-4A47-4AFA-9DC0-73FAF16DF8C1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612786</xdr:colOff>
      <xdr:row>23</xdr:row>
      <xdr:rowOff>79365</xdr:rowOff>
    </xdr:from>
    <xdr:to>
      <xdr:col>12</xdr:col>
      <xdr:colOff>791094</xdr:colOff>
      <xdr:row>23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itra.kartika\AppData\Local\Microsoft\Windows\INetCache\Content.Outlook\9R682D8C\BOQ%20Forecast%20Plaza%20Indonesia%20-%20Office_Mall%20R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2020%20strategic%20planning/OPENET/ENTERPRISE%20DATABASE%202023%20W44%20(00000002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ICE"/>
      <sheetName val="MALL"/>
      <sheetName val="Summary"/>
    </sheetNames>
    <sheetDataSet>
      <sheetData sheetId="0">
        <row r="14">
          <cell r="H14">
            <v>255750000</v>
          </cell>
        </row>
        <row r="20">
          <cell r="H20">
            <v>336260000</v>
          </cell>
        </row>
      </sheetData>
      <sheetData sheetId="1">
        <row r="14">
          <cell r="H14">
            <v>509250000</v>
          </cell>
        </row>
        <row r="20">
          <cell r="H20">
            <v>694400000</v>
          </cell>
        </row>
      </sheetData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aton"/>
      <sheetName val="MSIG"/>
      <sheetName val="PI Shopping Center"/>
      <sheetName val="The Plaza Office"/>
      <sheetName val="T9"/>
      <sheetName val="T9 (Telephony)"/>
    </sheetNames>
    <sheetDataSet>
      <sheetData sheetId="0"/>
      <sheetData sheetId="1"/>
      <sheetData sheetId="2"/>
      <sheetData sheetId="3">
        <row r="61">
          <cell r="AA61">
            <v>1143110608.8709679</v>
          </cell>
        </row>
      </sheetData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26"/>
  <sheetViews>
    <sheetView showGridLines="0" zoomScale="70" zoomScaleNormal="70" workbookViewId="0">
      <selection activeCell="Q21" sqref="Q21"/>
    </sheetView>
  </sheetViews>
  <sheetFormatPr defaultColWidth="8.625" defaultRowHeight="15.75" x14ac:dyDescent="0.25"/>
  <cols>
    <col min="1" max="1" width="4.125" style="87" customWidth="1"/>
    <col min="2" max="2" width="3" style="87" customWidth="1"/>
    <col min="3" max="3" width="16.625" style="87" customWidth="1"/>
    <col min="4" max="4" width="25.5" style="87" customWidth="1"/>
    <col min="5" max="5" width="4.25" style="87" customWidth="1"/>
    <col min="6" max="6" width="4.875" style="87" customWidth="1"/>
    <col min="7" max="7" width="10.625" style="87" customWidth="1"/>
    <col min="8" max="8" width="8.375" style="87" customWidth="1"/>
    <col min="9" max="9" width="5.375" style="87" customWidth="1"/>
    <col min="10" max="10" width="2.125" style="87" customWidth="1"/>
    <col min="11" max="11" width="5.125" style="87" customWidth="1"/>
    <col min="12" max="12" width="18.375" style="87" bestFit="1" customWidth="1"/>
    <col min="13" max="13" width="16.5" style="87" customWidth="1"/>
    <col min="14" max="14" width="2.125" style="87" customWidth="1"/>
    <col min="15" max="15" width="3.625" style="87" customWidth="1"/>
    <col min="16" max="16384" width="8.625" style="87"/>
  </cols>
  <sheetData>
    <row r="1" spans="2:18" ht="8.4499999999999993" customHeight="1" x14ac:dyDescent="0.25"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2:18" ht="18.75" x14ac:dyDescent="0.3">
      <c r="B2" s="90"/>
      <c r="C2" s="91" t="s">
        <v>49</v>
      </c>
      <c r="D2" s="88" t="s">
        <v>82</v>
      </c>
      <c r="E2" s="90"/>
      <c r="F2" s="90"/>
      <c r="G2" s="90"/>
      <c r="H2" s="90"/>
      <c r="J2" s="114" t="s">
        <v>81</v>
      </c>
      <c r="K2" s="114"/>
      <c r="L2" s="114"/>
      <c r="M2" s="115">
        <v>45131</v>
      </c>
      <c r="N2" s="90"/>
    </row>
    <row r="3" spans="2:18" ht="18.75" x14ac:dyDescent="0.3">
      <c r="B3" s="90"/>
      <c r="C3" s="91" t="s">
        <v>50</v>
      </c>
      <c r="D3" s="88" t="s">
        <v>125</v>
      </c>
      <c r="E3" s="90"/>
      <c r="F3" s="90"/>
      <c r="G3" s="90"/>
      <c r="H3" s="90"/>
      <c r="M3" s="90"/>
      <c r="N3" s="90"/>
    </row>
    <row r="4" spans="2:18" ht="0.95" customHeight="1" thickBot="1" x14ac:dyDescent="0.3">
      <c r="B4" s="90"/>
      <c r="C4" s="88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</row>
    <row r="5" spans="2:18" s="89" customFormat="1" ht="19.5" thickBot="1" x14ac:dyDescent="0.35">
      <c r="B5" s="348" t="s">
        <v>51</v>
      </c>
      <c r="C5" s="349"/>
      <c r="D5" s="350"/>
      <c r="E5" s="348" t="s">
        <v>52</v>
      </c>
      <c r="F5" s="349"/>
      <c r="G5" s="349"/>
      <c r="H5" s="349"/>
      <c r="I5" s="349"/>
      <c r="J5" s="348" t="s">
        <v>53</v>
      </c>
      <c r="K5" s="349"/>
      <c r="L5" s="349"/>
      <c r="M5" s="349"/>
      <c r="N5" s="350"/>
    </row>
    <row r="6" spans="2:18" x14ac:dyDescent="0.25">
      <c r="B6" s="351" t="s">
        <v>54</v>
      </c>
      <c r="C6" s="352"/>
      <c r="D6" s="104" t="s">
        <v>163</v>
      </c>
      <c r="E6" s="353" t="s">
        <v>55</v>
      </c>
      <c r="F6" s="353"/>
      <c r="G6" s="353"/>
      <c r="H6" s="353"/>
      <c r="I6" s="353"/>
      <c r="J6" s="106"/>
      <c r="K6" s="352" t="s">
        <v>56</v>
      </c>
      <c r="L6" s="352"/>
      <c r="M6" s="116">
        <v>0</v>
      </c>
      <c r="N6" s="104"/>
    </row>
    <row r="7" spans="2:18" x14ac:dyDescent="0.25">
      <c r="B7" s="354" t="s">
        <v>57</v>
      </c>
      <c r="C7" s="355"/>
      <c r="D7" s="117"/>
      <c r="E7" s="356" t="s">
        <v>58</v>
      </c>
      <c r="F7" s="356"/>
      <c r="G7" s="356"/>
      <c r="H7" s="118"/>
      <c r="I7" s="90"/>
      <c r="J7" s="94"/>
      <c r="K7" s="356" t="s">
        <v>59</v>
      </c>
      <c r="L7" s="356"/>
      <c r="M7" s="119">
        <v>10</v>
      </c>
      <c r="N7" s="92"/>
    </row>
    <row r="8" spans="2:18" x14ac:dyDescent="0.25">
      <c r="B8" s="354"/>
      <c r="C8" s="355"/>
      <c r="D8" s="92"/>
      <c r="E8" s="356" t="s">
        <v>61</v>
      </c>
      <c r="F8" s="356"/>
      <c r="G8" s="356"/>
      <c r="H8" s="118">
        <v>0</v>
      </c>
      <c r="I8" s="90"/>
      <c r="J8" s="94"/>
      <c r="K8" s="356" t="s">
        <v>76</v>
      </c>
      <c r="L8" s="356"/>
      <c r="M8" s="120">
        <f>[2]IRR!F3</f>
        <v>0.1</v>
      </c>
      <c r="N8" s="92"/>
    </row>
    <row r="9" spans="2:18" x14ac:dyDescent="0.25">
      <c r="B9" s="107" t="s">
        <v>60</v>
      </c>
      <c r="C9" s="108"/>
      <c r="D9" s="92" t="s">
        <v>162</v>
      </c>
      <c r="E9" s="356" t="s">
        <v>63</v>
      </c>
      <c r="F9" s="356"/>
      <c r="G9" s="356"/>
      <c r="H9" s="121"/>
      <c r="I9" s="90"/>
      <c r="J9" s="94"/>
      <c r="K9" s="356" t="s">
        <v>64</v>
      </c>
      <c r="L9" s="356"/>
      <c r="M9" s="116">
        <v>0</v>
      </c>
      <c r="N9" s="92"/>
    </row>
    <row r="10" spans="2:18" x14ac:dyDescent="0.25">
      <c r="B10" s="109" t="s">
        <v>62</v>
      </c>
      <c r="C10" s="110"/>
      <c r="D10" s="92"/>
      <c r="E10" s="357" t="s">
        <v>66</v>
      </c>
      <c r="F10" s="357"/>
      <c r="G10" s="357"/>
      <c r="H10" s="357"/>
      <c r="I10" s="357"/>
      <c r="J10" s="111"/>
      <c r="K10" s="358" t="s">
        <v>67</v>
      </c>
      <c r="L10" s="358"/>
      <c r="M10" s="116">
        <f>SUM(IRR!G9:G10)</f>
        <v>674721220.13541675</v>
      </c>
      <c r="N10" s="92"/>
    </row>
    <row r="11" spans="2:18" x14ac:dyDescent="0.25">
      <c r="B11" s="109" t="s">
        <v>65</v>
      </c>
      <c r="C11" s="110"/>
      <c r="D11" s="92" t="s">
        <v>126</v>
      </c>
      <c r="E11" s="359" t="s">
        <v>69</v>
      </c>
      <c r="F11" s="359"/>
      <c r="G11" s="359"/>
      <c r="H11" s="122">
        <v>0</v>
      </c>
      <c r="I11" s="90"/>
      <c r="J11" s="94"/>
      <c r="K11" s="358" t="s">
        <v>70</v>
      </c>
      <c r="L11" s="358"/>
      <c r="M11" s="116">
        <f>IRR!L26</f>
        <v>4377861998.6191082</v>
      </c>
      <c r="N11" s="92"/>
    </row>
    <row r="12" spans="2:18" x14ac:dyDescent="0.25">
      <c r="B12" s="112" t="s">
        <v>68</v>
      </c>
      <c r="C12" s="113"/>
      <c r="D12" s="93"/>
      <c r="E12" s="359" t="s">
        <v>72</v>
      </c>
      <c r="F12" s="359"/>
      <c r="G12" s="359"/>
      <c r="H12" s="122">
        <v>0</v>
      </c>
      <c r="I12" s="90"/>
      <c r="J12" s="94"/>
      <c r="K12" s="358" t="s">
        <v>73</v>
      </c>
      <c r="L12" s="358"/>
      <c r="M12" s="116">
        <f>IRR!L18</f>
        <v>7653057624.7004614</v>
      </c>
      <c r="N12" s="92"/>
    </row>
    <row r="13" spans="2:18" ht="16.5" thickBot="1" x14ac:dyDescent="0.3">
      <c r="B13" s="112" t="s">
        <v>71</v>
      </c>
      <c r="C13" s="113"/>
      <c r="D13" s="93"/>
      <c r="E13" s="359" t="s">
        <v>74</v>
      </c>
      <c r="F13" s="359"/>
      <c r="G13" s="359"/>
      <c r="H13" s="122">
        <v>0</v>
      </c>
      <c r="I13" s="90"/>
      <c r="J13" s="94"/>
      <c r="K13" s="100"/>
      <c r="L13" s="100"/>
      <c r="M13" s="90"/>
      <c r="N13" s="92"/>
    </row>
    <row r="14" spans="2:18" x14ac:dyDescent="0.25">
      <c r="B14" s="94"/>
      <c r="C14" s="90"/>
      <c r="D14" s="92"/>
      <c r="E14" s="357" t="s">
        <v>75</v>
      </c>
      <c r="F14" s="357"/>
      <c r="G14" s="357"/>
      <c r="H14" s="357"/>
      <c r="I14" s="357"/>
      <c r="J14" s="123"/>
      <c r="K14" s="366" t="s">
        <v>26</v>
      </c>
      <c r="L14" s="367"/>
      <c r="M14" s="95">
        <f>IRR!F45</f>
        <v>0.89712220443854984</v>
      </c>
      <c r="N14" s="92"/>
    </row>
    <row r="15" spans="2:18" x14ac:dyDescent="0.25">
      <c r="B15" s="94"/>
      <c r="C15" s="90"/>
      <c r="D15" s="92"/>
      <c r="E15" s="90"/>
      <c r="F15" s="90"/>
      <c r="G15" s="90"/>
      <c r="H15" s="90"/>
      <c r="I15" s="90"/>
      <c r="J15" s="124"/>
      <c r="K15" s="360" t="s">
        <v>27</v>
      </c>
      <c r="L15" s="361"/>
      <c r="M15" s="138">
        <f>IRR!F46</f>
        <v>1719664369.7772634</v>
      </c>
      <c r="N15" s="92"/>
    </row>
    <row r="16" spans="2:18" x14ac:dyDescent="0.25">
      <c r="B16" s="94"/>
      <c r="C16" s="90"/>
      <c r="D16" s="92"/>
      <c r="E16" s="90"/>
      <c r="F16" s="90"/>
      <c r="G16" s="90"/>
      <c r="H16" s="90"/>
      <c r="I16" s="90"/>
      <c r="J16" s="124"/>
      <c r="K16" s="360" t="s">
        <v>28</v>
      </c>
      <c r="L16" s="361"/>
      <c r="M16" s="96">
        <f>IRR!F47</f>
        <v>0.4279590964414754</v>
      </c>
      <c r="N16" s="92"/>
      <c r="R16" s="87" t="s">
        <v>44</v>
      </c>
    </row>
    <row r="17" spans="2:17" ht="16.5" thickBot="1" x14ac:dyDescent="0.3">
      <c r="B17" s="94"/>
      <c r="C17" s="90"/>
      <c r="D17" s="92"/>
      <c r="E17" s="90"/>
      <c r="F17" s="90"/>
      <c r="G17" s="90"/>
      <c r="H17" s="90"/>
      <c r="I17" s="90"/>
      <c r="J17" s="124"/>
      <c r="K17" s="362" t="s">
        <v>77</v>
      </c>
      <c r="L17" s="363"/>
      <c r="M17" s="139">
        <f>IRR!F48</f>
        <v>1.065652807387742</v>
      </c>
      <c r="N17" s="92"/>
      <c r="Q17" s="87" t="s">
        <v>44</v>
      </c>
    </row>
    <row r="18" spans="2:17" ht="16.5" thickBot="1" x14ac:dyDescent="0.3">
      <c r="B18" s="97"/>
      <c r="C18" s="98"/>
      <c r="D18" s="99"/>
      <c r="E18" s="98"/>
      <c r="F18" s="98" t="s">
        <v>44</v>
      </c>
      <c r="G18" s="98"/>
      <c r="H18" s="98"/>
      <c r="I18" s="98"/>
      <c r="J18" s="94"/>
      <c r="K18" s="100"/>
      <c r="L18" s="110"/>
      <c r="M18" s="110"/>
      <c r="N18" s="92"/>
    </row>
    <row r="19" spans="2:17" x14ac:dyDescent="0.25">
      <c r="B19" s="102" t="s">
        <v>80</v>
      </c>
      <c r="C19" s="103"/>
      <c r="D19" s="103"/>
      <c r="E19" s="103"/>
      <c r="F19" s="103"/>
      <c r="G19" s="103"/>
      <c r="H19" s="103"/>
      <c r="I19" s="103"/>
      <c r="J19" s="103"/>
      <c r="L19" s="125" t="s">
        <v>83</v>
      </c>
      <c r="M19" s="103"/>
      <c r="N19" s="104"/>
    </row>
    <row r="20" spans="2:17" x14ac:dyDescent="0.25">
      <c r="B20" s="94" t="s">
        <v>79</v>
      </c>
      <c r="C20" s="90"/>
      <c r="D20" s="90"/>
      <c r="E20" s="90"/>
      <c r="F20" s="90"/>
      <c r="G20" s="90"/>
      <c r="H20" s="90"/>
      <c r="I20" s="90"/>
      <c r="J20" s="90"/>
      <c r="K20" s="90"/>
      <c r="L20" s="364" t="s">
        <v>454</v>
      </c>
      <c r="M20" s="365"/>
      <c r="N20" s="92"/>
    </row>
    <row r="21" spans="2:17" x14ac:dyDescent="0.25">
      <c r="B21" s="94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2"/>
    </row>
    <row r="22" spans="2:17" x14ac:dyDescent="0.25">
      <c r="B22" s="94"/>
      <c r="C22" s="90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92"/>
    </row>
    <row r="23" spans="2:17" x14ac:dyDescent="0.25">
      <c r="B23" s="94"/>
      <c r="C23" s="90"/>
      <c r="E23" s="90"/>
      <c r="F23" s="90"/>
      <c r="G23" s="90"/>
      <c r="H23" s="90"/>
      <c r="I23" s="90"/>
      <c r="J23" s="90"/>
      <c r="K23" s="90"/>
      <c r="L23" s="90"/>
      <c r="M23" s="90"/>
      <c r="N23" s="92"/>
    </row>
    <row r="24" spans="2:17" ht="16.5" thickBot="1" x14ac:dyDescent="0.3">
      <c r="B24" s="97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9"/>
    </row>
    <row r="26" spans="2:17" x14ac:dyDescent="0.25">
      <c r="B26" s="1" t="s">
        <v>84</v>
      </c>
    </row>
  </sheetData>
  <mergeCells count="27">
    <mergeCell ref="K16:L16"/>
    <mergeCell ref="K17:L17"/>
    <mergeCell ref="L20:M20"/>
    <mergeCell ref="E12:G12"/>
    <mergeCell ref="K12:L12"/>
    <mergeCell ref="E13:G13"/>
    <mergeCell ref="E14:I14"/>
    <mergeCell ref="K14:L14"/>
    <mergeCell ref="K15:L15"/>
    <mergeCell ref="E9:G9"/>
    <mergeCell ref="K9:L9"/>
    <mergeCell ref="E10:I10"/>
    <mergeCell ref="K10:L10"/>
    <mergeCell ref="E11:G11"/>
    <mergeCell ref="K11:L11"/>
    <mergeCell ref="B7:C7"/>
    <mergeCell ref="E7:G7"/>
    <mergeCell ref="K7:L7"/>
    <mergeCell ref="B8:C8"/>
    <mergeCell ref="E8:G8"/>
    <mergeCell ref="K8:L8"/>
    <mergeCell ref="B5:D5"/>
    <mergeCell ref="E5:I5"/>
    <mergeCell ref="J5:N5"/>
    <mergeCell ref="B6:C6"/>
    <mergeCell ref="E6:I6"/>
    <mergeCell ref="K6:L6"/>
  </mergeCells>
  <pageMargins left="0.7" right="0.7" top="0.75" bottom="0.75" header="0.3" footer="0.3"/>
  <pageSetup paperSize="9" scale="92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59"/>
  <sheetViews>
    <sheetView showGridLines="0" tabSelected="1" topLeftCell="B23" zoomScale="70" zoomScaleNormal="70" workbookViewId="0">
      <selection activeCell="H47" sqref="H47"/>
    </sheetView>
  </sheetViews>
  <sheetFormatPr defaultColWidth="10.625" defaultRowHeight="15.75" x14ac:dyDescent="0.25"/>
  <cols>
    <col min="1" max="1" width="4.125" customWidth="1"/>
    <col min="2" max="2" width="3.625" customWidth="1"/>
    <col min="3" max="3" width="4.625" customWidth="1"/>
    <col min="4" max="4" width="18.875" customWidth="1"/>
    <col min="5" max="5" width="7.25" bestFit="1" customWidth="1"/>
    <col min="6" max="6" width="16.875" customWidth="1"/>
    <col min="7" max="11" width="17.625" style="2" customWidth="1"/>
    <col min="12" max="12" width="16.625" bestFit="1" customWidth="1"/>
    <col min="13" max="13" width="15.875" customWidth="1"/>
    <col min="14" max="15" width="15" bestFit="1" customWidth="1"/>
    <col min="16" max="16" width="18.25" customWidth="1"/>
    <col min="17" max="17" width="25" customWidth="1"/>
    <col min="18" max="18" width="15.625" bestFit="1" customWidth="1"/>
    <col min="19" max="19" width="11.75" bestFit="1" customWidth="1"/>
  </cols>
  <sheetData>
    <row r="1" spans="2:21" x14ac:dyDescent="0.25">
      <c r="B1" s="3" t="s">
        <v>0</v>
      </c>
    </row>
    <row r="2" spans="2:21" x14ac:dyDescent="0.25">
      <c r="C2" t="s">
        <v>1</v>
      </c>
      <c r="F2" s="5">
        <v>0.02</v>
      </c>
      <c r="L2" s="4"/>
      <c r="M2" s="4"/>
      <c r="N2" s="4"/>
    </row>
    <row r="3" spans="2:21" x14ac:dyDescent="0.25">
      <c r="C3" t="s">
        <v>36</v>
      </c>
      <c r="F3" s="5">
        <v>0.1</v>
      </c>
      <c r="L3" s="4"/>
      <c r="M3" s="4"/>
      <c r="N3" s="4"/>
    </row>
    <row r="4" spans="2:21" x14ac:dyDescent="0.25">
      <c r="C4" t="s">
        <v>2</v>
      </c>
      <c r="F4" s="5">
        <v>0.05</v>
      </c>
      <c r="G4" s="2" t="s">
        <v>3</v>
      </c>
    </row>
    <row r="5" spans="2:21" x14ac:dyDescent="0.25">
      <c r="C5" t="s">
        <v>4</v>
      </c>
      <c r="F5" s="6">
        <v>0</v>
      </c>
      <c r="G5" s="2" t="s">
        <v>3</v>
      </c>
    </row>
    <row r="6" spans="2:21" x14ac:dyDescent="0.25">
      <c r="C6" t="s">
        <v>78</v>
      </c>
      <c r="F6" s="5">
        <v>0.15</v>
      </c>
    </row>
    <row r="7" spans="2:21" x14ac:dyDescent="0.25">
      <c r="C7" t="s">
        <v>124</v>
      </c>
      <c r="F7" s="141"/>
    </row>
    <row r="8" spans="2:21" x14ac:dyDescent="0.25">
      <c r="B8" s="1"/>
      <c r="G8" s="28" t="s">
        <v>35</v>
      </c>
      <c r="H8" s="28"/>
      <c r="I8" s="28"/>
      <c r="J8" s="28"/>
      <c r="K8" s="28"/>
      <c r="L8" s="21"/>
      <c r="M8" s="37"/>
      <c r="N8" s="37"/>
      <c r="O8" s="38"/>
      <c r="P8" s="37"/>
      <c r="Q8" s="37"/>
      <c r="R8" s="37"/>
      <c r="S8" s="37"/>
      <c r="T8" s="37"/>
    </row>
    <row r="9" spans="2:21" s="76" customFormat="1" ht="16.5" thickBot="1" x14ac:dyDescent="0.3">
      <c r="B9" s="83" t="s">
        <v>42</v>
      </c>
      <c r="E9" s="76" t="s">
        <v>460</v>
      </c>
      <c r="F9" s="82"/>
      <c r="G9" s="77">
        <v>223364157.28125</v>
      </c>
      <c r="H9" s="78"/>
      <c r="I9" s="78"/>
      <c r="J9" s="78"/>
      <c r="K9" s="78"/>
      <c r="L9" s="81"/>
      <c r="M9" s="78"/>
      <c r="N9" s="78"/>
      <c r="O9" s="79"/>
      <c r="P9" s="78"/>
      <c r="Q9" s="78"/>
      <c r="R9" s="78"/>
      <c r="S9" s="78"/>
      <c r="T9" s="78"/>
    </row>
    <row r="10" spans="2:21" s="76" customFormat="1" ht="16.5" thickTop="1" x14ac:dyDescent="0.25">
      <c r="B10" s="83"/>
      <c r="E10" s="76" t="s">
        <v>461</v>
      </c>
      <c r="F10" s="82"/>
      <c r="G10" s="78">
        <v>451357062.85416669</v>
      </c>
      <c r="H10" s="78"/>
      <c r="I10" s="78"/>
      <c r="J10" s="78"/>
      <c r="K10" s="78"/>
      <c r="L10" s="81"/>
      <c r="M10" s="78"/>
      <c r="N10" s="78"/>
      <c r="O10" s="79"/>
      <c r="P10" s="78"/>
      <c r="Q10" s="78"/>
      <c r="R10" s="78"/>
      <c r="S10" s="78"/>
      <c r="T10" s="78"/>
    </row>
    <row r="11" spans="2:21" x14ac:dyDescent="0.25">
      <c r="F11" s="10"/>
      <c r="G11" s="9">
        <v>2024</v>
      </c>
      <c r="H11" s="28">
        <v>2025</v>
      </c>
      <c r="I11" s="9">
        <v>2026</v>
      </c>
      <c r="J11" s="28">
        <v>2027</v>
      </c>
      <c r="K11" s="9">
        <v>2028</v>
      </c>
      <c r="L11" s="21"/>
      <c r="O11" s="36"/>
      <c r="P11" s="36"/>
      <c r="Q11" s="36"/>
      <c r="R11" s="36"/>
      <c r="S11" s="36"/>
      <c r="T11" s="36"/>
      <c r="U11" s="36"/>
    </row>
    <row r="12" spans="2:21" ht="16.5" thickBot="1" x14ac:dyDescent="0.3">
      <c r="B12" s="11" t="s">
        <v>11</v>
      </c>
      <c r="C12" s="7"/>
      <c r="D12" s="7"/>
      <c r="E12" s="7"/>
      <c r="F12" s="7"/>
      <c r="G12" s="8" t="s">
        <v>6</v>
      </c>
      <c r="H12" s="170" t="s">
        <v>7</v>
      </c>
      <c r="I12" s="8" t="s">
        <v>8</v>
      </c>
      <c r="J12" s="170" t="s">
        <v>9</v>
      </c>
      <c r="K12" s="8" t="s">
        <v>10</v>
      </c>
      <c r="L12" s="64" t="s">
        <v>12</v>
      </c>
      <c r="M12" s="51"/>
      <c r="N12" s="51"/>
      <c r="O12" s="154" t="s">
        <v>154</v>
      </c>
      <c r="P12" s="154" t="s">
        <v>155</v>
      </c>
      <c r="Q12" s="154" t="s">
        <v>156</v>
      </c>
      <c r="R12" s="51"/>
      <c r="S12" s="36"/>
      <c r="T12" s="36"/>
      <c r="U12" s="36"/>
    </row>
    <row r="13" spans="2:21" x14ac:dyDescent="0.25">
      <c r="B13" t="s">
        <v>13</v>
      </c>
      <c r="G13" s="9">
        <v>12</v>
      </c>
      <c r="H13" s="9">
        <v>12</v>
      </c>
      <c r="I13" s="9">
        <v>12</v>
      </c>
      <c r="J13" s="9">
        <v>12</v>
      </c>
      <c r="K13" s="9">
        <v>12</v>
      </c>
      <c r="L13" s="65"/>
      <c r="O13" s="132" t="s">
        <v>150</v>
      </c>
      <c r="P13" s="152">
        <f>G9</f>
        <v>223364157.28125</v>
      </c>
      <c r="Q13" s="126" t="s">
        <v>151</v>
      </c>
    </row>
    <row r="14" spans="2:21" x14ac:dyDescent="0.25">
      <c r="L14" s="65"/>
      <c r="O14" s="374" t="s">
        <v>152</v>
      </c>
      <c r="P14" s="152">
        <f>L21</f>
        <v>3826528812.3502307</v>
      </c>
      <c r="Q14" s="126" t="s">
        <v>456</v>
      </c>
    </row>
    <row r="15" spans="2:21" x14ac:dyDescent="0.25">
      <c r="B15" s="1" t="s">
        <v>5</v>
      </c>
      <c r="E15" s="15"/>
      <c r="G15" s="16"/>
      <c r="H15" s="16"/>
      <c r="I15" s="16"/>
      <c r="J15" s="16"/>
      <c r="K15" s="16"/>
      <c r="L15" s="65"/>
      <c r="O15" s="374"/>
      <c r="P15" s="152">
        <f>L22+L23+L24+L25</f>
        <v>551333186.26887727</v>
      </c>
      <c r="Q15" s="126" t="s">
        <v>14</v>
      </c>
    </row>
    <row r="16" spans="2:21" x14ac:dyDescent="0.25">
      <c r="B16" s="1"/>
      <c r="D16" t="s">
        <v>457</v>
      </c>
      <c r="E16" s="15"/>
      <c r="G16" s="140">
        <f>REVENUE!N3</f>
        <v>1197335733.8709679</v>
      </c>
      <c r="H16" s="140">
        <f t="shared" ref="H16:K17" si="0">G16</f>
        <v>1197335733.8709679</v>
      </c>
      <c r="I16" s="140">
        <f t="shared" si="0"/>
        <v>1197335733.8709679</v>
      </c>
      <c r="J16" s="140">
        <f t="shared" si="0"/>
        <v>1197335733.8709679</v>
      </c>
      <c r="K16" s="140">
        <f t="shared" si="0"/>
        <v>1197335733.8709679</v>
      </c>
      <c r="L16" s="336">
        <f>SUM(G16:K16)</f>
        <v>5986678669.3548393</v>
      </c>
      <c r="O16" s="347"/>
      <c r="P16" s="152"/>
      <c r="Q16" s="126"/>
    </row>
    <row r="17" spans="2:19" x14ac:dyDescent="0.25">
      <c r="B17" s="1"/>
      <c r="D17" t="s">
        <v>458</v>
      </c>
      <c r="E17" s="15"/>
      <c r="G17" s="140">
        <f>REVENUE!N2</f>
        <v>333275791.06912446</v>
      </c>
      <c r="H17" s="140">
        <f t="shared" si="0"/>
        <v>333275791.06912446</v>
      </c>
      <c r="I17" s="140">
        <f t="shared" si="0"/>
        <v>333275791.06912446</v>
      </c>
      <c r="J17" s="140">
        <f t="shared" si="0"/>
        <v>333275791.06912446</v>
      </c>
      <c r="K17" s="140">
        <f t="shared" si="0"/>
        <v>333275791.06912446</v>
      </c>
      <c r="L17" s="336">
        <f>SUM(G17:K17)</f>
        <v>1666378955.3456223</v>
      </c>
      <c r="O17" s="132" t="s">
        <v>79</v>
      </c>
      <c r="P17" s="153">
        <f>L18</f>
        <v>7653057624.7004614</v>
      </c>
      <c r="Q17" s="126" t="s">
        <v>153</v>
      </c>
    </row>
    <row r="18" spans="2:19" x14ac:dyDescent="0.25">
      <c r="B18" s="60" t="s">
        <v>127</v>
      </c>
      <c r="C18" s="60"/>
      <c r="D18" s="60"/>
      <c r="E18" s="372"/>
      <c r="F18" s="373"/>
      <c r="G18" s="61">
        <f>SUM(G16:G17)</f>
        <v>1530611524.9400923</v>
      </c>
      <c r="H18" s="61">
        <f t="shared" ref="H18:K18" si="1">SUM(H16:H17)</f>
        <v>1530611524.9400923</v>
      </c>
      <c r="I18" s="61">
        <f t="shared" si="1"/>
        <v>1530611524.9400923</v>
      </c>
      <c r="J18" s="61">
        <f t="shared" si="1"/>
        <v>1530611524.9400923</v>
      </c>
      <c r="K18" s="61">
        <f t="shared" si="1"/>
        <v>1530611524.9400923</v>
      </c>
      <c r="L18" s="66">
        <f>SUM(G18:K18)</f>
        <v>7653057624.7004614</v>
      </c>
      <c r="M18" s="40"/>
      <c r="N18" s="40"/>
      <c r="O18" s="40"/>
      <c r="P18" s="40"/>
      <c r="Q18" s="40"/>
      <c r="R18" s="40"/>
      <c r="S18" s="42"/>
    </row>
    <row r="19" spans="2:19" x14ac:dyDescent="0.25">
      <c r="L19" s="65"/>
      <c r="M19" s="42"/>
      <c r="N19" s="42"/>
      <c r="O19" s="375" t="s">
        <v>26</v>
      </c>
      <c r="P19" s="376"/>
      <c r="Q19" s="155">
        <f>F45</f>
        <v>0.89712220443854984</v>
      </c>
      <c r="R19" s="42"/>
    </row>
    <row r="20" spans="2:19" x14ac:dyDescent="0.25">
      <c r="B20" s="1" t="s">
        <v>14</v>
      </c>
      <c r="E20" s="15"/>
      <c r="F20" s="15"/>
      <c r="G20" s="16"/>
      <c r="H20" s="16"/>
      <c r="I20" s="16"/>
      <c r="J20" s="16"/>
      <c r="K20" s="16"/>
      <c r="L20" s="67"/>
      <c r="M20" s="43"/>
      <c r="N20" s="43"/>
      <c r="O20" s="368" t="s">
        <v>27</v>
      </c>
      <c r="P20" s="369"/>
      <c r="Q20" s="156">
        <f>F46</f>
        <v>1719664369.7772634</v>
      </c>
      <c r="R20" s="42"/>
    </row>
    <row r="21" spans="2:19" x14ac:dyDescent="0.25">
      <c r="B21" s="1"/>
      <c r="C21" t="s">
        <v>149</v>
      </c>
      <c r="E21" s="150">
        <v>0.5</v>
      </c>
      <c r="F21" s="15"/>
      <c r="G21" s="12">
        <f>$E$21*G18</f>
        <v>765305762.47004616</v>
      </c>
      <c r="H21" s="12">
        <f>$E$21*H18</f>
        <v>765305762.47004616</v>
      </c>
      <c r="I21" s="12">
        <f t="shared" ref="I21:K21" si="2">$E$21*I18</f>
        <v>765305762.47004616</v>
      </c>
      <c r="J21" s="12">
        <f t="shared" si="2"/>
        <v>765305762.47004616</v>
      </c>
      <c r="K21" s="12">
        <f t="shared" si="2"/>
        <v>765305762.47004616</v>
      </c>
      <c r="L21" s="68">
        <f>SUM(G21:K21)</f>
        <v>3826528812.3502307</v>
      </c>
      <c r="M21" s="43"/>
      <c r="N21" s="43"/>
      <c r="O21" s="368" t="s">
        <v>28</v>
      </c>
      <c r="P21" s="369"/>
      <c r="Q21" s="157">
        <f>F47</f>
        <v>0.4279590964414754</v>
      </c>
      <c r="R21" s="42"/>
    </row>
    <row r="22" spans="2:19" x14ac:dyDescent="0.25">
      <c r="C22" t="s">
        <v>15</v>
      </c>
      <c r="E22" s="337">
        <v>0.03</v>
      </c>
      <c r="F22" s="105"/>
      <c r="G22" s="12"/>
      <c r="H22" s="12"/>
      <c r="I22" s="12"/>
      <c r="J22" s="12"/>
      <c r="K22" s="12"/>
      <c r="L22" s="68">
        <f>SUM(G22:K22)</f>
        <v>0</v>
      </c>
      <c r="M22" s="40"/>
      <c r="N22" s="40"/>
      <c r="O22" s="370" t="s">
        <v>29</v>
      </c>
      <c r="P22" s="371"/>
      <c r="Q22" s="158">
        <f>F48</f>
        <v>1.065652807387742</v>
      </c>
      <c r="R22" s="41"/>
    </row>
    <row r="23" spans="2:19" x14ac:dyDescent="0.25">
      <c r="C23" t="s">
        <v>459</v>
      </c>
      <c r="E23" s="337">
        <v>0.05</v>
      </c>
      <c r="G23" s="101">
        <f>($G$9+$G$10)*$E$23</f>
        <v>33736061.006770842</v>
      </c>
      <c r="H23" s="101">
        <f t="shared" ref="H23:K23" si="3">($G$9+$G$10)*$E$23</f>
        <v>33736061.006770842</v>
      </c>
      <c r="I23" s="101">
        <f t="shared" si="3"/>
        <v>33736061.006770842</v>
      </c>
      <c r="J23" s="101">
        <f t="shared" si="3"/>
        <v>33736061.006770842</v>
      </c>
      <c r="K23" s="101">
        <f t="shared" si="3"/>
        <v>33736061.006770842</v>
      </c>
      <c r="L23" s="68">
        <f>SUM(G23:K23)</f>
        <v>168680305.03385422</v>
      </c>
      <c r="M23" s="40"/>
      <c r="N23" s="40"/>
      <c r="O23" s="40"/>
      <c r="P23" s="40"/>
      <c r="Q23" s="40"/>
      <c r="R23" s="41"/>
      <c r="S23" s="42"/>
    </row>
    <row r="24" spans="2:19" x14ac:dyDescent="0.25">
      <c r="C24" t="s">
        <v>455</v>
      </c>
      <c r="E24" s="339">
        <v>1.7500000000000002E-2</v>
      </c>
      <c r="G24" s="101"/>
      <c r="H24" s="101"/>
      <c r="I24" s="101"/>
      <c r="J24" s="101"/>
      <c r="K24" s="101"/>
      <c r="L24" s="68">
        <f>SUM(G24:K24)</f>
        <v>0</v>
      </c>
      <c r="M24" s="40"/>
      <c r="N24" s="40"/>
      <c r="O24" s="40"/>
      <c r="P24" s="40"/>
      <c r="Q24" s="40"/>
      <c r="R24" s="41"/>
      <c r="S24" s="42"/>
    </row>
    <row r="25" spans="2:19" x14ac:dyDescent="0.25">
      <c r="B25" s="14"/>
      <c r="C25" s="14" t="s">
        <v>2</v>
      </c>
      <c r="D25" s="14"/>
      <c r="E25" s="338">
        <v>0.05</v>
      </c>
      <c r="F25" s="14"/>
      <c r="G25" s="17">
        <f>G18*$F$4</f>
        <v>76530576.247004613</v>
      </c>
      <c r="H25" s="17">
        <f>H18*$F$4</f>
        <v>76530576.247004613</v>
      </c>
      <c r="I25" s="17">
        <f t="shared" ref="I25:K25" si="4">I18*$F$4</f>
        <v>76530576.247004613</v>
      </c>
      <c r="J25" s="17">
        <f t="shared" si="4"/>
        <v>76530576.247004613</v>
      </c>
      <c r="K25" s="17">
        <f t="shared" si="4"/>
        <v>76530576.247004613</v>
      </c>
      <c r="L25" s="68">
        <f>SUM(G25:K25)</f>
        <v>382652881.23502308</v>
      </c>
      <c r="M25" s="44"/>
      <c r="N25" s="44"/>
      <c r="O25" s="44"/>
      <c r="P25" s="44"/>
      <c r="Q25" s="44"/>
      <c r="R25" s="41"/>
      <c r="S25" s="42"/>
    </row>
    <row r="26" spans="2:19" s="1" customFormat="1" x14ac:dyDescent="0.25">
      <c r="B26" s="60" t="s">
        <v>16</v>
      </c>
      <c r="C26" s="60"/>
      <c r="D26" s="60"/>
      <c r="E26" s="60"/>
      <c r="F26" s="60"/>
      <c r="G26" s="61">
        <f t="shared" ref="G26:L26" si="5">SUM(G21:G25)</f>
        <v>875572399.72382164</v>
      </c>
      <c r="H26" s="61">
        <f t="shared" si="5"/>
        <v>875572399.72382164</v>
      </c>
      <c r="I26" s="61">
        <f t="shared" si="5"/>
        <v>875572399.72382164</v>
      </c>
      <c r="J26" s="61">
        <f t="shared" si="5"/>
        <v>875572399.72382164</v>
      </c>
      <c r="K26" s="61">
        <f t="shared" si="5"/>
        <v>875572399.72382164</v>
      </c>
      <c r="L26" s="80">
        <f t="shared" si="5"/>
        <v>4377861998.6191082</v>
      </c>
      <c r="M26" s="45"/>
      <c r="N26" s="45"/>
      <c r="O26" s="45"/>
      <c r="P26" s="45"/>
      <c r="Q26" s="45"/>
      <c r="R26" s="45"/>
      <c r="S26" s="46"/>
    </row>
    <row r="27" spans="2:19" s="1" customFormat="1" x14ac:dyDescent="0.25">
      <c r="B27" s="1" t="s">
        <v>17</v>
      </c>
      <c r="G27" s="18">
        <f t="shared" ref="G27:L27" si="6">G18-G26</f>
        <v>655039125.21627069</v>
      </c>
      <c r="H27" s="18">
        <f t="shared" si="6"/>
        <v>655039125.21627069</v>
      </c>
      <c r="I27" s="18">
        <f t="shared" si="6"/>
        <v>655039125.21627069</v>
      </c>
      <c r="J27" s="18">
        <f t="shared" si="6"/>
        <v>655039125.21627069</v>
      </c>
      <c r="K27" s="18">
        <f t="shared" si="6"/>
        <v>655039125.21627069</v>
      </c>
      <c r="L27" s="69">
        <f t="shared" si="6"/>
        <v>3275195626.0813532</v>
      </c>
      <c r="M27" s="45"/>
      <c r="N27" s="45"/>
      <c r="O27" s="45"/>
      <c r="P27" s="45"/>
      <c r="Q27" s="45"/>
      <c r="R27" s="45"/>
      <c r="S27" s="46"/>
    </row>
    <row r="28" spans="2:19" s="1" customFormat="1" x14ac:dyDescent="0.25">
      <c r="B28" s="19" t="s">
        <v>18</v>
      </c>
      <c r="C28" s="20"/>
      <c r="D28" s="20"/>
      <c r="E28" s="20"/>
      <c r="F28" s="20"/>
      <c r="G28" s="151">
        <f t="shared" ref="G28:L28" si="7">G27/G18</f>
        <v>0.4279590964414754</v>
      </c>
      <c r="H28" s="151">
        <f t="shared" si="7"/>
        <v>0.4279590964414754</v>
      </c>
      <c r="I28" s="151">
        <f t="shared" si="7"/>
        <v>0.4279590964414754</v>
      </c>
      <c r="J28" s="151">
        <f t="shared" si="7"/>
        <v>0.4279590964414754</v>
      </c>
      <c r="K28" s="151">
        <f t="shared" si="7"/>
        <v>0.4279590964414754</v>
      </c>
      <c r="L28" s="70">
        <f t="shared" si="7"/>
        <v>0.4279590964414754</v>
      </c>
      <c r="M28" s="47"/>
      <c r="N28" s="47"/>
      <c r="O28" s="47"/>
      <c r="P28" s="47"/>
      <c r="Q28" s="47"/>
      <c r="R28" s="47"/>
      <c r="S28" s="46"/>
    </row>
    <row r="29" spans="2:19" s="1" customFormat="1" x14ac:dyDescent="0.25">
      <c r="B29" s="19"/>
      <c r="C29" s="20"/>
      <c r="D29" s="20"/>
      <c r="E29" s="20"/>
      <c r="F29" s="20"/>
      <c r="G29" s="151"/>
      <c r="H29" s="151"/>
      <c r="I29" s="151"/>
      <c r="J29" s="151"/>
      <c r="K29" s="151"/>
      <c r="L29" s="70"/>
      <c r="M29" s="47"/>
      <c r="N29" s="47"/>
      <c r="O29" s="47"/>
      <c r="P29" s="47"/>
      <c r="Q29" s="47"/>
      <c r="R29" s="47"/>
      <c r="S29" s="46"/>
    </row>
    <row r="30" spans="2:19" x14ac:dyDescent="0.25">
      <c r="B30" s="36" t="s">
        <v>19</v>
      </c>
      <c r="C30" s="36"/>
      <c r="D30" s="36"/>
      <c r="E30" s="36"/>
      <c r="F30" s="36"/>
      <c r="G30" s="340">
        <f>G56</f>
        <v>134944244.02708334</v>
      </c>
      <c r="H30" s="340">
        <f>H56</f>
        <v>134944244.02708334</v>
      </c>
      <c r="I30" s="340">
        <f t="shared" ref="I30:K30" si="8">I56</f>
        <v>134944244.02708334</v>
      </c>
      <c r="J30" s="340">
        <f t="shared" si="8"/>
        <v>134944244.02708334</v>
      </c>
      <c r="K30" s="340">
        <f t="shared" si="8"/>
        <v>134944244.02708334</v>
      </c>
      <c r="L30" s="68">
        <f>SUM(G30:K30)</f>
        <v>674721220.13541675</v>
      </c>
      <c r="M30" s="40"/>
      <c r="N30" s="40"/>
      <c r="O30" s="40"/>
      <c r="P30" s="40"/>
      <c r="Q30" s="40"/>
      <c r="R30" s="40"/>
      <c r="S30" s="42"/>
    </row>
    <row r="31" spans="2:19" x14ac:dyDescent="0.25">
      <c r="B31" s="36"/>
      <c r="C31" s="36"/>
      <c r="D31" s="36"/>
      <c r="E31" s="36"/>
      <c r="F31" s="36"/>
      <c r="G31" s="340"/>
      <c r="H31" s="340"/>
      <c r="I31" s="340"/>
      <c r="J31" s="340"/>
      <c r="K31" s="340"/>
      <c r="L31" s="68"/>
      <c r="M31" s="40"/>
      <c r="N31" s="40"/>
      <c r="O31" s="40"/>
      <c r="P31" s="40"/>
      <c r="Q31" s="40"/>
      <c r="R31" s="40"/>
      <c r="S31" s="42"/>
    </row>
    <row r="32" spans="2:19" x14ac:dyDescent="0.25">
      <c r="B32" s="341" t="s">
        <v>20</v>
      </c>
      <c r="C32" s="342"/>
      <c r="D32" s="342"/>
      <c r="E32" s="342"/>
      <c r="F32" s="342"/>
      <c r="G32" s="343">
        <f t="shared" ref="G32" si="9">G27-G30</f>
        <v>520094881.18918735</v>
      </c>
      <c r="H32" s="343">
        <f t="shared" ref="H32:K32" si="10">H27-H30</f>
        <v>520094881.18918735</v>
      </c>
      <c r="I32" s="343">
        <f t="shared" si="10"/>
        <v>520094881.18918735</v>
      </c>
      <c r="J32" s="343">
        <f t="shared" si="10"/>
        <v>520094881.18918735</v>
      </c>
      <c r="K32" s="343">
        <f t="shared" si="10"/>
        <v>520094881.18918735</v>
      </c>
      <c r="L32" s="344">
        <f>L27-L30</f>
        <v>2600474405.9459362</v>
      </c>
      <c r="M32" s="48"/>
      <c r="N32" s="48"/>
      <c r="O32" s="48"/>
      <c r="P32" s="48"/>
      <c r="Q32" s="48"/>
      <c r="R32" s="48"/>
      <c r="S32" s="42"/>
    </row>
    <row r="33" spans="2:19" x14ac:dyDescent="0.25">
      <c r="B33" s="21"/>
      <c r="G33" s="22"/>
      <c r="H33" s="22"/>
      <c r="I33" s="22"/>
      <c r="J33" s="22"/>
      <c r="K33" s="22"/>
      <c r="L33" s="71"/>
      <c r="M33" s="48"/>
      <c r="N33" s="48"/>
      <c r="O33" s="48"/>
      <c r="P33" s="48"/>
      <c r="Q33" s="48"/>
      <c r="R33" s="48"/>
      <c r="S33" s="42"/>
    </row>
    <row r="34" spans="2:19" x14ac:dyDescent="0.25">
      <c r="B34" s="21" t="s">
        <v>33</v>
      </c>
      <c r="G34" s="63">
        <f>PARAMETER!B5</f>
        <v>11168207.864062501</v>
      </c>
      <c r="H34" s="63">
        <f>PARAMETER!C5</f>
        <v>20102774.155312501</v>
      </c>
      <c r="I34" s="63">
        <f>PARAMETER!D5</f>
        <v>15635491.009687498</v>
      </c>
      <c r="J34" s="63">
        <f>PARAMETER!E5</f>
        <v>11168207.864062501</v>
      </c>
      <c r="K34" s="63">
        <f>PARAMETER!F5</f>
        <v>6700924.7184375003</v>
      </c>
      <c r="L34" s="84">
        <f>SUM(G34:K34)</f>
        <v>64775605.611562505</v>
      </c>
      <c r="M34" s="48"/>
      <c r="N34" s="48"/>
      <c r="O34" s="48"/>
      <c r="P34" s="48"/>
      <c r="Q34" s="48"/>
      <c r="R34" s="48"/>
      <c r="S34" s="42"/>
    </row>
    <row r="35" spans="2:19" x14ac:dyDescent="0.25">
      <c r="B35" s="21"/>
      <c r="G35" s="63"/>
      <c r="H35" s="63"/>
      <c r="I35" s="63"/>
      <c r="J35" s="63"/>
      <c r="K35" s="63"/>
      <c r="L35" s="84"/>
      <c r="M35" s="48"/>
      <c r="N35" s="48"/>
      <c r="O35" s="48"/>
      <c r="P35" s="48"/>
      <c r="Q35" s="48"/>
      <c r="R35" s="48"/>
      <c r="S35" s="42"/>
    </row>
    <row r="36" spans="2:19" x14ac:dyDescent="0.25">
      <c r="B36" s="21" t="s">
        <v>34</v>
      </c>
      <c r="G36" s="63">
        <f t="shared" ref="G36:H36" si="11">G32-G34</f>
        <v>508926673.32512486</v>
      </c>
      <c r="H36" s="63">
        <f t="shared" si="11"/>
        <v>499992107.03387487</v>
      </c>
      <c r="I36" s="63">
        <f t="shared" ref="I36:K36" si="12">I32-I34</f>
        <v>504459390.17949986</v>
      </c>
      <c r="J36" s="63">
        <f t="shared" si="12"/>
        <v>508926673.32512486</v>
      </c>
      <c r="K36" s="63">
        <f t="shared" si="12"/>
        <v>513393956.47074986</v>
      </c>
      <c r="L36" s="84">
        <f>SUM(G36:K36)</f>
        <v>2535698800.3343744</v>
      </c>
      <c r="M36" s="48"/>
      <c r="N36" s="48"/>
      <c r="O36" s="48"/>
      <c r="P36" s="48"/>
      <c r="Q36" s="48"/>
      <c r="R36" s="48"/>
      <c r="S36" s="42"/>
    </row>
    <row r="37" spans="2:19" x14ac:dyDescent="0.25">
      <c r="B37" s="36" t="s">
        <v>21</v>
      </c>
      <c r="C37" s="36"/>
      <c r="D37" s="36"/>
      <c r="E37" s="36"/>
      <c r="F37" s="36"/>
      <c r="G37" s="62">
        <f>IF(G36&lt;0,0,G36*$F$2)</f>
        <v>10178533.466502497</v>
      </c>
      <c r="H37" s="62">
        <f>IF(H36&lt;0,0,H36*$F$2)</f>
        <v>9999842.1406774968</v>
      </c>
      <c r="I37" s="62">
        <f>IF(I36&lt;0,0,I36*$F$2)</f>
        <v>10089187.803589998</v>
      </c>
      <c r="J37" s="62">
        <f>IF(J36&lt;0,0,J36*$F$2)</f>
        <v>10178533.466502497</v>
      </c>
      <c r="K37" s="62">
        <f>IF(K36&lt;0,0,K36*$F$2)</f>
        <v>10267879.129414998</v>
      </c>
      <c r="L37" s="84">
        <f>SUM(G37:K37)</f>
        <v>50713976.006687485</v>
      </c>
      <c r="M37" s="50"/>
      <c r="N37" s="50"/>
      <c r="O37" s="50"/>
      <c r="P37" s="50"/>
      <c r="Q37" s="50"/>
      <c r="R37" s="49"/>
      <c r="S37" s="42"/>
    </row>
    <row r="38" spans="2:19" x14ac:dyDescent="0.25">
      <c r="B38" s="14"/>
      <c r="C38" s="14"/>
      <c r="D38" s="14"/>
      <c r="E38" s="14"/>
      <c r="F38" s="14"/>
      <c r="G38" s="62"/>
      <c r="H38" s="62"/>
      <c r="I38" s="62"/>
      <c r="J38" s="62"/>
      <c r="K38" s="62"/>
      <c r="L38" s="84"/>
      <c r="M38" s="50"/>
      <c r="N38" s="50"/>
      <c r="O38" s="50"/>
      <c r="P38" s="50"/>
      <c r="Q38" s="50"/>
      <c r="R38" s="49"/>
      <c r="S38" s="42"/>
    </row>
    <row r="39" spans="2:19" ht="16.5" thickBot="1" x14ac:dyDescent="0.3">
      <c r="B39" s="24" t="s">
        <v>43</v>
      </c>
      <c r="C39" s="24"/>
      <c r="D39" s="24"/>
      <c r="E39" s="24"/>
      <c r="F39" s="24"/>
      <c r="G39" s="25">
        <f t="shared" ref="G39:L39" si="13">G36-G37</f>
        <v>498748139.85862237</v>
      </c>
      <c r="H39" s="25">
        <f t="shared" si="13"/>
        <v>489992264.89319736</v>
      </c>
      <c r="I39" s="25">
        <f t="shared" si="13"/>
        <v>494370202.37590986</v>
      </c>
      <c r="J39" s="25">
        <f t="shared" si="13"/>
        <v>498748139.85862237</v>
      </c>
      <c r="K39" s="25">
        <f t="shared" si="13"/>
        <v>503126077.34133488</v>
      </c>
      <c r="L39" s="72">
        <f t="shared" si="13"/>
        <v>2484984824.3276868</v>
      </c>
      <c r="M39" s="48"/>
      <c r="N39" s="48"/>
      <c r="O39" s="48"/>
      <c r="P39" s="48"/>
      <c r="Q39" s="48"/>
      <c r="R39" s="48"/>
      <c r="S39" s="42"/>
    </row>
    <row r="40" spans="2:19" x14ac:dyDescent="0.25">
      <c r="L40" s="65"/>
      <c r="M40" s="42"/>
      <c r="N40" s="42"/>
      <c r="O40" s="42"/>
      <c r="P40" s="42"/>
      <c r="Q40" s="42"/>
      <c r="R40" s="42"/>
      <c r="S40" s="42"/>
    </row>
    <row r="41" spans="2:19" x14ac:dyDescent="0.25">
      <c r="B41" s="14" t="s">
        <v>22</v>
      </c>
      <c r="C41" s="14"/>
      <c r="D41" s="14"/>
      <c r="E41" s="14"/>
      <c r="F41" s="26">
        <f>-G9+-G10</f>
        <v>-674721220.13541675</v>
      </c>
      <c r="G41" s="26">
        <f>-H7+-H8</f>
        <v>0</v>
      </c>
      <c r="H41" s="26">
        <f>-I7+-I8</f>
        <v>0</v>
      </c>
      <c r="I41" s="26">
        <f>-J7+-J8</f>
        <v>0</v>
      </c>
      <c r="J41" s="26">
        <f>-K7+-K8</f>
        <v>0</v>
      </c>
      <c r="K41" s="26">
        <f>-L7+-L8</f>
        <v>0</v>
      </c>
      <c r="L41" s="73"/>
      <c r="M41" s="49"/>
      <c r="N41" s="49"/>
      <c r="O41" s="49"/>
      <c r="P41" s="49"/>
      <c r="Q41" s="49"/>
      <c r="R41" s="49"/>
      <c r="S41" s="42"/>
    </row>
    <row r="42" spans="2:19" x14ac:dyDescent="0.25">
      <c r="B42" t="s">
        <v>23</v>
      </c>
      <c r="F42" s="23">
        <f>F41</f>
        <v>-674721220.13541675</v>
      </c>
      <c r="G42" s="23">
        <f>G41+G39+G30</f>
        <v>633692383.88570571</v>
      </c>
      <c r="H42" s="23">
        <f>H41+H39+H30</f>
        <v>624936508.92028069</v>
      </c>
      <c r="I42" s="23">
        <f>I41+I39+I30</f>
        <v>629314446.4029932</v>
      </c>
      <c r="J42" s="23">
        <f>J41+J39+J30</f>
        <v>633692383.88570571</v>
      </c>
      <c r="K42" s="23">
        <f>K41+K39+K30</f>
        <v>638070321.36841822</v>
      </c>
      <c r="L42" s="74"/>
      <c r="M42" s="49"/>
      <c r="N42" s="49"/>
      <c r="O42" s="49"/>
      <c r="P42" s="49"/>
      <c r="Q42" s="49"/>
      <c r="R42" s="49"/>
      <c r="S42" s="42"/>
    </row>
    <row r="43" spans="2:19" x14ac:dyDescent="0.25">
      <c r="B43" t="s">
        <v>24</v>
      </c>
      <c r="F43" s="23">
        <f>F42</f>
        <v>-674721220.13541675</v>
      </c>
      <c r="G43" s="23">
        <f>F43+G42</f>
        <v>-41028836.249711037</v>
      </c>
      <c r="H43" s="23">
        <f t="shared" ref="H43:K43" si="14">G43+H42</f>
        <v>583907672.67056966</v>
      </c>
      <c r="I43" s="23">
        <f t="shared" si="14"/>
        <v>1213222119.0735629</v>
      </c>
      <c r="J43" s="23">
        <f t="shared" si="14"/>
        <v>1846914502.9592686</v>
      </c>
      <c r="K43" s="23">
        <f t="shared" si="14"/>
        <v>2484984824.3276868</v>
      </c>
      <c r="L43" s="74"/>
      <c r="M43" s="49"/>
      <c r="N43" s="49"/>
      <c r="O43" s="49"/>
      <c r="P43" s="49"/>
      <c r="Q43" s="49"/>
      <c r="R43" s="49"/>
      <c r="S43" s="42"/>
    </row>
    <row r="44" spans="2:19" x14ac:dyDescent="0.25">
      <c r="B44" t="s">
        <v>25</v>
      </c>
      <c r="F44" s="23"/>
      <c r="G44" s="27">
        <f>IF(AND(F43&lt;0,G43&gt;0),G49-(G43/G42),0)</f>
        <v>0</v>
      </c>
      <c r="H44" s="27">
        <f t="shared" ref="H44:K44" si="15">IF(AND(G43&lt;0,H43&gt;0),H49-(H43/H42),0)</f>
        <v>1.065652807387742</v>
      </c>
      <c r="I44" s="345">
        <f t="shared" si="15"/>
        <v>0</v>
      </c>
      <c r="J44" s="27">
        <f t="shared" si="15"/>
        <v>0</v>
      </c>
      <c r="K44" s="27">
        <f t="shared" si="15"/>
        <v>0</v>
      </c>
      <c r="L44" s="75"/>
      <c r="M44" s="27"/>
      <c r="N44" s="27"/>
      <c r="O44" s="27"/>
      <c r="P44" s="27"/>
      <c r="Q44" s="27"/>
      <c r="R44" s="27"/>
    </row>
    <row r="45" spans="2:19" x14ac:dyDescent="0.25">
      <c r="B45" s="52" t="s">
        <v>26</v>
      </c>
      <c r="C45" s="53"/>
      <c r="D45" s="53"/>
      <c r="E45" s="53"/>
      <c r="F45" s="85">
        <f>IRR(F42:K42)</f>
        <v>0.89712220443854984</v>
      </c>
    </row>
    <row r="46" spans="2:19" x14ac:dyDescent="0.25">
      <c r="B46" s="54" t="s">
        <v>27</v>
      </c>
      <c r="C46" s="55"/>
      <c r="D46" s="55"/>
      <c r="E46" s="55"/>
      <c r="F46" s="56">
        <f>NPV(F3,G42:K42)+F42</f>
        <v>1719664369.7772634</v>
      </c>
    </row>
    <row r="47" spans="2:19" x14ac:dyDescent="0.25">
      <c r="B47" s="54" t="s">
        <v>28</v>
      </c>
      <c r="C47" s="55"/>
      <c r="D47" s="55"/>
      <c r="E47" s="55"/>
      <c r="F47" s="57">
        <f>L28</f>
        <v>0.4279590964414754</v>
      </c>
    </row>
    <row r="48" spans="2:19" x14ac:dyDescent="0.25">
      <c r="B48" s="58" t="s">
        <v>29</v>
      </c>
      <c r="C48" s="59"/>
      <c r="D48" s="59"/>
      <c r="E48" s="59"/>
      <c r="F48" s="346">
        <f>SUM(F44:K44)</f>
        <v>1.065652807387742</v>
      </c>
    </row>
    <row r="49" spans="2:21" x14ac:dyDescent="0.25">
      <c r="G49" s="9">
        <v>1</v>
      </c>
      <c r="H49" s="28">
        <v>2</v>
      </c>
      <c r="I49" s="9">
        <v>3</v>
      </c>
      <c r="J49" s="28">
        <v>4</v>
      </c>
      <c r="K49" s="9">
        <v>5</v>
      </c>
      <c r="L49" s="28"/>
      <c r="M49" s="9"/>
      <c r="N49" s="28"/>
      <c r="O49" s="9"/>
      <c r="P49" s="28"/>
      <c r="Q49" s="9"/>
    </row>
    <row r="50" spans="2:21" x14ac:dyDescent="0.25">
      <c r="B50" s="29" t="s">
        <v>30</v>
      </c>
      <c r="E50" s="30" t="s">
        <v>31</v>
      </c>
      <c r="G50" s="30" t="str">
        <f>G12</f>
        <v>Year 1</v>
      </c>
      <c r="H50" s="30" t="str">
        <f>H12</f>
        <v>Year 2</v>
      </c>
      <c r="I50" s="30" t="str">
        <f>I12</f>
        <v>Year 3</v>
      </c>
      <c r="J50" s="30" t="str">
        <f>J12</f>
        <v>Year 4</v>
      </c>
      <c r="K50" s="30" t="str">
        <f>K12</f>
        <v>Year 5</v>
      </c>
      <c r="L50" s="30"/>
      <c r="M50" s="30"/>
      <c r="N50" s="30"/>
      <c r="O50" s="30"/>
      <c r="P50" s="30"/>
      <c r="Q50" s="30"/>
      <c r="R50" s="30"/>
    </row>
    <row r="51" spans="2:21" x14ac:dyDescent="0.25">
      <c r="D51" t="s">
        <v>6</v>
      </c>
      <c r="E51">
        <v>5</v>
      </c>
      <c r="G51" s="168">
        <f>SUM(G9:G10)/$E51</f>
        <v>134944244.02708334</v>
      </c>
      <c r="H51" s="31">
        <f>G51</f>
        <v>134944244.02708334</v>
      </c>
      <c r="I51" s="31">
        <f t="shared" ref="I51:K52" si="16">H51</f>
        <v>134944244.02708334</v>
      </c>
      <c r="J51" s="31">
        <f t="shared" si="16"/>
        <v>134944244.02708334</v>
      </c>
      <c r="K51" s="31">
        <f t="shared" si="16"/>
        <v>134944244.02708334</v>
      </c>
      <c r="L51" s="31"/>
      <c r="M51" s="31"/>
      <c r="N51" s="31"/>
      <c r="O51" s="31"/>
      <c r="P51" s="31"/>
      <c r="Q51" s="31"/>
      <c r="R51" s="32"/>
    </row>
    <row r="52" spans="2:21" x14ac:dyDescent="0.25">
      <c r="D52" t="s">
        <v>8</v>
      </c>
      <c r="E52">
        <v>4</v>
      </c>
      <c r="H52" s="168">
        <f>I$9/$E52</f>
        <v>0</v>
      </c>
      <c r="I52"/>
      <c r="J52" s="31">
        <f>H52</f>
        <v>0</v>
      </c>
      <c r="K52" s="31">
        <f t="shared" si="16"/>
        <v>0</v>
      </c>
      <c r="L52" s="31"/>
      <c r="M52" s="31"/>
      <c r="N52" s="31"/>
      <c r="O52" s="31"/>
      <c r="P52" s="31"/>
      <c r="Q52" s="31"/>
      <c r="R52" s="32"/>
    </row>
    <row r="53" spans="2:21" x14ac:dyDescent="0.25">
      <c r="D53" t="s">
        <v>9</v>
      </c>
      <c r="E53">
        <v>3</v>
      </c>
      <c r="H53"/>
      <c r="I53" s="168">
        <f>J$8/$E53</f>
        <v>0</v>
      </c>
      <c r="J53"/>
      <c r="K53" s="31">
        <f>I53</f>
        <v>0</v>
      </c>
      <c r="L53" s="31"/>
      <c r="M53" s="31"/>
      <c r="N53" s="31"/>
      <c r="O53" s="31"/>
      <c r="P53" s="31"/>
      <c r="Q53" s="31"/>
      <c r="R53" s="32"/>
    </row>
    <row r="54" spans="2:21" x14ac:dyDescent="0.25">
      <c r="D54" t="s">
        <v>10</v>
      </c>
      <c r="E54">
        <v>2</v>
      </c>
      <c r="H54"/>
      <c r="I54"/>
      <c r="J54" s="168"/>
      <c r="K54"/>
      <c r="L54" s="31"/>
      <c r="M54" s="31"/>
      <c r="N54" s="31"/>
      <c r="O54" s="31"/>
      <c r="P54" s="31"/>
      <c r="Q54" s="31"/>
      <c r="R54" s="32"/>
    </row>
    <row r="55" spans="2:21" x14ac:dyDescent="0.25">
      <c r="D55" t="s">
        <v>37</v>
      </c>
      <c r="E55">
        <v>1</v>
      </c>
      <c r="H55"/>
      <c r="I55"/>
      <c r="J55"/>
      <c r="K55" s="168"/>
      <c r="L55" s="31"/>
      <c r="M55" s="31"/>
      <c r="N55" s="31"/>
      <c r="O55" s="31"/>
      <c r="P55" s="31"/>
      <c r="Q55" s="31"/>
      <c r="R55" s="32"/>
    </row>
    <row r="56" spans="2:21" ht="16.5" thickBot="1" x14ac:dyDescent="0.3">
      <c r="B56" s="33" t="s">
        <v>32</v>
      </c>
      <c r="C56" s="34"/>
      <c r="D56" s="34"/>
      <c r="E56" s="34"/>
      <c r="F56" s="34"/>
      <c r="G56" s="35">
        <f>SUM(G51:G51)</f>
        <v>134944244.02708334</v>
      </c>
      <c r="H56" s="35">
        <f>SUM(H51:H51)</f>
        <v>134944244.02708334</v>
      </c>
      <c r="I56" s="35">
        <f t="shared" ref="I56:K56" si="17">SUM(I51:I51)</f>
        <v>134944244.02708334</v>
      </c>
      <c r="J56" s="35">
        <f t="shared" si="17"/>
        <v>134944244.02708334</v>
      </c>
      <c r="K56" s="35">
        <f t="shared" si="17"/>
        <v>134944244.02708334</v>
      </c>
      <c r="L56" s="31">
        <f>SUM(G56:K56)</f>
        <v>674721220.13541675</v>
      </c>
      <c r="M56" s="39"/>
      <c r="N56" s="39"/>
      <c r="O56" s="39"/>
      <c r="P56" s="39"/>
      <c r="Q56" s="39"/>
      <c r="R56" s="39"/>
      <c r="S56" s="36"/>
      <c r="T56" s="36"/>
      <c r="U56" s="36"/>
    </row>
    <row r="57" spans="2:21" ht="16.5" thickTop="1" x14ac:dyDescent="0.25">
      <c r="R57" s="13"/>
    </row>
    <row r="59" spans="2:21" x14ac:dyDescent="0.25">
      <c r="F59" t="s">
        <v>44</v>
      </c>
    </row>
  </sheetData>
  <mergeCells count="6">
    <mergeCell ref="O21:P21"/>
    <mergeCell ref="O22:P22"/>
    <mergeCell ref="E18:F18"/>
    <mergeCell ref="O14:O15"/>
    <mergeCell ref="O19:P19"/>
    <mergeCell ref="O20:P20"/>
  </mergeCells>
  <pageMargins left="0.25" right="0.25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G15" sqref="G15"/>
    </sheetView>
  </sheetViews>
  <sheetFormatPr defaultRowHeight="15.75" x14ac:dyDescent="0.25"/>
  <cols>
    <col min="1" max="1" width="3.125" bestFit="1" customWidth="1"/>
    <col min="2" max="2" width="10.125" bestFit="1" customWidth="1"/>
    <col min="3" max="4" width="11.25" bestFit="1" customWidth="1"/>
    <col min="5" max="5" width="15.5" bestFit="1" customWidth="1"/>
    <col min="6" max="6" width="13.5" bestFit="1" customWidth="1"/>
    <col min="7" max="7" width="12.25" bestFit="1" customWidth="1"/>
    <col min="8" max="8" width="11.875" bestFit="1" customWidth="1"/>
    <col min="9" max="9" width="14.5" bestFit="1" customWidth="1"/>
  </cols>
  <sheetData>
    <row r="1" spans="1:12" ht="16.5" thickBot="1" x14ac:dyDescent="0.3">
      <c r="A1" s="380" t="s">
        <v>128</v>
      </c>
      <c r="B1" s="380" t="s">
        <v>129</v>
      </c>
      <c r="C1" s="377" t="s">
        <v>130</v>
      </c>
      <c r="D1" s="378"/>
      <c r="E1" s="377" t="s">
        <v>131</v>
      </c>
      <c r="F1" s="378"/>
      <c r="G1" s="377" t="s">
        <v>132</v>
      </c>
      <c r="H1" s="378"/>
    </row>
    <row r="2" spans="1:12" ht="16.5" thickBot="1" x14ac:dyDescent="0.3">
      <c r="A2" s="381"/>
      <c r="B2" s="381"/>
      <c r="C2" s="142" t="s">
        <v>133</v>
      </c>
      <c r="D2" s="142" t="s">
        <v>134</v>
      </c>
      <c r="E2" s="142" t="s">
        <v>133</v>
      </c>
      <c r="F2" s="142" t="s">
        <v>134</v>
      </c>
      <c r="G2" s="142" t="s">
        <v>133</v>
      </c>
      <c r="H2" s="142" t="s">
        <v>134</v>
      </c>
    </row>
    <row r="3" spans="1:12" ht="16.5" thickBot="1" x14ac:dyDescent="0.3">
      <c r="A3" s="143"/>
      <c r="B3" s="144"/>
      <c r="C3" s="144"/>
      <c r="D3" s="144"/>
      <c r="E3" s="144"/>
      <c r="F3" s="144"/>
      <c r="G3" s="144"/>
      <c r="H3" s="144"/>
    </row>
    <row r="4" spans="1:12" ht="16.5" thickBot="1" x14ac:dyDescent="0.3">
      <c r="A4" s="145">
        <v>1</v>
      </c>
      <c r="B4" s="146">
        <v>44927</v>
      </c>
      <c r="C4" s="166">
        <v>1374</v>
      </c>
      <c r="D4" s="144">
        <v>67</v>
      </c>
      <c r="E4" s="149">
        <v>213403834</v>
      </c>
      <c r="F4" s="149">
        <v>58501364</v>
      </c>
      <c r="G4" s="149">
        <v>155316</v>
      </c>
      <c r="H4" s="149">
        <v>873155</v>
      </c>
      <c r="I4" t="s">
        <v>143</v>
      </c>
      <c r="K4" s="86">
        <f>E4/C4</f>
        <v>155315.74526928677</v>
      </c>
      <c r="L4" s="86">
        <f>F4/D4</f>
        <v>873154.68656716414</v>
      </c>
    </row>
    <row r="5" spans="1:12" ht="16.5" thickBot="1" x14ac:dyDescent="0.3">
      <c r="A5" s="145">
        <v>2</v>
      </c>
      <c r="B5" s="146">
        <v>44958</v>
      </c>
      <c r="C5" s="166">
        <v>1378</v>
      </c>
      <c r="D5" s="144">
        <v>63</v>
      </c>
      <c r="E5" s="149">
        <v>202499075</v>
      </c>
      <c r="F5" s="149">
        <v>53782493</v>
      </c>
      <c r="G5" s="149">
        <v>146951</v>
      </c>
      <c r="H5" s="149">
        <v>853690</v>
      </c>
      <c r="I5" t="s">
        <v>144</v>
      </c>
    </row>
    <row r="6" spans="1:12" ht="16.5" thickBot="1" x14ac:dyDescent="0.3">
      <c r="A6" s="145">
        <v>3</v>
      </c>
      <c r="B6" s="146">
        <v>44986</v>
      </c>
      <c r="C6" s="166">
        <v>1392</v>
      </c>
      <c r="D6" s="144">
        <v>66</v>
      </c>
      <c r="E6" s="149">
        <v>215069899</v>
      </c>
      <c r="F6" s="149">
        <v>54887792</v>
      </c>
      <c r="G6" s="149">
        <v>154504</v>
      </c>
      <c r="H6" s="149">
        <v>831633</v>
      </c>
      <c r="I6" t="s">
        <v>145</v>
      </c>
    </row>
    <row r="7" spans="1:12" ht="16.5" thickBot="1" x14ac:dyDescent="0.3">
      <c r="A7" s="145">
        <v>4</v>
      </c>
      <c r="B7" s="146">
        <v>45017</v>
      </c>
      <c r="C7" s="166">
        <v>1406</v>
      </c>
      <c r="D7" s="147">
        <v>62</v>
      </c>
      <c r="E7" s="149">
        <v>214743473</v>
      </c>
      <c r="F7" s="149">
        <v>49398507</v>
      </c>
      <c r="G7" s="149">
        <v>152734</v>
      </c>
      <c r="H7" s="149">
        <v>796750</v>
      </c>
      <c r="I7" t="s">
        <v>146</v>
      </c>
    </row>
    <row r="8" spans="1:12" ht="16.5" thickBot="1" x14ac:dyDescent="0.3">
      <c r="A8" s="145">
        <v>5</v>
      </c>
      <c r="B8" s="144" t="s">
        <v>135</v>
      </c>
      <c r="C8" s="167">
        <v>1400</v>
      </c>
      <c r="D8" s="147">
        <v>68</v>
      </c>
      <c r="E8" s="149">
        <v>238432030</v>
      </c>
      <c r="F8" s="149">
        <v>55954670</v>
      </c>
      <c r="G8" s="149">
        <v>170309</v>
      </c>
      <c r="H8" s="149">
        <v>822863</v>
      </c>
      <c r="I8" t="s">
        <v>147</v>
      </c>
    </row>
    <row r="9" spans="1:12" ht="16.5" thickBot="1" x14ac:dyDescent="0.3">
      <c r="A9" s="145">
        <v>6</v>
      </c>
      <c r="B9" s="146">
        <v>45078</v>
      </c>
      <c r="C9" s="167">
        <v>1416</v>
      </c>
      <c r="D9" s="147">
        <v>66</v>
      </c>
      <c r="E9" s="149">
        <v>232466487</v>
      </c>
      <c r="F9" s="149">
        <v>54391364</v>
      </c>
      <c r="G9" s="149">
        <v>164171</v>
      </c>
      <c r="H9" s="149">
        <v>824112</v>
      </c>
      <c r="I9" t="s">
        <v>148</v>
      </c>
    </row>
    <row r="10" spans="1:12" ht="16.5" thickBot="1" x14ac:dyDescent="0.3">
      <c r="A10" s="143"/>
      <c r="B10" s="144"/>
      <c r="C10" s="144"/>
      <c r="D10" s="144"/>
      <c r="E10" s="144"/>
      <c r="F10" s="144"/>
      <c r="G10" s="144"/>
      <c r="H10" s="144"/>
    </row>
    <row r="11" spans="1:12" ht="16.5" thickBot="1" x14ac:dyDescent="0.3">
      <c r="A11" s="377" t="s">
        <v>136</v>
      </c>
      <c r="B11" s="379"/>
      <c r="C11" s="148" t="s">
        <v>137</v>
      </c>
      <c r="D11" s="148" t="s">
        <v>138</v>
      </c>
      <c r="E11" s="148" t="s">
        <v>139</v>
      </c>
      <c r="F11" s="148" t="s">
        <v>140</v>
      </c>
      <c r="G11" s="148" t="s">
        <v>141</v>
      </c>
      <c r="H11" s="148" t="s">
        <v>142</v>
      </c>
    </row>
  </sheetData>
  <mergeCells count="6">
    <mergeCell ref="G1:H1"/>
    <mergeCell ref="A11:B11"/>
    <mergeCell ref="A1:A2"/>
    <mergeCell ref="B1:B2"/>
    <mergeCell ref="C1:D1"/>
    <mergeCell ref="E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9:E15"/>
  <sheetViews>
    <sheetView workbookViewId="0">
      <selection activeCell="E15" sqref="E15"/>
    </sheetView>
  </sheetViews>
  <sheetFormatPr defaultRowHeight="12.75" x14ac:dyDescent="0.25"/>
  <cols>
    <col min="1" max="3" width="9" style="160"/>
    <col min="4" max="4" width="41.25" style="160" bestFit="1" customWidth="1"/>
    <col min="5" max="5" width="11.875" style="160" bestFit="1" customWidth="1"/>
    <col min="6" max="259" width="9" style="160"/>
    <col min="260" max="260" width="41.25" style="160" bestFit="1" customWidth="1"/>
    <col min="261" max="261" width="11.875" style="160" bestFit="1" customWidth="1"/>
    <col min="262" max="515" width="9" style="160"/>
    <col min="516" max="516" width="41.25" style="160" bestFit="1" customWidth="1"/>
    <col min="517" max="517" width="11.875" style="160" bestFit="1" customWidth="1"/>
    <col min="518" max="771" width="9" style="160"/>
    <col min="772" max="772" width="41.25" style="160" bestFit="1" customWidth="1"/>
    <col min="773" max="773" width="11.875" style="160" bestFit="1" customWidth="1"/>
    <col min="774" max="1027" width="9" style="160"/>
    <col min="1028" max="1028" width="41.25" style="160" bestFit="1" customWidth="1"/>
    <col min="1029" max="1029" width="11.875" style="160" bestFit="1" customWidth="1"/>
    <col min="1030" max="1283" width="9" style="160"/>
    <col min="1284" max="1284" width="41.25" style="160" bestFit="1" customWidth="1"/>
    <col min="1285" max="1285" width="11.875" style="160" bestFit="1" customWidth="1"/>
    <col min="1286" max="1539" width="9" style="160"/>
    <col min="1540" max="1540" width="41.25" style="160" bestFit="1" customWidth="1"/>
    <col min="1541" max="1541" width="11.875" style="160" bestFit="1" customWidth="1"/>
    <col min="1542" max="1795" width="9" style="160"/>
    <col min="1796" max="1796" width="41.25" style="160" bestFit="1" customWidth="1"/>
    <col min="1797" max="1797" width="11.875" style="160" bestFit="1" customWidth="1"/>
    <col min="1798" max="2051" width="9" style="160"/>
    <col min="2052" max="2052" width="41.25" style="160" bestFit="1" customWidth="1"/>
    <col min="2053" max="2053" width="11.875" style="160" bestFit="1" customWidth="1"/>
    <col min="2054" max="2307" width="9" style="160"/>
    <col min="2308" max="2308" width="41.25" style="160" bestFit="1" customWidth="1"/>
    <col min="2309" max="2309" width="11.875" style="160" bestFit="1" customWidth="1"/>
    <col min="2310" max="2563" width="9" style="160"/>
    <col min="2564" max="2564" width="41.25" style="160" bestFit="1" customWidth="1"/>
    <col min="2565" max="2565" width="11.875" style="160" bestFit="1" customWidth="1"/>
    <col min="2566" max="2819" width="9" style="160"/>
    <col min="2820" max="2820" width="41.25" style="160" bestFit="1" customWidth="1"/>
    <col min="2821" max="2821" width="11.875" style="160" bestFit="1" customWidth="1"/>
    <col min="2822" max="3075" width="9" style="160"/>
    <col min="3076" max="3076" width="41.25" style="160" bestFit="1" customWidth="1"/>
    <col min="3077" max="3077" width="11.875" style="160" bestFit="1" customWidth="1"/>
    <col min="3078" max="3331" width="9" style="160"/>
    <col min="3332" max="3332" width="41.25" style="160" bestFit="1" customWidth="1"/>
    <col min="3333" max="3333" width="11.875" style="160" bestFit="1" customWidth="1"/>
    <col min="3334" max="3587" width="9" style="160"/>
    <col min="3588" max="3588" width="41.25" style="160" bestFit="1" customWidth="1"/>
    <col min="3589" max="3589" width="11.875" style="160" bestFit="1" customWidth="1"/>
    <col min="3590" max="3843" width="9" style="160"/>
    <col min="3844" max="3844" width="41.25" style="160" bestFit="1" customWidth="1"/>
    <col min="3845" max="3845" width="11.875" style="160" bestFit="1" customWidth="1"/>
    <col min="3846" max="4099" width="9" style="160"/>
    <col min="4100" max="4100" width="41.25" style="160" bestFit="1" customWidth="1"/>
    <col min="4101" max="4101" width="11.875" style="160" bestFit="1" customWidth="1"/>
    <col min="4102" max="4355" width="9" style="160"/>
    <col min="4356" max="4356" width="41.25" style="160" bestFit="1" customWidth="1"/>
    <col min="4357" max="4357" width="11.875" style="160" bestFit="1" customWidth="1"/>
    <col min="4358" max="4611" width="9" style="160"/>
    <col min="4612" max="4612" width="41.25" style="160" bestFit="1" customWidth="1"/>
    <col min="4613" max="4613" width="11.875" style="160" bestFit="1" customWidth="1"/>
    <col min="4614" max="4867" width="9" style="160"/>
    <col min="4868" max="4868" width="41.25" style="160" bestFit="1" customWidth="1"/>
    <col min="4869" max="4869" width="11.875" style="160" bestFit="1" customWidth="1"/>
    <col min="4870" max="5123" width="9" style="160"/>
    <col min="5124" max="5124" width="41.25" style="160" bestFit="1" customWidth="1"/>
    <col min="5125" max="5125" width="11.875" style="160" bestFit="1" customWidth="1"/>
    <col min="5126" max="5379" width="9" style="160"/>
    <col min="5380" max="5380" width="41.25" style="160" bestFit="1" customWidth="1"/>
    <col min="5381" max="5381" width="11.875" style="160" bestFit="1" customWidth="1"/>
    <col min="5382" max="5635" width="9" style="160"/>
    <col min="5636" max="5636" width="41.25" style="160" bestFit="1" customWidth="1"/>
    <col min="5637" max="5637" width="11.875" style="160" bestFit="1" customWidth="1"/>
    <col min="5638" max="5891" width="9" style="160"/>
    <col min="5892" max="5892" width="41.25" style="160" bestFit="1" customWidth="1"/>
    <col min="5893" max="5893" width="11.875" style="160" bestFit="1" customWidth="1"/>
    <col min="5894" max="6147" width="9" style="160"/>
    <col min="6148" max="6148" width="41.25" style="160" bestFit="1" customWidth="1"/>
    <col min="6149" max="6149" width="11.875" style="160" bestFit="1" customWidth="1"/>
    <col min="6150" max="6403" width="9" style="160"/>
    <col min="6404" max="6404" width="41.25" style="160" bestFit="1" customWidth="1"/>
    <col min="6405" max="6405" width="11.875" style="160" bestFit="1" customWidth="1"/>
    <col min="6406" max="6659" width="9" style="160"/>
    <col min="6660" max="6660" width="41.25" style="160" bestFit="1" customWidth="1"/>
    <col min="6661" max="6661" width="11.875" style="160" bestFit="1" customWidth="1"/>
    <col min="6662" max="6915" width="9" style="160"/>
    <col min="6916" max="6916" width="41.25" style="160" bestFit="1" customWidth="1"/>
    <col min="6917" max="6917" width="11.875" style="160" bestFit="1" customWidth="1"/>
    <col min="6918" max="7171" width="9" style="160"/>
    <col min="7172" max="7172" width="41.25" style="160" bestFit="1" customWidth="1"/>
    <col min="7173" max="7173" width="11.875" style="160" bestFit="1" customWidth="1"/>
    <col min="7174" max="7427" width="9" style="160"/>
    <col min="7428" max="7428" width="41.25" style="160" bestFit="1" customWidth="1"/>
    <col min="7429" max="7429" width="11.875" style="160" bestFit="1" customWidth="1"/>
    <col min="7430" max="7683" width="9" style="160"/>
    <col min="7684" max="7684" width="41.25" style="160" bestFit="1" customWidth="1"/>
    <col min="7685" max="7685" width="11.875" style="160" bestFit="1" customWidth="1"/>
    <col min="7686" max="7939" width="9" style="160"/>
    <col min="7940" max="7940" width="41.25" style="160" bestFit="1" customWidth="1"/>
    <col min="7941" max="7941" width="11.875" style="160" bestFit="1" customWidth="1"/>
    <col min="7942" max="8195" width="9" style="160"/>
    <col min="8196" max="8196" width="41.25" style="160" bestFit="1" customWidth="1"/>
    <col min="8197" max="8197" width="11.875" style="160" bestFit="1" customWidth="1"/>
    <col min="8198" max="8451" width="9" style="160"/>
    <col min="8452" max="8452" width="41.25" style="160" bestFit="1" customWidth="1"/>
    <col min="8453" max="8453" width="11.875" style="160" bestFit="1" customWidth="1"/>
    <col min="8454" max="8707" width="9" style="160"/>
    <col min="8708" max="8708" width="41.25" style="160" bestFit="1" customWidth="1"/>
    <col min="8709" max="8709" width="11.875" style="160" bestFit="1" customWidth="1"/>
    <col min="8710" max="8963" width="9" style="160"/>
    <col min="8964" max="8964" width="41.25" style="160" bestFit="1" customWidth="1"/>
    <col min="8965" max="8965" width="11.875" style="160" bestFit="1" customWidth="1"/>
    <col min="8966" max="9219" width="9" style="160"/>
    <col min="9220" max="9220" width="41.25" style="160" bestFit="1" customWidth="1"/>
    <col min="9221" max="9221" width="11.875" style="160" bestFit="1" customWidth="1"/>
    <col min="9222" max="9475" width="9" style="160"/>
    <col min="9476" max="9476" width="41.25" style="160" bestFit="1" customWidth="1"/>
    <col min="9477" max="9477" width="11.875" style="160" bestFit="1" customWidth="1"/>
    <col min="9478" max="9731" width="9" style="160"/>
    <col min="9732" max="9732" width="41.25" style="160" bestFit="1" customWidth="1"/>
    <col min="9733" max="9733" width="11.875" style="160" bestFit="1" customWidth="1"/>
    <col min="9734" max="9987" width="9" style="160"/>
    <col min="9988" max="9988" width="41.25" style="160" bestFit="1" customWidth="1"/>
    <col min="9989" max="9989" width="11.875" style="160" bestFit="1" customWidth="1"/>
    <col min="9990" max="10243" width="9" style="160"/>
    <col min="10244" max="10244" width="41.25" style="160" bestFit="1" customWidth="1"/>
    <col min="10245" max="10245" width="11.875" style="160" bestFit="1" customWidth="1"/>
    <col min="10246" max="10499" width="9" style="160"/>
    <col min="10500" max="10500" width="41.25" style="160" bestFit="1" customWidth="1"/>
    <col min="10501" max="10501" width="11.875" style="160" bestFit="1" customWidth="1"/>
    <col min="10502" max="10755" width="9" style="160"/>
    <col min="10756" max="10756" width="41.25" style="160" bestFit="1" customWidth="1"/>
    <col min="10757" max="10757" width="11.875" style="160" bestFit="1" customWidth="1"/>
    <col min="10758" max="11011" width="9" style="160"/>
    <col min="11012" max="11012" width="41.25" style="160" bestFit="1" customWidth="1"/>
    <col min="11013" max="11013" width="11.875" style="160" bestFit="1" customWidth="1"/>
    <col min="11014" max="11267" width="9" style="160"/>
    <col min="11268" max="11268" width="41.25" style="160" bestFit="1" customWidth="1"/>
    <col min="11269" max="11269" width="11.875" style="160" bestFit="1" customWidth="1"/>
    <col min="11270" max="11523" width="9" style="160"/>
    <col min="11524" max="11524" width="41.25" style="160" bestFit="1" customWidth="1"/>
    <col min="11525" max="11525" width="11.875" style="160" bestFit="1" customWidth="1"/>
    <col min="11526" max="11779" width="9" style="160"/>
    <col min="11780" max="11780" width="41.25" style="160" bestFit="1" customWidth="1"/>
    <col min="11781" max="11781" width="11.875" style="160" bestFit="1" customWidth="1"/>
    <col min="11782" max="12035" width="9" style="160"/>
    <col min="12036" max="12036" width="41.25" style="160" bestFit="1" customWidth="1"/>
    <col min="12037" max="12037" width="11.875" style="160" bestFit="1" customWidth="1"/>
    <col min="12038" max="12291" width="9" style="160"/>
    <col min="12292" max="12292" width="41.25" style="160" bestFit="1" customWidth="1"/>
    <col min="12293" max="12293" width="11.875" style="160" bestFit="1" customWidth="1"/>
    <col min="12294" max="12547" width="9" style="160"/>
    <col min="12548" max="12548" width="41.25" style="160" bestFit="1" customWidth="1"/>
    <col min="12549" max="12549" width="11.875" style="160" bestFit="1" customWidth="1"/>
    <col min="12550" max="12803" width="9" style="160"/>
    <col min="12804" max="12804" width="41.25" style="160" bestFit="1" customWidth="1"/>
    <col min="12805" max="12805" width="11.875" style="160" bestFit="1" customWidth="1"/>
    <col min="12806" max="13059" width="9" style="160"/>
    <col min="13060" max="13060" width="41.25" style="160" bestFit="1" customWidth="1"/>
    <col min="13061" max="13061" width="11.875" style="160" bestFit="1" customWidth="1"/>
    <col min="13062" max="13315" width="9" style="160"/>
    <col min="13316" max="13316" width="41.25" style="160" bestFit="1" customWidth="1"/>
    <col min="13317" max="13317" width="11.875" style="160" bestFit="1" customWidth="1"/>
    <col min="13318" max="13571" width="9" style="160"/>
    <col min="13572" max="13572" width="41.25" style="160" bestFit="1" customWidth="1"/>
    <col min="13573" max="13573" width="11.875" style="160" bestFit="1" customWidth="1"/>
    <col min="13574" max="13827" width="9" style="160"/>
    <col min="13828" max="13828" width="41.25" style="160" bestFit="1" customWidth="1"/>
    <col min="13829" max="13829" width="11.875" style="160" bestFit="1" customWidth="1"/>
    <col min="13830" max="14083" width="9" style="160"/>
    <col min="14084" max="14084" width="41.25" style="160" bestFit="1" customWidth="1"/>
    <col min="14085" max="14085" width="11.875" style="160" bestFit="1" customWidth="1"/>
    <col min="14086" max="14339" width="9" style="160"/>
    <col min="14340" max="14340" width="41.25" style="160" bestFit="1" customWidth="1"/>
    <col min="14341" max="14341" width="11.875" style="160" bestFit="1" customWidth="1"/>
    <col min="14342" max="14595" width="9" style="160"/>
    <col min="14596" max="14596" width="41.25" style="160" bestFit="1" customWidth="1"/>
    <col min="14597" max="14597" width="11.875" style="160" bestFit="1" customWidth="1"/>
    <col min="14598" max="14851" width="9" style="160"/>
    <col min="14852" max="14852" width="41.25" style="160" bestFit="1" customWidth="1"/>
    <col min="14853" max="14853" width="11.875" style="160" bestFit="1" customWidth="1"/>
    <col min="14854" max="15107" width="9" style="160"/>
    <col min="15108" max="15108" width="41.25" style="160" bestFit="1" customWidth="1"/>
    <col min="15109" max="15109" width="11.875" style="160" bestFit="1" customWidth="1"/>
    <col min="15110" max="15363" width="9" style="160"/>
    <col min="15364" max="15364" width="41.25" style="160" bestFit="1" customWidth="1"/>
    <col min="15365" max="15365" width="11.875" style="160" bestFit="1" customWidth="1"/>
    <col min="15366" max="15619" width="9" style="160"/>
    <col min="15620" max="15620" width="41.25" style="160" bestFit="1" customWidth="1"/>
    <col min="15621" max="15621" width="11.875" style="160" bestFit="1" customWidth="1"/>
    <col min="15622" max="15875" width="9" style="160"/>
    <col min="15876" max="15876" width="41.25" style="160" bestFit="1" customWidth="1"/>
    <col min="15877" max="15877" width="11.875" style="160" bestFit="1" customWidth="1"/>
    <col min="15878" max="16131" width="9" style="160"/>
    <col min="16132" max="16132" width="41.25" style="160" bestFit="1" customWidth="1"/>
    <col min="16133" max="16133" width="11.875" style="160" bestFit="1" customWidth="1"/>
    <col min="16134" max="16384" width="9" style="160"/>
  </cols>
  <sheetData>
    <row r="9" spans="4:5" x14ac:dyDescent="0.25">
      <c r="D9" s="159" t="s">
        <v>157</v>
      </c>
    </row>
    <row r="11" spans="4:5" x14ac:dyDescent="0.25">
      <c r="D11" s="161" t="s">
        <v>158</v>
      </c>
      <c r="E11" s="162">
        <f>[3]OFFICE!H20</f>
        <v>336260000</v>
      </c>
    </row>
    <row r="12" spans="4:5" x14ac:dyDescent="0.25">
      <c r="D12" s="161" t="s">
        <v>159</v>
      </c>
      <c r="E12" s="162">
        <f>[3]MALL!H20</f>
        <v>694400000</v>
      </c>
    </row>
    <row r="13" spans="4:5" ht="15.75" x14ac:dyDescent="0.25">
      <c r="D13" s="161" t="s">
        <v>160</v>
      </c>
      <c r="E13" s="163">
        <f>[3]OFFICE!H14</f>
        <v>255750000</v>
      </c>
    </row>
    <row r="14" spans="4:5" ht="15.75" x14ac:dyDescent="0.25">
      <c r="D14" s="161" t="s">
        <v>161</v>
      </c>
      <c r="E14" s="163">
        <f>[3]MALL!H14</f>
        <v>509250000</v>
      </c>
    </row>
    <row r="15" spans="4:5" x14ac:dyDescent="0.25">
      <c r="D15" s="164"/>
      <c r="E15" s="165">
        <f>SUM(E11:E14)</f>
        <v>1795660000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opLeftCell="B1" workbookViewId="0">
      <selection activeCell="N4" sqref="N4"/>
    </sheetView>
  </sheetViews>
  <sheetFormatPr defaultRowHeight="15.75" x14ac:dyDescent="0.25"/>
  <cols>
    <col min="2" max="13" width="12.125" style="86" bestFit="1" customWidth="1"/>
    <col min="14" max="14" width="13.75" style="86" bestFit="1" customWidth="1"/>
    <col min="15" max="18" width="9" style="86"/>
  </cols>
  <sheetData>
    <row r="1" spans="1:14" x14ac:dyDescent="0.25">
      <c r="B1" s="169" t="s">
        <v>164</v>
      </c>
      <c r="C1" s="169" t="s">
        <v>165</v>
      </c>
      <c r="D1" s="169" t="s">
        <v>166</v>
      </c>
      <c r="E1" s="169" t="s">
        <v>167</v>
      </c>
      <c r="F1" s="169" t="s">
        <v>168</v>
      </c>
      <c r="G1" s="169" t="s">
        <v>169</v>
      </c>
      <c r="H1" s="169" t="s">
        <v>170</v>
      </c>
      <c r="I1" s="169" t="s">
        <v>171</v>
      </c>
      <c r="J1" s="169" t="s">
        <v>172</v>
      </c>
      <c r="K1" s="169" t="s">
        <v>173</v>
      </c>
      <c r="L1" s="169" t="s">
        <v>174</v>
      </c>
      <c r="M1" s="169" t="s">
        <v>175</v>
      </c>
      <c r="N1" s="169" t="s">
        <v>12</v>
      </c>
    </row>
    <row r="2" spans="1:14" x14ac:dyDescent="0.25">
      <c r="A2" t="s">
        <v>176</v>
      </c>
      <c r="B2" s="86">
        <f>'PI Shopping Center'!O85</f>
        <v>20861509.85483871</v>
      </c>
      <c r="C2" s="86">
        <f>'PI Shopping Center'!P85</f>
        <v>22498376.214285713</v>
      </c>
      <c r="D2" s="86">
        <f>'PI Shopping Center'!Q85</f>
        <v>25480864.693548389</v>
      </c>
      <c r="E2" s="86">
        <f>'PI Shopping Center'!R85</f>
        <v>25984090.5</v>
      </c>
      <c r="F2" s="86">
        <f>'PI Shopping Center'!S85</f>
        <v>27157477.596774194</v>
      </c>
      <c r="G2" s="86">
        <f>'PI Shopping Center'!T85</f>
        <v>27584090.5</v>
      </c>
      <c r="H2" s="86">
        <f>'PI Shopping Center'!U85</f>
        <v>27859090.5</v>
      </c>
      <c r="I2" s="86">
        <f>'PI Shopping Center'!V85</f>
        <v>27859090.5</v>
      </c>
      <c r="J2" s="86">
        <f>'PI Shopping Center'!W85</f>
        <v>31109090.5</v>
      </c>
      <c r="K2" s="86">
        <f>'PI Shopping Center'!X85</f>
        <v>31463929.209677421</v>
      </c>
      <c r="L2" s="86">
        <f>'PI Shopping Center'!Y85</f>
        <v>32709090.5</v>
      </c>
      <c r="M2" s="86">
        <f>'PI Shopping Center'!Z85</f>
        <v>32709090.5</v>
      </c>
      <c r="N2" s="86">
        <f>SUM(B2:M2)</f>
        <v>333275791.06912446</v>
      </c>
    </row>
    <row r="3" spans="1:14" x14ac:dyDescent="0.25">
      <c r="A3" t="s">
        <v>177</v>
      </c>
      <c r="B3" s="86">
        <f>'The Plaza Office'!O77</f>
        <v>91712500</v>
      </c>
      <c r="C3" s="86">
        <f>'The Plaza Office'!P77</f>
        <v>91712500</v>
      </c>
      <c r="D3" s="86">
        <f>'The Plaza Office'!Q77</f>
        <v>91712500</v>
      </c>
      <c r="E3" s="86">
        <f>'The Plaza Office'!R77</f>
        <v>91712500</v>
      </c>
      <c r="F3" s="86">
        <f>'The Plaza Office'!S77</f>
        <v>91306048.387096778</v>
      </c>
      <c r="G3" s="86">
        <f>'The Plaza Office'!T77</f>
        <v>93652500</v>
      </c>
      <c r="H3" s="86">
        <f>'The Plaza Office'!U77</f>
        <v>103227035.48387098</v>
      </c>
      <c r="I3" s="86">
        <f>'The Plaza Office'!V77</f>
        <v>108460030</v>
      </c>
      <c r="J3" s="86">
        <f>'The Plaza Office'!W77</f>
        <v>108460030</v>
      </c>
      <c r="K3" s="86">
        <f>'The Plaza Office'!X77</f>
        <v>108460030</v>
      </c>
      <c r="L3" s="86">
        <f>'The Plaza Office'!Y77</f>
        <v>108460030</v>
      </c>
      <c r="M3" s="86">
        <f>'The Plaza Office'!Z77</f>
        <v>108460030</v>
      </c>
      <c r="N3" s="86">
        <f>SUM(B3:M3)</f>
        <v>1197335733.8709679</v>
      </c>
    </row>
    <row r="4" spans="1:14" x14ac:dyDescent="0.25">
      <c r="A4" t="s">
        <v>12</v>
      </c>
      <c r="B4" s="86">
        <f>SUM(B2:B3)</f>
        <v>112574009.85483871</v>
      </c>
      <c r="C4" s="86">
        <f t="shared" ref="C4:N4" si="0">SUM(C2:C3)</f>
        <v>114210876.21428572</v>
      </c>
      <c r="D4" s="86">
        <f t="shared" si="0"/>
        <v>117193364.69354838</v>
      </c>
      <c r="E4" s="86">
        <f t="shared" si="0"/>
        <v>117696590.5</v>
      </c>
      <c r="F4" s="86">
        <f t="shared" si="0"/>
        <v>118463525.98387097</v>
      </c>
      <c r="G4" s="86">
        <f t="shared" si="0"/>
        <v>121236590.5</v>
      </c>
      <c r="H4" s="86">
        <f t="shared" si="0"/>
        <v>131086125.98387098</v>
      </c>
      <c r="I4" s="86">
        <f t="shared" si="0"/>
        <v>136319120.5</v>
      </c>
      <c r="J4" s="86">
        <f t="shared" si="0"/>
        <v>139569120.5</v>
      </c>
      <c r="K4" s="86">
        <f t="shared" si="0"/>
        <v>139923959.20967743</v>
      </c>
      <c r="L4" s="86">
        <f t="shared" si="0"/>
        <v>141169120.5</v>
      </c>
      <c r="M4" s="86">
        <f t="shared" si="0"/>
        <v>141169120.5</v>
      </c>
      <c r="N4" s="86">
        <f t="shared" si="0"/>
        <v>1530611524.9400923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921"/>
  <sheetViews>
    <sheetView topLeftCell="O1" zoomScale="90" zoomScaleNormal="90" workbookViewId="0">
      <pane ySplit="1" topLeftCell="A75" activePane="bottomLeft" state="frozen"/>
      <selection activeCell="D1" sqref="D1"/>
      <selection pane="bottomLeft" activeCell="Z85" sqref="Z85"/>
    </sheetView>
  </sheetViews>
  <sheetFormatPr defaultColWidth="12.625" defaultRowHeight="15" customHeight="1" x14ac:dyDescent="0.25"/>
  <cols>
    <col min="1" max="1" width="6.75" style="177" bestFit="1" customWidth="1"/>
    <col min="2" max="2" width="11.125" style="177" bestFit="1" customWidth="1"/>
    <col min="3" max="3" width="11.875" style="240" customWidth="1"/>
    <col min="4" max="4" width="41.875" style="177" customWidth="1"/>
    <col min="5" max="5" width="21.75" style="177" customWidth="1"/>
    <col min="6" max="6" width="7.25" style="177" customWidth="1"/>
    <col min="7" max="7" width="15.875" style="177" bestFit="1" customWidth="1"/>
    <col min="8" max="8" width="15.5" style="177" customWidth="1"/>
    <col min="9" max="9" width="14.125" style="177" customWidth="1"/>
    <col min="10" max="10" width="17.25" style="177" customWidth="1"/>
    <col min="11" max="11" width="13.125" style="177" customWidth="1"/>
    <col min="12" max="12" width="13.625" style="177" customWidth="1"/>
    <col min="13" max="13" width="16.125" style="241" customWidth="1"/>
    <col min="14" max="14" width="34" style="177" customWidth="1"/>
    <col min="15" max="26" width="11.625" style="176" bestFit="1" customWidth="1"/>
    <col min="27" max="27" width="12.75" style="176" bestFit="1" customWidth="1"/>
    <col min="28" max="16384" width="12.625" style="177"/>
  </cols>
  <sheetData>
    <row r="1" spans="1:27" x14ac:dyDescent="0.25">
      <c r="A1" s="171" t="s">
        <v>128</v>
      </c>
      <c r="B1" s="171" t="s">
        <v>178</v>
      </c>
      <c r="C1" s="171" t="s">
        <v>179</v>
      </c>
      <c r="D1" s="172" t="s">
        <v>180</v>
      </c>
      <c r="E1" s="172" t="s">
        <v>181</v>
      </c>
      <c r="F1" s="172" t="s">
        <v>182</v>
      </c>
      <c r="G1" s="172" t="s">
        <v>183</v>
      </c>
      <c r="H1" s="172" t="s">
        <v>184</v>
      </c>
      <c r="I1" s="172" t="s">
        <v>185</v>
      </c>
      <c r="J1" s="172" t="s">
        <v>186</v>
      </c>
      <c r="K1" s="172" t="s">
        <v>187</v>
      </c>
      <c r="L1" s="173" t="s">
        <v>188</v>
      </c>
      <c r="M1" s="174" t="s">
        <v>189</v>
      </c>
      <c r="N1" s="175" t="s">
        <v>190</v>
      </c>
      <c r="O1" s="176" t="s">
        <v>164</v>
      </c>
      <c r="P1" s="176" t="s">
        <v>165</v>
      </c>
      <c r="Q1" s="176" t="s">
        <v>166</v>
      </c>
      <c r="R1" s="176" t="s">
        <v>167</v>
      </c>
      <c r="S1" s="176" t="s">
        <v>168</v>
      </c>
      <c r="T1" s="176" t="s">
        <v>169</v>
      </c>
      <c r="U1" s="176" t="s">
        <v>170</v>
      </c>
      <c r="V1" s="176" t="s">
        <v>171</v>
      </c>
      <c r="W1" s="176" t="s">
        <v>172</v>
      </c>
      <c r="X1" s="176" t="s">
        <v>173</v>
      </c>
      <c r="Y1" s="176" t="s">
        <v>174</v>
      </c>
      <c r="Z1" s="176" t="s">
        <v>175</v>
      </c>
      <c r="AA1" s="176" t="s">
        <v>12</v>
      </c>
    </row>
    <row r="2" spans="1:27" x14ac:dyDescent="0.25">
      <c r="A2" s="178">
        <v>1</v>
      </c>
      <c r="B2" s="178" t="s">
        <v>191</v>
      </c>
      <c r="C2" s="178"/>
      <c r="D2" s="178" t="s">
        <v>192</v>
      </c>
      <c r="E2" s="178" t="s">
        <v>193</v>
      </c>
      <c r="F2" s="178">
        <v>1</v>
      </c>
      <c r="G2" s="179" t="s">
        <v>194</v>
      </c>
      <c r="H2" s="180" t="s">
        <v>195</v>
      </c>
      <c r="I2" s="180">
        <v>43347</v>
      </c>
      <c r="J2" s="178" t="s">
        <v>196</v>
      </c>
      <c r="K2" s="181">
        <v>14000000</v>
      </c>
      <c r="L2" s="182">
        <v>43832</v>
      </c>
      <c r="M2" s="183">
        <v>5000000</v>
      </c>
      <c r="N2" s="178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  <c r="AA2" s="177"/>
    </row>
    <row r="3" spans="1:27" ht="48" x14ac:dyDescent="0.25">
      <c r="A3" s="178">
        <v>2</v>
      </c>
      <c r="B3" s="178" t="s">
        <v>191</v>
      </c>
      <c r="C3" s="184"/>
      <c r="D3" s="185" t="s">
        <v>197</v>
      </c>
      <c r="E3" s="178" t="s">
        <v>198</v>
      </c>
      <c r="F3" s="178">
        <v>3</v>
      </c>
      <c r="G3" s="178" t="s">
        <v>199</v>
      </c>
      <c r="H3" s="180">
        <v>43356</v>
      </c>
      <c r="I3" s="180">
        <v>43466</v>
      </c>
      <c r="J3" s="178" t="s">
        <v>200</v>
      </c>
      <c r="K3" s="181">
        <v>750000</v>
      </c>
      <c r="L3" s="182">
        <v>44913</v>
      </c>
      <c r="M3" s="183">
        <v>1000000</v>
      </c>
      <c r="N3" s="186" t="s">
        <v>201</v>
      </c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</row>
    <row r="4" spans="1:27" x14ac:dyDescent="0.25">
      <c r="A4" s="187">
        <v>3</v>
      </c>
      <c r="B4" s="187" t="s">
        <v>191</v>
      </c>
      <c r="C4" s="187"/>
      <c r="D4" s="187" t="s">
        <v>202</v>
      </c>
      <c r="E4" s="187" t="s">
        <v>203</v>
      </c>
      <c r="F4" s="187">
        <v>3</v>
      </c>
      <c r="G4" s="187" t="s">
        <v>204</v>
      </c>
      <c r="H4" s="188">
        <v>43361</v>
      </c>
      <c r="I4" s="188">
        <v>43378</v>
      </c>
      <c r="J4" s="187" t="s">
        <v>200</v>
      </c>
      <c r="K4" s="189">
        <v>750000</v>
      </c>
      <c r="L4" s="190"/>
      <c r="M4" s="191">
        <v>1000000</v>
      </c>
      <c r="N4" s="187"/>
      <c r="O4" s="192">
        <f>$K4/2</f>
        <v>375000</v>
      </c>
      <c r="P4" s="192">
        <f t="shared" ref="P4:Z4" si="0">$K4/2</f>
        <v>375000</v>
      </c>
      <c r="Q4" s="192">
        <f t="shared" si="0"/>
        <v>375000</v>
      </c>
      <c r="R4" s="192">
        <f t="shared" si="0"/>
        <v>375000</v>
      </c>
      <c r="S4" s="192">
        <f t="shared" si="0"/>
        <v>375000</v>
      </c>
      <c r="T4" s="192">
        <f t="shared" si="0"/>
        <v>375000</v>
      </c>
      <c r="U4" s="192">
        <f t="shared" si="0"/>
        <v>375000</v>
      </c>
      <c r="V4" s="192">
        <f t="shared" si="0"/>
        <v>375000</v>
      </c>
      <c r="W4" s="192">
        <f t="shared" si="0"/>
        <v>375000</v>
      </c>
      <c r="X4" s="192">
        <f t="shared" si="0"/>
        <v>375000</v>
      </c>
      <c r="Y4" s="192">
        <f t="shared" si="0"/>
        <v>375000</v>
      </c>
      <c r="Z4" s="192">
        <f t="shared" si="0"/>
        <v>375000</v>
      </c>
      <c r="AA4" s="192">
        <f>SUM(O4:Z4)</f>
        <v>4500000</v>
      </c>
    </row>
    <row r="5" spans="1:27" x14ac:dyDescent="0.25">
      <c r="A5" s="178">
        <v>4</v>
      </c>
      <c r="B5" s="178" t="s">
        <v>191</v>
      </c>
      <c r="C5" s="178"/>
      <c r="D5" s="178" t="s">
        <v>205</v>
      </c>
      <c r="E5" s="178" t="s">
        <v>205</v>
      </c>
      <c r="F5" s="178">
        <v>3</v>
      </c>
      <c r="G5" s="178" t="s">
        <v>206</v>
      </c>
      <c r="H5" s="180">
        <v>43413</v>
      </c>
      <c r="I5" s="180">
        <v>43440</v>
      </c>
      <c r="J5" s="178" t="s">
        <v>200</v>
      </c>
      <c r="K5" s="181">
        <v>750000</v>
      </c>
      <c r="L5" s="182">
        <v>43893</v>
      </c>
      <c r="M5" s="183">
        <v>1000000</v>
      </c>
      <c r="N5" s="178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</row>
    <row r="6" spans="1:27" x14ac:dyDescent="0.25">
      <c r="A6" s="178">
        <v>5</v>
      </c>
      <c r="B6" s="178" t="s">
        <v>191</v>
      </c>
      <c r="C6" s="178"/>
      <c r="D6" s="178" t="s">
        <v>207</v>
      </c>
      <c r="E6" s="178" t="s">
        <v>207</v>
      </c>
      <c r="F6" s="178">
        <v>2</v>
      </c>
      <c r="G6" s="178"/>
      <c r="H6" s="180">
        <v>43588</v>
      </c>
      <c r="I6" s="180"/>
      <c r="J6" s="178" t="s">
        <v>200</v>
      </c>
      <c r="K6" s="181">
        <v>750000</v>
      </c>
      <c r="L6" s="182"/>
      <c r="M6" s="183">
        <v>1000000</v>
      </c>
      <c r="N6" s="178" t="s">
        <v>208</v>
      </c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</row>
    <row r="7" spans="1:27" x14ac:dyDescent="0.25">
      <c r="A7" s="187">
        <v>6</v>
      </c>
      <c r="B7" s="187" t="s">
        <v>191</v>
      </c>
      <c r="C7" s="187"/>
      <c r="D7" s="187" t="s">
        <v>209</v>
      </c>
      <c r="E7" s="187" t="s">
        <v>210</v>
      </c>
      <c r="F7" s="187">
        <v>2</v>
      </c>
      <c r="G7" s="187">
        <v>40</v>
      </c>
      <c r="H7" s="188">
        <v>43629</v>
      </c>
      <c r="I7" s="188">
        <v>43649</v>
      </c>
      <c r="J7" s="187" t="s">
        <v>211</v>
      </c>
      <c r="K7" s="193">
        <v>2000000</v>
      </c>
      <c r="L7" s="190"/>
      <c r="M7" s="191">
        <v>5000000</v>
      </c>
      <c r="N7" s="187"/>
      <c r="O7" s="192">
        <f t="shared" ref="O7:Z7" si="1">$K7/2</f>
        <v>1000000</v>
      </c>
      <c r="P7" s="192">
        <f t="shared" si="1"/>
        <v>1000000</v>
      </c>
      <c r="Q7" s="192">
        <f t="shared" si="1"/>
        <v>1000000</v>
      </c>
      <c r="R7" s="192">
        <f t="shared" si="1"/>
        <v>1000000</v>
      </c>
      <c r="S7" s="192">
        <f t="shared" si="1"/>
        <v>1000000</v>
      </c>
      <c r="T7" s="192">
        <f t="shared" si="1"/>
        <v>1000000</v>
      </c>
      <c r="U7" s="192">
        <f t="shared" si="1"/>
        <v>1000000</v>
      </c>
      <c r="V7" s="192">
        <f t="shared" si="1"/>
        <v>1000000</v>
      </c>
      <c r="W7" s="192">
        <f t="shared" si="1"/>
        <v>1000000</v>
      </c>
      <c r="X7" s="192">
        <f t="shared" si="1"/>
        <v>1000000</v>
      </c>
      <c r="Y7" s="192">
        <f t="shared" si="1"/>
        <v>1000000</v>
      </c>
      <c r="Z7" s="192">
        <f t="shared" si="1"/>
        <v>1000000</v>
      </c>
      <c r="AA7" s="192">
        <f>SUM(O7:Z7)</f>
        <v>12000000</v>
      </c>
    </row>
    <row r="8" spans="1:27" x14ac:dyDescent="0.25">
      <c r="A8" s="178">
        <v>7</v>
      </c>
      <c r="B8" s="178" t="s">
        <v>191</v>
      </c>
      <c r="C8" s="178"/>
      <c r="D8" s="178" t="s">
        <v>212</v>
      </c>
      <c r="E8" s="178" t="s">
        <v>213</v>
      </c>
      <c r="F8" s="178">
        <v>4</v>
      </c>
      <c r="G8" s="178" t="s">
        <v>214</v>
      </c>
      <c r="H8" s="180">
        <v>43672</v>
      </c>
      <c r="I8" s="180">
        <v>43686</v>
      </c>
      <c r="J8" s="178" t="s">
        <v>215</v>
      </c>
      <c r="K8" s="194">
        <v>750000</v>
      </c>
      <c r="L8" s="182">
        <v>44166</v>
      </c>
      <c r="M8" s="183">
        <v>1000000</v>
      </c>
      <c r="N8" s="178"/>
      <c r="O8" s="177"/>
      <c r="P8" s="177"/>
      <c r="Q8" s="177"/>
      <c r="R8" s="177"/>
      <c r="S8" s="177"/>
      <c r="T8" s="177"/>
      <c r="U8" s="177"/>
      <c r="V8" s="177"/>
      <c r="W8" s="177"/>
      <c r="X8" s="177"/>
      <c r="Y8" s="177"/>
      <c r="Z8" s="177"/>
      <c r="AA8" s="177"/>
    </row>
    <row r="9" spans="1:27" x14ac:dyDescent="0.25">
      <c r="A9" s="178">
        <v>8</v>
      </c>
      <c r="B9" s="178" t="s">
        <v>191</v>
      </c>
      <c r="C9" s="178"/>
      <c r="D9" s="195" t="s">
        <v>216</v>
      </c>
      <c r="E9" s="178" t="s">
        <v>217</v>
      </c>
      <c r="F9" s="178">
        <v>5</v>
      </c>
      <c r="G9" s="178"/>
      <c r="H9" s="180">
        <v>43684</v>
      </c>
      <c r="I9" s="180">
        <v>43684</v>
      </c>
      <c r="J9" s="178" t="s">
        <v>218</v>
      </c>
      <c r="K9" s="194">
        <v>5500000</v>
      </c>
      <c r="L9" s="182">
        <v>44895</v>
      </c>
      <c r="M9" s="183">
        <v>1000000</v>
      </c>
      <c r="N9" s="178" t="s">
        <v>219</v>
      </c>
      <c r="O9" s="177"/>
      <c r="P9" s="177"/>
      <c r="Q9" s="177"/>
      <c r="R9" s="177"/>
      <c r="S9" s="177"/>
      <c r="T9" s="177"/>
      <c r="U9" s="177"/>
      <c r="V9" s="177"/>
      <c r="W9" s="177"/>
      <c r="X9" s="177"/>
      <c r="Y9" s="177"/>
      <c r="Z9" s="177"/>
      <c r="AA9" s="177"/>
    </row>
    <row r="10" spans="1:27" x14ac:dyDescent="0.25">
      <c r="A10" s="187">
        <v>9</v>
      </c>
      <c r="B10" s="187" t="s">
        <v>191</v>
      </c>
      <c r="C10" s="187"/>
      <c r="D10" s="187" t="s">
        <v>220</v>
      </c>
      <c r="E10" s="187" t="s">
        <v>221</v>
      </c>
      <c r="F10" s="187" t="s">
        <v>222</v>
      </c>
      <c r="G10" s="187" t="s">
        <v>223</v>
      </c>
      <c r="H10" s="188">
        <v>43769</v>
      </c>
      <c r="I10" s="188">
        <v>43787</v>
      </c>
      <c r="J10" s="187" t="s">
        <v>224</v>
      </c>
      <c r="K10" s="193">
        <v>350000</v>
      </c>
      <c r="L10" s="190"/>
      <c r="M10" s="191">
        <v>1000000</v>
      </c>
      <c r="N10" s="187"/>
      <c r="O10" s="192">
        <f t="shared" ref="O10:Z10" si="2">$K10/2</f>
        <v>175000</v>
      </c>
      <c r="P10" s="192">
        <f t="shared" si="2"/>
        <v>175000</v>
      </c>
      <c r="Q10" s="192">
        <f t="shared" si="2"/>
        <v>175000</v>
      </c>
      <c r="R10" s="192">
        <f t="shared" si="2"/>
        <v>175000</v>
      </c>
      <c r="S10" s="192">
        <f t="shared" si="2"/>
        <v>175000</v>
      </c>
      <c r="T10" s="192">
        <f t="shared" si="2"/>
        <v>175000</v>
      </c>
      <c r="U10" s="192">
        <f t="shared" si="2"/>
        <v>175000</v>
      </c>
      <c r="V10" s="192">
        <f t="shared" si="2"/>
        <v>175000</v>
      </c>
      <c r="W10" s="192">
        <f t="shared" si="2"/>
        <v>175000</v>
      </c>
      <c r="X10" s="192">
        <f t="shared" si="2"/>
        <v>175000</v>
      </c>
      <c r="Y10" s="192">
        <f t="shared" si="2"/>
        <v>175000</v>
      </c>
      <c r="Z10" s="192">
        <f t="shared" si="2"/>
        <v>175000</v>
      </c>
      <c r="AA10" s="192">
        <f>SUM(O10:Z10)</f>
        <v>2100000</v>
      </c>
    </row>
    <row r="11" spans="1:27" x14ac:dyDescent="0.25">
      <c r="A11" s="178">
        <v>10</v>
      </c>
      <c r="B11" s="178" t="s">
        <v>191</v>
      </c>
      <c r="C11" s="178"/>
      <c r="D11" s="178" t="s">
        <v>209</v>
      </c>
      <c r="E11" s="178"/>
      <c r="F11" s="178"/>
      <c r="G11" s="178"/>
      <c r="H11" s="182">
        <v>43836</v>
      </c>
      <c r="I11" s="182">
        <v>43849</v>
      </c>
      <c r="J11" s="178" t="s">
        <v>225</v>
      </c>
      <c r="K11" s="194">
        <v>850000</v>
      </c>
      <c r="L11" s="182">
        <v>44954</v>
      </c>
      <c r="M11" s="183">
        <v>1000000</v>
      </c>
      <c r="N11" s="178" t="s">
        <v>226</v>
      </c>
      <c r="O11" s="176">
        <f>(28/31*K11)/2</f>
        <v>383870.96774193546</v>
      </c>
      <c r="AA11" s="176">
        <f>SUM(O11:Z11)</f>
        <v>383870.96774193546</v>
      </c>
    </row>
    <row r="12" spans="1:27" x14ac:dyDescent="0.25">
      <c r="A12" s="187">
        <v>11</v>
      </c>
      <c r="B12" s="187" t="s">
        <v>191</v>
      </c>
      <c r="C12" s="187"/>
      <c r="D12" s="187" t="s">
        <v>227</v>
      </c>
      <c r="E12" s="187"/>
      <c r="F12" s="187"/>
      <c r="G12" s="187"/>
      <c r="H12" s="190">
        <v>43853</v>
      </c>
      <c r="I12" s="190">
        <v>43858</v>
      </c>
      <c r="J12" s="187" t="s">
        <v>225</v>
      </c>
      <c r="K12" s="193">
        <v>500000</v>
      </c>
      <c r="L12" s="190"/>
      <c r="M12" s="191">
        <v>1000000</v>
      </c>
      <c r="N12" s="187"/>
      <c r="O12" s="192">
        <f t="shared" ref="O12:Z20" si="3">$K12/2</f>
        <v>250000</v>
      </c>
      <c r="P12" s="192">
        <f t="shared" si="3"/>
        <v>250000</v>
      </c>
      <c r="Q12" s="192">
        <f t="shared" si="3"/>
        <v>250000</v>
      </c>
      <c r="R12" s="192">
        <f t="shared" si="3"/>
        <v>250000</v>
      </c>
      <c r="S12" s="192">
        <f t="shared" si="3"/>
        <v>250000</v>
      </c>
      <c r="T12" s="192">
        <f t="shared" si="3"/>
        <v>250000</v>
      </c>
      <c r="U12" s="192">
        <f t="shared" si="3"/>
        <v>250000</v>
      </c>
      <c r="V12" s="192">
        <f t="shared" si="3"/>
        <v>250000</v>
      </c>
      <c r="W12" s="192">
        <f t="shared" si="3"/>
        <v>250000</v>
      </c>
      <c r="X12" s="192">
        <f t="shared" si="3"/>
        <v>250000</v>
      </c>
      <c r="Y12" s="192">
        <f t="shared" si="3"/>
        <v>250000</v>
      </c>
      <c r="Z12" s="192">
        <f t="shared" si="3"/>
        <v>250000</v>
      </c>
      <c r="AA12" s="192">
        <f t="shared" ref="AA12:AA20" si="4">SUM(O12:Z12)</f>
        <v>3000000</v>
      </c>
    </row>
    <row r="13" spans="1:27" x14ac:dyDescent="0.25">
      <c r="A13" s="187">
        <v>12</v>
      </c>
      <c r="B13" s="187" t="s">
        <v>191</v>
      </c>
      <c r="C13" s="187"/>
      <c r="D13" s="187" t="s">
        <v>228</v>
      </c>
      <c r="E13" s="187"/>
      <c r="F13" s="187" t="s">
        <v>229</v>
      </c>
      <c r="G13" s="187"/>
      <c r="H13" s="190">
        <v>43868</v>
      </c>
      <c r="I13" s="190">
        <v>43889</v>
      </c>
      <c r="J13" s="187" t="s">
        <v>225</v>
      </c>
      <c r="K13" s="193">
        <v>500000</v>
      </c>
      <c r="L13" s="190"/>
      <c r="M13" s="191">
        <v>500000</v>
      </c>
      <c r="N13" s="187"/>
      <c r="O13" s="192">
        <f t="shared" si="3"/>
        <v>250000</v>
      </c>
      <c r="P13" s="192">
        <f t="shared" si="3"/>
        <v>250000</v>
      </c>
      <c r="Q13" s="192">
        <f t="shared" si="3"/>
        <v>250000</v>
      </c>
      <c r="R13" s="192">
        <f t="shared" si="3"/>
        <v>250000</v>
      </c>
      <c r="S13" s="192">
        <f t="shared" si="3"/>
        <v>250000</v>
      </c>
      <c r="T13" s="192">
        <f t="shared" si="3"/>
        <v>250000</v>
      </c>
      <c r="U13" s="192">
        <f t="shared" si="3"/>
        <v>250000</v>
      </c>
      <c r="V13" s="192">
        <f t="shared" si="3"/>
        <v>250000</v>
      </c>
      <c r="W13" s="192">
        <f t="shared" si="3"/>
        <v>250000</v>
      </c>
      <c r="X13" s="192">
        <f t="shared" si="3"/>
        <v>250000</v>
      </c>
      <c r="Y13" s="192">
        <f t="shared" si="3"/>
        <v>250000</v>
      </c>
      <c r="Z13" s="192">
        <f t="shared" si="3"/>
        <v>250000</v>
      </c>
      <c r="AA13" s="192">
        <f t="shared" si="4"/>
        <v>3000000</v>
      </c>
    </row>
    <row r="14" spans="1:27" x14ac:dyDescent="0.25">
      <c r="A14" s="187">
        <v>13</v>
      </c>
      <c r="B14" s="187" t="s">
        <v>191</v>
      </c>
      <c r="C14" s="187"/>
      <c r="D14" s="187" t="s">
        <v>230</v>
      </c>
      <c r="E14" s="187"/>
      <c r="F14" s="187" t="s">
        <v>229</v>
      </c>
      <c r="G14" s="187"/>
      <c r="H14" s="190">
        <v>43868</v>
      </c>
      <c r="I14" s="190">
        <v>43887</v>
      </c>
      <c r="J14" s="187" t="s">
        <v>225</v>
      </c>
      <c r="K14" s="193">
        <v>500000</v>
      </c>
      <c r="L14" s="190"/>
      <c r="M14" s="191">
        <v>500000</v>
      </c>
      <c r="N14" s="187"/>
      <c r="O14" s="192">
        <f t="shared" si="3"/>
        <v>250000</v>
      </c>
      <c r="P14" s="192">
        <f t="shared" si="3"/>
        <v>250000</v>
      </c>
      <c r="Q14" s="192">
        <f t="shared" si="3"/>
        <v>250000</v>
      </c>
      <c r="R14" s="192">
        <f t="shared" si="3"/>
        <v>250000</v>
      </c>
      <c r="S14" s="192">
        <f t="shared" si="3"/>
        <v>250000</v>
      </c>
      <c r="T14" s="192">
        <f t="shared" si="3"/>
        <v>250000</v>
      </c>
      <c r="U14" s="192">
        <f t="shared" si="3"/>
        <v>250000</v>
      </c>
      <c r="V14" s="192">
        <f t="shared" si="3"/>
        <v>250000</v>
      </c>
      <c r="W14" s="192">
        <f t="shared" si="3"/>
        <v>250000</v>
      </c>
      <c r="X14" s="192">
        <f t="shared" si="3"/>
        <v>250000</v>
      </c>
      <c r="Y14" s="192">
        <f t="shared" si="3"/>
        <v>250000</v>
      </c>
      <c r="Z14" s="192">
        <f t="shared" si="3"/>
        <v>250000</v>
      </c>
      <c r="AA14" s="192">
        <f t="shared" si="4"/>
        <v>3000000</v>
      </c>
    </row>
    <row r="15" spans="1:27" x14ac:dyDescent="0.25">
      <c r="A15" s="187">
        <v>14</v>
      </c>
      <c r="B15" s="187" t="s">
        <v>191</v>
      </c>
      <c r="C15" s="187"/>
      <c r="D15" s="187" t="s">
        <v>231</v>
      </c>
      <c r="E15" s="187"/>
      <c r="F15" s="187" t="s">
        <v>229</v>
      </c>
      <c r="G15" s="187"/>
      <c r="H15" s="190">
        <v>43868</v>
      </c>
      <c r="I15" s="190">
        <v>43889</v>
      </c>
      <c r="J15" s="187" t="s">
        <v>225</v>
      </c>
      <c r="K15" s="193">
        <v>500000</v>
      </c>
      <c r="L15" s="190"/>
      <c r="M15" s="191">
        <v>500000</v>
      </c>
      <c r="N15" s="187"/>
      <c r="O15" s="192">
        <f t="shared" si="3"/>
        <v>250000</v>
      </c>
      <c r="P15" s="192">
        <f t="shared" si="3"/>
        <v>250000</v>
      </c>
      <c r="Q15" s="192">
        <f t="shared" si="3"/>
        <v>250000</v>
      </c>
      <c r="R15" s="192">
        <f t="shared" si="3"/>
        <v>250000</v>
      </c>
      <c r="S15" s="192">
        <f t="shared" si="3"/>
        <v>250000</v>
      </c>
      <c r="T15" s="192">
        <f t="shared" si="3"/>
        <v>250000</v>
      </c>
      <c r="U15" s="192">
        <f t="shared" si="3"/>
        <v>250000</v>
      </c>
      <c r="V15" s="192">
        <f t="shared" si="3"/>
        <v>250000</v>
      </c>
      <c r="W15" s="192">
        <f t="shared" si="3"/>
        <v>250000</v>
      </c>
      <c r="X15" s="192">
        <f t="shared" si="3"/>
        <v>250000</v>
      </c>
      <c r="Y15" s="192">
        <f t="shared" si="3"/>
        <v>250000</v>
      </c>
      <c r="Z15" s="192">
        <f t="shared" si="3"/>
        <v>250000</v>
      </c>
      <c r="AA15" s="192">
        <f t="shared" si="4"/>
        <v>3000000</v>
      </c>
    </row>
    <row r="16" spans="1:27" x14ac:dyDescent="0.25">
      <c r="A16" s="187">
        <v>15</v>
      </c>
      <c r="B16" s="187" t="s">
        <v>191</v>
      </c>
      <c r="C16" s="187"/>
      <c r="D16" s="187" t="s">
        <v>232</v>
      </c>
      <c r="E16" s="187"/>
      <c r="F16" s="187" t="s">
        <v>229</v>
      </c>
      <c r="G16" s="187"/>
      <c r="H16" s="190">
        <v>43868</v>
      </c>
      <c r="I16" s="190">
        <v>43887</v>
      </c>
      <c r="J16" s="187" t="s">
        <v>225</v>
      </c>
      <c r="K16" s="193">
        <v>500000</v>
      </c>
      <c r="L16" s="190"/>
      <c r="M16" s="191">
        <v>500000</v>
      </c>
      <c r="N16" s="187"/>
      <c r="O16" s="192">
        <f t="shared" si="3"/>
        <v>250000</v>
      </c>
      <c r="P16" s="192">
        <f t="shared" si="3"/>
        <v>250000</v>
      </c>
      <c r="Q16" s="192">
        <f t="shared" si="3"/>
        <v>250000</v>
      </c>
      <c r="R16" s="192">
        <f t="shared" si="3"/>
        <v>250000</v>
      </c>
      <c r="S16" s="192">
        <f t="shared" si="3"/>
        <v>250000</v>
      </c>
      <c r="T16" s="192">
        <f t="shared" si="3"/>
        <v>250000</v>
      </c>
      <c r="U16" s="192">
        <f t="shared" si="3"/>
        <v>250000</v>
      </c>
      <c r="V16" s="192">
        <f t="shared" si="3"/>
        <v>250000</v>
      </c>
      <c r="W16" s="192">
        <f t="shared" si="3"/>
        <v>250000</v>
      </c>
      <c r="X16" s="192">
        <f t="shared" si="3"/>
        <v>250000</v>
      </c>
      <c r="Y16" s="192">
        <f t="shared" si="3"/>
        <v>250000</v>
      </c>
      <c r="Z16" s="192">
        <f t="shared" si="3"/>
        <v>250000</v>
      </c>
      <c r="AA16" s="192">
        <f t="shared" si="4"/>
        <v>3000000</v>
      </c>
    </row>
    <row r="17" spans="1:27" x14ac:dyDescent="0.25">
      <c r="A17" s="187">
        <v>16</v>
      </c>
      <c r="B17" s="187" t="s">
        <v>191</v>
      </c>
      <c r="C17" s="187"/>
      <c r="D17" s="187" t="s">
        <v>233</v>
      </c>
      <c r="E17" s="187"/>
      <c r="F17" s="187" t="s">
        <v>229</v>
      </c>
      <c r="G17" s="187"/>
      <c r="H17" s="190">
        <v>43868</v>
      </c>
      <c r="I17" s="190">
        <v>43888</v>
      </c>
      <c r="J17" s="187" t="s">
        <v>225</v>
      </c>
      <c r="K17" s="193">
        <v>500000</v>
      </c>
      <c r="L17" s="190"/>
      <c r="M17" s="191">
        <v>500000</v>
      </c>
      <c r="N17" s="187"/>
      <c r="O17" s="192">
        <f t="shared" si="3"/>
        <v>250000</v>
      </c>
      <c r="P17" s="192">
        <f t="shared" si="3"/>
        <v>250000</v>
      </c>
      <c r="Q17" s="192">
        <f t="shared" si="3"/>
        <v>250000</v>
      </c>
      <c r="R17" s="192">
        <f t="shared" si="3"/>
        <v>250000</v>
      </c>
      <c r="S17" s="192">
        <f t="shared" si="3"/>
        <v>250000</v>
      </c>
      <c r="T17" s="192">
        <f t="shared" si="3"/>
        <v>250000</v>
      </c>
      <c r="U17" s="192">
        <f t="shared" si="3"/>
        <v>250000</v>
      </c>
      <c r="V17" s="192">
        <f t="shared" si="3"/>
        <v>250000</v>
      </c>
      <c r="W17" s="192">
        <f t="shared" si="3"/>
        <v>250000</v>
      </c>
      <c r="X17" s="192">
        <f t="shared" si="3"/>
        <v>250000</v>
      </c>
      <c r="Y17" s="192">
        <f t="shared" si="3"/>
        <v>250000</v>
      </c>
      <c r="Z17" s="192">
        <f t="shared" si="3"/>
        <v>250000</v>
      </c>
      <c r="AA17" s="192">
        <f t="shared" si="4"/>
        <v>3000000</v>
      </c>
    </row>
    <row r="18" spans="1:27" x14ac:dyDescent="0.25">
      <c r="A18" s="187">
        <v>17</v>
      </c>
      <c r="B18" s="187" t="s">
        <v>191</v>
      </c>
      <c r="C18" s="187"/>
      <c r="D18" s="187" t="s">
        <v>234</v>
      </c>
      <c r="E18" s="187" t="s">
        <v>235</v>
      </c>
      <c r="F18" s="187">
        <v>5</v>
      </c>
      <c r="G18" s="187"/>
      <c r="H18" s="190">
        <v>43871</v>
      </c>
      <c r="I18" s="190">
        <v>43879</v>
      </c>
      <c r="J18" s="187" t="s">
        <v>200</v>
      </c>
      <c r="K18" s="193">
        <v>750000</v>
      </c>
      <c r="L18" s="190"/>
      <c r="M18" s="191">
        <v>1000000</v>
      </c>
      <c r="N18" s="187"/>
      <c r="O18" s="192">
        <f t="shared" si="3"/>
        <v>375000</v>
      </c>
      <c r="P18" s="192">
        <f t="shared" si="3"/>
        <v>375000</v>
      </c>
      <c r="Q18" s="192">
        <f t="shared" si="3"/>
        <v>375000</v>
      </c>
      <c r="R18" s="192">
        <f t="shared" si="3"/>
        <v>375000</v>
      </c>
      <c r="S18" s="192">
        <f t="shared" si="3"/>
        <v>375000</v>
      </c>
      <c r="T18" s="192">
        <f t="shared" si="3"/>
        <v>375000</v>
      </c>
      <c r="U18" s="192">
        <f t="shared" si="3"/>
        <v>375000</v>
      </c>
      <c r="V18" s="192">
        <f t="shared" si="3"/>
        <v>375000</v>
      </c>
      <c r="W18" s="192">
        <f t="shared" si="3"/>
        <v>375000</v>
      </c>
      <c r="X18" s="192">
        <f t="shared" si="3"/>
        <v>375000</v>
      </c>
      <c r="Y18" s="192">
        <f t="shared" si="3"/>
        <v>375000</v>
      </c>
      <c r="Z18" s="192">
        <f t="shared" si="3"/>
        <v>375000</v>
      </c>
      <c r="AA18" s="192">
        <f t="shared" si="4"/>
        <v>4500000</v>
      </c>
    </row>
    <row r="19" spans="1:27" x14ac:dyDescent="0.25">
      <c r="A19" s="187">
        <v>18</v>
      </c>
      <c r="B19" s="187" t="s">
        <v>191</v>
      </c>
      <c r="C19" s="187"/>
      <c r="D19" s="187" t="s">
        <v>236</v>
      </c>
      <c r="E19" s="187"/>
      <c r="F19" s="187" t="s">
        <v>237</v>
      </c>
      <c r="G19" s="187"/>
      <c r="H19" s="190">
        <v>43871</v>
      </c>
      <c r="I19" s="190">
        <v>43884</v>
      </c>
      <c r="J19" s="187" t="s">
        <v>200</v>
      </c>
      <c r="K19" s="193">
        <v>750000</v>
      </c>
      <c r="L19" s="190"/>
      <c r="M19" s="191">
        <v>1000000</v>
      </c>
      <c r="N19" s="187"/>
      <c r="O19" s="192">
        <f t="shared" si="3"/>
        <v>375000</v>
      </c>
      <c r="P19" s="192">
        <f t="shared" si="3"/>
        <v>375000</v>
      </c>
      <c r="Q19" s="192">
        <f t="shared" si="3"/>
        <v>375000</v>
      </c>
      <c r="R19" s="192">
        <f t="shared" si="3"/>
        <v>375000</v>
      </c>
      <c r="S19" s="192">
        <f t="shared" si="3"/>
        <v>375000</v>
      </c>
      <c r="T19" s="192">
        <f t="shared" si="3"/>
        <v>375000</v>
      </c>
      <c r="U19" s="192">
        <f t="shared" si="3"/>
        <v>375000</v>
      </c>
      <c r="V19" s="192">
        <f t="shared" si="3"/>
        <v>375000</v>
      </c>
      <c r="W19" s="192">
        <f t="shared" si="3"/>
        <v>375000</v>
      </c>
      <c r="X19" s="192">
        <f t="shared" si="3"/>
        <v>375000</v>
      </c>
      <c r="Y19" s="192">
        <f t="shared" si="3"/>
        <v>375000</v>
      </c>
      <c r="Z19" s="192">
        <f t="shared" si="3"/>
        <v>375000</v>
      </c>
      <c r="AA19" s="192">
        <f t="shared" si="4"/>
        <v>4500000</v>
      </c>
    </row>
    <row r="20" spans="1:27" x14ac:dyDescent="0.25">
      <c r="A20" s="187">
        <v>19</v>
      </c>
      <c r="B20" s="187" t="s">
        <v>191</v>
      </c>
      <c r="C20" s="187"/>
      <c r="D20" s="187" t="s">
        <v>238</v>
      </c>
      <c r="E20" s="187"/>
      <c r="F20" s="187">
        <v>4</v>
      </c>
      <c r="G20" s="187"/>
      <c r="H20" s="190">
        <v>43875</v>
      </c>
      <c r="I20" s="190">
        <v>43883</v>
      </c>
      <c r="J20" s="187" t="s">
        <v>200</v>
      </c>
      <c r="K20" s="193">
        <v>750000</v>
      </c>
      <c r="L20" s="190"/>
      <c r="M20" s="191">
        <v>1000000</v>
      </c>
      <c r="N20" s="187"/>
      <c r="O20" s="192">
        <f t="shared" si="3"/>
        <v>375000</v>
      </c>
      <c r="P20" s="192">
        <f t="shared" si="3"/>
        <v>375000</v>
      </c>
      <c r="Q20" s="192">
        <f t="shared" si="3"/>
        <v>375000</v>
      </c>
      <c r="R20" s="192">
        <f t="shared" si="3"/>
        <v>375000</v>
      </c>
      <c r="S20" s="192">
        <f t="shared" si="3"/>
        <v>375000</v>
      </c>
      <c r="T20" s="192">
        <f t="shared" si="3"/>
        <v>375000</v>
      </c>
      <c r="U20" s="192">
        <f t="shared" si="3"/>
        <v>375000</v>
      </c>
      <c r="V20" s="192">
        <f t="shared" si="3"/>
        <v>375000</v>
      </c>
      <c r="W20" s="192">
        <f t="shared" si="3"/>
        <v>375000</v>
      </c>
      <c r="X20" s="192">
        <f t="shared" si="3"/>
        <v>375000</v>
      </c>
      <c r="Y20" s="192">
        <f t="shared" si="3"/>
        <v>375000</v>
      </c>
      <c r="Z20" s="192">
        <f t="shared" si="3"/>
        <v>375000</v>
      </c>
      <c r="AA20" s="192">
        <f t="shared" si="4"/>
        <v>4500000</v>
      </c>
    </row>
    <row r="21" spans="1:27" ht="15.75" customHeight="1" x14ac:dyDescent="0.25">
      <c r="A21" s="178">
        <v>20</v>
      </c>
      <c r="B21" s="178" t="s">
        <v>191</v>
      </c>
      <c r="C21" s="178"/>
      <c r="D21" s="178" t="s">
        <v>207</v>
      </c>
      <c r="E21" s="178" t="s">
        <v>239</v>
      </c>
      <c r="F21" s="178">
        <v>2</v>
      </c>
      <c r="G21" s="178"/>
      <c r="H21" s="182">
        <v>43887</v>
      </c>
      <c r="I21" s="182"/>
      <c r="J21" s="178" t="s">
        <v>200</v>
      </c>
      <c r="K21" s="194">
        <v>750000</v>
      </c>
      <c r="L21" s="182"/>
      <c r="M21" s="183">
        <v>1000000</v>
      </c>
      <c r="N21" s="178" t="s">
        <v>240</v>
      </c>
      <c r="O21" s="177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7"/>
      <c r="AA21" s="177"/>
    </row>
    <row r="22" spans="1:27" ht="15.75" customHeight="1" x14ac:dyDescent="0.25">
      <c r="A22" s="187">
        <v>21</v>
      </c>
      <c r="B22" s="187" t="s">
        <v>191</v>
      </c>
      <c r="C22" s="196"/>
      <c r="D22" s="197" t="s">
        <v>241</v>
      </c>
      <c r="E22" s="187" t="s">
        <v>242</v>
      </c>
      <c r="F22" s="187">
        <v>3</v>
      </c>
      <c r="G22" s="187"/>
      <c r="H22" s="190">
        <v>43913</v>
      </c>
      <c r="I22" s="190">
        <v>44007</v>
      </c>
      <c r="J22" s="187" t="s">
        <v>225</v>
      </c>
      <c r="K22" s="193">
        <v>500000</v>
      </c>
      <c r="L22" s="190"/>
      <c r="M22" s="191">
        <v>500000</v>
      </c>
      <c r="N22" s="187"/>
      <c r="O22" s="192">
        <f t="shared" ref="O22:Z23" si="5">$K22/2</f>
        <v>250000</v>
      </c>
      <c r="P22" s="192">
        <f t="shared" si="5"/>
        <v>250000</v>
      </c>
      <c r="Q22" s="192">
        <f t="shared" si="5"/>
        <v>250000</v>
      </c>
      <c r="R22" s="192">
        <f t="shared" si="5"/>
        <v>250000</v>
      </c>
      <c r="S22" s="192">
        <f t="shared" si="5"/>
        <v>250000</v>
      </c>
      <c r="T22" s="192">
        <f t="shared" si="5"/>
        <v>250000</v>
      </c>
      <c r="U22" s="192">
        <f t="shared" si="5"/>
        <v>250000</v>
      </c>
      <c r="V22" s="192">
        <f t="shared" si="5"/>
        <v>250000</v>
      </c>
      <c r="W22" s="192">
        <f t="shared" si="5"/>
        <v>250000</v>
      </c>
      <c r="X22" s="192">
        <f t="shared" si="5"/>
        <v>250000</v>
      </c>
      <c r="Y22" s="192">
        <f t="shared" si="5"/>
        <v>250000</v>
      </c>
      <c r="Z22" s="192">
        <f t="shared" si="5"/>
        <v>250000</v>
      </c>
      <c r="AA22" s="192">
        <f t="shared" ref="AA22:AA23" si="6">SUM(O22:Z22)</f>
        <v>3000000</v>
      </c>
    </row>
    <row r="23" spans="1:27" ht="15.75" customHeight="1" x14ac:dyDescent="0.25">
      <c r="A23" s="187">
        <v>22</v>
      </c>
      <c r="B23" s="187" t="s">
        <v>191</v>
      </c>
      <c r="C23" s="187"/>
      <c r="D23" s="187" t="s">
        <v>243</v>
      </c>
      <c r="E23" s="187" t="s">
        <v>244</v>
      </c>
      <c r="F23" s="187" t="s">
        <v>245</v>
      </c>
      <c r="G23" s="187">
        <v>51</v>
      </c>
      <c r="H23" s="190">
        <v>43937</v>
      </c>
      <c r="I23" s="190">
        <v>44012</v>
      </c>
      <c r="J23" s="187" t="s">
        <v>225</v>
      </c>
      <c r="K23" s="193">
        <v>500000</v>
      </c>
      <c r="L23" s="190"/>
      <c r="M23" s="191">
        <v>1000000</v>
      </c>
      <c r="N23" s="187"/>
      <c r="O23" s="192">
        <f t="shared" si="5"/>
        <v>250000</v>
      </c>
      <c r="P23" s="192">
        <f t="shared" si="5"/>
        <v>250000</v>
      </c>
      <c r="Q23" s="192">
        <f t="shared" si="5"/>
        <v>250000</v>
      </c>
      <c r="R23" s="192">
        <f t="shared" si="5"/>
        <v>250000</v>
      </c>
      <c r="S23" s="192">
        <f t="shared" si="5"/>
        <v>250000</v>
      </c>
      <c r="T23" s="192">
        <f t="shared" si="5"/>
        <v>250000</v>
      </c>
      <c r="U23" s="192">
        <f t="shared" si="5"/>
        <v>250000</v>
      </c>
      <c r="V23" s="192">
        <f t="shared" si="5"/>
        <v>250000</v>
      </c>
      <c r="W23" s="192">
        <f t="shared" si="5"/>
        <v>250000</v>
      </c>
      <c r="X23" s="192">
        <f t="shared" si="5"/>
        <v>250000</v>
      </c>
      <c r="Y23" s="192">
        <f t="shared" si="5"/>
        <v>250000</v>
      </c>
      <c r="Z23" s="192">
        <f t="shared" si="5"/>
        <v>250000</v>
      </c>
      <c r="AA23" s="192">
        <f t="shared" si="6"/>
        <v>3000000</v>
      </c>
    </row>
    <row r="24" spans="1:27" ht="15.75" customHeight="1" x14ac:dyDescent="0.25">
      <c r="A24" s="187">
        <v>23</v>
      </c>
      <c r="B24" s="187" t="s">
        <v>191</v>
      </c>
      <c r="C24" s="187"/>
      <c r="D24" s="187" t="s">
        <v>246</v>
      </c>
      <c r="E24" s="187" t="s">
        <v>246</v>
      </c>
      <c r="F24" s="187" t="s">
        <v>247</v>
      </c>
      <c r="G24" s="187" t="s">
        <v>248</v>
      </c>
      <c r="H24" s="190">
        <v>44070</v>
      </c>
      <c r="I24" s="190"/>
      <c r="J24" s="187" t="s">
        <v>249</v>
      </c>
      <c r="K24" s="193">
        <v>3000000</v>
      </c>
      <c r="L24" s="190"/>
      <c r="M24" s="191">
        <v>2500000</v>
      </c>
      <c r="N24" s="187" t="s">
        <v>250</v>
      </c>
      <c r="O24" s="177"/>
      <c r="P24" s="177"/>
      <c r="Q24" s="177"/>
      <c r="R24" s="177"/>
      <c r="S24" s="177"/>
      <c r="T24" s="177"/>
      <c r="U24" s="177"/>
      <c r="V24" s="177"/>
      <c r="W24" s="177"/>
      <c r="X24" s="177"/>
      <c r="Y24" s="177"/>
      <c r="Z24" s="177"/>
      <c r="AA24" s="177"/>
    </row>
    <row r="25" spans="1:27" ht="15.75" customHeight="1" x14ac:dyDescent="0.25">
      <c r="A25" s="187">
        <v>24</v>
      </c>
      <c r="B25" s="187" t="s">
        <v>191</v>
      </c>
      <c r="C25" s="187"/>
      <c r="D25" s="187" t="s">
        <v>251</v>
      </c>
      <c r="E25" s="187" t="s">
        <v>252</v>
      </c>
      <c r="F25" s="187" t="s">
        <v>253</v>
      </c>
      <c r="G25" s="187"/>
      <c r="H25" s="190">
        <v>44084</v>
      </c>
      <c r="I25" s="190">
        <v>44091</v>
      </c>
      <c r="J25" s="187" t="s">
        <v>224</v>
      </c>
      <c r="K25" s="193">
        <v>500000</v>
      </c>
      <c r="L25" s="190"/>
      <c r="M25" s="191">
        <v>1000000</v>
      </c>
      <c r="N25" s="187"/>
      <c r="O25" s="192">
        <f t="shared" ref="O25:Z40" si="7">$K25/2</f>
        <v>250000</v>
      </c>
      <c r="P25" s="192">
        <f t="shared" si="7"/>
        <v>250000</v>
      </c>
      <c r="Q25" s="192">
        <f t="shared" si="7"/>
        <v>250000</v>
      </c>
      <c r="R25" s="192">
        <f t="shared" si="7"/>
        <v>250000</v>
      </c>
      <c r="S25" s="192">
        <f t="shared" si="7"/>
        <v>250000</v>
      </c>
      <c r="T25" s="192">
        <f t="shared" si="7"/>
        <v>250000</v>
      </c>
      <c r="U25" s="192">
        <f t="shared" si="7"/>
        <v>250000</v>
      </c>
      <c r="V25" s="192">
        <f t="shared" si="7"/>
        <v>250000</v>
      </c>
      <c r="W25" s="192">
        <f t="shared" si="7"/>
        <v>250000</v>
      </c>
      <c r="X25" s="192">
        <f t="shared" si="7"/>
        <v>250000</v>
      </c>
      <c r="Y25" s="192">
        <f t="shared" si="7"/>
        <v>250000</v>
      </c>
      <c r="Z25" s="192">
        <f t="shared" si="7"/>
        <v>250000</v>
      </c>
      <c r="AA25" s="192">
        <f t="shared" ref="AA25:AA27" si="8">SUM(O25:Z25)</f>
        <v>3000000</v>
      </c>
    </row>
    <row r="26" spans="1:27" ht="15.75" customHeight="1" x14ac:dyDescent="0.25">
      <c r="A26" s="187">
        <v>25</v>
      </c>
      <c r="B26" s="187" t="s">
        <v>191</v>
      </c>
      <c r="C26" s="187"/>
      <c r="D26" s="187" t="s">
        <v>254</v>
      </c>
      <c r="E26" s="187"/>
      <c r="F26" s="187" t="s">
        <v>255</v>
      </c>
      <c r="G26" s="187">
        <v>140</v>
      </c>
      <c r="H26" s="190">
        <v>44096</v>
      </c>
      <c r="I26" s="190">
        <v>44103</v>
      </c>
      <c r="J26" s="187" t="s">
        <v>224</v>
      </c>
      <c r="K26" s="193">
        <v>500000</v>
      </c>
      <c r="L26" s="190"/>
      <c r="M26" s="191">
        <v>1000000</v>
      </c>
      <c r="N26" s="187"/>
      <c r="O26" s="192">
        <f t="shared" si="7"/>
        <v>250000</v>
      </c>
      <c r="P26" s="192">
        <f t="shared" si="7"/>
        <v>250000</v>
      </c>
      <c r="Q26" s="192">
        <f t="shared" si="7"/>
        <v>250000</v>
      </c>
      <c r="R26" s="192">
        <f t="shared" si="7"/>
        <v>250000</v>
      </c>
      <c r="S26" s="192">
        <f t="shared" si="7"/>
        <v>250000</v>
      </c>
      <c r="T26" s="192">
        <f t="shared" si="7"/>
        <v>250000</v>
      </c>
      <c r="U26" s="192">
        <f t="shared" si="7"/>
        <v>250000</v>
      </c>
      <c r="V26" s="192">
        <f t="shared" si="7"/>
        <v>250000</v>
      </c>
      <c r="W26" s="192">
        <f t="shared" si="7"/>
        <v>250000</v>
      </c>
      <c r="X26" s="192">
        <f t="shared" si="7"/>
        <v>250000</v>
      </c>
      <c r="Y26" s="192">
        <f t="shared" si="7"/>
        <v>250000</v>
      </c>
      <c r="Z26" s="192">
        <f t="shared" si="7"/>
        <v>250000</v>
      </c>
      <c r="AA26" s="192">
        <f t="shared" si="8"/>
        <v>3000000</v>
      </c>
    </row>
    <row r="27" spans="1:27" ht="15.75" customHeight="1" x14ac:dyDescent="0.25">
      <c r="A27" s="187">
        <v>26</v>
      </c>
      <c r="B27" s="187" t="s">
        <v>191</v>
      </c>
      <c r="C27" s="187"/>
      <c r="D27" s="187" t="s">
        <v>256</v>
      </c>
      <c r="E27" s="187" t="s">
        <v>257</v>
      </c>
      <c r="F27" s="187" t="s">
        <v>255</v>
      </c>
      <c r="G27" s="187">
        <v>115</v>
      </c>
      <c r="H27" s="190">
        <v>44109</v>
      </c>
      <c r="I27" s="190">
        <v>44127</v>
      </c>
      <c r="J27" s="187" t="s">
        <v>224</v>
      </c>
      <c r="K27" s="193">
        <v>500000</v>
      </c>
      <c r="L27" s="190"/>
      <c r="M27" s="191">
        <v>1000000</v>
      </c>
      <c r="N27" s="187"/>
      <c r="O27" s="192">
        <f t="shared" si="7"/>
        <v>250000</v>
      </c>
      <c r="P27" s="192">
        <f t="shared" si="7"/>
        <v>250000</v>
      </c>
      <c r="Q27" s="192">
        <f t="shared" si="7"/>
        <v>250000</v>
      </c>
      <c r="R27" s="192">
        <f t="shared" si="7"/>
        <v>250000</v>
      </c>
      <c r="S27" s="192">
        <f t="shared" si="7"/>
        <v>250000</v>
      </c>
      <c r="T27" s="192">
        <f t="shared" si="7"/>
        <v>250000</v>
      </c>
      <c r="U27" s="192">
        <f t="shared" si="7"/>
        <v>250000</v>
      </c>
      <c r="V27" s="192">
        <f t="shared" si="7"/>
        <v>250000</v>
      </c>
      <c r="W27" s="192">
        <f t="shared" si="7"/>
        <v>250000</v>
      </c>
      <c r="X27" s="192">
        <f t="shared" si="7"/>
        <v>250000</v>
      </c>
      <c r="Y27" s="192">
        <f t="shared" si="7"/>
        <v>250000</v>
      </c>
      <c r="Z27" s="192">
        <f t="shared" si="7"/>
        <v>250000</v>
      </c>
      <c r="AA27" s="192">
        <f t="shared" si="8"/>
        <v>3000000</v>
      </c>
    </row>
    <row r="28" spans="1:27" ht="15.75" customHeight="1" x14ac:dyDescent="0.25">
      <c r="A28" s="178">
        <v>27</v>
      </c>
      <c r="B28" s="178" t="s">
        <v>191</v>
      </c>
      <c r="C28" s="178"/>
      <c r="D28" s="178" t="s">
        <v>258</v>
      </c>
      <c r="E28" s="178" t="s">
        <v>259</v>
      </c>
      <c r="F28" s="178" t="s">
        <v>229</v>
      </c>
      <c r="G28" s="178" t="s">
        <v>260</v>
      </c>
      <c r="H28" s="182">
        <v>44125</v>
      </c>
      <c r="I28" s="182">
        <v>44131</v>
      </c>
      <c r="J28" s="178" t="s">
        <v>200</v>
      </c>
      <c r="K28" s="194">
        <v>750000</v>
      </c>
      <c r="L28" s="182">
        <v>45054</v>
      </c>
      <c r="M28" s="183">
        <v>1000000</v>
      </c>
      <c r="N28" s="178" t="s">
        <v>261</v>
      </c>
      <c r="O28" s="176">
        <f>$K28/2</f>
        <v>375000</v>
      </c>
      <c r="P28" s="176">
        <f t="shared" si="7"/>
        <v>375000</v>
      </c>
      <c r="Q28" s="176">
        <f t="shared" si="7"/>
        <v>375000</v>
      </c>
      <c r="R28" s="176">
        <f t="shared" si="7"/>
        <v>375000</v>
      </c>
      <c r="S28" s="176">
        <f>((8/31)*K28)/2</f>
        <v>96774.193548387091</v>
      </c>
      <c r="AA28" s="176">
        <f>SUM(O28:Z28)</f>
        <v>1596774.1935483871</v>
      </c>
    </row>
    <row r="29" spans="1:27" ht="15.75" customHeight="1" x14ac:dyDescent="0.25">
      <c r="A29" s="187">
        <v>28</v>
      </c>
      <c r="B29" s="187" t="s">
        <v>191</v>
      </c>
      <c r="C29" s="187"/>
      <c r="D29" s="187" t="s">
        <v>262</v>
      </c>
      <c r="E29" s="187" t="s">
        <v>263</v>
      </c>
      <c r="F29" s="187">
        <v>4</v>
      </c>
      <c r="G29" s="187"/>
      <c r="H29" s="190">
        <v>44168</v>
      </c>
      <c r="I29" s="190">
        <v>44173</v>
      </c>
      <c r="J29" s="187" t="s">
        <v>225</v>
      </c>
      <c r="K29" s="193">
        <v>500000</v>
      </c>
      <c r="L29" s="190"/>
      <c r="M29" s="191">
        <v>1000000</v>
      </c>
      <c r="N29" s="187"/>
      <c r="O29" s="192">
        <f t="shared" ref="O29:Z44" si="9">$K29/2</f>
        <v>250000</v>
      </c>
      <c r="P29" s="192">
        <f t="shared" si="7"/>
        <v>250000</v>
      </c>
      <c r="Q29" s="192">
        <f t="shared" si="7"/>
        <v>250000</v>
      </c>
      <c r="R29" s="192">
        <f t="shared" si="7"/>
        <v>250000</v>
      </c>
      <c r="S29" s="192">
        <f t="shared" si="7"/>
        <v>250000</v>
      </c>
      <c r="T29" s="192">
        <f t="shared" si="7"/>
        <v>250000</v>
      </c>
      <c r="U29" s="192">
        <f t="shared" si="7"/>
        <v>250000</v>
      </c>
      <c r="V29" s="192">
        <f t="shared" si="7"/>
        <v>250000</v>
      </c>
      <c r="W29" s="192">
        <f t="shared" si="7"/>
        <v>250000</v>
      </c>
      <c r="X29" s="192">
        <f t="shared" si="7"/>
        <v>250000</v>
      </c>
      <c r="Y29" s="192">
        <f t="shared" si="7"/>
        <v>250000</v>
      </c>
      <c r="Z29" s="192">
        <f t="shared" si="7"/>
        <v>250000</v>
      </c>
      <c r="AA29" s="192">
        <f t="shared" ref="AA29:AA56" si="10">SUM(O29:Z29)</f>
        <v>3000000</v>
      </c>
    </row>
    <row r="30" spans="1:27" ht="15.75" customHeight="1" x14ac:dyDescent="0.25">
      <c r="A30" s="187">
        <v>29</v>
      </c>
      <c r="B30" s="187" t="s">
        <v>191</v>
      </c>
      <c r="C30" s="187"/>
      <c r="D30" s="187" t="s">
        <v>264</v>
      </c>
      <c r="E30" s="187"/>
      <c r="F30" s="187">
        <v>2</v>
      </c>
      <c r="G30" s="187"/>
      <c r="H30" s="190">
        <v>44169</v>
      </c>
      <c r="I30" s="190">
        <v>44176</v>
      </c>
      <c r="J30" s="187" t="s">
        <v>200</v>
      </c>
      <c r="K30" s="193">
        <v>750000</v>
      </c>
      <c r="L30" s="190"/>
      <c r="M30" s="191">
        <v>1000000</v>
      </c>
      <c r="N30" s="187"/>
      <c r="O30" s="192">
        <f t="shared" si="9"/>
        <v>375000</v>
      </c>
      <c r="P30" s="192">
        <f t="shared" si="7"/>
        <v>375000</v>
      </c>
      <c r="Q30" s="192">
        <f t="shared" si="7"/>
        <v>375000</v>
      </c>
      <c r="R30" s="192">
        <f t="shared" si="7"/>
        <v>375000</v>
      </c>
      <c r="S30" s="192">
        <f t="shared" si="7"/>
        <v>375000</v>
      </c>
      <c r="T30" s="192">
        <f t="shared" si="7"/>
        <v>375000</v>
      </c>
      <c r="U30" s="192">
        <f t="shared" si="7"/>
        <v>375000</v>
      </c>
      <c r="V30" s="192">
        <f t="shared" si="7"/>
        <v>375000</v>
      </c>
      <c r="W30" s="192">
        <f t="shared" si="7"/>
        <v>375000</v>
      </c>
      <c r="X30" s="192">
        <f t="shared" si="7"/>
        <v>375000</v>
      </c>
      <c r="Y30" s="192">
        <f t="shared" si="7"/>
        <v>375000</v>
      </c>
      <c r="Z30" s="192">
        <f t="shared" si="7"/>
        <v>375000</v>
      </c>
      <c r="AA30" s="192">
        <f t="shared" si="10"/>
        <v>4500000</v>
      </c>
    </row>
    <row r="31" spans="1:27" ht="15.75" customHeight="1" x14ac:dyDescent="0.25">
      <c r="A31" s="187">
        <v>30</v>
      </c>
      <c r="B31" s="187" t="s">
        <v>191</v>
      </c>
      <c r="C31" s="187"/>
      <c r="D31" s="187" t="s">
        <v>265</v>
      </c>
      <c r="E31" s="187" t="s">
        <v>266</v>
      </c>
      <c r="F31" s="187">
        <v>4</v>
      </c>
      <c r="G31" s="187" t="s">
        <v>267</v>
      </c>
      <c r="H31" s="190">
        <v>44221</v>
      </c>
      <c r="I31" s="190">
        <v>44224</v>
      </c>
      <c r="J31" s="187" t="s">
        <v>200</v>
      </c>
      <c r="K31" s="193">
        <v>1250000</v>
      </c>
      <c r="L31" s="190"/>
      <c r="M31" s="191">
        <v>700000</v>
      </c>
      <c r="N31" s="187"/>
      <c r="O31" s="192">
        <f t="shared" si="9"/>
        <v>625000</v>
      </c>
      <c r="P31" s="192">
        <f t="shared" si="7"/>
        <v>625000</v>
      </c>
      <c r="Q31" s="192">
        <f t="shared" si="7"/>
        <v>625000</v>
      </c>
      <c r="R31" s="192">
        <f t="shared" si="7"/>
        <v>625000</v>
      </c>
      <c r="S31" s="192">
        <f t="shared" si="7"/>
        <v>625000</v>
      </c>
      <c r="T31" s="192">
        <f t="shared" si="7"/>
        <v>625000</v>
      </c>
      <c r="U31" s="192">
        <f t="shared" si="7"/>
        <v>625000</v>
      </c>
      <c r="V31" s="192">
        <f t="shared" si="7"/>
        <v>625000</v>
      </c>
      <c r="W31" s="192">
        <f t="shared" si="7"/>
        <v>625000</v>
      </c>
      <c r="X31" s="192">
        <f t="shared" si="7"/>
        <v>625000</v>
      </c>
      <c r="Y31" s="192">
        <f t="shared" si="7"/>
        <v>625000</v>
      </c>
      <c r="Z31" s="192">
        <f t="shared" si="7"/>
        <v>625000</v>
      </c>
      <c r="AA31" s="192">
        <f t="shared" si="10"/>
        <v>7500000</v>
      </c>
    </row>
    <row r="32" spans="1:27" ht="15.75" customHeight="1" x14ac:dyDescent="0.25">
      <c r="A32" s="187">
        <v>31</v>
      </c>
      <c r="B32" s="187" t="s">
        <v>191</v>
      </c>
      <c r="C32" s="187"/>
      <c r="D32" s="187" t="s">
        <v>268</v>
      </c>
      <c r="E32" s="187"/>
      <c r="F32" s="187">
        <v>1</v>
      </c>
      <c r="G32" s="187" t="s">
        <v>269</v>
      </c>
      <c r="H32" s="190">
        <v>44229</v>
      </c>
      <c r="I32" s="190">
        <v>44235</v>
      </c>
      <c r="J32" s="187" t="s">
        <v>200</v>
      </c>
      <c r="K32" s="193">
        <v>750000</v>
      </c>
      <c r="L32" s="190"/>
      <c r="M32" s="191">
        <v>1500000</v>
      </c>
      <c r="N32" s="187"/>
      <c r="O32" s="192">
        <f t="shared" si="9"/>
        <v>375000</v>
      </c>
      <c r="P32" s="192">
        <f t="shared" si="7"/>
        <v>375000</v>
      </c>
      <c r="Q32" s="192">
        <f t="shared" si="7"/>
        <v>375000</v>
      </c>
      <c r="R32" s="192">
        <f t="shared" si="7"/>
        <v>375000</v>
      </c>
      <c r="S32" s="192">
        <f t="shared" si="7"/>
        <v>375000</v>
      </c>
      <c r="T32" s="192">
        <f t="shared" si="7"/>
        <v>375000</v>
      </c>
      <c r="U32" s="192">
        <f t="shared" si="7"/>
        <v>375000</v>
      </c>
      <c r="V32" s="192">
        <f t="shared" si="7"/>
        <v>375000</v>
      </c>
      <c r="W32" s="192">
        <f t="shared" si="7"/>
        <v>375000</v>
      </c>
      <c r="X32" s="192">
        <f t="shared" si="7"/>
        <v>375000</v>
      </c>
      <c r="Y32" s="192">
        <f t="shared" si="7"/>
        <v>375000</v>
      </c>
      <c r="Z32" s="192">
        <f t="shared" si="7"/>
        <v>375000</v>
      </c>
      <c r="AA32" s="192">
        <f t="shared" si="10"/>
        <v>4500000</v>
      </c>
    </row>
    <row r="33" spans="1:27" ht="15.75" customHeight="1" x14ac:dyDescent="0.25">
      <c r="A33" s="187">
        <v>32</v>
      </c>
      <c r="B33" s="187" t="s">
        <v>191</v>
      </c>
      <c r="C33" s="187"/>
      <c r="D33" s="187" t="s">
        <v>270</v>
      </c>
      <c r="E33" s="187"/>
      <c r="F33" s="187">
        <v>2</v>
      </c>
      <c r="G33" s="187"/>
      <c r="H33" s="190">
        <v>44263</v>
      </c>
      <c r="I33" s="190">
        <v>44267</v>
      </c>
      <c r="J33" s="187" t="s">
        <v>271</v>
      </c>
      <c r="K33" s="193">
        <v>750000</v>
      </c>
      <c r="L33" s="190"/>
      <c r="M33" s="191">
        <v>1600000</v>
      </c>
      <c r="N33" s="187" t="s">
        <v>272</v>
      </c>
      <c r="O33" s="192">
        <f t="shared" si="9"/>
        <v>375000</v>
      </c>
      <c r="P33" s="192">
        <f t="shared" si="7"/>
        <v>375000</v>
      </c>
      <c r="Q33" s="192">
        <f t="shared" si="7"/>
        <v>375000</v>
      </c>
      <c r="R33" s="192">
        <f t="shared" si="7"/>
        <v>375000</v>
      </c>
      <c r="S33" s="192">
        <f t="shared" si="7"/>
        <v>375000</v>
      </c>
      <c r="T33" s="192">
        <f t="shared" si="7"/>
        <v>375000</v>
      </c>
      <c r="U33" s="192">
        <f t="shared" si="7"/>
        <v>375000</v>
      </c>
      <c r="V33" s="192">
        <f t="shared" si="7"/>
        <v>375000</v>
      </c>
      <c r="W33" s="192">
        <f t="shared" si="7"/>
        <v>375000</v>
      </c>
      <c r="X33" s="192">
        <f t="shared" si="7"/>
        <v>375000</v>
      </c>
      <c r="Y33" s="192">
        <f t="shared" si="7"/>
        <v>375000</v>
      </c>
      <c r="Z33" s="192">
        <f t="shared" si="7"/>
        <v>375000</v>
      </c>
      <c r="AA33" s="192">
        <f t="shared" si="10"/>
        <v>4500000</v>
      </c>
    </row>
    <row r="34" spans="1:27" ht="15.75" customHeight="1" x14ac:dyDescent="0.25">
      <c r="A34" s="187">
        <v>33</v>
      </c>
      <c r="B34" s="187" t="s">
        <v>191</v>
      </c>
      <c r="C34" s="187"/>
      <c r="D34" s="187" t="s">
        <v>273</v>
      </c>
      <c r="E34" s="187"/>
      <c r="F34" s="187" t="s">
        <v>245</v>
      </c>
      <c r="G34" s="187">
        <v>57</v>
      </c>
      <c r="H34" s="190">
        <v>44308</v>
      </c>
      <c r="I34" s="190">
        <v>44319</v>
      </c>
      <c r="J34" s="187" t="s">
        <v>225</v>
      </c>
      <c r="K34" s="193">
        <v>500000</v>
      </c>
      <c r="L34" s="190"/>
      <c r="M34" s="191">
        <v>1000000</v>
      </c>
      <c r="N34" s="187"/>
      <c r="O34" s="192">
        <f t="shared" si="9"/>
        <v>250000</v>
      </c>
      <c r="P34" s="192">
        <f t="shared" si="7"/>
        <v>250000</v>
      </c>
      <c r="Q34" s="192">
        <f t="shared" si="7"/>
        <v>250000</v>
      </c>
      <c r="R34" s="192">
        <f t="shared" si="7"/>
        <v>250000</v>
      </c>
      <c r="S34" s="192">
        <f t="shared" si="7"/>
        <v>250000</v>
      </c>
      <c r="T34" s="192">
        <f t="shared" si="7"/>
        <v>250000</v>
      </c>
      <c r="U34" s="192">
        <f t="shared" si="7"/>
        <v>250000</v>
      </c>
      <c r="V34" s="192">
        <f t="shared" si="7"/>
        <v>250000</v>
      </c>
      <c r="W34" s="192">
        <f t="shared" si="7"/>
        <v>250000</v>
      </c>
      <c r="X34" s="192">
        <f t="shared" si="7"/>
        <v>250000</v>
      </c>
      <c r="Y34" s="192">
        <f t="shared" si="7"/>
        <v>250000</v>
      </c>
      <c r="Z34" s="192">
        <f t="shared" si="7"/>
        <v>250000</v>
      </c>
      <c r="AA34" s="192">
        <f t="shared" si="10"/>
        <v>3000000</v>
      </c>
    </row>
    <row r="35" spans="1:27" ht="15.75" customHeight="1" x14ac:dyDescent="0.25">
      <c r="A35" s="187">
        <v>34</v>
      </c>
      <c r="B35" s="187" t="s">
        <v>191</v>
      </c>
      <c r="C35" s="187"/>
      <c r="D35" s="187" t="s">
        <v>274</v>
      </c>
      <c r="E35" s="187"/>
      <c r="F35" s="187" t="s">
        <v>245</v>
      </c>
      <c r="G35" s="187"/>
      <c r="H35" s="190">
        <v>44320</v>
      </c>
      <c r="I35" s="190">
        <v>44322</v>
      </c>
      <c r="J35" s="187" t="s">
        <v>200</v>
      </c>
      <c r="K35" s="193">
        <v>750000</v>
      </c>
      <c r="L35" s="190"/>
      <c r="M35" s="191">
        <v>1000000</v>
      </c>
      <c r="N35" s="187"/>
      <c r="O35" s="192">
        <f t="shared" si="9"/>
        <v>375000</v>
      </c>
      <c r="P35" s="192">
        <f t="shared" si="7"/>
        <v>375000</v>
      </c>
      <c r="Q35" s="192">
        <f t="shared" si="7"/>
        <v>375000</v>
      </c>
      <c r="R35" s="192">
        <f t="shared" si="7"/>
        <v>375000</v>
      </c>
      <c r="S35" s="192">
        <f t="shared" si="7"/>
        <v>375000</v>
      </c>
      <c r="T35" s="192">
        <f t="shared" si="7"/>
        <v>375000</v>
      </c>
      <c r="U35" s="192">
        <f t="shared" si="7"/>
        <v>375000</v>
      </c>
      <c r="V35" s="192">
        <f t="shared" si="7"/>
        <v>375000</v>
      </c>
      <c r="W35" s="192">
        <f t="shared" si="7"/>
        <v>375000</v>
      </c>
      <c r="X35" s="192">
        <f t="shared" si="7"/>
        <v>375000</v>
      </c>
      <c r="Y35" s="192">
        <f t="shared" si="7"/>
        <v>375000</v>
      </c>
      <c r="Z35" s="192">
        <f t="shared" si="7"/>
        <v>375000</v>
      </c>
      <c r="AA35" s="192">
        <f t="shared" si="10"/>
        <v>4500000</v>
      </c>
    </row>
    <row r="36" spans="1:27" ht="15.75" customHeight="1" x14ac:dyDescent="0.25">
      <c r="A36" s="187">
        <v>35</v>
      </c>
      <c r="B36" s="187" t="s">
        <v>191</v>
      </c>
      <c r="C36" s="187"/>
      <c r="D36" s="187" t="s">
        <v>275</v>
      </c>
      <c r="E36" s="187"/>
      <c r="F36" s="187">
        <v>1</v>
      </c>
      <c r="G36" s="187"/>
      <c r="H36" s="190">
        <v>44470</v>
      </c>
      <c r="I36" s="190">
        <v>44528</v>
      </c>
      <c r="J36" s="187" t="s">
        <v>225</v>
      </c>
      <c r="K36" s="193">
        <v>500000</v>
      </c>
      <c r="L36" s="190"/>
      <c r="M36" s="191">
        <v>1000000</v>
      </c>
      <c r="N36" s="187"/>
      <c r="O36" s="192">
        <f t="shared" si="9"/>
        <v>250000</v>
      </c>
      <c r="P36" s="192">
        <f t="shared" si="7"/>
        <v>250000</v>
      </c>
      <c r="Q36" s="192">
        <f t="shared" si="7"/>
        <v>250000</v>
      </c>
      <c r="R36" s="192">
        <f t="shared" si="7"/>
        <v>250000</v>
      </c>
      <c r="S36" s="192">
        <f t="shared" si="7"/>
        <v>250000</v>
      </c>
      <c r="T36" s="192">
        <f t="shared" si="7"/>
        <v>250000</v>
      </c>
      <c r="U36" s="192">
        <f t="shared" si="7"/>
        <v>250000</v>
      </c>
      <c r="V36" s="192">
        <f t="shared" si="7"/>
        <v>250000</v>
      </c>
      <c r="W36" s="192">
        <f t="shared" si="7"/>
        <v>250000</v>
      </c>
      <c r="X36" s="192">
        <f t="shared" si="7"/>
        <v>250000</v>
      </c>
      <c r="Y36" s="192">
        <f t="shared" si="7"/>
        <v>250000</v>
      </c>
      <c r="Z36" s="192">
        <f t="shared" si="7"/>
        <v>250000</v>
      </c>
      <c r="AA36" s="192">
        <f t="shared" si="10"/>
        <v>3000000</v>
      </c>
    </row>
    <row r="37" spans="1:27" ht="15.75" customHeight="1" x14ac:dyDescent="0.25">
      <c r="A37" s="187">
        <v>36</v>
      </c>
      <c r="B37" s="187" t="s">
        <v>191</v>
      </c>
      <c r="C37" s="187"/>
      <c r="D37" s="187" t="s">
        <v>276</v>
      </c>
      <c r="E37" s="187" t="s">
        <v>277</v>
      </c>
      <c r="F37" s="187">
        <v>1</v>
      </c>
      <c r="G37" s="187" t="s">
        <v>278</v>
      </c>
      <c r="H37" s="190">
        <v>44473</v>
      </c>
      <c r="I37" s="190">
        <v>44477</v>
      </c>
      <c r="J37" s="187" t="s">
        <v>200</v>
      </c>
      <c r="K37" s="193">
        <v>750000</v>
      </c>
      <c r="L37" s="190"/>
      <c r="M37" s="191">
        <v>1000000</v>
      </c>
      <c r="N37" s="187"/>
      <c r="O37" s="192">
        <f t="shared" si="9"/>
        <v>375000</v>
      </c>
      <c r="P37" s="192">
        <f t="shared" si="7"/>
        <v>375000</v>
      </c>
      <c r="Q37" s="192">
        <f t="shared" si="7"/>
        <v>375000</v>
      </c>
      <c r="R37" s="192">
        <f t="shared" si="7"/>
        <v>375000</v>
      </c>
      <c r="S37" s="192">
        <f t="shared" si="7"/>
        <v>375000</v>
      </c>
      <c r="T37" s="192">
        <f t="shared" si="7"/>
        <v>375000</v>
      </c>
      <c r="U37" s="192">
        <f t="shared" si="7"/>
        <v>375000</v>
      </c>
      <c r="V37" s="192">
        <f t="shared" si="7"/>
        <v>375000</v>
      </c>
      <c r="W37" s="192">
        <f t="shared" si="7"/>
        <v>375000</v>
      </c>
      <c r="X37" s="192">
        <f t="shared" si="7"/>
        <v>375000</v>
      </c>
      <c r="Y37" s="192">
        <f t="shared" si="7"/>
        <v>375000</v>
      </c>
      <c r="Z37" s="192">
        <f t="shared" si="7"/>
        <v>375000</v>
      </c>
      <c r="AA37" s="192">
        <f t="shared" si="10"/>
        <v>4500000</v>
      </c>
    </row>
    <row r="38" spans="1:27" x14ac:dyDescent="0.25">
      <c r="A38" s="187">
        <v>37</v>
      </c>
      <c r="B38" s="187" t="s">
        <v>191</v>
      </c>
      <c r="C38" s="187"/>
      <c r="D38" s="187" t="s">
        <v>279</v>
      </c>
      <c r="E38" s="187"/>
      <c r="F38" s="187" t="s">
        <v>280</v>
      </c>
      <c r="G38" s="187"/>
      <c r="H38" s="188">
        <v>44481</v>
      </c>
      <c r="I38" s="190">
        <v>44540</v>
      </c>
      <c r="J38" s="187" t="s">
        <v>200</v>
      </c>
      <c r="K38" s="193">
        <v>750000</v>
      </c>
      <c r="L38" s="190"/>
      <c r="M38" s="191">
        <v>1000000</v>
      </c>
      <c r="N38" s="187"/>
      <c r="O38" s="192">
        <f t="shared" si="9"/>
        <v>375000</v>
      </c>
      <c r="P38" s="192">
        <f t="shared" si="7"/>
        <v>375000</v>
      </c>
      <c r="Q38" s="192">
        <f t="shared" si="7"/>
        <v>375000</v>
      </c>
      <c r="R38" s="192">
        <f t="shared" si="7"/>
        <v>375000</v>
      </c>
      <c r="S38" s="192">
        <f t="shared" si="7"/>
        <v>375000</v>
      </c>
      <c r="T38" s="192">
        <f t="shared" si="7"/>
        <v>375000</v>
      </c>
      <c r="U38" s="192">
        <f t="shared" si="7"/>
        <v>375000</v>
      </c>
      <c r="V38" s="192">
        <f t="shared" si="7"/>
        <v>375000</v>
      </c>
      <c r="W38" s="192">
        <f t="shared" si="7"/>
        <v>375000</v>
      </c>
      <c r="X38" s="192">
        <f t="shared" si="7"/>
        <v>375000</v>
      </c>
      <c r="Y38" s="192">
        <f t="shared" si="7"/>
        <v>375000</v>
      </c>
      <c r="Z38" s="192">
        <f t="shared" si="7"/>
        <v>375000</v>
      </c>
      <c r="AA38" s="192">
        <f t="shared" si="10"/>
        <v>4500000</v>
      </c>
    </row>
    <row r="39" spans="1:27" x14ac:dyDescent="0.25">
      <c r="A39" s="187">
        <v>38</v>
      </c>
      <c r="B39" s="187" t="s">
        <v>191</v>
      </c>
      <c r="C39" s="187"/>
      <c r="D39" s="187" t="s">
        <v>281</v>
      </c>
      <c r="E39" s="187"/>
      <c r="F39" s="187" t="s">
        <v>282</v>
      </c>
      <c r="G39" s="187">
        <v>54</v>
      </c>
      <c r="H39" s="188">
        <v>44894</v>
      </c>
      <c r="I39" s="190">
        <v>44531</v>
      </c>
      <c r="J39" s="187" t="s">
        <v>224</v>
      </c>
      <c r="K39" s="193">
        <v>350000</v>
      </c>
      <c r="L39" s="190"/>
      <c r="M39" s="191">
        <v>500000</v>
      </c>
      <c r="N39" s="187"/>
      <c r="O39" s="192">
        <f t="shared" si="9"/>
        <v>175000</v>
      </c>
      <c r="P39" s="192">
        <f t="shared" si="7"/>
        <v>175000</v>
      </c>
      <c r="Q39" s="192">
        <f t="shared" si="7"/>
        <v>175000</v>
      </c>
      <c r="R39" s="192">
        <f t="shared" si="7"/>
        <v>175000</v>
      </c>
      <c r="S39" s="192">
        <f t="shared" si="7"/>
        <v>175000</v>
      </c>
      <c r="T39" s="192">
        <f t="shared" si="7"/>
        <v>175000</v>
      </c>
      <c r="U39" s="192">
        <f t="shared" si="7"/>
        <v>175000</v>
      </c>
      <c r="V39" s="192">
        <f t="shared" si="7"/>
        <v>175000</v>
      </c>
      <c r="W39" s="192">
        <f t="shared" si="7"/>
        <v>175000</v>
      </c>
      <c r="X39" s="192">
        <f t="shared" si="7"/>
        <v>175000</v>
      </c>
      <c r="Y39" s="192">
        <f t="shared" si="7"/>
        <v>175000</v>
      </c>
      <c r="Z39" s="192">
        <f t="shared" si="7"/>
        <v>175000</v>
      </c>
      <c r="AA39" s="192">
        <f t="shared" si="10"/>
        <v>2100000</v>
      </c>
    </row>
    <row r="40" spans="1:27" ht="15.75" customHeight="1" x14ac:dyDescent="0.25">
      <c r="A40" s="187">
        <v>39</v>
      </c>
      <c r="B40" s="187" t="s">
        <v>191</v>
      </c>
      <c r="C40" s="187"/>
      <c r="D40" s="187" t="s">
        <v>283</v>
      </c>
      <c r="E40" s="187"/>
      <c r="F40" s="187" t="s">
        <v>282</v>
      </c>
      <c r="G40" s="187" t="s">
        <v>284</v>
      </c>
      <c r="H40" s="190">
        <v>44533</v>
      </c>
      <c r="I40" s="190">
        <v>44569</v>
      </c>
      <c r="J40" s="187" t="s">
        <v>200</v>
      </c>
      <c r="K40" s="193">
        <v>750000</v>
      </c>
      <c r="L40" s="190"/>
      <c r="M40" s="191">
        <v>1000000</v>
      </c>
      <c r="N40" s="187"/>
      <c r="O40" s="192">
        <f t="shared" si="9"/>
        <v>375000</v>
      </c>
      <c r="P40" s="192">
        <f t="shared" si="7"/>
        <v>375000</v>
      </c>
      <c r="Q40" s="192">
        <f t="shared" si="7"/>
        <v>375000</v>
      </c>
      <c r="R40" s="192">
        <f t="shared" si="7"/>
        <v>375000</v>
      </c>
      <c r="S40" s="192">
        <f t="shared" si="7"/>
        <v>375000</v>
      </c>
      <c r="T40" s="192">
        <f t="shared" si="7"/>
        <v>375000</v>
      </c>
      <c r="U40" s="192">
        <f t="shared" si="7"/>
        <v>375000</v>
      </c>
      <c r="V40" s="192">
        <f t="shared" si="7"/>
        <v>375000</v>
      </c>
      <c r="W40" s="192">
        <f t="shared" si="7"/>
        <v>375000</v>
      </c>
      <c r="X40" s="192">
        <f t="shared" si="7"/>
        <v>375000</v>
      </c>
      <c r="Y40" s="192">
        <f t="shared" si="7"/>
        <v>375000</v>
      </c>
      <c r="Z40" s="192">
        <f t="shared" si="7"/>
        <v>375000</v>
      </c>
      <c r="AA40" s="192">
        <f t="shared" si="10"/>
        <v>4500000</v>
      </c>
    </row>
    <row r="41" spans="1:27" ht="15.75" customHeight="1" x14ac:dyDescent="0.25">
      <c r="A41" s="187">
        <v>40</v>
      </c>
      <c r="B41" s="187" t="s">
        <v>191</v>
      </c>
      <c r="C41" s="187"/>
      <c r="D41" s="187" t="s">
        <v>285</v>
      </c>
      <c r="E41" s="187"/>
      <c r="F41" s="187">
        <v>1</v>
      </c>
      <c r="G41" s="187"/>
      <c r="H41" s="190">
        <v>44551</v>
      </c>
      <c r="I41" s="190">
        <v>44554</v>
      </c>
      <c r="J41" s="187" t="s">
        <v>249</v>
      </c>
      <c r="K41" s="193">
        <v>2600000</v>
      </c>
      <c r="L41" s="190"/>
      <c r="M41" s="191" t="s">
        <v>195</v>
      </c>
      <c r="N41" s="190"/>
      <c r="O41" s="192">
        <f t="shared" si="9"/>
        <v>1300000</v>
      </c>
      <c r="P41" s="192">
        <f t="shared" si="9"/>
        <v>1300000</v>
      </c>
      <c r="Q41" s="192">
        <f t="shared" si="9"/>
        <v>1300000</v>
      </c>
      <c r="R41" s="192">
        <f t="shared" si="9"/>
        <v>1300000</v>
      </c>
      <c r="S41" s="192">
        <f t="shared" si="9"/>
        <v>1300000</v>
      </c>
      <c r="T41" s="192">
        <f t="shared" si="9"/>
        <v>1300000</v>
      </c>
      <c r="U41" s="192">
        <f t="shared" si="9"/>
        <v>1300000</v>
      </c>
      <c r="V41" s="192">
        <f t="shared" si="9"/>
        <v>1300000</v>
      </c>
      <c r="W41" s="192">
        <f t="shared" si="9"/>
        <v>1300000</v>
      </c>
      <c r="X41" s="192">
        <f t="shared" si="9"/>
        <v>1300000</v>
      </c>
      <c r="Y41" s="192">
        <f t="shared" si="9"/>
        <v>1300000</v>
      </c>
      <c r="Z41" s="192">
        <f t="shared" si="9"/>
        <v>1300000</v>
      </c>
      <c r="AA41" s="192">
        <f t="shared" si="10"/>
        <v>15600000</v>
      </c>
    </row>
    <row r="42" spans="1:27" ht="15.75" customHeight="1" x14ac:dyDescent="0.25">
      <c r="A42" s="187">
        <v>41</v>
      </c>
      <c r="B42" s="187" t="s">
        <v>191</v>
      </c>
      <c r="C42" s="187"/>
      <c r="D42" s="187" t="s">
        <v>286</v>
      </c>
      <c r="E42" s="187"/>
      <c r="F42" s="187" t="s">
        <v>237</v>
      </c>
      <c r="G42" s="187"/>
      <c r="H42" s="190">
        <v>44566</v>
      </c>
      <c r="I42" s="190">
        <v>44574</v>
      </c>
      <c r="J42" s="187" t="s">
        <v>200</v>
      </c>
      <c r="K42" s="193">
        <v>750000</v>
      </c>
      <c r="L42" s="190"/>
      <c r="M42" s="191">
        <v>1000000</v>
      </c>
      <c r="N42" s="187"/>
      <c r="O42" s="192">
        <f t="shared" si="9"/>
        <v>375000</v>
      </c>
      <c r="P42" s="192">
        <f t="shared" si="9"/>
        <v>375000</v>
      </c>
      <c r="Q42" s="192">
        <f t="shared" si="9"/>
        <v>375000</v>
      </c>
      <c r="R42" s="192">
        <f t="shared" si="9"/>
        <v>375000</v>
      </c>
      <c r="S42" s="192">
        <f t="shared" si="9"/>
        <v>375000</v>
      </c>
      <c r="T42" s="192">
        <f t="shared" si="9"/>
        <v>375000</v>
      </c>
      <c r="U42" s="192">
        <f t="shared" si="9"/>
        <v>375000</v>
      </c>
      <c r="V42" s="192">
        <f t="shared" si="9"/>
        <v>375000</v>
      </c>
      <c r="W42" s="192">
        <f t="shared" si="9"/>
        <v>375000</v>
      </c>
      <c r="X42" s="192">
        <f t="shared" si="9"/>
        <v>375000</v>
      </c>
      <c r="Y42" s="192">
        <f t="shared" si="9"/>
        <v>375000</v>
      </c>
      <c r="Z42" s="192">
        <f t="shared" si="9"/>
        <v>375000</v>
      </c>
      <c r="AA42" s="192">
        <f t="shared" si="10"/>
        <v>4500000</v>
      </c>
    </row>
    <row r="43" spans="1:27" ht="15.75" customHeight="1" x14ac:dyDescent="0.25">
      <c r="A43" s="187">
        <v>42</v>
      </c>
      <c r="B43" s="187" t="s">
        <v>191</v>
      </c>
      <c r="C43" s="187"/>
      <c r="D43" s="187" t="s">
        <v>287</v>
      </c>
      <c r="E43" s="187"/>
      <c r="F43" s="187" t="s">
        <v>282</v>
      </c>
      <c r="G43" s="187"/>
      <c r="H43" s="190">
        <v>44595</v>
      </c>
      <c r="I43" s="190">
        <v>44631</v>
      </c>
      <c r="J43" s="187" t="s">
        <v>215</v>
      </c>
      <c r="K43" s="193">
        <v>1300000</v>
      </c>
      <c r="L43" s="190"/>
      <c r="M43" s="191">
        <v>1000000</v>
      </c>
      <c r="N43" s="187"/>
      <c r="O43" s="192">
        <f t="shared" si="9"/>
        <v>650000</v>
      </c>
      <c r="P43" s="192">
        <f t="shared" si="9"/>
        <v>650000</v>
      </c>
      <c r="Q43" s="192">
        <f t="shared" si="9"/>
        <v>650000</v>
      </c>
      <c r="R43" s="192">
        <f t="shared" si="9"/>
        <v>650000</v>
      </c>
      <c r="S43" s="192">
        <f t="shared" si="9"/>
        <v>650000</v>
      </c>
      <c r="T43" s="192">
        <f t="shared" si="9"/>
        <v>650000</v>
      </c>
      <c r="U43" s="192">
        <f t="shared" si="9"/>
        <v>650000</v>
      </c>
      <c r="V43" s="192">
        <f t="shared" si="9"/>
        <v>650000</v>
      </c>
      <c r="W43" s="192">
        <f t="shared" si="9"/>
        <v>650000</v>
      </c>
      <c r="X43" s="192">
        <f t="shared" si="9"/>
        <v>650000</v>
      </c>
      <c r="Y43" s="192">
        <f t="shared" si="9"/>
        <v>650000</v>
      </c>
      <c r="Z43" s="192">
        <f t="shared" si="9"/>
        <v>650000</v>
      </c>
      <c r="AA43" s="192">
        <f t="shared" si="10"/>
        <v>7800000</v>
      </c>
    </row>
    <row r="44" spans="1:27" ht="15.75" customHeight="1" x14ac:dyDescent="0.25">
      <c r="A44" s="187">
        <v>43</v>
      </c>
      <c r="B44" s="187" t="s">
        <v>191</v>
      </c>
      <c r="C44" s="187"/>
      <c r="D44" s="187" t="s">
        <v>288</v>
      </c>
      <c r="E44" s="187"/>
      <c r="F44" s="187" t="s">
        <v>247</v>
      </c>
      <c r="G44" s="187" t="s">
        <v>289</v>
      </c>
      <c r="H44" s="190">
        <v>44627</v>
      </c>
      <c r="I44" s="190">
        <v>44631</v>
      </c>
      <c r="J44" s="187" t="s">
        <v>290</v>
      </c>
      <c r="K44" s="193">
        <v>3900000</v>
      </c>
      <c r="L44" s="190"/>
      <c r="M44" s="191">
        <v>1000000</v>
      </c>
      <c r="N44" s="187"/>
      <c r="O44" s="192">
        <f t="shared" si="9"/>
        <v>1950000</v>
      </c>
      <c r="P44" s="192">
        <f t="shared" si="9"/>
        <v>1950000</v>
      </c>
      <c r="Q44" s="192">
        <f t="shared" si="9"/>
        <v>1950000</v>
      </c>
      <c r="R44" s="192">
        <f t="shared" si="9"/>
        <v>1950000</v>
      </c>
      <c r="S44" s="192">
        <f t="shared" si="9"/>
        <v>1950000</v>
      </c>
      <c r="T44" s="192">
        <f t="shared" si="9"/>
        <v>1950000</v>
      </c>
      <c r="U44" s="192">
        <f t="shared" si="9"/>
        <v>1950000</v>
      </c>
      <c r="V44" s="192">
        <f t="shared" si="9"/>
        <v>1950000</v>
      </c>
      <c r="W44" s="192">
        <f t="shared" si="9"/>
        <v>1950000</v>
      </c>
      <c r="X44" s="192">
        <f t="shared" si="9"/>
        <v>1950000</v>
      </c>
      <c r="Y44" s="192">
        <f t="shared" si="9"/>
        <v>1950000</v>
      </c>
      <c r="Z44" s="192">
        <f t="shared" si="9"/>
        <v>1950000</v>
      </c>
      <c r="AA44" s="192">
        <f t="shared" si="10"/>
        <v>23400000</v>
      </c>
    </row>
    <row r="45" spans="1:27" ht="15.75" customHeight="1" x14ac:dyDescent="0.25">
      <c r="A45" s="187">
        <v>44</v>
      </c>
      <c r="B45" s="187" t="s">
        <v>191</v>
      </c>
      <c r="C45" s="187"/>
      <c r="D45" s="187" t="s">
        <v>220</v>
      </c>
      <c r="E45" s="187"/>
      <c r="F45" s="187" t="s">
        <v>255</v>
      </c>
      <c r="G45" s="187" t="s">
        <v>291</v>
      </c>
      <c r="H45" s="190">
        <v>44693</v>
      </c>
      <c r="I45" s="190">
        <v>44712</v>
      </c>
      <c r="J45" s="187" t="s">
        <v>200</v>
      </c>
      <c r="K45" s="193">
        <v>750000</v>
      </c>
      <c r="L45" s="190"/>
      <c r="M45" s="191">
        <v>1000000</v>
      </c>
      <c r="N45" s="187"/>
      <c r="O45" s="192">
        <f t="shared" ref="O45:Z48" si="11">$K45/2</f>
        <v>375000</v>
      </c>
      <c r="P45" s="192">
        <f t="shared" si="11"/>
        <v>375000</v>
      </c>
      <c r="Q45" s="192">
        <f t="shared" si="11"/>
        <v>375000</v>
      </c>
      <c r="R45" s="192">
        <f t="shared" si="11"/>
        <v>375000</v>
      </c>
      <c r="S45" s="192">
        <f t="shared" si="11"/>
        <v>375000</v>
      </c>
      <c r="T45" s="192">
        <f t="shared" si="11"/>
        <v>375000</v>
      </c>
      <c r="U45" s="192">
        <f t="shared" si="11"/>
        <v>375000</v>
      </c>
      <c r="V45" s="192">
        <f t="shared" si="11"/>
        <v>375000</v>
      </c>
      <c r="W45" s="192">
        <f t="shared" si="11"/>
        <v>375000</v>
      </c>
      <c r="X45" s="192">
        <f t="shared" si="11"/>
        <v>375000</v>
      </c>
      <c r="Y45" s="192">
        <f t="shared" si="11"/>
        <v>375000</v>
      </c>
      <c r="Z45" s="192">
        <f t="shared" si="11"/>
        <v>375000</v>
      </c>
      <c r="AA45" s="192">
        <f t="shared" si="10"/>
        <v>4500000</v>
      </c>
    </row>
    <row r="46" spans="1:27" ht="15.75" customHeight="1" x14ac:dyDescent="0.25">
      <c r="A46" s="187">
        <v>45</v>
      </c>
      <c r="B46" s="187" t="s">
        <v>292</v>
      </c>
      <c r="C46" s="187">
        <v>52319</v>
      </c>
      <c r="D46" s="187" t="s">
        <v>293</v>
      </c>
      <c r="E46" s="187" t="s">
        <v>294</v>
      </c>
      <c r="F46" s="187" t="s">
        <v>247</v>
      </c>
      <c r="G46" s="187"/>
      <c r="H46" s="190">
        <v>44767</v>
      </c>
      <c r="I46" s="190">
        <v>44782</v>
      </c>
      <c r="J46" s="187" t="s">
        <v>295</v>
      </c>
      <c r="K46" s="193">
        <v>2750000</v>
      </c>
      <c r="L46" s="190"/>
      <c r="M46" s="191">
        <v>1500000</v>
      </c>
      <c r="N46" s="187"/>
      <c r="O46" s="192">
        <f t="shared" si="11"/>
        <v>1375000</v>
      </c>
      <c r="P46" s="192">
        <f t="shared" si="11"/>
        <v>1375000</v>
      </c>
      <c r="Q46" s="192">
        <f t="shared" si="11"/>
        <v>1375000</v>
      </c>
      <c r="R46" s="192">
        <f t="shared" si="11"/>
        <v>1375000</v>
      </c>
      <c r="S46" s="192">
        <f t="shared" si="11"/>
        <v>1375000</v>
      </c>
      <c r="T46" s="192">
        <f t="shared" si="11"/>
        <v>1375000</v>
      </c>
      <c r="U46" s="192">
        <f t="shared" si="11"/>
        <v>1375000</v>
      </c>
      <c r="V46" s="192">
        <f t="shared" si="11"/>
        <v>1375000</v>
      </c>
      <c r="W46" s="192">
        <f t="shared" si="11"/>
        <v>1375000</v>
      </c>
      <c r="X46" s="192">
        <f t="shared" si="11"/>
        <v>1375000</v>
      </c>
      <c r="Y46" s="192">
        <f t="shared" si="11"/>
        <v>1375000</v>
      </c>
      <c r="Z46" s="192">
        <f t="shared" si="11"/>
        <v>1375000</v>
      </c>
      <c r="AA46" s="192">
        <f t="shared" si="10"/>
        <v>16500000</v>
      </c>
    </row>
    <row r="47" spans="1:27" ht="15.75" customHeight="1" x14ac:dyDescent="0.25">
      <c r="A47" s="187">
        <v>46</v>
      </c>
      <c r="B47" s="187" t="s">
        <v>292</v>
      </c>
      <c r="C47" s="187">
        <v>52799</v>
      </c>
      <c r="D47" s="187" t="s">
        <v>296</v>
      </c>
      <c r="E47" s="187"/>
      <c r="F47" s="187" t="s">
        <v>253</v>
      </c>
      <c r="G47" s="187"/>
      <c r="H47" s="190">
        <v>44802</v>
      </c>
      <c r="I47" s="190">
        <v>44810</v>
      </c>
      <c r="J47" s="187" t="s">
        <v>297</v>
      </c>
      <c r="K47" s="193">
        <v>5818181</v>
      </c>
      <c r="L47" s="190"/>
      <c r="M47" s="191">
        <v>2573182</v>
      </c>
      <c r="N47" s="187"/>
      <c r="O47" s="192">
        <f t="shared" si="11"/>
        <v>2909090.5</v>
      </c>
      <c r="P47" s="192">
        <f t="shared" si="11"/>
        <v>2909090.5</v>
      </c>
      <c r="Q47" s="192">
        <f t="shared" si="11"/>
        <v>2909090.5</v>
      </c>
      <c r="R47" s="192">
        <f t="shared" si="11"/>
        <v>2909090.5</v>
      </c>
      <c r="S47" s="192">
        <f t="shared" si="11"/>
        <v>2909090.5</v>
      </c>
      <c r="T47" s="192">
        <f t="shared" si="11"/>
        <v>2909090.5</v>
      </c>
      <c r="U47" s="192">
        <f t="shared" si="11"/>
        <v>2909090.5</v>
      </c>
      <c r="V47" s="192">
        <f t="shared" si="11"/>
        <v>2909090.5</v>
      </c>
      <c r="W47" s="192">
        <f t="shared" si="11"/>
        <v>2909090.5</v>
      </c>
      <c r="X47" s="192">
        <f t="shared" si="11"/>
        <v>2909090.5</v>
      </c>
      <c r="Y47" s="192">
        <f t="shared" si="11"/>
        <v>2909090.5</v>
      </c>
      <c r="Z47" s="192">
        <f t="shared" si="11"/>
        <v>2909090.5</v>
      </c>
      <c r="AA47" s="192">
        <f t="shared" si="10"/>
        <v>34909086</v>
      </c>
    </row>
    <row r="48" spans="1:27" ht="15.75" customHeight="1" x14ac:dyDescent="0.25">
      <c r="A48" s="187">
        <v>47</v>
      </c>
      <c r="B48" s="187" t="s">
        <v>292</v>
      </c>
      <c r="C48" s="187">
        <v>53029</v>
      </c>
      <c r="D48" s="187" t="s">
        <v>298</v>
      </c>
      <c r="E48" s="187" t="s">
        <v>299</v>
      </c>
      <c r="F48" s="187" t="s">
        <v>247</v>
      </c>
      <c r="G48" s="187">
        <v>3</v>
      </c>
      <c r="H48" s="188">
        <v>44818</v>
      </c>
      <c r="I48" s="190">
        <v>44834</v>
      </c>
      <c r="J48" s="187" t="s">
        <v>295</v>
      </c>
      <c r="K48" s="193">
        <v>2750000</v>
      </c>
      <c r="L48" s="190"/>
      <c r="M48" s="191">
        <v>1500000</v>
      </c>
      <c r="N48" s="187"/>
      <c r="O48" s="192">
        <f t="shared" si="11"/>
        <v>1375000</v>
      </c>
      <c r="P48" s="192">
        <f t="shared" si="11"/>
        <v>1375000</v>
      </c>
      <c r="Q48" s="192">
        <f t="shared" si="11"/>
        <v>1375000</v>
      </c>
      <c r="R48" s="192">
        <f t="shared" si="11"/>
        <v>1375000</v>
      </c>
      <c r="S48" s="192">
        <f t="shared" si="11"/>
        <v>1375000</v>
      </c>
      <c r="T48" s="192">
        <f t="shared" si="11"/>
        <v>1375000</v>
      </c>
      <c r="U48" s="192">
        <f t="shared" si="11"/>
        <v>1375000</v>
      </c>
      <c r="V48" s="192">
        <f t="shared" si="11"/>
        <v>1375000</v>
      </c>
      <c r="W48" s="192">
        <f t="shared" si="11"/>
        <v>1375000</v>
      </c>
      <c r="X48" s="192">
        <f t="shared" si="11"/>
        <v>1375000</v>
      </c>
      <c r="Y48" s="192">
        <f t="shared" si="11"/>
        <v>1375000</v>
      </c>
      <c r="Z48" s="192">
        <f t="shared" si="11"/>
        <v>1375000</v>
      </c>
      <c r="AA48" s="192">
        <f t="shared" si="10"/>
        <v>16500000</v>
      </c>
    </row>
    <row r="49" spans="1:27" ht="15.75" customHeight="1" x14ac:dyDescent="0.25">
      <c r="A49" s="187">
        <v>48</v>
      </c>
      <c r="B49" s="187" t="s">
        <v>191</v>
      </c>
      <c r="C49" s="187"/>
      <c r="D49" s="187" t="s">
        <v>300</v>
      </c>
      <c r="E49" s="187"/>
      <c r="F49" s="187">
        <v>5</v>
      </c>
      <c r="G49" s="187"/>
      <c r="H49" s="190">
        <v>44851</v>
      </c>
      <c r="I49" s="190">
        <v>45223</v>
      </c>
      <c r="J49" s="187" t="s">
        <v>271</v>
      </c>
      <c r="K49" s="193">
        <v>2300000</v>
      </c>
      <c r="L49" s="190"/>
      <c r="M49" s="191">
        <v>1000000</v>
      </c>
      <c r="N49" s="187"/>
      <c r="O49" s="177"/>
      <c r="P49" s="177"/>
      <c r="Q49" s="177"/>
      <c r="R49" s="177"/>
      <c r="S49" s="177"/>
      <c r="T49" s="177"/>
      <c r="U49" s="177"/>
      <c r="V49" s="177"/>
      <c r="W49" s="177"/>
      <c r="X49" s="176">
        <f>(((31-24+1)/31)*K49)/2</f>
        <v>296774.19354838709</v>
      </c>
      <c r="Y49" s="192">
        <f>$K49/2</f>
        <v>1150000</v>
      </c>
      <c r="Z49" s="192">
        <f>$K49/2</f>
        <v>1150000</v>
      </c>
      <c r="AA49" s="176">
        <f>SUM(O49:Z49)</f>
        <v>2596774.1935483869</v>
      </c>
    </row>
    <row r="50" spans="1:27" ht="15.75" customHeight="1" x14ac:dyDescent="0.25">
      <c r="A50" s="187">
        <v>49</v>
      </c>
      <c r="B50" s="187" t="s">
        <v>191</v>
      </c>
      <c r="C50" s="187"/>
      <c r="D50" s="198" t="s">
        <v>301</v>
      </c>
      <c r="E50" s="187"/>
      <c r="F50" s="187">
        <v>3</v>
      </c>
      <c r="G50" s="187" t="s">
        <v>302</v>
      </c>
      <c r="H50" s="190">
        <v>44858</v>
      </c>
      <c r="I50" s="190">
        <v>45227</v>
      </c>
      <c r="J50" s="187" t="s">
        <v>215</v>
      </c>
      <c r="K50" s="193">
        <v>900000</v>
      </c>
      <c r="L50" s="190"/>
      <c r="M50" s="191">
        <v>1000000</v>
      </c>
      <c r="N50" s="187"/>
      <c r="O50" s="177"/>
      <c r="P50" s="177"/>
      <c r="Q50" s="177"/>
      <c r="R50" s="177"/>
      <c r="S50" s="177"/>
      <c r="T50" s="177"/>
      <c r="U50" s="177"/>
      <c r="V50" s="177"/>
      <c r="W50" s="177"/>
      <c r="X50" s="176">
        <f>(((31-28+1)/31)*K50)/2</f>
        <v>58064.516129032258</v>
      </c>
      <c r="Y50" s="192">
        <f>$K50/2</f>
        <v>450000</v>
      </c>
      <c r="Z50" s="192">
        <f>$K50/2</f>
        <v>450000</v>
      </c>
      <c r="AA50" s="176">
        <f t="shared" si="10"/>
        <v>958064.51612903224</v>
      </c>
    </row>
    <row r="51" spans="1:27" ht="15.75" customHeight="1" x14ac:dyDescent="0.25">
      <c r="A51" s="187">
        <v>50</v>
      </c>
      <c r="B51" s="187" t="s">
        <v>191</v>
      </c>
      <c r="C51" s="187"/>
      <c r="D51" s="199" t="s">
        <v>303</v>
      </c>
      <c r="E51" s="187"/>
      <c r="F51" s="187">
        <v>5</v>
      </c>
      <c r="G51" s="187"/>
      <c r="H51" s="190">
        <v>44936</v>
      </c>
      <c r="I51" s="190">
        <v>44942</v>
      </c>
      <c r="J51" s="187" t="s">
        <v>200</v>
      </c>
      <c r="K51" s="193">
        <v>750000</v>
      </c>
      <c r="L51" s="190"/>
      <c r="M51" s="191">
        <v>1000000</v>
      </c>
      <c r="N51" s="187"/>
      <c r="O51" s="176">
        <f>(((31-16+1)/31)*K51)/2</f>
        <v>193548.38709677418</v>
      </c>
      <c r="P51" s="192">
        <f>$K51/2</f>
        <v>375000</v>
      </c>
      <c r="Q51" s="192">
        <f t="shared" ref="Q51:Z56" si="12">$K51/2</f>
        <v>375000</v>
      </c>
      <c r="R51" s="192">
        <f t="shared" si="12"/>
        <v>375000</v>
      </c>
      <c r="S51" s="192">
        <f t="shared" si="12"/>
        <v>375000</v>
      </c>
      <c r="T51" s="192">
        <f t="shared" si="12"/>
        <v>375000</v>
      </c>
      <c r="U51" s="192">
        <f t="shared" si="12"/>
        <v>375000</v>
      </c>
      <c r="V51" s="192">
        <f t="shared" si="12"/>
        <v>375000</v>
      </c>
      <c r="W51" s="192">
        <f t="shared" si="12"/>
        <v>375000</v>
      </c>
      <c r="X51" s="192">
        <f t="shared" si="12"/>
        <v>375000</v>
      </c>
      <c r="Y51" s="192">
        <f t="shared" si="12"/>
        <v>375000</v>
      </c>
      <c r="Z51" s="192">
        <f t="shared" si="12"/>
        <v>375000</v>
      </c>
      <c r="AA51" s="176">
        <f t="shared" si="10"/>
        <v>4318548.3870967738</v>
      </c>
    </row>
    <row r="52" spans="1:27" ht="15.75" customHeight="1" x14ac:dyDescent="0.25">
      <c r="A52" s="187">
        <v>51</v>
      </c>
      <c r="B52" s="187" t="s">
        <v>292</v>
      </c>
      <c r="C52" s="187">
        <v>56130</v>
      </c>
      <c r="D52" s="199" t="s">
        <v>304</v>
      </c>
      <c r="E52" s="187"/>
      <c r="F52" s="187">
        <v>2</v>
      </c>
      <c r="G52" s="187"/>
      <c r="H52" s="190">
        <v>44942</v>
      </c>
      <c r="I52" s="190">
        <v>44958</v>
      </c>
      <c r="J52" s="187" t="s">
        <v>305</v>
      </c>
      <c r="K52" s="193">
        <v>2750000</v>
      </c>
      <c r="L52" s="190"/>
      <c r="M52" s="193">
        <v>1500000</v>
      </c>
      <c r="N52" s="187"/>
      <c r="O52" s="177"/>
      <c r="P52" s="176">
        <f>(((28-1+1)/28)*K52)/2</f>
        <v>1375000</v>
      </c>
      <c r="Q52" s="192">
        <f>$K52/2</f>
        <v>1375000</v>
      </c>
      <c r="R52" s="192">
        <f t="shared" si="12"/>
        <v>1375000</v>
      </c>
      <c r="S52" s="192">
        <f t="shared" si="12"/>
        <v>1375000</v>
      </c>
      <c r="T52" s="192">
        <f t="shared" si="12"/>
        <v>1375000</v>
      </c>
      <c r="U52" s="192">
        <f t="shared" si="12"/>
        <v>1375000</v>
      </c>
      <c r="V52" s="192">
        <f t="shared" si="12"/>
        <v>1375000</v>
      </c>
      <c r="W52" s="192">
        <f t="shared" si="12"/>
        <v>1375000</v>
      </c>
      <c r="X52" s="192">
        <f t="shared" si="12"/>
        <v>1375000</v>
      </c>
      <c r="Y52" s="192">
        <f t="shared" si="12"/>
        <v>1375000</v>
      </c>
      <c r="Z52" s="192">
        <f t="shared" si="12"/>
        <v>1375000</v>
      </c>
      <c r="AA52" s="176">
        <f t="shared" si="10"/>
        <v>15125000</v>
      </c>
    </row>
    <row r="53" spans="1:27" ht="15.75" customHeight="1" x14ac:dyDescent="0.25">
      <c r="A53" s="187">
        <v>52</v>
      </c>
      <c r="B53" s="187" t="s">
        <v>191</v>
      </c>
      <c r="C53" s="187"/>
      <c r="D53" s="187" t="s">
        <v>306</v>
      </c>
      <c r="E53" s="187"/>
      <c r="F53" s="187">
        <v>3</v>
      </c>
      <c r="G53" s="187"/>
      <c r="H53" s="190">
        <v>44960</v>
      </c>
      <c r="I53" s="190">
        <v>44966</v>
      </c>
      <c r="J53" s="187" t="s">
        <v>215</v>
      </c>
      <c r="K53" s="193">
        <v>1300000</v>
      </c>
      <c r="L53" s="190"/>
      <c r="M53" s="191">
        <v>3000000</v>
      </c>
      <c r="N53" s="187"/>
      <c r="O53" s="177"/>
      <c r="P53" s="176">
        <f>(((28-9+1)/28)*K53)/2</f>
        <v>464285.71428571432</v>
      </c>
      <c r="Q53" s="192">
        <f>$K53/2</f>
        <v>650000</v>
      </c>
      <c r="R53" s="192">
        <f t="shared" si="12"/>
        <v>650000</v>
      </c>
      <c r="S53" s="192">
        <f t="shared" si="12"/>
        <v>650000</v>
      </c>
      <c r="T53" s="192">
        <f t="shared" si="12"/>
        <v>650000</v>
      </c>
      <c r="U53" s="192">
        <f t="shared" si="12"/>
        <v>650000</v>
      </c>
      <c r="V53" s="192">
        <f t="shared" si="12"/>
        <v>650000</v>
      </c>
      <c r="W53" s="192">
        <f t="shared" si="12"/>
        <v>650000</v>
      </c>
      <c r="X53" s="192">
        <f t="shared" si="12"/>
        <v>650000</v>
      </c>
      <c r="Y53" s="192">
        <f t="shared" si="12"/>
        <v>650000</v>
      </c>
      <c r="Z53" s="192">
        <f t="shared" si="12"/>
        <v>650000</v>
      </c>
      <c r="AA53" s="176">
        <f t="shared" si="10"/>
        <v>6964285.7142857146</v>
      </c>
    </row>
    <row r="54" spans="1:27" ht="15.75" customHeight="1" x14ac:dyDescent="0.25">
      <c r="A54" s="187">
        <v>53</v>
      </c>
      <c r="B54" s="187" t="s">
        <v>191</v>
      </c>
      <c r="C54" s="187"/>
      <c r="D54" s="187" t="s">
        <v>307</v>
      </c>
      <c r="E54" s="187"/>
      <c r="F54" s="187">
        <v>2</v>
      </c>
      <c r="G54" s="187"/>
      <c r="H54" s="190">
        <v>44970</v>
      </c>
      <c r="I54" s="190">
        <v>44994</v>
      </c>
      <c r="J54" s="187" t="s">
        <v>308</v>
      </c>
      <c r="K54" s="193">
        <v>3000000</v>
      </c>
      <c r="L54" s="190"/>
      <c r="M54" s="191">
        <v>1500000</v>
      </c>
      <c r="N54" s="187"/>
      <c r="O54" s="177"/>
      <c r="P54" s="177"/>
      <c r="Q54" s="176">
        <f>(((31-9+1)/31)*K54)/2</f>
        <v>1112903.2258064516</v>
      </c>
      <c r="R54" s="192">
        <f>$K54/2</f>
        <v>1500000</v>
      </c>
      <c r="S54" s="192">
        <f t="shared" si="12"/>
        <v>1500000</v>
      </c>
      <c r="T54" s="192">
        <f t="shared" si="12"/>
        <v>1500000</v>
      </c>
      <c r="U54" s="192">
        <f t="shared" si="12"/>
        <v>1500000</v>
      </c>
      <c r="V54" s="192">
        <f t="shared" si="12"/>
        <v>1500000</v>
      </c>
      <c r="W54" s="192">
        <f t="shared" si="12"/>
        <v>1500000</v>
      </c>
      <c r="X54" s="192">
        <f t="shared" si="12"/>
        <v>1500000</v>
      </c>
      <c r="Y54" s="192">
        <f t="shared" si="12"/>
        <v>1500000</v>
      </c>
      <c r="Z54" s="192">
        <f t="shared" si="12"/>
        <v>1500000</v>
      </c>
      <c r="AA54" s="176">
        <f t="shared" si="10"/>
        <v>14612903.225806452</v>
      </c>
    </row>
    <row r="55" spans="1:27" ht="15.75" customHeight="1" x14ac:dyDescent="0.25">
      <c r="A55" s="187">
        <v>54</v>
      </c>
      <c r="B55" s="187" t="s">
        <v>191</v>
      </c>
      <c r="C55" s="187"/>
      <c r="D55" s="187" t="s">
        <v>309</v>
      </c>
      <c r="E55" s="187"/>
      <c r="F55" s="187">
        <v>3</v>
      </c>
      <c r="G55" s="187"/>
      <c r="H55" s="190">
        <v>44984</v>
      </c>
      <c r="I55" s="190">
        <v>44988</v>
      </c>
      <c r="J55" s="187" t="s">
        <v>271</v>
      </c>
      <c r="K55" s="193">
        <v>2300000</v>
      </c>
      <c r="L55" s="190"/>
      <c r="M55" s="191">
        <v>1000000</v>
      </c>
      <c r="N55" s="187"/>
      <c r="O55" s="177"/>
      <c r="P55" s="177"/>
      <c r="Q55" s="176">
        <f>(((31-3+1)/31)*K55)/2</f>
        <v>1075806.4516129033</v>
      </c>
      <c r="R55" s="192">
        <f>$K55/2</f>
        <v>1150000</v>
      </c>
      <c r="S55" s="192">
        <f t="shared" si="12"/>
        <v>1150000</v>
      </c>
      <c r="T55" s="192">
        <f t="shared" si="12"/>
        <v>1150000</v>
      </c>
      <c r="U55" s="192">
        <f t="shared" si="12"/>
        <v>1150000</v>
      </c>
      <c r="V55" s="192">
        <f t="shared" si="12"/>
        <v>1150000</v>
      </c>
      <c r="W55" s="192">
        <f t="shared" si="12"/>
        <v>1150000</v>
      </c>
      <c r="X55" s="192">
        <f t="shared" si="12"/>
        <v>1150000</v>
      </c>
      <c r="Y55" s="192">
        <f t="shared" si="12"/>
        <v>1150000</v>
      </c>
      <c r="Z55" s="192">
        <f t="shared" si="12"/>
        <v>1150000</v>
      </c>
      <c r="AA55" s="176">
        <f t="shared" si="10"/>
        <v>11425806.451612903</v>
      </c>
    </row>
    <row r="56" spans="1:27" ht="15.75" customHeight="1" x14ac:dyDescent="0.25">
      <c r="A56" s="187">
        <v>55</v>
      </c>
      <c r="B56" s="187" t="s">
        <v>191</v>
      </c>
      <c r="C56" s="187"/>
      <c r="D56" s="187" t="s">
        <v>310</v>
      </c>
      <c r="E56" s="187"/>
      <c r="F56" s="187">
        <v>3</v>
      </c>
      <c r="G56" s="187"/>
      <c r="H56" s="190">
        <v>44985</v>
      </c>
      <c r="I56" s="190">
        <v>44988</v>
      </c>
      <c r="J56" s="187" t="s">
        <v>215</v>
      </c>
      <c r="K56" s="193">
        <v>1300000</v>
      </c>
      <c r="L56" s="190"/>
      <c r="M56" s="191">
        <v>1000000</v>
      </c>
      <c r="N56" s="187"/>
      <c r="O56" s="177"/>
      <c r="P56" s="177"/>
      <c r="Q56" s="176">
        <f>(((31-3+1)/31)*K56)/2</f>
        <v>608064.51612903224</v>
      </c>
      <c r="R56" s="192">
        <f>$K56/2</f>
        <v>650000</v>
      </c>
      <c r="S56" s="192">
        <f t="shared" si="12"/>
        <v>650000</v>
      </c>
      <c r="T56" s="192">
        <f t="shared" si="12"/>
        <v>650000</v>
      </c>
      <c r="U56" s="192">
        <f t="shared" si="12"/>
        <v>650000</v>
      </c>
      <c r="V56" s="192">
        <f t="shared" si="12"/>
        <v>650000</v>
      </c>
      <c r="W56" s="192">
        <f t="shared" si="12"/>
        <v>650000</v>
      </c>
      <c r="X56" s="192">
        <f t="shared" si="12"/>
        <v>650000</v>
      </c>
      <c r="Y56" s="192">
        <f t="shared" si="12"/>
        <v>650000</v>
      </c>
      <c r="Z56" s="192">
        <f t="shared" si="12"/>
        <v>650000</v>
      </c>
      <c r="AA56" s="176">
        <f t="shared" si="10"/>
        <v>6458064.5161290318</v>
      </c>
    </row>
    <row r="57" spans="1:27" ht="15.75" customHeight="1" x14ac:dyDescent="0.25">
      <c r="A57" s="187">
        <v>56</v>
      </c>
      <c r="B57" s="187" t="s">
        <v>191</v>
      </c>
      <c r="C57" s="187"/>
      <c r="D57" s="187" t="s">
        <v>311</v>
      </c>
      <c r="E57" s="187"/>
      <c r="F57" s="187">
        <v>1</v>
      </c>
      <c r="G57" s="187"/>
      <c r="H57" s="190">
        <v>45012</v>
      </c>
      <c r="I57" s="190" t="s">
        <v>312</v>
      </c>
      <c r="J57" s="187" t="s">
        <v>200</v>
      </c>
      <c r="K57" s="193">
        <f>750000</f>
        <v>750000</v>
      </c>
      <c r="L57" s="190"/>
      <c r="M57" s="191">
        <v>1500000</v>
      </c>
      <c r="N57" s="187"/>
      <c r="O57" s="177"/>
      <c r="P57" s="177"/>
      <c r="Q57" s="177"/>
      <c r="R57" s="177"/>
      <c r="S57" s="177"/>
      <c r="T57" s="177"/>
      <c r="U57" s="177"/>
      <c r="V57" s="177"/>
      <c r="W57" s="177"/>
      <c r="X57" s="177"/>
      <c r="Y57" s="177"/>
      <c r="Z57" s="177"/>
      <c r="AA57" s="177"/>
    </row>
    <row r="58" spans="1:27" ht="15.75" customHeight="1" x14ac:dyDescent="0.25">
      <c r="A58" s="187">
        <v>57</v>
      </c>
      <c r="B58" s="187" t="s">
        <v>292</v>
      </c>
      <c r="C58" s="187"/>
      <c r="D58" s="187" t="s">
        <v>313</v>
      </c>
      <c r="E58" s="187" t="s">
        <v>314</v>
      </c>
      <c r="F58" s="187">
        <v>3</v>
      </c>
      <c r="G58" s="187"/>
      <c r="H58" s="190">
        <v>45043</v>
      </c>
      <c r="I58" s="190">
        <v>45054</v>
      </c>
      <c r="J58" s="187" t="s">
        <v>315</v>
      </c>
      <c r="K58" s="193">
        <v>3750000</v>
      </c>
      <c r="L58" s="190"/>
      <c r="M58" s="191">
        <v>1500000</v>
      </c>
      <c r="N58" s="187"/>
      <c r="O58" s="177"/>
      <c r="P58" s="177"/>
      <c r="Q58" s="177"/>
      <c r="R58" s="177"/>
      <c r="S58" s="176">
        <f>(((31-8+1)/31)*K58)/2</f>
        <v>1451612.9032258063</v>
      </c>
      <c r="T58" s="192">
        <f>$K58/2</f>
        <v>1875000</v>
      </c>
      <c r="U58" s="192">
        <f t="shared" ref="U58:Z59" si="13">$K58/2</f>
        <v>1875000</v>
      </c>
      <c r="V58" s="192">
        <f t="shared" si="13"/>
        <v>1875000</v>
      </c>
      <c r="W58" s="192">
        <f t="shared" si="13"/>
        <v>1875000</v>
      </c>
      <c r="X58" s="192">
        <f t="shared" si="13"/>
        <v>1875000</v>
      </c>
      <c r="Y58" s="192">
        <f t="shared" si="13"/>
        <v>1875000</v>
      </c>
      <c r="Z58" s="192">
        <f t="shared" si="13"/>
        <v>1875000</v>
      </c>
      <c r="AA58" s="176">
        <f t="shared" ref="AA58:AA59" si="14">SUM(O58:Z58)</f>
        <v>14576612.903225806</v>
      </c>
    </row>
    <row r="59" spans="1:27" ht="15.75" customHeight="1" x14ac:dyDescent="0.25">
      <c r="A59" s="200">
        <v>58</v>
      </c>
      <c r="B59" s="200" t="s">
        <v>191</v>
      </c>
      <c r="C59" s="200"/>
      <c r="D59" s="200" t="s">
        <v>316</v>
      </c>
      <c r="E59" s="200"/>
      <c r="F59" s="200">
        <v>4</v>
      </c>
      <c r="G59" s="200"/>
      <c r="H59" s="201">
        <v>45083</v>
      </c>
      <c r="I59" s="201">
        <v>45100</v>
      </c>
      <c r="J59" s="200" t="s">
        <v>200</v>
      </c>
      <c r="K59" s="202">
        <f>750000</f>
        <v>750000</v>
      </c>
      <c r="L59" s="201"/>
      <c r="M59" s="203">
        <v>1000000</v>
      </c>
      <c r="N59" s="200"/>
      <c r="O59" s="177"/>
      <c r="P59" s="177"/>
      <c r="Q59" s="177"/>
      <c r="R59" s="177"/>
      <c r="S59" s="177"/>
      <c r="T59" s="176">
        <f>(((30-23+1)/30)*K59)/2</f>
        <v>100000</v>
      </c>
      <c r="U59" s="192">
        <f>$K59/2</f>
        <v>375000</v>
      </c>
      <c r="V59" s="192">
        <f t="shared" si="13"/>
        <v>375000</v>
      </c>
      <c r="W59" s="192">
        <f t="shared" si="13"/>
        <v>375000</v>
      </c>
      <c r="X59" s="192">
        <f t="shared" si="13"/>
        <v>375000</v>
      </c>
      <c r="Y59" s="192">
        <f t="shared" si="13"/>
        <v>375000</v>
      </c>
      <c r="Z59" s="192">
        <f t="shared" si="13"/>
        <v>375000</v>
      </c>
      <c r="AA59" s="176">
        <f t="shared" si="14"/>
        <v>2350000</v>
      </c>
    </row>
    <row r="60" spans="1:27" ht="15.75" customHeight="1" x14ac:dyDescent="0.25">
      <c r="A60" s="204">
        <v>59</v>
      </c>
      <c r="B60" s="205" t="s">
        <v>191</v>
      </c>
      <c r="C60" s="206"/>
      <c r="D60" s="207" t="s">
        <v>317</v>
      </c>
      <c r="E60" s="205" t="s">
        <v>318</v>
      </c>
      <c r="F60" s="205">
        <v>1</v>
      </c>
      <c r="G60" s="208"/>
      <c r="H60" s="209">
        <v>45159</v>
      </c>
      <c r="I60" s="209">
        <v>45170</v>
      </c>
      <c r="J60" s="205" t="s">
        <v>319</v>
      </c>
      <c r="K60" s="210">
        <f>6500000</f>
        <v>6500000</v>
      </c>
      <c r="L60" s="209"/>
      <c r="M60" s="211">
        <v>2500000</v>
      </c>
      <c r="N60" s="205"/>
      <c r="O60" s="177"/>
      <c r="P60" s="177"/>
      <c r="Q60" s="177"/>
      <c r="R60" s="177"/>
      <c r="S60" s="177"/>
      <c r="T60" s="177"/>
      <c r="U60" s="177"/>
      <c r="V60" s="177"/>
      <c r="W60" s="176">
        <f>(((30-1+1)/30)*K60)/2</f>
        <v>3250000</v>
      </c>
      <c r="X60" s="192">
        <f>$K60/2</f>
        <v>3250000</v>
      </c>
      <c r="Y60" s="192">
        <f>$K60/2</f>
        <v>3250000</v>
      </c>
      <c r="Z60" s="192">
        <f>$K60/2</f>
        <v>3250000</v>
      </c>
      <c r="AA60" s="176">
        <f>SUM(O60:Z60)</f>
        <v>13000000</v>
      </c>
    </row>
    <row r="61" spans="1:27" ht="15.75" customHeight="1" x14ac:dyDescent="0.25">
      <c r="A61" s="205">
        <v>60</v>
      </c>
      <c r="B61" s="205" t="s">
        <v>191</v>
      </c>
      <c r="C61" s="212"/>
      <c r="D61" s="207" t="s">
        <v>320</v>
      </c>
      <c r="E61" s="205" t="s">
        <v>321</v>
      </c>
      <c r="F61" s="205">
        <v>1</v>
      </c>
      <c r="G61" s="213"/>
      <c r="H61" s="209">
        <v>45160</v>
      </c>
      <c r="I61" s="209" t="s">
        <v>322</v>
      </c>
      <c r="J61" s="205" t="s">
        <v>319</v>
      </c>
      <c r="K61" s="210">
        <f>5500000</f>
        <v>5500000</v>
      </c>
      <c r="L61" s="209"/>
      <c r="M61" s="211">
        <f>4000000</f>
        <v>4000000</v>
      </c>
      <c r="N61" s="205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</row>
    <row r="62" spans="1:27" s="214" customFormat="1" ht="15.75" customHeight="1" x14ac:dyDescent="0.25">
      <c r="A62" s="205">
        <v>61</v>
      </c>
      <c r="B62" s="205" t="s">
        <v>191</v>
      </c>
      <c r="C62" s="212"/>
      <c r="D62" s="207" t="s">
        <v>323</v>
      </c>
      <c r="E62" s="205" t="s">
        <v>324</v>
      </c>
      <c r="F62" s="205">
        <v>2</v>
      </c>
      <c r="G62" s="213"/>
      <c r="H62" s="209">
        <v>45177</v>
      </c>
      <c r="I62" s="209" t="s">
        <v>322</v>
      </c>
      <c r="J62" s="205" t="s">
        <v>325</v>
      </c>
      <c r="K62" s="210">
        <f>650000</f>
        <v>650000</v>
      </c>
      <c r="L62" s="209"/>
      <c r="M62" s="211">
        <f>1000000</f>
        <v>1000000</v>
      </c>
      <c r="N62" s="205"/>
    </row>
    <row r="63" spans="1:27" s="214" customFormat="1" ht="15.75" customHeight="1" x14ac:dyDescent="0.25">
      <c r="A63" s="215">
        <v>62</v>
      </c>
      <c r="B63" s="205" t="s">
        <v>326</v>
      </c>
      <c r="C63" s="212">
        <v>61605</v>
      </c>
      <c r="D63" s="207" t="s">
        <v>313</v>
      </c>
      <c r="E63" s="205" t="s">
        <v>327</v>
      </c>
      <c r="F63" s="205"/>
      <c r="G63" s="205" t="s">
        <v>328</v>
      </c>
      <c r="H63" s="209">
        <v>45159</v>
      </c>
      <c r="I63" s="209"/>
      <c r="J63" s="205" t="s">
        <v>290</v>
      </c>
      <c r="K63" s="210">
        <f>3750000</f>
        <v>3750000</v>
      </c>
      <c r="L63" s="209"/>
      <c r="M63" s="211">
        <f>1500000</f>
        <v>1500000</v>
      </c>
      <c r="N63" s="205"/>
    </row>
    <row r="64" spans="1:27" s="214" customFormat="1" ht="15.75" customHeight="1" x14ac:dyDescent="0.25">
      <c r="A64" s="215">
        <v>63</v>
      </c>
      <c r="B64" s="205" t="s">
        <v>326</v>
      </c>
      <c r="C64" s="212">
        <v>61572</v>
      </c>
      <c r="D64" s="207" t="s">
        <v>313</v>
      </c>
      <c r="E64" s="205" t="s">
        <v>329</v>
      </c>
      <c r="F64" s="205"/>
      <c r="G64" s="205" t="s">
        <v>330</v>
      </c>
      <c r="H64" s="209">
        <v>45159</v>
      </c>
      <c r="I64" s="209"/>
      <c r="J64" s="205" t="s">
        <v>290</v>
      </c>
      <c r="K64" s="210">
        <f>3750000</f>
        <v>3750000</v>
      </c>
      <c r="L64" s="209"/>
      <c r="M64" s="211">
        <f>1500000</f>
        <v>1500000</v>
      </c>
      <c r="N64" s="205"/>
    </row>
    <row r="65" spans="1:14" s="214" customFormat="1" x14ac:dyDescent="0.25">
      <c r="A65" s="216">
        <v>64</v>
      </c>
      <c r="B65" s="217" t="s">
        <v>326</v>
      </c>
      <c r="C65" s="212">
        <v>61667</v>
      </c>
      <c r="D65" s="218" t="s">
        <v>313</v>
      </c>
      <c r="E65" s="217" t="s">
        <v>331</v>
      </c>
      <c r="F65" s="217"/>
      <c r="G65" s="217" t="s">
        <v>328</v>
      </c>
      <c r="H65" s="219">
        <v>45202</v>
      </c>
      <c r="I65" s="219"/>
      <c r="J65" s="217" t="s">
        <v>332</v>
      </c>
      <c r="K65" s="220">
        <f>5000000</f>
        <v>5000000</v>
      </c>
      <c r="L65" s="219"/>
      <c r="M65" s="221">
        <f>1500000</f>
        <v>1500000</v>
      </c>
      <c r="N65" s="217"/>
    </row>
    <row r="66" spans="1:14" s="214" customFormat="1" x14ac:dyDescent="0.25">
      <c r="A66" s="216">
        <v>65</v>
      </c>
      <c r="B66" s="217" t="s">
        <v>326</v>
      </c>
      <c r="C66" s="212">
        <v>61719</v>
      </c>
      <c r="D66" s="218" t="s">
        <v>313</v>
      </c>
      <c r="E66" s="217" t="s">
        <v>333</v>
      </c>
      <c r="F66" s="217"/>
      <c r="G66" s="217" t="s">
        <v>334</v>
      </c>
      <c r="H66" s="219">
        <v>45204</v>
      </c>
      <c r="I66" s="219"/>
      <c r="J66" s="217" t="s">
        <v>290</v>
      </c>
      <c r="K66" s="220">
        <f>3750000</f>
        <v>3750000</v>
      </c>
      <c r="L66" s="219"/>
      <c r="M66" s="221">
        <f>1500000</f>
        <v>1500000</v>
      </c>
      <c r="N66" s="217"/>
    </row>
    <row r="67" spans="1:14" s="214" customFormat="1" x14ac:dyDescent="0.25">
      <c r="A67" s="216">
        <v>66</v>
      </c>
      <c r="B67" s="217" t="s">
        <v>191</v>
      </c>
      <c r="C67" s="218"/>
      <c r="D67" s="218" t="s">
        <v>335</v>
      </c>
      <c r="E67" s="217" t="s">
        <v>336</v>
      </c>
      <c r="F67" s="217" t="s">
        <v>337</v>
      </c>
      <c r="G67" s="217"/>
      <c r="H67" s="219">
        <v>45204</v>
      </c>
      <c r="I67" s="219"/>
      <c r="J67" s="217" t="s">
        <v>338</v>
      </c>
      <c r="K67" s="220">
        <f>500000</f>
        <v>500000</v>
      </c>
      <c r="L67" s="219"/>
      <c r="M67" s="221">
        <f>1500000</f>
        <v>1500000</v>
      </c>
      <c r="N67" s="217"/>
    </row>
    <row r="68" spans="1:14" s="214" customFormat="1" ht="24" x14ac:dyDescent="0.25">
      <c r="A68" s="216">
        <v>67</v>
      </c>
      <c r="B68" s="217" t="s">
        <v>191</v>
      </c>
      <c r="C68" s="218"/>
      <c r="D68" s="218" t="s">
        <v>339</v>
      </c>
      <c r="E68" s="217" t="s">
        <v>340</v>
      </c>
      <c r="F68" s="217" t="s">
        <v>245</v>
      </c>
      <c r="G68" s="217"/>
      <c r="H68" s="219">
        <v>45211</v>
      </c>
      <c r="I68" s="219"/>
      <c r="J68" s="217" t="s">
        <v>225</v>
      </c>
      <c r="K68" s="220">
        <f>500000</f>
        <v>500000</v>
      </c>
      <c r="L68" s="219"/>
      <c r="M68" s="221">
        <f>250000</f>
        <v>250000</v>
      </c>
      <c r="N68" s="217"/>
    </row>
    <row r="69" spans="1:14" s="214" customFormat="1" ht="24" x14ac:dyDescent="0.25">
      <c r="A69" s="216">
        <v>68</v>
      </c>
      <c r="B69" s="217" t="s">
        <v>191</v>
      </c>
      <c r="C69" s="218"/>
      <c r="D69" s="218" t="s">
        <v>341</v>
      </c>
      <c r="E69" s="217"/>
      <c r="F69" s="218" t="s">
        <v>245</v>
      </c>
      <c r="G69" s="218" t="s">
        <v>342</v>
      </c>
      <c r="H69" s="219">
        <v>45212</v>
      </c>
      <c r="I69" s="219"/>
      <c r="J69" s="217" t="s">
        <v>225</v>
      </c>
      <c r="K69" s="220">
        <f>500000</f>
        <v>500000</v>
      </c>
      <c r="L69" s="219"/>
      <c r="M69" s="221">
        <f>250000</f>
        <v>250000</v>
      </c>
      <c r="N69" s="217"/>
    </row>
    <row r="70" spans="1:14" s="214" customFormat="1" x14ac:dyDescent="0.25">
      <c r="A70" s="216">
        <v>69</v>
      </c>
      <c r="B70" s="217" t="s">
        <v>191</v>
      </c>
      <c r="C70" s="218"/>
      <c r="D70" s="218" t="s">
        <v>343</v>
      </c>
      <c r="E70" s="217"/>
      <c r="F70" s="217">
        <v>2</v>
      </c>
      <c r="G70" s="217" t="s">
        <v>344</v>
      </c>
      <c r="H70" s="219">
        <v>45212</v>
      </c>
      <c r="I70" s="219"/>
      <c r="J70" s="217" t="s">
        <v>225</v>
      </c>
      <c r="K70" s="220">
        <f>500000</f>
        <v>500000</v>
      </c>
      <c r="L70" s="219"/>
      <c r="M70" s="221">
        <f>250000</f>
        <v>250000</v>
      </c>
      <c r="N70" s="217"/>
    </row>
    <row r="71" spans="1:14" s="214" customFormat="1" ht="15.75" customHeight="1" x14ac:dyDescent="0.25">
      <c r="A71" s="216">
        <v>70</v>
      </c>
      <c r="B71" s="217" t="s">
        <v>191</v>
      </c>
      <c r="C71" s="218"/>
      <c r="D71" s="218" t="s">
        <v>345</v>
      </c>
      <c r="E71" s="217"/>
      <c r="F71" s="217">
        <v>4</v>
      </c>
      <c r="G71" s="217"/>
      <c r="H71" s="219">
        <v>45225</v>
      </c>
      <c r="I71" s="219"/>
      <c r="J71" s="217" t="s">
        <v>200</v>
      </c>
      <c r="K71" s="220">
        <f>650000</f>
        <v>650000</v>
      </c>
      <c r="L71" s="219"/>
      <c r="M71" s="221">
        <f>1000000</f>
        <v>1000000</v>
      </c>
      <c r="N71" s="217"/>
    </row>
    <row r="72" spans="1:14" s="214" customFormat="1" ht="15.75" customHeight="1" x14ac:dyDescent="0.25">
      <c r="A72" s="216">
        <v>71</v>
      </c>
      <c r="B72" s="217" t="s">
        <v>191</v>
      </c>
      <c r="C72" s="218"/>
      <c r="D72" s="218" t="s">
        <v>346</v>
      </c>
      <c r="E72" s="217" t="s">
        <v>347</v>
      </c>
      <c r="F72" s="217">
        <v>3</v>
      </c>
      <c r="G72" s="217"/>
      <c r="H72" s="219">
        <v>45239</v>
      </c>
      <c r="I72" s="219"/>
      <c r="J72" s="217" t="s">
        <v>200</v>
      </c>
      <c r="K72" s="220">
        <f>750000</f>
        <v>750000</v>
      </c>
      <c r="L72" s="219"/>
      <c r="M72" s="221">
        <f>1500000</f>
        <v>1500000</v>
      </c>
      <c r="N72" s="217"/>
    </row>
    <row r="73" spans="1:14" s="214" customFormat="1" ht="15.75" customHeight="1" x14ac:dyDescent="0.25">
      <c r="A73" s="216">
        <v>72</v>
      </c>
      <c r="B73" s="217"/>
      <c r="C73" s="218"/>
      <c r="D73" s="218"/>
      <c r="E73" s="217"/>
      <c r="F73" s="217"/>
      <c r="G73" s="217"/>
      <c r="H73" s="219"/>
      <c r="I73" s="219"/>
      <c r="J73" s="217"/>
      <c r="K73" s="220"/>
      <c r="L73" s="219"/>
      <c r="M73" s="221"/>
      <c r="N73" s="217"/>
    </row>
    <row r="74" spans="1:14" s="214" customFormat="1" ht="15.75" customHeight="1" x14ac:dyDescent="0.25">
      <c r="A74" s="216">
        <v>73</v>
      </c>
      <c r="B74" s="217"/>
      <c r="C74" s="218"/>
      <c r="D74" s="218"/>
      <c r="E74" s="217"/>
      <c r="F74" s="217"/>
      <c r="G74" s="217"/>
      <c r="H74" s="219"/>
      <c r="I74" s="219"/>
      <c r="J74" s="217"/>
      <c r="K74" s="220"/>
      <c r="L74" s="219"/>
      <c r="M74" s="221"/>
      <c r="N74" s="217"/>
    </row>
    <row r="75" spans="1:14" s="214" customFormat="1" ht="15.75" customHeight="1" x14ac:dyDescent="0.25">
      <c r="A75" s="216">
        <v>74</v>
      </c>
      <c r="B75" s="217"/>
      <c r="C75" s="218"/>
      <c r="D75" s="218"/>
      <c r="E75" s="217"/>
      <c r="F75" s="218"/>
      <c r="G75" s="218"/>
      <c r="H75" s="219"/>
      <c r="I75" s="219"/>
      <c r="J75" s="217"/>
      <c r="K75" s="220"/>
      <c r="L75" s="219"/>
      <c r="M75" s="221"/>
      <c r="N75" s="217"/>
    </row>
    <row r="76" spans="1:14" s="214" customFormat="1" ht="15.75" customHeight="1" x14ac:dyDescent="0.25">
      <c r="A76" s="216">
        <v>75</v>
      </c>
      <c r="B76" s="217"/>
      <c r="C76" s="218"/>
      <c r="D76" s="218"/>
      <c r="E76" s="217"/>
      <c r="F76" s="217"/>
      <c r="G76" s="217"/>
      <c r="H76" s="219"/>
      <c r="I76" s="219"/>
      <c r="J76" s="217"/>
      <c r="K76" s="220"/>
      <c r="L76" s="219"/>
      <c r="M76" s="221"/>
      <c r="N76" s="217"/>
    </row>
    <row r="77" spans="1:14" s="214" customFormat="1" ht="15.75" customHeight="1" x14ac:dyDescent="0.25">
      <c r="A77" s="216">
        <v>76</v>
      </c>
      <c r="B77" s="217"/>
      <c r="C77" s="218"/>
      <c r="D77" s="218"/>
      <c r="E77" s="217"/>
      <c r="F77" s="217"/>
      <c r="G77" s="217"/>
      <c r="H77" s="219"/>
      <c r="I77" s="219"/>
      <c r="J77" s="217"/>
      <c r="K77" s="220"/>
      <c r="L77" s="219"/>
      <c r="M77" s="221"/>
      <c r="N77" s="217"/>
    </row>
    <row r="78" spans="1:14" s="214" customFormat="1" ht="15.75" customHeight="1" x14ac:dyDescent="0.25">
      <c r="A78" s="216">
        <v>77</v>
      </c>
      <c r="B78" s="217"/>
      <c r="C78" s="218"/>
      <c r="D78" s="218"/>
      <c r="E78" s="217"/>
      <c r="F78" s="218"/>
      <c r="G78" s="218"/>
      <c r="H78" s="219"/>
      <c r="I78" s="219"/>
      <c r="J78" s="217"/>
      <c r="K78" s="220"/>
      <c r="L78" s="219"/>
      <c r="M78" s="221"/>
      <c r="N78" s="217"/>
    </row>
    <row r="79" spans="1:14" s="214" customFormat="1" ht="15.75" customHeight="1" x14ac:dyDescent="0.25">
      <c r="A79" s="216">
        <v>78</v>
      </c>
      <c r="B79" s="217"/>
      <c r="C79" s="218"/>
      <c r="D79" s="218"/>
      <c r="E79" s="217"/>
      <c r="F79" s="217"/>
      <c r="G79" s="217"/>
      <c r="H79" s="219"/>
      <c r="I79" s="219"/>
      <c r="J79" s="217"/>
      <c r="K79" s="220"/>
      <c r="L79" s="219"/>
      <c r="M79" s="221"/>
      <c r="N79" s="217"/>
    </row>
    <row r="80" spans="1:14" s="214" customFormat="1" ht="15.75" customHeight="1" x14ac:dyDescent="0.25">
      <c r="A80" s="216">
        <v>79</v>
      </c>
      <c r="B80" s="217"/>
      <c r="C80" s="218"/>
      <c r="D80" s="218"/>
      <c r="E80" s="217"/>
      <c r="F80" s="217"/>
      <c r="G80" s="217"/>
      <c r="H80" s="219"/>
      <c r="I80" s="219"/>
      <c r="J80" s="217"/>
      <c r="K80" s="220"/>
      <c r="L80" s="219"/>
      <c r="M80" s="221"/>
      <c r="N80" s="217"/>
    </row>
    <row r="81" spans="1:27" s="214" customFormat="1" ht="15.75" customHeight="1" x14ac:dyDescent="0.25">
      <c r="A81" s="216">
        <v>80</v>
      </c>
      <c r="B81" s="217"/>
      <c r="C81" s="218"/>
      <c r="D81" s="218"/>
      <c r="E81" s="217"/>
      <c r="F81" s="218"/>
      <c r="G81" s="218"/>
      <c r="H81" s="219"/>
      <c r="I81" s="219"/>
      <c r="J81" s="217"/>
      <c r="K81" s="220"/>
      <c r="L81" s="219"/>
      <c r="M81" s="221"/>
      <c r="N81" s="217"/>
    </row>
    <row r="82" spans="1:27" s="214" customFormat="1" ht="15.75" customHeight="1" x14ac:dyDescent="0.25">
      <c r="A82" s="216">
        <v>81</v>
      </c>
      <c r="B82" s="217"/>
      <c r="C82" s="218"/>
      <c r="D82" s="218"/>
      <c r="E82" s="217"/>
      <c r="F82" s="217"/>
      <c r="G82" s="217"/>
      <c r="H82" s="219"/>
      <c r="I82" s="219"/>
      <c r="J82" s="217"/>
      <c r="K82" s="220"/>
      <c r="L82" s="219"/>
      <c r="M82" s="221"/>
      <c r="N82" s="217"/>
    </row>
    <row r="83" spans="1:27" s="214" customFormat="1" ht="15.75" customHeight="1" x14ac:dyDescent="0.25">
      <c r="A83" s="216">
        <v>82</v>
      </c>
      <c r="B83" s="217"/>
      <c r="C83" s="218"/>
      <c r="D83" s="218"/>
      <c r="E83" s="217"/>
      <c r="F83" s="217"/>
      <c r="G83" s="217"/>
      <c r="H83" s="219"/>
      <c r="I83" s="219"/>
      <c r="J83" s="217"/>
      <c r="K83" s="220"/>
      <c r="L83" s="219"/>
      <c r="M83" s="221"/>
      <c r="N83" s="217"/>
    </row>
    <row r="84" spans="1:27" s="214" customFormat="1" ht="15.75" customHeight="1" x14ac:dyDescent="0.25">
      <c r="A84" s="216">
        <v>83</v>
      </c>
      <c r="B84" s="217"/>
      <c r="C84" s="218"/>
      <c r="D84" s="218"/>
      <c r="E84" s="217"/>
      <c r="F84" s="218"/>
      <c r="G84" s="218"/>
      <c r="H84" s="219"/>
      <c r="I84" s="219"/>
      <c r="J84" s="217"/>
      <c r="K84" s="220"/>
      <c r="L84" s="219"/>
      <c r="M84" s="221"/>
      <c r="N84" s="217"/>
    </row>
    <row r="85" spans="1:27" s="214" customFormat="1" ht="15.75" customHeight="1" x14ac:dyDescent="0.25">
      <c r="A85" s="196"/>
      <c r="B85" s="196"/>
      <c r="C85" s="196"/>
      <c r="D85" s="196"/>
      <c r="E85" s="196"/>
      <c r="F85" s="196"/>
      <c r="G85" s="196"/>
      <c r="H85" s="222"/>
      <c r="I85" s="223"/>
      <c r="J85" s="196"/>
      <c r="K85" s="224"/>
      <c r="L85" s="223"/>
      <c r="M85" s="225"/>
      <c r="N85" s="196"/>
      <c r="O85" s="226">
        <f>SUM(O2:O84)</f>
        <v>20861509.85483871</v>
      </c>
      <c r="P85" s="226">
        <f t="shared" ref="P85:AA85" si="15">SUM(P2:P84)</f>
        <v>22498376.214285713</v>
      </c>
      <c r="Q85" s="226">
        <f t="shared" si="15"/>
        <v>25480864.693548389</v>
      </c>
      <c r="R85" s="226">
        <f t="shared" si="15"/>
        <v>25984090.5</v>
      </c>
      <c r="S85" s="226">
        <f t="shared" si="15"/>
        <v>27157477.596774194</v>
      </c>
      <c r="T85" s="226">
        <f t="shared" si="15"/>
        <v>27584090.5</v>
      </c>
      <c r="U85" s="226">
        <f t="shared" si="15"/>
        <v>27859090.5</v>
      </c>
      <c r="V85" s="226">
        <f t="shared" si="15"/>
        <v>27859090.5</v>
      </c>
      <c r="W85" s="226">
        <f t="shared" si="15"/>
        <v>31109090.5</v>
      </c>
      <c r="X85" s="226">
        <f t="shared" si="15"/>
        <v>31463929.209677421</v>
      </c>
      <c r="Y85" s="226">
        <f t="shared" si="15"/>
        <v>32709090.5</v>
      </c>
      <c r="Z85" s="226">
        <f t="shared" si="15"/>
        <v>32709090.5</v>
      </c>
      <c r="AA85" s="226">
        <f t="shared" si="15"/>
        <v>333275791.0691244</v>
      </c>
    </row>
    <row r="86" spans="1:27" s="214" customFormat="1" ht="15.75" customHeight="1" x14ac:dyDescent="0.25">
      <c r="A86" s="196"/>
      <c r="B86" s="196"/>
      <c r="C86" s="196"/>
      <c r="D86" s="196"/>
      <c r="E86" s="196"/>
      <c r="F86" s="196"/>
      <c r="G86" s="196"/>
      <c r="H86" s="222"/>
      <c r="I86" s="223"/>
      <c r="J86" s="196"/>
      <c r="K86" s="224"/>
      <c r="L86" s="223"/>
      <c r="M86" s="225"/>
      <c r="N86" s="196"/>
      <c r="O86" s="226"/>
      <c r="P86" s="226"/>
      <c r="Q86" s="226"/>
      <c r="R86" s="226"/>
      <c r="S86" s="226"/>
      <c r="T86" s="226"/>
      <c r="U86" s="226"/>
      <c r="V86" s="226"/>
      <c r="W86" s="226"/>
      <c r="X86" s="226"/>
      <c r="Y86" s="226"/>
      <c r="Z86" s="226"/>
      <c r="AA86" s="226"/>
    </row>
    <row r="87" spans="1:27" s="214" customFormat="1" ht="15.75" customHeight="1" x14ac:dyDescent="0.25">
      <c r="A87" s="196"/>
      <c r="B87" s="196"/>
      <c r="C87" s="196"/>
      <c r="D87" s="196"/>
      <c r="E87" s="196"/>
      <c r="F87" s="196"/>
      <c r="G87" s="196"/>
      <c r="H87" s="222"/>
      <c r="I87" s="223"/>
      <c r="J87" s="196"/>
      <c r="K87" s="224"/>
      <c r="L87" s="223"/>
      <c r="M87" s="225"/>
      <c r="N87" s="196"/>
      <c r="O87" s="226"/>
      <c r="P87" s="226"/>
      <c r="Q87" s="226"/>
      <c r="R87" s="226"/>
      <c r="S87" s="226"/>
      <c r="T87" s="226"/>
      <c r="U87" s="226"/>
      <c r="V87" s="226"/>
      <c r="W87" s="226"/>
      <c r="X87" s="226"/>
      <c r="Y87" s="226"/>
      <c r="Z87" s="226"/>
      <c r="AA87" s="226">
        <f>'[4]The Plaza Office'!AA61+'PI Shopping Center'!AA85</f>
        <v>1476386399.9400923</v>
      </c>
    </row>
    <row r="88" spans="1:27" s="214" customFormat="1" ht="15.75" customHeight="1" x14ac:dyDescent="0.25">
      <c r="A88" s="196"/>
      <c r="B88" s="196"/>
      <c r="C88" s="196"/>
      <c r="D88" s="196"/>
      <c r="E88" s="196"/>
      <c r="F88" s="196"/>
      <c r="G88" s="196"/>
      <c r="H88" s="222"/>
      <c r="I88" s="223"/>
      <c r="J88" s="196"/>
      <c r="K88" s="224"/>
      <c r="L88" s="223"/>
      <c r="M88" s="225"/>
      <c r="N88" s="196"/>
      <c r="O88" s="226"/>
      <c r="P88" s="226"/>
      <c r="Q88" s="226"/>
      <c r="R88" s="226"/>
      <c r="S88" s="226"/>
      <c r="T88" s="226"/>
      <c r="U88" s="226"/>
      <c r="V88" s="226"/>
      <c r="W88" s="226"/>
      <c r="X88" s="226"/>
      <c r="Y88" s="226"/>
      <c r="Z88" s="226"/>
      <c r="AA88" s="226"/>
    </row>
    <row r="89" spans="1:27" s="214" customFormat="1" ht="15.75" customHeight="1" x14ac:dyDescent="0.25">
      <c r="A89" s="196"/>
      <c r="B89" s="196"/>
      <c r="C89" s="196"/>
      <c r="D89" s="227"/>
      <c r="E89" s="227"/>
      <c r="F89" s="227"/>
      <c r="G89" s="227"/>
      <c r="H89" s="228"/>
      <c r="I89" s="229"/>
      <c r="J89" s="227"/>
      <c r="K89" s="230"/>
      <c r="L89" s="223"/>
      <c r="M89" s="225"/>
      <c r="N89" s="227"/>
      <c r="O89" s="226"/>
      <c r="P89" s="226"/>
      <c r="Q89" s="226"/>
      <c r="R89" s="226"/>
      <c r="S89" s="226"/>
      <c r="T89" s="226"/>
      <c r="U89" s="226"/>
      <c r="V89" s="226"/>
      <c r="W89" s="226"/>
      <c r="X89" s="226"/>
      <c r="Y89" s="226"/>
      <c r="Z89" s="226"/>
      <c r="AA89" s="226"/>
    </row>
    <row r="90" spans="1:27" s="214" customFormat="1" ht="15.75" customHeight="1" x14ac:dyDescent="0.25">
      <c r="A90" s="196"/>
      <c r="B90" s="196"/>
      <c r="C90" s="196"/>
      <c r="D90" s="196"/>
      <c r="E90" s="196"/>
      <c r="F90" s="196"/>
      <c r="G90" s="196"/>
      <c r="H90" s="223"/>
      <c r="I90" s="222"/>
      <c r="J90" s="196"/>
      <c r="K90" s="224"/>
      <c r="L90" s="223"/>
      <c r="M90" s="225"/>
      <c r="N90" s="231"/>
      <c r="O90" s="226"/>
      <c r="P90" s="226"/>
      <c r="Q90" s="226"/>
      <c r="R90" s="226"/>
      <c r="S90" s="226"/>
      <c r="T90" s="226"/>
      <c r="U90" s="226"/>
      <c r="V90" s="226"/>
      <c r="W90" s="226"/>
      <c r="X90" s="226"/>
      <c r="Y90" s="226"/>
      <c r="Z90" s="226"/>
      <c r="AA90" s="226"/>
    </row>
    <row r="91" spans="1:27" s="214" customFormat="1" ht="15.75" customHeight="1" x14ac:dyDescent="0.25">
      <c r="A91" s="196"/>
      <c r="B91" s="196"/>
      <c r="C91" s="196"/>
      <c r="D91" s="196"/>
      <c r="E91" s="196"/>
      <c r="F91" s="196"/>
      <c r="G91" s="196"/>
      <c r="H91" s="223"/>
      <c r="I91" s="222"/>
      <c r="J91" s="196"/>
      <c r="K91" s="224"/>
      <c r="L91" s="223"/>
      <c r="M91" s="225"/>
      <c r="N91" s="231"/>
      <c r="O91" s="226"/>
      <c r="P91" s="226"/>
      <c r="Q91" s="226"/>
      <c r="R91" s="226"/>
      <c r="S91" s="226"/>
      <c r="T91" s="226"/>
      <c r="U91" s="226"/>
      <c r="V91" s="226"/>
      <c r="W91" s="226"/>
      <c r="X91" s="226"/>
      <c r="Y91" s="226"/>
      <c r="Z91" s="226"/>
      <c r="AA91" s="226"/>
    </row>
    <row r="92" spans="1:27" s="214" customFormat="1" ht="15.75" customHeight="1" x14ac:dyDescent="0.25">
      <c r="A92" s="196"/>
      <c r="B92" s="196"/>
      <c r="C92" s="196"/>
      <c r="D92" s="227"/>
      <c r="E92" s="227"/>
      <c r="F92" s="227"/>
      <c r="G92" s="227"/>
      <c r="H92" s="228"/>
      <c r="I92" s="229"/>
      <c r="J92" s="227"/>
      <c r="K92" s="232"/>
      <c r="L92" s="228"/>
      <c r="M92" s="233"/>
      <c r="N92" s="231"/>
      <c r="O92" s="226"/>
      <c r="P92" s="226"/>
      <c r="Q92" s="226"/>
      <c r="R92" s="226"/>
      <c r="S92" s="226"/>
      <c r="T92" s="226"/>
      <c r="U92" s="226"/>
      <c r="V92" s="226"/>
      <c r="W92" s="226"/>
      <c r="X92" s="226"/>
      <c r="Y92" s="226"/>
      <c r="Z92" s="226"/>
      <c r="AA92" s="226"/>
    </row>
    <row r="93" spans="1:27" s="214" customFormat="1" ht="15.75" customHeight="1" x14ac:dyDescent="0.25">
      <c r="A93" s="196"/>
      <c r="B93" s="196"/>
      <c r="C93" s="196"/>
      <c r="D93" s="196"/>
      <c r="E93" s="196"/>
      <c r="F93" s="196"/>
      <c r="G93" s="196"/>
      <c r="H93" s="223"/>
      <c r="I93" s="223"/>
      <c r="J93" s="196"/>
      <c r="K93" s="224"/>
      <c r="L93" s="223"/>
      <c r="M93" s="225"/>
      <c r="N93" s="231"/>
      <c r="O93" s="226"/>
      <c r="P93" s="226"/>
      <c r="Q93" s="226"/>
      <c r="R93" s="226"/>
      <c r="S93" s="226"/>
      <c r="T93" s="226"/>
      <c r="U93" s="226"/>
      <c r="V93" s="226"/>
      <c r="W93" s="226"/>
      <c r="X93" s="226"/>
      <c r="Y93" s="226"/>
      <c r="Z93" s="226"/>
      <c r="AA93" s="226"/>
    </row>
    <row r="94" spans="1:27" s="214" customFormat="1" ht="15.75" customHeight="1" x14ac:dyDescent="0.25">
      <c r="A94" s="196"/>
      <c r="B94" s="196"/>
      <c r="C94" s="196"/>
      <c r="D94" s="196"/>
      <c r="E94" s="196"/>
      <c r="F94" s="196"/>
      <c r="G94" s="196"/>
      <c r="H94" s="223"/>
      <c r="I94" s="223"/>
      <c r="J94" s="196"/>
      <c r="K94" s="224"/>
      <c r="L94" s="223"/>
      <c r="M94" s="225"/>
      <c r="N94" s="231"/>
      <c r="O94" s="226"/>
      <c r="P94" s="226"/>
      <c r="Q94" s="226"/>
      <c r="R94" s="226"/>
      <c r="S94" s="226"/>
      <c r="T94" s="226"/>
      <c r="U94" s="226"/>
      <c r="V94" s="226"/>
      <c r="W94" s="226"/>
      <c r="X94" s="226"/>
      <c r="Y94" s="226"/>
      <c r="Z94" s="226"/>
      <c r="AA94" s="226"/>
    </row>
    <row r="95" spans="1:27" s="214" customFormat="1" ht="15.75" customHeight="1" x14ac:dyDescent="0.25">
      <c r="A95" s="196"/>
      <c r="B95" s="196"/>
      <c r="C95" s="196"/>
      <c r="D95" s="196"/>
      <c r="E95" s="196"/>
      <c r="F95" s="196"/>
      <c r="G95" s="196"/>
      <c r="H95" s="223"/>
      <c r="I95" s="223"/>
      <c r="J95" s="196"/>
      <c r="K95" s="224"/>
      <c r="L95" s="223"/>
      <c r="M95" s="225"/>
      <c r="N95" s="231"/>
      <c r="O95" s="226"/>
      <c r="P95" s="226"/>
      <c r="Q95" s="226"/>
      <c r="R95" s="226"/>
      <c r="S95" s="226"/>
      <c r="T95" s="226"/>
      <c r="U95" s="226"/>
      <c r="V95" s="226"/>
      <c r="W95" s="226"/>
      <c r="X95" s="226"/>
      <c r="Y95" s="226"/>
      <c r="Z95" s="226"/>
      <c r="AA95" s="226"/>
    </row>
    <row r="96" spans="1:27" s="214" customFormat="1" ht="15.75" customHeight="1" x14ac:dyDescent="0.25">
      <c r="A96" s="196"/>
      <c r="B96" s="196"/>
      <c r="C96" s="196"/>
      <c r="D96" s="196"/>
      <c r="E96" s="196"/>
      <c r="F96" s="196"/>
      <c r="G96" s="196"/>
      <c r="H96" s="223"/>
      <c r="I96" s="223"/>
      <c r="J96" s="196"/>
      <c r="K96" s="224"/>
      <c r="L96" s="223"/>
      <c r="M96" s="225"/>
      <c r="N96" s="231"/>
      <c r="O96" s="226"/>
      <c r="P96" s="226"/>
      <c r="Q96" s="226"/>
      <c r="R96" s="226"/>
      <c r="S96" s="226"/>
      <c r="T96" s="226"/>
      <c r="U96" s="226"/>
      <c r="V96" s="226"/>
      <c r="W96" s="226"/>
      <c r="X96" s="226"/>
      <c r="Y96" s="226"/>
      <c r="Z96" s="226"/>
      <c r="AA96" s="226"/>
    </row>
    <row r="97" spans="1:27" s="214" customFormat="1" ht="15.75" customHeight="1" x14ac:dyDescent="0.25">
      <c r="A97" s="196"/>
      <c r="B97" s="196"/>
      <c r="C97" s="196"/>
      <c r="D97" s="196"/>
      <c r="E97" s="196"/>
      <c r="F97" s="196"/>
      <c r="G97" s="196"/>
      <c r="H97" s="234"/>
      <c r="I97" s="196"/>
      <c r="J97" s="196"/>
      <c r="K97" s="224"/>
      <c r="L97" s="223"/>
      <c r="M97" s="225"/>
      <c r="N97" s="227"/>
      <c r="O97" s="226"/>
      <c r="P97" s="226"/>
      <c r="Q97" s="226"/>
      <c r="R97" s="226"/>
      <c r="S97" s="226"/>
      <c r="T97" s="226"/>
      <c r="U97" s="226"/>
      <c r="V97" s="226"/>
      <c r="W97" s="226"/>
      <c r="X97" s="226"/>
      <c r="Y97" s="226"/>
      <c r="Z97" s="226"/>
      <c r="AA97" s="226"/>
    </row>
    <row r="98" spans="1:27" s="214" customFormat="1" ht="15.75" customHeight="1" x14ac:dyDescent="0.25">
      <c r="A98" s="196"/>
      <c r="B98" s="196"/>
      <c r="C98" s="196"/>
      <c r="D98" s="235"/>
      <c r="E98" s="235"/>
      <c r="F98" s="235"/>
      <c r="G98" s="235"/>
      <c r="H98" s="235"/>
      <c r="I98" s="235"/>
      <c r="J98" s="235"/>
      <c r="K98" s="236"/>
      <c r="L98" s="237"/>
      <c r="M98" s="233"/>
      <c r="N98" s="196"/>
      <c r="O98" s="226"/>
      <c r="P98" s="226"/>
      <c r="Q98" s="226"/>
      <c r="R98" s="226"/>
      <c r="S98" s="226"/>
      <c r="T98" s="226"/>
      <c r="U98" s="226"/>
      <c r="V98" s="226"/>
      <c r="W98" s="226"/>
      <c r="X98" s="226"/>
      <c r="Y98" s="226"/>
      <c r="Z98" s="226"/>
      <c r="AA98" s="226"/>
    </row>
    <row r="99" spans="1:27" s="214" customFormat="1" ht="15.75" customHeight="1" x14ac:dyDescent="0.25">
      <c r="A99" s="196"/>
      <c r="B99" s="196"/>
      <c r="C99" s="196"/>
      <c r="D99" s="227"/>
      <c r="E99" s="227"/>
      <c r="F99" s="227"/>
      <c r="G99" s="227"/>
      <c r="H99" s="227"/>
      <c r="I99" s="227"/>
      <c r="J99" s="227"/>
      <c r="K99" s="232"/>
      <c r="L99" s="228"/>
      <c r="M99" s="233"/>
      <c r="N99" s="227"/>
      <c r="O99" s="226"/>
      <c r="P99" s="226"/>
      <c r="Q99" s="226"/>
      <c r="R99" s="226"/>
      <c r="S99" s="226"/>
      <c r="T99" s="226"/>
      <c r="U99" s="226"/>
      <c r="V99" s="226"/>
      <c r="W99" s="226"/>
      <c r="X99" s="226"/>
      <c r="Y99" s="226"/>
      <c r="Z99" s="226"/>
      <c r="AA99" s="226"/>
    </row>
    <row r="100" spans="1:27" s="214" customFormat="1" ht="15.75" customHeight="1" x14ac:dyDescent="0.25">
      <c r="A100" s="196"/>
      <c r="B100" s="196"/>
      <c r="C100" s="196"/>
      <c r="D100" s="227"/>
      <c r="E100" s="227"/>
      <c r="F100" s="227"/>
      <c r="G100" s="227"/>
      <c r="H100" s="227"/>
      <c r="I100" s="227"/>
      <c r="J100" s="227"/>
      <c r="K100" s="232"/>
      <c r="L100" s="228"/>
      <c r="M100" s="233"/>
      <c r="N100" s="227"/>
      <c r="O100" s="226"/>
      <c r="P100" s="226"/>
      <c r="Q100" s="226"/>
      <c r="R100" s="226"/>
      <c r="S100" s="226"/>
      <c r="T100" s="226"/>
      <c r="U100" s="226"/>
      <c r="V100" s="226"/>
      <c r="W100" s="226"/>
      <c r="X100" s="226"/>
      <c r="Y100" s="226"/>
      <c r="Z100" s="226"/>
      <c r="AA100" s="226"/>
    </row>
    <row r="101" spans="1:27" s="214" customFormat="1" ht="15.75" customHeight="1" x14ac:dyDescent="0.25">
      <c r="A101" s="196"/>
      <c r="B101" s="196"/>
      <c r="C101" s="196"/>
      <c r="D101" s="227"/>
      <c r="E101" s="227"/>
      <c r="F101" s="227"/>
      <c r="G101" s="227"/>
      <c r="H101" s="227"/>
      <c r="I101" s="227"/>
      <c r="J101" s="227"/>
      <c r="K101" s="232"/>
      <c r="L101" s="228"/>
      <c r="M101" s="233"/>
      <c r="N101" s="227"/>
      <c r="O101" s="226"/>
      <c r="P101" s="226"/>
      <c r="Q101" s="226"/>
      <c r="R101" s="226"/>
      <c r="S101" s="226"/>
      <c r="T101" s="226"/>
      <c r="U101" s="226"/>
      <c r="V101" s="226"/>
      <c r="W101" s="226"/>
      <c r="X101" s="226"/>
      <c r="Y101" s="226"/>
      <c r="Z101" s="226"/>
      <c r="AA101" s="226"/>
    </row>
    <row r="102" spans="1:27" s="214" customFormat="1" ht="15.75" customHeight="1" x14ac:dyDescent="0.25">
      <c r="A102" s="196"/>
      <c r="B102" s="196"/>
      <c r="C102" s="196"/>
      <c r="D102" s="227"/>
      <c r="E102" s="227"/>
      <c r="F102" s="227"/>
      <c r="G102" s="227"/>
      <c r="H102" s="227"/>
      <c r="I102" s="227"/>
      <c r="J102" s="227"/>
      <c r="K102" s="232"/>
      <c r="L102" s="228"/>
      <c r="M102" s="233"/>
      <c r="N102" s="227"/>
      <c r="O102" s="226"/>
      <c r="P102" s="226"/>
      <c r="Q102" s="226"/>
      <c r="R102" s="226"/>
      <c r="S102" s="226"/>
      <c r="T102" s="226"/>
      <c r="U102" s="226"/>
      <c r="V102" s="226"/>
      <c r="W102" s="226"/>
      <c r="X102" s="226"/>
      <c r="Y102" s="226"/>
      <c r="Z102" s="226"/>
      <c r="AA102" s="226"/>
    </row>
    <row r="103" spans="1:27" s="214" customFormat="1" ht="15.75" customHeight="1" x14ac:dyDescent="0.25">
      <c r="C103" s="238"/>
      <c r="M103" s="239"/>
      <c r="O103" s="226"/>
      <c r="P103" s="226"/>
      <c r="Q103" s="226"/>
      <c r="R103" s="226"/>
      <c r="S103" s="226"/>
      <c r="T103" s="226"/>
      <c r="U103" s="226"/>
      <c r="V103" s="226"/>
      <c r="W103" s="226"/>
      <c r="X103" s="226"/>
      <c r="Y103" s="226"/>
      <c r="Z103" s="226"/>
      <c r="AA103" s="226"/>
    </row>
    <row r="104" spans="1:27" s="214" customFormat="1" ht="15.75" customHeight="1" x14ac:dyDescent="0.25">
      <c r="C104" s="238"/>
      <c r="M104" s="239"/>
      <c r="O104" s="226"/>
      <c r="P104" s="226"/>
      <c r="Q104" s="226"/>
      <c r="R104" s="226"/>
      <c r="S104" s="226"/>
      <c r="T104" s="226"/>
      <c r="U104" s="226"/>
      <c r="V104" s="226"/>
      <c r="W104" s="226"/>
      <c r="X104" s="226"/>
      <c r="Y104" s="226"/>
      <c r="Z104" s="226"/>
      <c r="AA104" s="226"/>
    </row>
    <row r="105" spans="1:27" s="214" customFormat="1" ht="15.75" customHeight="1" x14ac:dyDescent="0.25">
      <c r="C105" s="238"/>
      <c r="M105" s="239"/>
      <c r="O105" s="226"/>
      <c r="P105" s="226"/>
      <c r="Q105" s="226"/>
      <c r="R105" s="226"/>
      <c r="S105" s="226"/>
      <c r="T105" s="226"/>
      <c r="U105" s="226"/>
      <c r="V105" s="226"/>
      <c r="W105" s="226"/>
      <c r="X105" s="226"/>
      <c r="Y105" s="226"/>
      <c r="Z105" s="226"/>
      <c r="AA105" s="226"/>
    </row>
    <row r="106" spans="1:27" s="214" customFormat="1" ht="15.75" customHeight="1" x14ac:dyDescent="0.25">
      <c r="C106" s="238"/>
      <c r="M106" s="239"/>
      <c r="O106" s="226"/>
      <c r="P106" s="226"/>
      <c r="Q106" s="226"/>
      <c r="R106" s="226"/>
      <c r="S106" s="226"/>
      <c r="T106" s="226"/>
      <c r="U106" s="226"/>
      <c r="V106" s="226"/>
      <c r="W106" s="226"/>
      <c r="X106" s="226"/>
      <c r="Y106" s="226"/>
      <c r="Z106" s="226"/>
      <c r="AA106" s="226"/>
    </row>
    <row r="107" spans="1:27" s="214" customFormat="1" ht="15.75" customHeight="1" x14ac:dyDescent="0.25">
      <c r="C107" s="238"/>
      <c r="M107" s="239"/>
      <c r="O107" s="226"/>
      <c r="P107" s="226"/>
      <c r="Q107" s="226"/>
      <c r="R107" s="226"/>
      <c r="S107" s="226"/>
      <c r="T107" s="226"/>
      <c r="U107" s="226"/>
      <c r="V107" s="226"/>
      <c r="W107" s="226"/>
      <c r="X107" s="226"/>
      <c r="Y107" s="226"/>
      <c r="Z107" s="226"/>
      <c r="AA107" s="226"/>
    </row>
    <row r="108" spans="1:27" s="214" customFormat="1" ht="15.75" customHeight="1" x14ac:dyDescent="0.25">
      <c r="C108" s="238"/>
      <c r="M108" s="239"/>
      <c r="O108" s="226"/>
      <c r="P108" s="226"/>
      <c r="Q108" s="226"/>
      <c r="R108" s="226"/>
      <c r="S108" s="226"/>
      <c r="T108" s="226"/>
      <c r="U108" s="226"/>
      <c r="V108" s="226"/>
      <c r="W108" s="226"/>
      <c r="X108" s="226"/>
      <c r="Y108" s="226"/>
      <c r="Z108" s="226"/>
      <c r="AA108" s="226"/>
    </row>
    <row r="109" spans="1:27" s="214" customFormat="1" ht="15.75" customHeight="1" x14ac:dyDescent="0.25">
      <c r="C109" s="238"/>
      <c r="M109" s="239"/>
      <c r="O109" s="226"/>
      <c r="P109" s="226"/>
      <c r="Q109" s="226"/>
      <c r="R109" s="226"/>
      <c r="S109" s="226"/>
      <c r="T109" s="226"/>
      <c r="U109" s="226"/>
      <c r="V109" s="226"/>
      <c r="W109" s="226"/>
      <c r="X109" s="226"/>
      <c r="Y109" s="226"/>
      <c r="Z109" s="226"/>
      <c r="AA109" s="226"/>
    </row>
    <row r="110" spans="1:27" s="214" customFormat="1" ht="15.75" customHeight="1" x14ac:dyDescent="0.25">
      <c r="C110" s="238"/>
      <c r="M110" s="239"/>
      <c r="O110" s="226"/>
      <c r="P110" s="226"/>
      <c r="Q110" s="226"/>
      <c r="R110" s="226"/>
      <c r="S110" s="226"/>
      <c r="T110" s="226"/>
      <c r="U110" s="226"/>
      <c r="V110" s="226"/>
      <c r="W110" s="226"/>
      <c r="X110" s="226"/>
      <c r="Y110" s="226"/>
      <c r="Z110" s="226"/>
      <c r="AA110" s="226"/>
    </row>
    <row r="111" spans="1:27" s="214" customFormat="1" ht="15.75" customHeight="1" x14ac:dyDescent="0.25">
      <c r="C111" s="238"/>
      <c r="M111" s="239"/>
      <c r="O111" s="226"/>
      <c r="P111" s="226"/>
      <c r="Q111" s="226"/>
      <c r="R111" s="226"/>
      <c r="S111" s="226"/>
      <c r="T111" s="226"/>
      <c r="U111" s="226"/>
      <c r="V111" s="226"/>
      <c r="W111" s="226"/>
      <c r="X111" s="226"/>
      <c r="Y111" s="226"/>
      <c r="Z111" s="226"/>
      <c r="AA111" s="226"/>
    </row>
    <row r="112" spans="1:27" s="214" customFormat="1" ht="15.75" customHeight="1" x14ac:dyDescent="0.25">
      <c r="C112" s="238"/>
      <c r="M112" s="239"/>
      <c r="O112" s="226"/>
      <c r="P112" s="226"/>
      <c r="Q112" s="226"/>
      <c r="R112" s="226"/>
      <c r="S112" s="226"/>
      <c r="T112" s="226"/>
      <c r="U112" s="226"/>
      <c r="V112" s="226"/>
      <c r="W112" s="226"/>
      <c r="X112" s="226"/>
      <c r="Y112" s="226"/>
      <c r="Z112" s="226"/>
      <c r="AA112" s="226"/>
    </row>
    <row r="113" spans="3:27" s="214" customFormat="1" ht="15.75" customHeight="1" x14ac:dyDescent="0.25">
      <c r="C113" s="238"/>
      <c r="M113" s="239"/>
      <c r="O113" s="226"/>
      <c r="P113" s="226"/>
      <c r="Q113" s="226"/>
      <c r="R113" s="226"/>
      <c r="S113" s="226"/>
      <c r="T113" s="226"/>
      <c r="U113" s="226"/>
      <c r="V113" s="226"/>
      <c r="W113" s="226"/>
      <c r="X113" s="226"/>
      <c r="Y113" s="226"/>
      <c r="Z113" s="226"/>
      <c r="AA113" s="226"/>
    </row>
    <row r="114" spans="3:27" s="214" customFormat="1" ht="15.75" customHeight="1" x14ac:dyDescent="0.25">
      <c r="C114" s="238"/>
      <c r="M114" s="239"/>
      <c r="O114" s="226"/>
      <c r="P114" s="226"/>
      <c r="Q114" s="226"/>
      <c r="R114" s="226"/>
      <c r="S114" s="226"/>
      <c r="T114" s="226"/>
      <c r="U114" s="226"/>
      <c r="V114" s="226"/>
      <c r="W114" s="226"/>
      <c r="X114" s="226"/>
      <c r="Y114" s="226"/>
      <c r="Z114" s="226"/>
      <c r="AA114" s="226"/>
    </row>
    <row r="115" spans="3:27" s="214" customFormat="1" ht="15.75" customHeight="1" x14ac:dyDescent="0.25">
      <c r="C115" s="238"/>
      <c r="M115" s="239"/>
      <c r="O115" s="226"/>
      <c r="P115" s="226"/>
      <c r="Q115" s="226"/>
      <c r="R115" s="226"/>
      <c r="S115" s="226"/>
      <c r="T115" s="226"/>
      <c r="U115" s="226"/>
      <c r="V115" s="226"/>
      <c r="W115" s="226"/>
      <c r="X115" s="226"/>
      <c r="Y115" s="226"/>
      <c r="Z115" s="226"/>
      <c r="AA115" s="226"/>
    </row>
    <row r="116" spans="3:27" s="214" customFormat="1" ht="15.75" customHeight="1" x14ac:dyDescent="0.25">
      <c r="C116" s="238"/>
      <c r="M116" s="239"/>
      <c r="O116" s="226"/>
      <c r="P116" s="226"/>
      <c r="Q116" s="226"/>
      <c r="R116" s="226"/>
      <c r="S116" s="226"/>
      <c r="T116" s="226"/>
      <c r="U116" s="226"/>
      <c r="V116" s="226"/>
      <c r="W116" s="226"/>
      <c r="X116" s="226"/>
      <c r="Y116" s="226"/>
      <c r="Z116" s="226"/>
      <c r="AA116" s="226"/>
    </row>
    <row r="117" spans="3:27" s="214" customFormat="1" ht="15.75" customHeight="1" x14ac:dyDescent="0.25">
      <c r="C117" s="238"/>
      <c r="M117" s="239"/>
      <c r="O117" s="226"/>
      <c r="P117" s="226"/>
      <c r="Q117" s="226"/>
      <c r="R117" s="226"/>
      <c r="S117" s="226"/>
      <c r="T117" s="226"/>
      <c r="U117" s="226"/>
      <c r="V117" s="226"/>
      <c r="W117" s="226"/>
      <c r="X117" s="226"/>
      <c r="Y117" s="226"/>
      <c r="Z117" s="226"/>
      <c r="AA117" s="226"/>
    </row>
    <row r="118" spans="3:27" s="214" customFormat="1" ht="15.75" customHeight="1" x14ac:dyDescent="0.25">
      <c r="C118" s="238"/>
      <c r="M118" s="239"/>
      <c r="O118" s="226"/>
      <c r="P118" s="226"/>
      <c r="Q118" s="226"/>
      <c r="R118" s="226"/>
      <c r="S118" s="226"/>
      <c r="T118" s="226"/>
      <c r="U118" s="226"/>
      <c r="V118" s="226"/>
      <c r="W118" s="226"/>
      <c r="X118" s="226"/>
      <c r="Y118" s="226"/>
      <c r="Z118" s="226"/>
      <c r="AA118" s="226"/>
    </row>
    <row r="119" spans="3:27" s="214" customFormat="1" ht="15.75" customHeight="1" x14ac:dyDescent="0.25">
      <c r="C119" s="238"/>
      <c r="M119" s="239"/>
      <c r="O119" s="226"/>
      <c r="P119" s="226"/>
      <c r="Q119" s="226"/>
      <c r="R119" s="226"/>
      <c r="S119" s="226"/>
      <c r="T119" s="226"/>
      <c r="U119" s="226"/>
      <c r="V119" s="226"/>
      <c r="W119" s="226"/>
      <c r="X119" s="226"/>
      <c r="Y119" s="226"/>
      <c r="Z119" s="226"/>
      <c r="AA119" s="226"/>
    </row>
    <row r="120" spans="3:27" s="214" customFormat="1" ht="15.75" customHeight="1" x14ac:dyDescent="0.25">
      <c r="C120" s="238"/>
      <c r="M120" s="239"/>
      <c r="O120" s="226"/>
      <c r="P120" s="226"/>
      <c r="Q120" s="226"/>
      <c r="R120" s="226"/>
      <c r="S120" s="226"/>
      <c r="T120" s="226"/>
      <c r="U120" s="226"/>
      <c r="V120" s="226"/>
      <c r="W120" s="226"/>
      <c r="X120" s="226"/>
      <c r="Y120" s="226"/>
      <c r="Z120" s="226"/>
      <c r="AA120" s="226"/>
    </row>
    <row r="121" spans="3:27" s="214" customFormat="1" ht="15.75" customHeight="1" x14ac:dyDescent="0.25">
      <c r="C121" s="238"/>
      <c r="M121" s="239"/>
      <c r="O121" s="226"/>
      <c r="P121" s="226"/>
      <c r="Q121" s="226"/>
      <c r="R121" s="226"/>
      <c r="S121" s="226"/>
      <c r="T121" s="226"/>
      <c r="U121" s="226"/>
      <c r="V121" s="226"/>
      <c r="W121" s="226"/>
      <c r="X121" s="226"/>
      <c r="Y121" s="226"/>
      <c r="Z121" s="226"/>
      <c r="AA121" s="226"/>
    </row>
    <row r="122" spans="3:27" s="214" customFormat="1" ht="15.75" customHeight="1" x14ac:dyDescent="0.25">
      <c r="C122" s="238"/>
      <c r="M122" s="239"/>
      <c r="O122" s="226"/>
      <c r="P122" s="226"/>
      <c r="Q122" s="226"/>
      <c r="R122" s="226"/>
      <c r="S122" s="226"/>
      <c r="T122" s="226"/>
      <c r="U122" s="226"/>
      <c r="V122" s="226"/>
      <c r="W122" s="226"/>
      <c r="X122" s="226"/>
      <c r="Y122" s="226"/>
      <c r="Z122" s="226"/>
      <c r="AA122" s="226"/>
    </row>
    <row r="123" spans="3:27" s="214" customFormat="1" ht="15.75" customHeight="1" x14ac:dyDescent="0.25">
      <c r="C123" s="238"/>
      <c r="M123" s="239"/>
      <c r="O123" s="226"/>
      <c r="P123" s="226"/>
      <c r="Q123" s="226"/>
      <c r="R123" s="226"/>
      <c r="S123" s="226"/>
      <c r="T123" s="226"/>
      <c r="U123" s="226"/>
      <c r="V123" s="226"/>
      <c r="W123" s="226"/>
      <c r="X123" s="226"/>
      <c r="Y123" s="226"/>
      <c r="Z123" s="226"/>
      <c r="AA123" s="226"/>
    </row>
    <row r="124" spans="3:27" s="214" customFormat="1" ht="15.75" customHeight="1" x14ac:dyDescent="0.25">
      <c r="C124" s="238"/>
      <c r="M124" s="239"/>
      <c r="O124" s="226"/>
      <c r="P124" s="226"/>
      <c r="Q124" s="226"/>
      <c r="R124" s="226"/>
      <c r="S124" s="226"/>
      <c r="T124" s="226"/>
      <c r="U124" s="226"/>
      <c r="V124" s="226"/>
      <c r="W124" s="226"/>
      <c r="X124" s="226"/>
      <c r="Y124" s="226"/>
      <c r="Z124" s="226"/>
      <c r="AA124" s="226"/>
    </row>
    <row r="125" spans="3:27" s="214" customFormat="1" ht="15.75" customHeight="1" x14ac:dyDescent="0.25">
      <c r="C125" s="238"/>
      <c r="M125" s="239"/>
      <c r="O125" s="226"/>
      <c r="P125" s="226"/>
      <c r="Q125" s="226"/>
      <c r="R125" s="226"/>
      <c r="S125" s="226"/>
      <c r="T125" s="226"/>
      <c r="U125" s="226"/>
      <c r="V125" s="226"/>
      <c r="W125" s="226"/>
      <c r="X125" s="226"/>
      <c r="Y125" s="226"/>
      <c r="Z125" s="226"/>
      <c r="AA125" s="226"/>
    </row>
    <row r="126" spans="3:27" s="214" customFormat="1" ht="15.75" customHeight="1" x14ac:dyDescent="0.25">
      <c r="C126" s="238"/>
      <c r="M126" s="239"/>
      <c r="O126" s="226"/>
      <c r="P126" s="226"/>
      <c r="Q126" s="226"/>
      <c r="R126" s="226"/>
      <c r="S126" s="226"/>
      <c r="T126" s="226"/>
      <c r="U126" s="226"/>
      <c r="V126" s="226"/>
      <c r="W126" s="226"/>
      <c r="X126" s="226"/>
      <c r="Y126" s="226"/>
      <c r="Z126" s="226"/>
      <c r="AA126" s="226"/>
    </row>
    <row r="127" spans="3:27" s="214" customFormat="1" ht="15.75" customHeight="1" x14ac:dyDescent="0.25">
      <c r="C127" s="238"/>
      <c r="M127" s="239"/>
      <c r="O127" s="226"/>
      <c r="P127" s="226"/>
      <c r="Q127" s="226"/>
      <c r="R127" s="226"/>
      <c r="S127" s="226"/>
      <c r="T127" s="226"/>
      <c r="U127" s="226"/>
      <c r="V127" s="226"/>
      <c r="W127" s="226"/>
      <c r="X127" s="226"/>
      <c r="Y127" s="226"/>
      <c r="Z127" s="226"/>
      <c r="AA127" s="226"/>
    </row>
    <row r="128" spans="3:27" s="214" customFormat="1" ht="15.75" customHeight="1" x14ac:dyDescent="0.25">
      <c r="C128" s="238"/>
      <c r="M128" s="239"/>
      <c r="O128" s="226"/>
      <c r="P128" s="226"/>
      <c r="Q128" s="226"/>
      <c r="R128" s="226"/>
      <c r="S128" s="226"/>
      <c r="T128" s="226"/>
      <c r="U128" s="226"/>
      <c r="V128" s="226"/>
      <c r="W128" s="226"/>
      <c r="X128" s="226"/>
      <c r="Y128" s="226"/>
      <c r="Z128" s="226"/>
      <c r="AA128" s="226"/>
    </row>
    <row r="129" spans="3:27" s="214" customFormat="1" ht="15.75" customHeight="1" x14ac:dyDescent="0.25">
      <c r="C129" s="238"/>
      <c r="M129" s="239"/>
      <c r="O129" s="226"/>
      <c r="P129" s="226"/>
      <c r="Q129" s="226"/>
      <c r="R129" s="226"/>
      <c r="S129" s="226"/>
      <c r="T129" s="226"/>
      <c r="U129" s="226"/>
      <c r="V129" s="226"/>
      <c r="W129" s="226"/>
      <c r="X129" s="226"/>
      <c r="Y129" s="226"/>
      <c r="Z129" s="226"/>
      <c r="AA129" s="226"/>
    </row>
    <row r="130" spans="3:27" s="214" customFormat="1" ht="15.75" customHeight="1" x14ac:dyDescent="0.25">
      <c r="C130" s="238"/>
      <c r="M130" s="239"/>
      <c r="O130" s="226"/>
      <c r="P130" s="226"/>
      <c r="Q130" s="226"/>
      <c r="R130" s="226"/>
      <c r="S130" s="226"/>
      <c r="T130" s="226"/>
      <c r="U130" s="226"/>
      <c r="V130" s="226"/>
      <c r="W130" s="226"/>
      <c r="X130" s="226"/>
      <c r="Y130" s="226"/>
      <c r="Z130" s="226"/>
      <c r="AA130" s="226"/>
    </row>
    <row r="131" spans="3:27" s="214" customFormat="1" ht="15.75" customHeight="1" x14ac:dyDescent="0.25">
      <c r="C131" s="238"/>
      <c r="M131" s="239"/>
      <c r="O131" s="226"/>
      <c r="P131" s="226"/>
      <c r="Q131" s="226"/>
      <c r="R131" s="226"/>
      <c r="S131" s="226"/>
      <c r="T131" s="226"/>
      <c r="U131" s="226"/>
      <c r="V131" s="226"/>
      <c r="W131" s="226"/>
      <c r="X131" s="226"/>
      <c r="Y131" s="226"/>
      <c r="Z131" s="226"/>
      <c r="AA131" s="226"/>
    </row>
    <row r="132" spans="3:27" s="214" customFormat="1" ht="15.75" customHeight="1" x14ac:dyDescent="0.25">
      <c r="C132" s="238"/>
      <c r="M132" s="239"/>
      <c r="O132" s="226"/>
      <c r="P132" s="226"/>
      <c r="Q132" s="226"/>
      <c r="R132" s="226"/>
      <c r="S132" s="226"/>
      <c r="T132" s="226"/>
      <c r="U132" s="226"/>
      <c r="V132" s="226"/>
      <c r="W132" s="226"/>
      <c r="X132" s="226"/>
      <c r="Y132" s="226"/>
      <c r="Z132" s="226"/>
      <c r="AA132" s="226"/>
    </row>
    <row r="133" spans="3:27" s="214" customFormat="1" ht="15.75" customHeight="1" x14ac:dyDescent="0.25">
      <c r="C133" s="238"/>
      <c r="M133" s="239"/>
      <c r="O133" s="226"/>
      <c r="P133" s="226"/>
      <c r="Q133" s="226"/>
      <c r="R133" s="226"/>
      <c r="S133" s="226"/>
      <c r="T133" s="226"/>
      <c r="U133" s="226"/>
      <c r="V133" s="226"/>
      <c r="W133" s="226"/>
      <c r="X133" s="226"/>
      <c r="Y133" s="226"/>
      <c r="Z133" s="226"/>
      <c r="AA133" s="226"/>
    </row>
    <row r="134" spans="3:27" s="214" customFormat="1" ht="15.75" customHeight="1" x14ac:dyDescent="0.25">
      <c r="C134" s="238"/>
      <c r="M134" s="239"/>
      <c r="O134" s="226"/>
      <c r="P134" s="226"/>
      <c r="Q134" s="226"/>
      <c r="R134" s="226"/>
      <c r="S134" s="226"/>
      <c r="T134" s="226"/>
      <c r="U134" s="226"/>
      <c r="V134" s="226"/>
      <c r="W134" s="226"/>
      <c r="X134" s="226"/>
      <c r="Y134" s="226"/>
      <c r="Z134" s="226"/>
      <c r="AA134" s="226"/>
    </row>
    <row r="135" spans="3:27" s="214" customFormat="1" ht="15.75" customHeight="1" x14ac:dyDescent="0.25">
      <c r="C135" s="238"/>
      <c r="M135" s="239"/>
      <c r="O135" s="226"/>
      <c r="P135" s="226"/>
      <c r="Q135" s="226"/>
      <c r="R135" s="226"/>
      <c r="S135" s="226"/>
      <c r="T135" s="226"/>
      <c r="U135" s="226"/>
      <c r="V135" s="226"/>
      <c r="W135" s="226"/>
      <c r="X135" s="226"/>
      <c r="Y135" s="226"/>
      <c r="Z135" s="226"/>
      <c r="AA135" s="226"/>
    </row>
    <row r="136" spans="3:27" s="214" customFormat="1" ht="15.75" customHeight="1" x14ac:dyDescent="0.25">
      <c r="C136" s="238"/>
      <c r="M136" s="239"/>
      <c r="O136" s="226"/>
      <c r="P136" s="226"/>
      <c r="Q136" s="226"/>
      <c r="R136" s="226"/>
      <c r="S136" s="226"/>
      <c r="T136" s="226"/>
      <c r="U136" s="226"/>
      <c r="V136" s="226"/>
      <c r="W136" s="226"/>
      <c r="X136" s="226"/>
      <c r="Y136" s="226"/>
      <c r="Z136" s="226"/>
      <c r="AA136" s="226"/>
    </row>
    <row r="137" spans="3:27" s="214" customFormat="1" ht="15.75" customHeight="1" x14ac:dyDescent="0.25">
      <c r="C137" s="238"/>
      <c r="M137" s="239"/>
      <c r="O137" s="226"/>
      <c r="P137" s="226"/>
      <c r="Q137" s="226"/>
      <c r="R137" s="226"/>
      <c r="S137" s="226"/>
      <c r="T137" s="226"/>
      <c r="U137" s="226"/>
      <c r="V137" s="226"/>
      <c r="W137" s="226"/>
      <c r="X137" s="226"/>
      <c r="Y137" s="226"/>
      <c r="Z137" s="226"/>
      <c r="AA137" s="226"/>
    </row>
    <row r="138" spans="3:27" s="214" customFormat="1" ht="15.75" customHeight="1" x14ac:dyDescent="0.25">
      <c r="C138" s="238"/>
      <c r="M138" s="239"/>
      <c r="O138" s="226"/>
      <c r="P138" s="226"/>
      <c r="Q138" s="226"/>
      <c r="R138" s="226"/>
      <c r="S138" s="226"/>
      <c r="T138" s="226"/>
      <c r="U138" s="226"/>
      <c r="V138" s="226"/>
      <c r="W138" s="226"/>
      <c r="X138" s="226"/>
      <c r="Y138" s="226"/>
      <c r="Z138" s="226"/>
      <c r="AA138" s="226"/>
    </row>
    <row r="139" spans="3:27" s="214" customFormat="1" ht="15.75" customHeight="1" x14ac:dyDescent="0.25">
      <c r="C139" s="238"/>
      <c r="M139" s="239"/>
      <c r="O139" s="226"/>
      <c r="P139" s="226"/>
      <c r="Q139" s="226"/>
      <c r="R139" s="226"/>
      <c r="S139" s="226"/>
      <c r="T139" s="226"/>
      <c r="U139" s="226"/>
      <c r="V139" s="226"/>
      <c r="W139" s="226"/>
      <c r="X139" s="226"/>
      <c r="Y139" s="226"/>
      <c r="Z139" s="226"/>
      <c r="AA139" s="226"/>
    </row>
    <row r="140" spans="3:27" s="214" customFormat="1" ht="15.75" customHeight="1" x14ac:dyDescent="0.25">
      <c r="C140" s="238"/>
      <c r="M140" s="239"/>
      <c r="O140" s="226"/>
      <c r="P140" s="226"/>
      <c r="Q140" s="226"/>
      <c r="R140" s="226"/>
      <c r="S140" s="226"/>
      <c r="T140" s="226"/>
      <c r="U140" s="226"/>
      <c r="V140" s="226"/>
      <c r="W140" s="226"/>
      <c r="X140" s="226"/>
      <c r="Y140" s="226"/>
      <c r="Z140" s="226"/>
      <c r="AA140" s="226"/>
    </row>
    <row r="141" spans="3:27" s="214" customFormat="1" ht="15.75" customHeight="1" x14ac:dyDescent="0.25">
      <c r="C141" s="238"/>
      <c r="M141" s="239"/>
      <c r="O141" s="226"/>
      <c r="P141" s="226"/>
      <c r="Q141" s="226"/>
      <c r="R141" s="226"/>
      <c r="S141" s="226"/>
      <c r="T141" s="226"/>
      <c r="U141" s="226"/>
      <c r="V141" s="226"/>
      <c r="W141" s="226"/>
      <c r="X141" s="226"/>
      <c r="Y141" s="226"/>
      <c r="Z141" s="226"/>
      <c r="AA141" s="226"/>
    </row>
    <row r="142" spans="3:27" s="214" customFormat="1" ht="15.75" customHeight="1" x14ac:dyDescent="0.25">
      <c r="C142" s="238"/>
      <c r="M142" s="239"/>
      <c r="O142" s="226"/>
      <c r="P142" s="226"/>
      <c r="Q142" s="226"/>
      <c r="R142" s="226"/>
      <c r="S142" s="226"/>
      <c r="T142" s="226"/>
      <c r="U142" s="226"/>
      <c r="V142" s="226"/>
      <c r="W142" s="226"/>
      <c r="X142" s="226"/>
      <c r="Y142" s="226"/>
      <c r="Z142" s="226"/>
      <c r="AA142" s="226"/>
    </row>
    <row r="143" spans="3:27" s="214" customFormat="1" ht="15.75" customHeight="1" x14ac:dyDescent="0.25">
      <c r="C143" s="238"/>
      <c r="M143" s="239"/>
      <c r="O143" s="226"/>
      <c r="P143" s="226"/>
      <c r="Q143" s="226"/>
      <c r="R143" s="226"/>
      <c r="S143" s="226"/>
      <c r="T143" s="226"/>
      <c r="U143" s="226"/>
      <c r="V143" s="226"/>
      <c r="W143" s="226"/>
      <c r="X143" s="226"/>
      <c r="Y143" s="226"/>
      <c r="Z143" s="226"/>
      <c r="AA143" s="226"/>
    </row>
    <row r="144" spans="3:27" s="214" customFormat="1" ht="15.75" customHeight="1" x14ac:dyDescent="0.25">
      <c r="C144" s="238"/>
      <c r="M144" s="239"/>
      <c r="O144" s="226"/>
      <c r="P144" s="226"/>
      <c r="Q144" s="226"/>
      <c r="R144" s="226"/>
      <c r="S144" s="226"/>
      <c r="T144" s="226"/>
      <c r="U144" s="226"/>
      <c r="V144" s="226"/>
      <c r="W144" s="226"/>
      <c r="X144" s="226"/>
      <c r="Y144" s="226"/>
      <c r="Z144" s="226"/>
      <c r="AA144" s="226"/>
    </row>
    <row r="145" spans="3:27" s="214" customFormat="1" ht="15.75" customHeight="1" x14ac:dyDescent="0.25">
      <c r="C145" s="238"/>
      <c r="M145" s="239"/>
      <c r="O145" s="226"/>
      <c r="P145" s="226"/>
      <c r="Q145" s="226"/>
      <c r="R145" s="226"/>
      <c r="S145" s="226"/>
      <c r="T145" s="226"/>
      <c r="U145" s="226"/>
      <c r="V145" s="226"/>
      <c r="W145" s="226"/>
      <c r="X145" s="226"/>
      <c r="Y145" s="226"/>
      <c r="Z145" s="226"/>
      <c r="AA145" s="226"/>
    </row>
    <row r="146" spans="3:27" s="214" customFormat="1" ht="15.75" customHeight="1" x14ac:dyDescent="0.25">
      <c r="C146" s="238"/>
      <c r="M146" s="239"/>
      <c r="O146" s="226"/>
      <c r="P146" s="226"/>
      <c r="Q146" s="226"/>
      <c r="R146" s="226"/>
      <c r="S146" s="226"/>
      <c r="T146" s="226"/>
      <c r="U146" s="226"/>
      <c r="V146" s="226"/>
      <c r="W146" s="226"/>
      <c r="X146" s="226"/>
      <c r="Y146" s="226"/>
      <c r="Z146" s="226"/>
      <c r="AA146" s="226"/>
    </row>
    <row r="147" spans="3:27" s="214" customFormat="1" ht="15.75" customHeight="1" x14ac:dyDescent="0.25">
      <c r="C147" s="238"/>
      <c r="M147" s="239"/>
      <c r="O147" s="226"/>
      <c r="P147" s="226"/>
      <c r="Q147" s="226"/>
      <c r="R147" s="226"/>
      <c r="S147" s="226"/>
      <c r="T147" s="226"/>
      <c r="U147" s="226"/>
      <c r="V147" s="226"/>
      <c r="W147" s="226"/>
      <c r="X147" s="226"/>
      <c r="Y147" s="226"/>
      <c r="Z147" s="226"/>
      <c r="AA147" s="226"/>
    </row>
    <row r="148" spans="3:27" s="214" customFormat="1" ht="15.75" customHeight="1" x14ac:dyDescent="0.25">
      <c r="C148" s="238"/>
      <c r="M148" s="239"/>
      <c r="O148" s="226"/>
      <c r="P148" s="226"/>
      <c r="Q148" s="226"/>
      <c r="R148" s="226"/>
      <c r="S148" s="226"/>
      <c r="T148" s="226"/>
      <c r="U148" s="226"/>
      <c r="V148" s="226"/>
      <c r="W148" s="226"/>
      <c r="X148" s="226"/>
      <c r="Y148" s="226"/>
      <c r="Z148" s="226"/>
      <c r="AA148" s="226"/>
    </row>
    <row r="149" spans="3:27" s="214" customFormat="1" ht="15.75" customHeight="1" x14ac:dyDescent="0.25">
      <c r="C149" s="238"/>
      <c r="M149" s="239"/>
      <c r="O149" s="226"/>
      <c r="P149" s="226"/>
      <c r="Q149" s="226"/>
      <c r="R149" s="226"/>
      <c r="S149" s="226"/>
      <c r="T149" s="226"/>
      <c r="U149" s="226"/>
      <c r="V149" s="226"/>
      <c r="W149" s="226"/>
      <c r="X149" s="226"/>
      <c r="Y149" s="226"/>
      <c r="Z149" s="226"/>
      <c r="AA149" s="226"/>
    </row>
    <row r="150" spans="3:27" s="214" customFormat="1" ht="15.75" customHeight="1" x14ac:dyDescent="0.25">
      <c r="C150" s="238"/>
      <c r="M150" s="239"/>
      <c r="O150" s="226"/>
      <c r="P150" s="226"/>
      <c r="Q150" s="226"/>
      <c r="R150" s="226"/>
      <c r="S150" s="226"/>
      <c r="T150" s="226"/>
      <c r="U150" s="226"/>
      <c r="V150" s="226"/>
      <c r="W150" s="226"/>
      <c r="X150" s="226"/>
      <c r="Y150" s="226"/>
      <c r="Z150" s="226"/>
      <c r="AA150" s="226"/>
    </row>
    <row r="151" spans="3:27" s="214" customFormat="1" ht="15.75" customHeight="1" x14ac:dyDescent="0.25">
      <c r="C151" s="238"/>
      <c r="M151" s="239"/>
      <c r="O151" s="226"/>
      <c r="P151" s="226"/>
      <c r="Q151" s="226"/>
      <c r="R151" s="226"/>
      <c r="S151" s="226"/>
      <c r="T151" s="226"/>
      <c r="U151" s="226"/>
      <c r="V151" s="226"/>
      <c r="W151" s="226"/>
      <c r="X151" s="226"/>
      <c r="Y151" s="226"/>
      <c r="Z151" s="226"/>
      <c r="AA151" s="226"/>
    </row>
    <row r="152" spans="3:27" s="214" customFormat="1" ht="15.75" customHeight="1" x14ac:dyDescent="0.25">
      <c r="C152" s="238"/>
      <c r="M152" s="239"/>
      <c r="O152" s="226"/>
      <c r="P152" s="226"/>
      <c r="Q152" s="226"/>
      <c r="R152" s="226"/>
      <c r="S152" s="226"/>
      <c r="T152" s="226"/>
      <c r="U152" s="226"/>
      <c r="V152" s="226"/>
      <c r="W152" s="226"/>
      <c r="X152" s="226"/>
      <c r="Y152" s="226"/>
      <c r="Z152" s="226"/>
      <c r="AA152" s="226"/>
    </row>
    <row r="153" spans="3:27" s="214" customFormat="1" ht="15.75" customHeight="1" x14ac:dyDescent="0.25">
      <c r="C153" s="238"/>
      <c r="M153" s="239"/>
      <c r="O153" s="226"/>
      <c r="P153" s="226"/>
      <c r="Q153" s="226"/>
      <c r="R153" s="226"/>
      <c r="S153" s="226"/>
      <c r="T153" s="226"/>
      <c r="U153" s="226"/>
      <c r="V153" s="226"/>
      <c r="W153" s="226"/>
      <c r="X153" s="226"/>
      <c r="Y153" s="226"/>
      <c r="Z153" s="226"/>
      <c r="AA153" s="226"/>
    </row>
    <row r="154" spans="3:27" s="214" customFormat="1" ht="15.75" customHeight="1" x14ac:dyDescent="0.25">
      <c r="C154" s="238"/>
      <c r="M154" s="239"/>
      <c r="O154" s="226"/>
      <c r="P154" s="226"/>
      <c r="Q154" s="226"/>
      <c r="R154" s="226"/>
      <c r="S154" s="226"/>
      <c r="T154" s="226"/>
      <c r="U154" s="226"/>
      <c r="V154" s="226"/>
      <c r="W154" s="226"/>
      <c r="X154" s="226"/>
      <c r="Y154" s="226"/>
      <c r="Z154" s="226"/>
      <c r="AA154" s="226"/>
    </row>
    <row r="155" spans="3:27" s="214" customFormat="1" ht="15.75" customHeight="1" x14ac:dyDescent="0.25">
      <c r="C155" s="238"/>
      <c r="M155" s="239"/>
      <c r="O155" s="226"/>
      <c r="P155" s="226"/>
      <c r="Q155" s="226"/>
      <c r="R155" s="226"/>
      <c r="S155" s="226"/>
      <c r="T155" s="226"/>
      <c r="U155" s="226"/>
      <c r="V155" s="226"/>
      <c r="W155" s="226"/>
      <c r="X155" s="226"/>
      <c r="Y155" s="226"/>
      <c r="Z155" s="226"/>
      <c r="AA155" s="226"/>
    </row>
    <row r="156" spans="3:27" s="214" customFormat="1" ht="15.75" customHeight="1" x14ac:dyDescent="0.25">
      <c r="C156" s="238"/>
      <c r="M156" s="239"/>
      <c r="O156" s="226"/>
      <c r="P156" s="226"/>
      <c r="Q156" s="226"/>
      <c r="R156" s="226"/>
      <c r="S156" s="226"/>
      <c r="T156" s="226"/>
      <c r="U156" s="226"/>
      <c r="V156" s="226"/>
      <c r="W156" s="226"/>
      <c r="X156" s="226"/>
      <c r="Y156" s="226"/>
      <c r="Z156" s="226"/>
      <c r="AA156" s="226"/>
    </row>
    <row r="157" spans="3:27" s="214" customFormat="1" ht="15.75" customHeight="1" x14ac:dyDescent="0.25">
      <c r="C157" s="238"/>
      <c r="M157" s="239"/>
      <c r="O157" s="226"/>
      <c r="P157" s="226"/>
      <c r="Q157" s="226"/>
      <c r="R157" s="226"/>
      <c r="S157" s="226"/>
      <c r="T157" s="226"/>
      <c r="U157" s="226"/>
      <c r="V157" s="226"/>
      <c r="W157" s="226"/>
      <c r="X157" s="226"/>
      <c r="Y157" s="226"/>
      <c r="Z157" s="226"/>
      <c r="AA157" s="226"/>
    </row>
    <row r="158" spans="3:27" s="214" customFormat="1" ht="15.75" customHeight="1" x14ac:dyDescent="0.25">
      <c r="C158" s="238"/>
      <c r="M158" s="239"/>
      <c r="O158" s="226"/>
      <c r="P158" s="226"/>
      <c r="Q158" s="226"/>
      <c r="R158" s="226"/>
      <c r="S158" s="226"/>
      <c r="T158" s="226"/>
      <c r="U158" s="226"/>
      <c r="V158" s="226"/>
      <c r="W158" s="226"/>
      <c r="X158" s="226"/>
      <c r="Y158" s="226"/>
      <c r="Z158" s="226"/>
      <c r="AA158" s="226"/>
    </row>
    <row r="159" spans="3:27" s="214" customFormat="1" ht="15.75" customHeight="1" x14ac:dyDescent="0.25">
      <c r="C159" s="238"/>
      <c r="M159" s="239"/>
      <c r="O159" s="226"/>
      <c r="P159" s="226"/>
      <c r="Q159" s="226"/>
      <c r="R159" s="226"/>
      <c r="S159" s="226"/>
      <c r="T159" s="226"/>
      <c r="U159" s="226"/>
      <c r="V159" s="226"/>
      <c r="W159" s="226"/>
      <c r="X159" s="226"/>
      <c r="Y159" s="226"/>
      <c r="Z159" s="226"/>
      <c r="AA159" s="226"/>
    </row>
    <row r="160" spans="3:27" s="214" customFormat="1" ht="15.75" customHeight="1" x14ac:dyDescent="0.25">
      <c r="C160" s="238"/>
      <c r="M160" s="239"/>
      <c r="O160" s="226"/>
      <c r="P160" s="226"/>
      <c r="Q160" s="226"/>
      <c r="R160" s="226"/>
      <c r="S160" s="226"/>
      <c r="T160" s="226"/>
      <c r="U160" s="226"/>
      <c r="V160" s="226"/>
      <c r="W160" s="226"/>
      <c r="X160" s="226"/>
      <c r="Y160" s="226"/>
      <c r="Z160" s="226"/>
      <c r="AA160" s="226"/>
    </row>
    <row r="161" spans="3:27" s="214" customFormat="1" ht="15.75" customHeight="1" x14ac:dyDescent="0.25">
      <c r="C161" s="238"/>
      <c r="M161" s="239"/>
      <c r="O161" s="226"/>
      <c r="P161" s="226"/>
      <c r="Q161" s="226"/>
      <c r="R161" s="226"/>
      <c r="S161" s="226"/>
      <c r="T161" s="226"/>
      <c r="U161" s="226"/>
      <c r="V161" s="226"/>
      <c r="W161" s="226"/>
      <c r="X161" s="226"/>
      <c r="Y161" s="226"/>
      <c r="Z161" s="226"/>
      <c r="AA161" s="226"/>
    </row>
    <row r="162" spans="3:27" s="214" customFormat="1" ht="15.75" customHeight="1" x14ac:dyDescent="0.25">
      <c r="C162" s="238"/>
      <c r="M162" s="239"/>
      <c r="O162" s="226"/>
      <c r="P162" s="226"/>
      <c r="Q162" s="226"/>
      <c r="R162" s="226"/>
      <c r="S162" s="226"/>
      <c r="T162" s="226"/>
      <c r="U162" s="226"/>
      <c r="V162" s="226"/>
      <c r="W162" s="226"/>
      <c r="X162" s="226"/>
      <c r="Y162" s="226"/>
      <c r="Z162" s="226"/>
      <c r="AA162" s="226"/>
    </row>
    <row r="163" spans="3:27" s="214" customFormat="1" ht="15.75" customHeight="1" x14ac:dyDescent="0.25">
      <c r="C163" s="238"/>
      <c r="M163" s="239"/>
      <c r="O163" s="226"/>
      <c r="P163" s="226"/>
      <c r="Q163" s="226"/>
      <c r="R163" s="226"/>
      <c r="S163" s="226"/>
      <c r="T163" s="226"/>
      <c r="U163" s="226"/>
      <c r="V163" s="226"/>
      <c r="W163" s="226"/>
      <c r="X163" s="226"/>
      <c r="Y163" s="226"/>
      <c r="Z163" s="226"/>
      <c r="AA163" s="226"/>
    </row>
    <row r="164" spans="3:27" s="214" customFormat="1" ht="15.75" customHeight="1" x14ac:dyDescent="0.25">
      <c r="C164" s="238"/>
      <c r="M164" s="239"/>
      <c r="O164" s="226"/>
      <c r="P164" s="226"/>
      <c r="Q164" s="226"/>
      <c r="R164" s="226"/>
      <c r="S164" s="226"/>
      <c r="T164" s="226"/>
      <c r="U164" s="226"/>
      <c r="V164" s="226"/>
      <c r="W164" s="226"/>
      <c r="X164" s="226"/>
      <c r="Y164" s="226"/>
      <c r="Z164" s="226"/>
      <c r="AA164" s="226"/>
    </row>
    <row r="165" spans="3:27" s="214" customFormat="1" ht="15.75" customHeight="1" x14ac:dyDescent="0.25">
      <c r="C165" s="238"/>
      <c r="M165" s="239"/>
      <c r="O165" s="226"/>
      <c r="P165" s="226"/>
      <c r="Q165" s="226"/>
      <c r="R165" s="226"/>
      <c r="S165" s="226"/>
      <c r="T165" s="226"/>
      <c r="U165" s="226"/>
      <c r="V165" s="226"/>
      <c r="W165" s="226"/>
      <c r="X165" s="226"/>
      <c r="Y165" s="226"/>
      <c r="Z165" s="226"/>
      <c r="AA165" s="226"/>
    </row>
    <row r="166" spans="3:27" s="214" customFormat="1" ht="15.75" customHeight="1" x14ac:dyDescent="0.25">
      <c r="C166" s="238"/>
      <c r="M166" s="239"/>
      <c r="O166" s="226"/>
      <c r="P166" s="226"/>
      <c r="Q166" s="226"/>
      <c r="R166" s="226"/>
      <c r="S166" s="226"/>
      <c r="T166" s="226"/>
      <c r="U166" s="226"/>
      <c r="V166" s="226"/>
      <c r="W166" s="226"/>
      <c r="X166" s="226"/>
      <c r="Y166" s="226"/>
      <c r="Z166" s="226"/>
      <c r="AA166" s="226"/>
    </row>
    <row r="167" spans="3:27" s="214" customFormat="1" ht="15.75" customHeight="1" x14ac:dyDescent="0.25">
      <c r="C167" s="238"/>
      <c r="M167" s="239"/>
      <c r="O167" s="226"/>
      <c r="P167" s="226"/>
      <c r="Q167" s="226"/>
      <c r="R167" s="226"/>
      <c r="S167" s="226"/>
      <c r="T167" s="226"/>
      <c r="U167" s="226"/>
      <c r="V167" s="226"/>
      <c r="W167" s="226"/>
      <c r="X167" s="226"/>
      <c r="Y167" s="226"/>
      <c r="Z167" s="226"/>
      <c r="AA167" s="226"/>
    </row>
    <row r="168" spans="3:27" s="214" customFormat="1" ht="15.75" customHeight="1" x14ac:dyDescent="0.25">
      <c r="C168" s="238"/>
      <c r="M168" s="239"/>
      <c r="O168" s="226"/>
      <c r="P168" s="226"/>
      <c r="Q168" s="226"/>
      <c r="R168" s="226"/>
      <c r="S168" s="226"/>
      <c r="T168" s="226"/>
      <c r="U168" s="226"/>
      <c r="V168" s="226"/>
      <c r="W168" s="226"/>
      <c r="X168" s="226"/>
      <c r="Y168" s="226"/>
      <c r="Z168" s="226"/>
      <c r="AA168" s="226"/>
    </row>
    <row r="169" spans="3:27" s="214" customFormat="1" ht="15.75" customHeight="1" x14ac:dyDescent="0.25">
      <c r="C169" s="238"/>
      <c r="M169" s="239"/>
      <c r="O169" s="226"/>
      <c r="P169" s="226"/>
      <c r="Q169" s="226"/>
      <c r="R169" s="226"/>
      <c r="S169" s="226"/>
      <c r="T169" s="226"/>
      <c r="U169" s="226"/>
      <c r="V169" s="226"/>
      <c r="W169" s="226"/>
      <c r="X169" s="226"/>
      <c r="Y169" s="226"/>
      <c r="Z169" s="226"/>
      <c r="AA169" s="226"/>
    </row>
    <row r="170" spans="3:27" s="214" customFormat="1" ht="15.75" customHeight="1" x14ac:dyDescent="0.25">
      <c r="C170" s="238"/>
      <c r="M170" s="239"/>
      <c r="O170" s="226"/>
      <c r="P170" s="226"/>
      <c r="Q170" s="226"/>
      <c r="R170" s="226"/>
      <c r="S170" s="226"/>
      <c r="T170" s="226"/>
      <c r="U170" s="226"/>
      <c r="V170" s="226"/>
      <c r="W170" s="226"/>
      <c r="X170" s="226"/>
      <c r="Y170" s="226"/>
      <c r="Z170" s="226"/>
      <c r="AA170" s="226"/>
    </row>
    <row r="171" spans="3:27" s="214" customFormat="1" ht="15.75" customHeight="1" x14ac:dyDescent="0.25">
      <c r="C171" s="238"/>
      <c r="M171" s="239"/>
      <c r="O171" s="226"/>
      <c r="P171" s="226"/>
      <c r="Q171" s="226"/>
      <c r="R171" s="226"/>
      <c r="S171" s="226"/>
      <c r="T171" s="226"/>
      <c r="U171" s="226"/>
      <c r="V171" s="226"/>
      <c r="W171" s="226"/>
      <c r="X171" s="226"/>
      <c r="Y171" s="226"/>
      <c r="Z171" s="226"/>
      <c r="AA171" s="226"/>
    </row>
    <row r="172" spans="3:27" s="214" customFormat="1" ht="15.75" customHeight="1" x14ac:dyDescent="0.25">
      <c r="C172" s="238"/>
      <c r="M172" s="239"/>
      <c r="O172" s="226"/>
      <c r="P172" s="226"/>
      <c r="Q172" s="226"/>
      <c r="R172" s="226"/>
      <c r="S172" s="226"/>
      <c r="T172" s="226"/>
      <c r="U172" s="226"/>
      <c r="V172" s="226"/>
      <c r="W172" s="226"/>
      <c r="X172" s="226"/>
      <c r="Y172" s="226"/>
      <c r="Z172" s="226"/>
      <c r="AA172" s="226"/>
    </row>
    <row r="173" spans="3:27" s="214" customFormat="1" ht="15.75" customHeight="1" x14ac:dyDescent="0.25">
      <c r="C173" s="238"/>
      <c r="M173" s="239"/>
      <c r="O173" s="226"/>
      <c r="P173" s="226"/>
      <c r="Q173" s="226"/>
      <c r="R173" s="226"/>
      <c r="S173" s="226"/>
      <c r="T173" s="226"/>
      <c r="U173" s="226"/>
      <c r="V173" s="226"/>
      <c r="W173" s="226"/>
      <c r="X173" s="226"/>
      <c r="Y173" s="226"/>
      <c r="Z173" s="226"/>
      <c r="AA173" s="226"/>
    </row>
    <row r="174" spans="3:27" s="214" customFormat="1" ht="15.75" customHeight="1" x14ac:dyDescent="0.25">
      <c r="C174" s="238"/>
      <c r="M174" s="239"/>
      <c r="O174" s="226"/>
      <c r="P174" s="226"/>
      <c r="Q174" s="226"/>
      <c r="R174" s="226"/>
      <c r="S174" s="226"/>
      <c r="T174" s="226"/>
      <c r="U174" s="226"/>
      <c r="V174" s="226"/>
      <c r="W174" s="226"/>
      <c r="X174" s="226"/>
      <c r="Y174" s="226"/>
      <c r="Z174" s="226"/>
      <c r="AA174" s="226"/>
    </row>
    <row r="175" spans="3:27" s="214" customFormat="1" ht="15.75" customHeight="1" x14ac:dyDescent="0.25">
      <c r="C175" s="238"/>
      <c r="M175" s="239"/>
      <c r="O175" s="226"/>
      <c r="P175" s="226"/>
      <c r="Q175" s="226"/>
      <c r="R175" s="226"/>
      <c r="S175" s="226"/>
      <c r="T175" s="226"/>
      <c r="U175" s="226"/>
      <c r="V175" s="226"/>
      <c r="W175" s="226"/>
      <c r="X175" s="226"/>
      <c r="Y175" s="226"/>
      <c r="Z175" s="226"/>
      <c r="AA175" s="226"/>
    </row>
    <row r="176" spans="3:27" s="214" customFormat="1" ht="15.75" customHeight="1" x14ac:dyDescent="0.25">
      <c r="C176" s="238"/>
      <c r="M176" s="239"/>
      <c r="O176" s="226"/>
      <c r="P176" s="226"/>
      <c r="Q176" s="226"/>
      <c r="R176" s="226"/>
      <c r="S176" s="226"/>
      <c r="T176" s="226"/>
      <c r="U176" s="226"/>
      <c r="V176" s="226"/>
      <c r="W176" s="226"/>
      <c r="X176" s="226"/>
      <c r="Y176" s="226"/>
      <c r="Z176" s="226"/>
      <c r="AA176" s="226"/>
    </row>
    <row r="177" spans="3:27" s="214" customFormat="1" ht="15.75" customHeight="1" x14ac:dyDescent="0.25">
      <c r="C177" s="238"/>
      <c r="M177" s="239"/>
      <c r="O177" s="226"/>
      <c r="P177" s="226"/>
      <c r="Q177" s="226"/>
      <c r="R177" s="226"/>
      <c r="S177" s="226"/>
      <c r="T177" s="226"/>
      <c r="U177" s="226"/>
      <c r="V177" s="226"/>
      <c r="W177" s="226"/>
      <c r="X177" s="226"/>
      <c r="Y177" s="226"/>
      <c r="Z177" s="226"/>
      <c r="AA177" s="226"/>
    </row>
    <row r="178" spans="3:27" s="214" customFormat="1" ht="15.75" customHeight="1" x14ac:dyDescent="0.25">
      <c r="C178" s="238"/>
      <c r="M178" s="239"/>
      <c r="O178" s="226"/>
      <c r="P178" s="226"/>
      <c r="Q178" s="226"/>
      <c r="R178" s="226"/>
      <c r="S178" s="226"/>
      <c r="T178" s="226"/>
      <c r="U178" s="226"/>
      <c r="V178" s="226"/>
      <c r="W178" s="226"/>
      <c r="X178" s="226"/>
      <c r="Y178" s="226"/>
      <c r="Z178" s="226"/>
      <c r="AA178" s="226"/>
    </row>
    <row r="179" spans="3:27" s="214" customFormat="1" ht="15.75" customHeight="1" x14ac:dyDescent="0.25">
      <c r="C179" s="238"/>
      <c r="M179" s="239"/>
      <c r="O179" s="226"/>
      <c r="P179" s="226"/>
      <c r="Q179" s="226"/>
      <c r="R179" s="226"/>
      <c r="S179" s="226"/>
      <c r="T179" s="226"/>
      <c r="U179" s="226"/>
      <c r="V179" s="226"/>
      <c r="W179" s="226"/>
      <c r="X179" s="226"/>
      <c r="Y179" s="226"/>
      <c r="Z179" s="226"/>
      <c r="AA179" s="226"/>
    </row>
    <row r="180" spans="3:27" s="214" customFormat="1" ht="15.75" customHeight="1" x14ac:dyDescent="0.25">
      <c r="C180" s="238"/>
      <c r="M180" s="239"/>
      <c r="O180" s="226"/>
      <c r="P180" s="226"/>
      <c r="Q180" s="226"/>
      <c r="R180" s="226"/>
      <c r="S180" s="226"/>
      <c r="T180" s="226"/>
      <c r="U180" s="226"/>
      <c r="V180" s="226"/>
      <c r="W180" s="226"/>
      <c r="X180" s="226"/>
      <c r="Y180" s="226"/>
      <c r="Z180" s="226"/>
      <c r="AA180" s="226"/>
    </row>
    <row r="181" spans="3:27" s="214" customFormat="1" ht="15.75" customHeight="1" x14ac:dyDescent="0.25">
      <c r="C181" s="238"/>
      <c r="M181" s="239"/>
      <c r="O181" s="226"/>
      <c r="P181" s="226"/>
      <c r="Q181" s="226"/>
      <c r="R181" s="226"/>
      <c r="S181" s="226"/>
      <c r="T181" s="226"/>
      <c r="U181" s="226"/>
      <c r="V181" s="226"/>
      <c r="W181" s="226"/>
      <c r="X181" s="226"/>
      <c r="Y181" s="226"/>
      <c r="Z181" s="226"/>
      <c r="AA181" s="226"/>
    </row>
    <row r="182" spans="3:27" s="214" customFormat="1" ht="15.75" customHeight="1" x14ac:dyDescent="0.25">
      <c r="C182" s="238"/>
      <c r="M182" s="239"/>
      <c r="O182" s="226"/>
      <c r="P182" s="226"/>
      <c r="Q182" s="226"/>
      <c r="R182" s="226"/>
      <c r="S182" s="226"/>
      <c r="T182" s="226"/>
      <c r="U182" s="226"/>
      <c r="V182" s="226"/>
      <c r="W182" s="226"/>
      <c r="X182" s="226"/>
      <c r="Y182" s="226"/>
      <c r="Z182" s="226"/>
      <c r="AA182" s="226"/>
    </row>
    <row r="183" spans="3:27" s="214" customFormat="1" ht="15.75" customHeight="1" x14ac:dyDescent="0.25">
      <c r="C183" s="238"/>
      <c r="M183" s="239"/>
      <c r="O183" s="226"/>
      <c r="P183" s="226"/>
      <c r="Q183" s="226"/>
      <c r="R183" s="226"/>
      <c r="S183" s="226"/>
      <c r="T183" s="226"/>
      <c r="U183" s="226"/>
      <c r="V183" s="226"/>
      <c r="W183" s="226"/>
      <c r="X183" s="226"/>
      <c r="Y183" s="226"/>
      <c r="Z183" s="226"/>
      <c r="AA183" s="226"/>
    </row>
    <row r="184" spans="3:27" s="214" customFormat="1" ht="15.75" customHeight="1" x14ac:dyDescent="0.25">
      <c r="C184" s="238"/>
      <c r="M184" s="239"/>
      <c r="O184" s="226"/>
      <c r="P184" s="226"/>
      <c r="Q184" s="226"/>
      <c r="R184" s="226"/>
      <c r="S184" s="226"/>
      <c r="T184" s="226"/>
      <c r="U184" s="226"/>
      <c r="V184" s="226"/>
      <c r="W184" s="226"/>
      <c r="X184" s="226"/>
      <c r="Y184" s="226"/>
      <c r="Z184" s="226"/>
      <c r="AA184" s="226"/>
    </row>
    <row r="185" spans="3:27" s="214" customFormat="1" ht="15.75" customHeight="1" x14ac:dyDescent="0.25">
      <c r="C185" s="238"/>
      <c r="M185" s="239"/>
      <c r="O185" s="226"/>
      <c r="P185" s="226"/>
      <c r="Q185" s="226"/>
      <c r="R185" s="226"/>
      <c r="S185" s="226"/>
      <c r="T185" s="226"/>
      <c r="U185" s="226"/>
      <c r="V185" s="226"/>
      <c r="W185" s="226"/>
      <c r="X185" s="226"/>
      <c r="Y185" s="226"/>
      <c r="Z185" s="226"/>
      <c r="AA185" s="226"/>
    </row>
    <row r="186" spans="3:27" s="214" customFormat="1" ht="15.75" customHeight="1" x14ac:dyDescent="0.25">
      <c r="C186" s="238"/>
      <c r="M186" s="239"/>
      <c r="O186" s="226"/>
      <c r="P186" s="226"/>
      <c r="Q186" s="226"/>
      <c r="R186" s="226"/>
      <c r="S186" s="226"/>
      <c r="T186" s="226"/>
      <c r="U186" s="226"/>
      <c r="V186" s="226"/>
      <c r="W186" s="226"/>
      <c r="X186" s="226"/>
      <c r="Y186" s="226"/>
      <c r="Z186" s="226"/>
      <c r="AA186" s="226"/>
    </row>
    <row r="187" spans="3:27" s="214" customFormat="1" ht="15.75" customHeight="1" x14ac:dyDescent="0.25">
      <c r="C187" s="238"/>
      <c r="M187" s="239"/>
      <c r="O187" s="226"/>
      <c r="P187" s="226"/>
      <c r="Q187" s="226"/>
      <c r="R187" s="226"/>
      <c r="S187" s="226"/>
      <c r="T187" s="226"/>
      <c r="U187" s="226"/>
      <c r="V187" s="226"/>
      <c r="W187" s="226"/>
      <c r="X187" s="226"/>
      <c r="Y187" s="226"/>
      <c r="Z187" s="226"/>
      <c r="AA187" s="226"/>
    </row>
    <row r="188" spans="3:27" s="214" customFormat="1" ht="15.75" customHeight="1" x14ac:dyDescent="0.25">
      <c r="C188" s="238"/>
      <c r="M188" s="239"/>
      <c r="O188" s="226"/>
      <c r="P188" s="226"/>
      <c r="Q188" s="226"/>
      <c r="R188" s="226"/>
      <c r="S188" s="226"/>
      <c r="T188" s="226"/>
      <c r="U188" s="226"/>
      <c r="V188" s="226"/>
      <c r="W188" s="226"/>
      <c r="X188" s="226"/>
      <c r="Y188" s="226"/>
      <c r="Z188" s="226"/>
      <c r="AA188" s="226"/>
    </row>
    <row r="189" spans="3:27" s="214" customFormat="1" ht="15.75" customHeight="1" x14ac:dyDescent="0.25">
      <c r="C189" s="238"/>
      <c r="M189" s="239"/>
      <c r="O189" s="226"/>
      <c r="P189" s="226"/>
      <c r="Q189" s="226"/>
      <c r="R189" s="226"/>
      <c r="S189" s="226"/>
      <c r="T189" s="226"/>
      <c r="U189" s="226"/>
      <c r="V189" s="226"/>
      <c r="W189" s="226"/>
      <c r="X189" s="226"/>
      <c r="Y189" s="226"/>
      <c r="Z189" s="226"/>
      <c r="AA189" s="226"/>
    </row>
    <row r="190" spans="3:27" s="214" customFormat="1" ht="15.75" customHeight="1" x14ac:dyDescent="0.25">
      <c r="C190" s="238"/>
      <c r="M190" s="239"/>
      <c r="O190" s="226"/>
      <c r="P190" s="226"/>
      <c r="Q190" s="226"/>
      <c r="R190" s="226"/>
      <c r="S190" s="226"/>
      <c r="T190" s="226"/>
      <c r="U190" s="226"/>
      <c r="V190" s="226"/>
      <c r="W190" s="226"/>
      <c r="X190" s="226"/>
      <c r="Y190" s="226"/>
      <c r="Z190" s="226"/>
      <c r="AA190" s="226"/>
    </row>
    <row r="191" spans="3:27" s="214" customFormat="1" ht="15.75" customHeight="1" x14ac:dyDescent="0.25">
      <c r="C191" s="238"/>
      <c r="M191" s="239"/>
      <c r="O191" s="226"/>
      <c r="P191" s="226"/>
      <c r="Q191" s="226"/>
      <c r="R191" s="226"/>
      <c r="S191" s="226"/>
      <c r="T191" s="226"/>
      <c r="U191" s="226"/>
      <c r="V191" s="226"/>
      <c r="W191" s="226"/>
      <c r="X191" s="226"/>
      <c r="Y191" s="226"/>
      <c r="Z191" s="226"/>
      <c r="AA191" s="226"/>
    </row>
    <row r="192" spans="3:27" s="214" customFormat="1" ht="15.75" customHeight="1" x14ac:dyDescent="0.25">
      <c r="C192" s="238"/>
      <c r="M192" s="239"/>
      <c r="O192" s="226"/>
      <c r="P192" s="226"/>
      <c r="Q192" s="226"/>
      <c r="R192" s="226"/>
      <c r="S192" s="226"/>
      <c r="T192" s="226"/>
      <c r="U192" s="226"/>
      <c r="V192" s="226"/>
      <c r="W192" s="226"/>
      <c r="X192" s="226"/>
      <c r="Y192" s="226"/>
      <c r="Z192" s="226"/>
      <c r="AA192" s="226"/>
    </row>
    <row r="193" spans="3:27" s="214" customFormat="1" ht="15.75" customHeight="1" x14ac:dyDescent="0.25">
      <c r="C193" s="238"/>
      <c r="M193" s="239"/>
      <c r="O193" s="226"/>
      <c r="P193" s="226"/>
      <c r="Q193" s="226"/>
      <c r="R193" s="226"/>
      <c r="S193" s="226"/>
      <c r="T193" s="226"/>
      <c r="U193" s="226"/>
      <c r="V193" s="226"/>
      <c r="W193" s="226"/>
      <c r="X193" s="226"/>
      <c r="Y193" s="226"/>
      <c r="Z193" s="226"/>
      <c r="AA193" s="226"/>
    </row>
    <row r="194" spans="3:27" s="214" customFormat="1" ht="15.75" customHeight="1" x14ac:dyDescent="0.25">
      <c r="C194" s="238"/>
      <c r="M194" s="239"/>
      <c r="O194" s="226"/>
      <c r="P194" s="226"/>
      <c r="Q194" s="226"/>
      <c r="R194" s="226"/>
      <c r="S194" s="226"/>
      <c r="T194" s="226"/>
      <c r="U194" s="226"/>
      <c r="V194" s="226"/>
      <c r="W194" s="226"/>
      <c r="X194" s="226"/>
      <c r="Y194" s="226"/>
      <c r="Z194" s="226"/>
      <c r="AA194" s="226"/>
    </row>
    <row r="195" spans="3:27" s="214" customFormat="1" ht="15.75" customHeight="1" x14ac:dyDescent="0.25">
      <c r="C195" s="238"/>
      <c r="M195" s="239"/>
      <c r="O195" s="226"/>
      <c r="P195" s="226"/>
      <c r="Q195" s="226"/>
      <c r="R195" s="226"/>
      <c r="S195" s="226"/>
      <c r="T195" s="226"/>
      <c r="U195" s="226"/>
      <c r="V195" s="226"/>
      <c r="W195" s="226"/>
      <c r="X195" s="226"/>
      <c r="Y195" s="226"/>
      <c r="Z195" s="226"/>
      <c r="AA195" s="226"/>
    </row>
    <row r="196" spans="3:27" s="214" customFormat="1" ht="15.75" customHeight="1" x14ac:dyDescent="0.25">
      <c r="C196" s="238"/>
      <c r="M196" s="239"/>
      <c r="O196" s="226"/>
      <c r="P196" s="226"/>
      <c r="Q196" s="226"/>
      <c r="R196" s="226"/>
      <c r="S196" s="226"/>
      <c r="T196" s="226"/>
      <c r="U196" s="226"/>
      <c r="V196" s="226"/>
      <c r="W196" s="226"/>
      <c r="X196" s="226"/>
      <c r="Y196" s="226"/>
      <c r="Z196" s="226"/>
      <c r="AA196" s="226"/>
    </row>
    <row r="197" spans="3:27" s="214" customFormat="1" ht="15.75" customHeight="1" x14ac:dyDescent="0.25">
      <c r="C197" s="238"/>
      <c r="M197" s="239"/>
      <c r="O197" s="226"/>
      <c r="P197" s="226"/>
      <c r="Q197" s="226"/>
      <c r="R197" s="226"/>
      <c r="S197" s="226"/>
      <c r="T197" s="226"/>
      <c r="U197" s="226"/>
      <c r="V197" s="226"/>
      <c r="W197" s="226"/>
      <c r="X197" s="226"/>
      <c r="Y197" s="226"/>
      <c r="Z197" s="226"/>
      <c r="AA197" s="226"/>
    </row>
    <row r="198" spans="3:27" s="214" customFormat="1" ht="15.75" customHeight="1" x14ac:dyDescent="0.25">
      <c r="C198" s="238"/>
      <c r="M198" s="239"/>
      <c r="O198" s="226"/>
      <c r="P198" s="226"/>
      <c r="Q198" s="226"/>
      <c r="R198" s="226"/>
      <c r="S198" s="226"/>
      <c r="T198" s="226"/>
      <c r="U198" s="226"/>
      <c r="V198" s="226"/>
      <c r="W198" s="226"/>
      <c r="X198" s="226"/>
      <c r="Y198" s="226"/>
      <c r="Z198" s="226"/>
      <c r="AA198" s="226"/>
    </row>
    <row r="199" spans="3:27" s="214" customFormat="1" ht="15.75" customHeight="1" x14ac:dyDescent="0.25">
      <c r="C199" s="238"/>
      <c r="M199" s="239"/>
      <c r="O199" s="226"/>
      <c r="P199" s="226"/>
      <c r="Q199" s="226"/>
      <c r="R199" s="226"/>
      <c r="S199" s="226"/>
      <c r="T199" s="226"/>
      <c r="U199" s="226"/>
      <c r="V199" s="226"/>
      <c r="W199" s="226"/>
      <c r="X199" s="226"/>
      <c r="Y199" s="226"/>
      <c r="Z199" s="226"/>
      <c r="AA199" s="226"/>
    </row>
    <row r="200" spans="3:27" s="214" customFormat="1" ht="15.75" customHeight="1" x14ac:dyDescent="0.25">
      <c r="C200" s="238"/>
      <c r="M200" s="239"/>
      <c r="O200" s="226"/>
      <c r="P200" s="226"/>
      <c r="Q200" s="226"/>
      <c r="R200" s="226"/>
      <c r="S200" s="226"/>
      <c r="T200" s="226"/>
      <c r="U200" s="226"/>
      <c r="V200" s="226"/>
      <c r="W200" s="226"/>
      <c r="X200" s="226"/>
      <c r="Y200" s="226"/>
      <c r="Z200" s="226"/>
      <c r="AA200" s="226"/>
    </row>
    <row r="201" spans="3:27" s="214" customFormat="1" ht="15.75" customHeight="1" x14ac:dyDescent="0.25">
      <c r="C201" s="238"/>
      <c r="M201" s="239"/>
      <c r="O201" s="226"/>
      <c r="P201" s="226"/>
      <c r="Q201" s="226"/>
      <c r="R201" s="226"/>
      <c r="S201" s="226"/>
      <c r="T201" s="226"/>
      <c r="U201" s="226"/>
      <c r="V201" s="226"/>
      <c r="W201" s="226"/>
      <c r="X201" s="226"/>
      <c r="Y201" s="226"/>
      <c r="Z201" s="226"/>
      <c r="AA201" s="226"/>
    </row>
    <row r="202" spans="3:27" s="214" customFormat="1" ht="15.75" customHeight="1" x14ac:dyDescent="0.25">
      <c r="C202" s="238"/>
      <c r="M202" s="239"/>
      <c r="O202" s="226"/>
      <c r="P202" s="226"/>
      <c r="Q202" s="226"/>
      <c r="R202" s="226"/>
      <c r="S202" s="226"/>
      <c r="T202" s="226"/>
      <c r="U202" s="226"/>
      <c r="V202" s="226"/>
      <c r="W202" s="226"/>
      <c r="X202" s="226"/>
      <c r="Y202" s="226"/>
      <c r="Z202" s="226"/>
      <c r="AA202" s="226"/>
    </row>
    <row r="203" spans="3:27" s="214" customFormat="1" ht="15.75" customHeight="1" x14ac:dyDescent="0.25">
      <c r="C203" s="238"/>
      <c r="M203" s="239"/>
      <c r="O203" s="226"/>
      <c r="P203" s="226"/>
      <c r="Q203" s="226"/>
      <c r="R203" s="226"/>
      <c r="S203" s="226"/>
      <c r="T203" s="226"/>
      <c r="U203" s="226"/>
      <c r="V203" s="226"/>
      <c r="W203" s="226"/>
      <c r="X203" s="226"/>
      <c r="Y203" s="226"/>
      <c r="Z203" s="226"/>
      <c r="AA203" s="226"/>
    </row>
    <row r="204" spans="3:27" s="214" customFormat="1" ht="15.75" customHeight="1" x14ac:dyDescent="0.25">
      <c r="C204" s="238"/>
      <c r="M204" s="239"/>
      <c r="O204" s="226"/>
      <c r="P204" s="226"/>
      <c r="Q204" s="226"/>
      <c r="R204" s="226"/>
      <c r="S204" s="226"/>
      <c r="T204" s="226"/>
      <c r="U204" s="226"/>
      <c r="V204" s="226"/>
      <c r="W204" s="226"/>
      <c r="X204" s="226"/>
      <c r="Y204" s="226"/>
      <c r="Z204" s="226"/>
      <c r="AA204" s="226"/>
    </row>
    <row r="205" spans="3:27" s="214" customFormat="1" ht="15.75" customHeight="1" x14ac:dyDescent="0.25">
      <c r="C205" s="238"/>
      <c r="M205" s="239"/>
      <c r="O205" s="226"/>
      <c r="P205" s="226"/>
      <c r="Q205" s="226"/>
      <c r="R205" s="226"/>
      <c r="S205" s="226"/>
      <c r="T205" s="226"/>
      <c r="U205" s="226"/>
      <c r="V205" s="226"/>
      <c r="W205" s="226"/>
      <c r="X205" s="226"/>
      <c r="Y205" s="226"/>
      <c r="Z205" s="226"/>
      <c r="AA205" s="226"/>
    </row>
    <row r="206" spans="3:27" s="214" customFormat="1" ht="15.75" customHeight="1" x14ac:dyDescent="0.25">
      <c r="C206" s="238"/>
      <c r="M206" s="239"/>
      <c r="O206" s="226"/>
      <c r="P206" s="226"/>
      <c r="Q206" s="226"/>
      <c r="R206" s="226"/>
      <c r="S206" s="226"/>
      <c r="T206" s="226"/>
      <c r="U206" s="226"/>
      <c r="V206" s="226"/>
      <c r="W206" s="226"/>
      <c r="X206" s="226"/>
      <c r="Y206" s="226"/>
      <c r="Z206" s="226"/>
      <c r="AA206" s="226"/>
    </row>
    <row r="207" spans="3:27" s="214" customFormat="1" ht="15.75" customHeight="1" x14ac:dyDescent="0.25">
      <c r="C207" s="238"/>
      <c r="M207" s="239"/>
      <c r="O207" s="226"/>
      <c r="P207" s="226"/>
      <c r="Q207" s="226"/>
      <c r="R207" s="226"/>
      <c r="S207" s="226"/>
      <c r="T207" s="226"/>
      <c r="U207" s="226"/>
      <c r="V207" s="226"/>
      <c r="W207" s="226"/>
      <c r="X207" s="226"/>
      <c r="Y207" s="226"/>
      <c r="Z207" s="226"/>
      <c r="AA207" s="226"/>
    </row>
    <row r="208" spans="3:27" s="214" customFormat="1" ht="15.75" customHeight="1" x14ac:dyDescent="0.25">
      <c r="C208" s="238"/>
      <c r="M208" s="239"/>
      <c r="O208" s="226"/>
      <c r="P208" s="226"/>
      <c r="Q208" s="226"/>
      <c r="R208" s="226"/>
      <c r="S208" s="226"/>
      <c r="T208" s="226"/>
      <c r="U208" s="226"/>
      <c r="V208" s="226"/>
      <c r="W208" s="226"/>
      <c r="X208" s="226"/>
      <c r="Y208" s="226"/>
      <c r="Z208" s="226"/>
      <c r="AA208" s="226"/>
    </row>
    <row r="209" spans="3:27" s="214" customFormat="1" ht="15.75" customHeight="1" x14ac:dyDescent="0.25">
      <c r="C209" s="238"/>
      <c r="M209" s="239"/>
      <c r="O209" s="226"/>
      <c r="P209" s="226"/>
      <c r="Q209" s="226"/>
      <c r="R209" s="226"/>
      <c r="S209" s="226"/>
      <c r="T209" s="226"/>
      <c r="U209" s="226"/>
      <c r="V209" s="226"/>
      <c r="W209" s="226"/>
      <c r="X209" s="226"/>
      <c r="Y209" s="226"/>
      <c r="Z209" s="226"/>
      <c r="AA209" s="226"/>
    </row>
    <row r="210" spans="3:27" s="214" customFormat="1" ht="15.75" customHeight="1" x14ac:dyDescent="0.25">
      <c r="C210" s="238"/>
      <c r="M210" s="239"/>
      <c r="O210" s="226"/>
      <c r="P210" s="226"/>
      <c r="Q210" s="226"/>
      <c r="R210" s="226"/>
      <c r="S210" s="226"/>
      <c r="T210" s="226"/>
      <c r="U210" s="226"/>
      <c r="V210" s="226"/>
      <c r="W210" s="226"/>
      <c r="X210" s="226"/>
      <c r="Y210" s="226"/>
      <c r="Z210" s="226"/>
      <c r="AA210" s="226"/>
    </row>
    <row r="211" spans="3:27" s="214" customFormat="1" ht="15.75" customHeight="1" x14ac:dyDescent="0.25">
      <c r="C211" s="238"/>
      <c r="M211" s="239"/>
      <c r="O211" s="226"/>
      <c r="P211" s="226"/>
      <c r="Q211" s="226"/>
      <c r="R211" s="226"/>
      <c r="S211" s="226"/>
      <c r="T211" s="226"/>
      <c r="U211" s="226"/>
      <c r="V211" s="226"/>
      <c r="W211" s="226"/>
      <c r="X211" s="226"/>
      <c r="Y211" s="226"/>
      <c r="Z211" s="226"/>
      <c r="AA211" s="226"/>
    </row>
    <row r="212" spans="3:27" s="214" customFormat="1" ht="15.75" customHeight="1" x14ac:dyDescent="0.25">
      <c r="C212" s="238"/>
      <c r="M212" s="239"/>
      <c r="O212" s="226"/>
      <c r="P212" s="226"/>
      <c r="Q212" s="226"/>
      <c r="R212" s="226"/>
      <c r="S212" s="226"/>
      <c r="T212" s="226"/>
      <c r="U212" s="226"/>
      <c r="V212" s="226"/>
      <c r="W212" s="226"/>
      <c r="X212" s="226"/>
      <c r="Y212" s="226"/>
      <c r="Z212" s="226"/>
      <c r="AA212" s="226"/>
    </row>
    <row r="213" spans="3:27" s="214" customFormat="1" ht="15.75" customHeight="1" x14ac:dyDescent="0.25">
      <c r="C213" s="238"/>
      <c r="M213" s="239"/>
      <c r="O213" s="226"/>
      <c r="P213" s="226"/>
      <c r="Q213" s="226"/>
      <c r="R213" s="226"/>
      <c r="S213" s="226"/>
      <c r="T213" s="226"/>
      <c r="U213" s="226"/>
      <c r="V213" s="226"/>
      <c r="W213" s="226"/>
      <c r="X213" s="226"/>
      <c r="Y213" s="226"/>
      <c r="Z213" s="226"/>
      <c r="AA213" s="226"/>
    </row>
    <row r="214" spans="3:27" s="214" customFormat="1" ht="15.75" customHeight="1" x14ac:dyDescent="0.25">
      <c r="C214" s="238"/>
      <c r="M214" s="239"/>
      <c r="O214" s="226"/>
      <c r="P214" s="226"/>
      <c r="Q214" s="226"/>
      <c r="R214" s="226"/>
      <c r="S214" s="226"/>
      <c r="T214" s="226"/>
      <c r="U214" s="226"/>
      <c r="V214" s="226"/>
      <c r="W214" s="226"/>
      <c r="X214" s="226"/>
      <c r="Y214" s="226"/>
      <c r="Z214" s="226"/>
      <c r="AA214" s="226"/>
    </row>
    <row r="215" spans="3:27" s="214" customFormat="1" ht="15.75" customHeight="1" x14ac:dyDescent="0.25">
      <c r="C215" s="238"/>
      <c r="M215" s="239"/>
      <c r="O215" s="226"/>
      <c r="P215" s="226"/>
      <c r="Q215" s="226"/>
      <c r="R215" s="226"/>
      <c r="S215" s="226"/>
      <c r="T215" s="226"/>
      <c r="U215" s="226"/>
      <c r="V215" s="226"/>
      <c r="W215" s="226"/>
      <c r="X215" s="226"/>
      <c r="Y215" s="226"/>
      <c r="Z215" s="226"/>
      <c r="AA215" s="226"/>
    </row>
    <row r="216" spans="3:27" s="214" customFormat="1" ht="15.75" customHeight="1" x14ac:dyDescent="0.25">
      <c r="C216" s="238"/>
      <c r="M216" s="239"/>
      <c r="O216" s="226"/>
      <c r="P216" s="226"/>
      <c r="Q216" s="226"/>
      <c r="R216" s="226"/>
      <c r="S216" s="226"/>
      <c r="T216" s="226"/>
      <c r="U216" s="226"/>
      <c r="V216" s="226"/>
      <c r="W216" s="226"/>
      <c r="X216" s="226"/>
      <c r="Y216" s="226"/>
      <c r="Z216" s="226"/>
      <c r="AA216" s="226"/>
    </row>
    <row r="217" spans="3:27" s="214" customFormat="1" ht="15.75" customHeight="1" x14ac:dyDescent="0.25">
      <c r="C217" s="238"/>
      <c r="M217" s="239"/>
      <c r="O217" s="226"/>
      <c r="P217" s="226"/>
      <c r="Q217" s="226"/>
      <c r="R217" s="226"/>
      <c r="S217" s="226"/>
      <c r="T217" s="226"/>
      <c r="U217" s="226"/>
      <c r="V217" s="226"/>
      <c r="W217" s="226"/>
      <c r="X217" s="226"/>
      <c r="Y217" s="226"/>
      <c r="Z217" s="226"/>
      <c r="AA217" s="226"/>
    </row>
    <row r="218" spans="3:27" s="214" customFormat="1" ht="15.75" customHeight="1" x14ac:dyDescent="0.25">
      <c r="C218" s="238"/>
      <c r="M218" s="239"/>
      <c r="O218" s="226"/>
      <c r="P218" s="226"/>
      <c r="Q218" s="226"/>
      <c r="R218" s="226"/>
      <c r="S218" s="226"/>
      <c r="T218" s="226"/>
      <c r="U218" s="226"/>
      <c r="V218" s="226"/>
      <c r="W218" s="226"/>
      <c r="X218" s="226"/>
      <c r="Y218" s="226"/>
      <c r="Z218" s="226"/>
      <c r="AA218" s="226"/>
    </row>
    <row r="219" spans="3:27" s="214" customFormat="1" ht="15.75" customHeight="1" x14ac:dyDescent="0.25">
      <c r="C219" s="238"/>
      <c r="M219" s="239"/>
      <c r="O219" s="226"/>
      <c r="P219" s="226"/>
      <c r="Q219" s="226"/>
      <c r="R219" s="226"/>
      <c r="S219" s="226"/>
      <c r="T219" s="226"/>
      <c r="U219" s="226"/>
      <c r="V219" s="226"/>
      <c r="W219" s="226"/>
      <c r="X219" s="226"/>
      <c r="Y219" s="226"/>
      <c r="Z219" s="226"/>
      <c r="AA219" s="226"/>
    </row>
    <row r="220" spans="3:27" s="214" customFormat="1" ht="15.75" customHeight="1" x14ac:dyDescent="0.25">
      <c r="C220" s="238"/>
      <c r="M220" s="239"/>
      <c r="O220" s="226"/>
      <c r="P220" s="226"/>
      <c r="Q220" s="226"/>
      <c r="R220" s="226"/>
      <c r="S220" s="226"/>
      <c r="T220" s="226"/>
      <c r="U220" s="226"/>
      <c r="V220" s="226"/>
      <c r="W220" s="226"/>
      <c r="X220" s="226"/>
      <c r="Y220" s="226"/>
      <c r="Z220" s="226"/>
      <c r="AA220" s="226"/>
    </row>
    <row r="221" spans="3:27" s="214" customFormat="1" ht="15.75" customHeight="1" x14ac:dyDescent="0.25">
      <c r="C221" s="238"/>
      <c r="M221" s="239"/>
      <c r="O221" s="226"/>
      <c r="P221" s="226"/>
      <c r="Q221" s="226"/>
      <c r="R221" s="226"/>
      <c r="S221" s="226"/>
      <c r="T221" s="226"/>
      <c r="U221" s="226"/>
      <c r="V221" s="226"/>
      <c r="W221" s="226"/>
      <c r="X221" s="226"/>
      <c r="Y221" s="226"/>
      <c r="Z221" s="226"/>
      <c r="AA221" s="226"/>
    </row>
    <row r="222" spans="3:27" s="214" customFormat="1" ht="15.75" customHeight="1" x14ac:dyDescent="0.25">
      <c r="C222" s="238"/>
      <c r="M222" s="239"/>
      <c r="O222" s="226"/>
      <c r="P222" s="226"/>
      <c r="Q222" s="226"/>
      <c r="R222" s="226"/>
      <c r="S222" s="226"/>
      <c r="T222" s="226"/>
      <c r="U222" s="226"/>
      <c r="V222" s="226"/>
      <c r="W222" s="226"/>
      <c r="X222" s="226"/>
      <c r="Y222" s="226"/>
      <c r="Z222" s="226"/>
      <c r="AA222" s="226"/>
    </row>
    <row r="223" spans="3:27" s="214" customFormat="1" ht="15.75" customHeight="1" x14ac:dyDescent="0.25">
      <c r="C223" s="238"/>
      <c r="M223" s="239"/>
      <c r="O223" s="226"/>
      <c r="P223" s="226"/>
      <c r="Q223" s="226"/>
      <c r="R223" s="226"/>
      <c r="S223" s="226"/>
      <c r="T223" s="226"/>
      <c r="U223" s="226"/>
      <c r="V223" s="226"/>
      <c r="W223" s="226"/>
      <c r="X223" s="226"/>
      <c r="Y223" s="226"/>
      <c r="Z223" s="226"/>
      <c r="AA223" s="226"/>
    </row>
    <row r="224" spans="3:27" s="214" customFormat="1" ht="15.75" customHeight="1" x14ac:dyDescent="0.25">
      <c r="C224" s="238"/>
      <c r="M224" s="239"/>
      <c r="O224" s="226"/>
      <c r="P224" s="226"/>
      <c r="Q224" s="226"/>
      <c r="R224" s="226"/>
      <c r="S224" s="226"/>
      <c r="T224" s="226"/>
      <c r="U224" s="226"/>
      <c r="V224" s="226"/>
      <c r="W224" s="226"/>
      <c r="X224" s="226"/>
      <c r="Y224" s="226"/>
      <c r="Z224" s="226"/>
      <c r="AA224" s="226"/>
    </row>
    <row r="225" spans="3:27" s="214" customFormat="1" ht="15.75" customHeight="1" x14ac:dyDescent="0.25">
      <c r="C225" s="238"/>
      <c r="M225" s="239"/>
      <c r="O225" s="226"/>
      <c r="P225" s="226"/>
      <c r="Q225" s="226"/>
      <c r="R225" s="226"/>
      <c r="S225" s="226"/>
      <c r="T225" s="226"/>
      <c r="U225" s="226"/>
      <c r="V225" s="226"/>
      <c r="W225" s="226"/>
      <c r="X225" s="226"/>
      <c r="Y225" s="226"/>
      <c r="Z225" s="226"/>
      <c r="AA225" s="226"/>
    </row>
    <row r="226" spans="3:27" s="214" customFormat="1" ht="15.75" customHeight="1" x14ac:dyDescent="0.25">
      <c r="C226" s="238"/>
      <c r="M226" s="239"/>
      <c r="O226" s="226"/>
      <c r="P226" s="226"/>
      <c r="Q226" s="226"/>
      <c r="R226" s="226"/>
      <c r="S226" s="226"/>
      <c r="T226" s="226"/>
      <c r="U226" s="226"/>
      <c r="V226" s="226"/>
      <c r="W226" s="226"/>
      <c r="X226" s="226"/>
      <c r="Y226" s="226"/>
      <c r="Z226" s="226"/>
      <c r="AA226" s="226"/>
    </row>
    <row r="227" spans="3:27" s="214" customFormat="1" ht="15.75" customHeight="1" x14ac:dyDescent="0.25">
      <c r="C227" s="238"/>
      <c r="M227" s="239"/>
      <c r="O227" s="226"/>
      <c r="P227" s="226"/>
      <c r="Q227" s="226"/>
      <c r="R227" s="226"/>
      <c r="S227" s="226"/>
      <c r="T227" s="226"/>
      <c r="U227" s="226"/>
      <c r="V227" s="226"/>
      <c r="W227" s="226"/>
      <c r="X227" s="226"/>
      <c r="Y227" s="226"/>
      <c r="Z227" s="226"/>
      <c r="AA227" s="226"/>
    </row>
    <row r="228" spans="3:27" s="214" customFormat="1" ht="15.75" customHeight="1" x14ac:dyDescent="0.25">
      <c r="C228" s="238"/>
      <c r="M228" s="239"/>
      <c r="O228" s="226"/>
      <c r="P228" s="226"/>
      <c r="Q228" s="226"/>
      <c r="R228" s="226"/>
      <c r="S228" s="226"/>
      <c r="T228" s="226"/>
      <c r="U228" s="226"/>
      <c r="V228" s="226"/>
      <c r="W228" s="226"/>
      <c r="X228" s="226"/>
      <c r="Y228" s="226"/>
      <c r="Z228" s="226"/>
      <c r="AA228" s="226"/>
    </row>
    <row r="229" spans="3:27" s="214" customFormat="1" ht="15.75" customHeight="1" x14ac:dyDescent="0.25">
      <c r="C229" s="238"/>
      <c r="M229" s="239"/>
      <c r="O229" s="226"/>
      <c r="P229" s="226"/>
      <c r="Q229" s="226"/>
      <c r="R229" s="226"/>
      <c r="S229" s="226"/>
      <c r="T229" s="226"/>
      <c r="U229" s="226"/>
      <c r="V229" s="226"/>
      <c r="W229" s="226"/>
      <c r="X229" s="226"/>
      <c r="Y229" s="226"/>
      <c r="Z229" s="226"/>
      <c r="AA229" s="226"/>
    </row>
    <row r="230" spans="3:27" s="214" customFormat="1" ht="15.75" customHeight="1" x14ac:dyDescent="0.25">
      <c r="C230" s="238"/>
      <c r="M230" s="239"/>
      <c r="O230" s="226"/>
      <c r="P230" s="226"/>
      <c r="Q230" s="226"/>
      <c r="R230" s="226"/>
      <c r="S230" s="226"/>
      <c r="T230" s="226"/>
      <c r="U230" s="226"/>
      <c r="V230" s="226"/>
      <c r="W230" s="226"/>
      <c r="X230" s="226"/>
      <c r="Y230" s="226"/>
      <c r="Z230" s="226"/>
      <c r="AA230" s="226"/>
    </row>
    <row r="231" spans="3:27" s="214" customFormat="1" ht="15.75" customHeight="1" x14ac:dyDescent="0.25">
      <c r="C231" s="238"/>
      <c r="M231" s="239"/>
      <c r="O231" s="226"/>
      <c r="P231" s="226"/>
      <c r="Q231" s="226"/>
      <c r="R231" s="226"/>
      <c r="S231" s="226"/>
      <c r="T231" s="226"/>
      <c r="U231" s="226"/>
      <c r="V231" s="226"/>
      <c r="W231" s="226"/>
      <c r="X231" s="226"/>
      <c r="Y231" s="226"/>
      <c r="Z231" s="226"/>
      <c r="AA231" s="226"/>
    </row>
    <row r="232" spans="3:27" s="214" customFormat="1" ht="15.75" customHeight="1" x14ac:dyDescent="0.25">
      <c r="C232" s="238"/>
      <c r="M232" s="239"/>
      <c r="O232" s="226"/>
      <c r="P232" s="226"/>
      <c r="Q232" s="226"/>
      <c r="R232" s="226"/>
      <c r="S232" s="226"/>
      <c r="T232" s="226"/>
      <c r="U232" s="226"/>
      <c r="V232" s="226"/>
      <c r="W232" s="226"/>
      <c r="X232" s="226"/>
      <c r="Y232" s="226"/>
      <c r="Z232" s="226"/>
      <c r="AA232" s="226"/>
    </row>
    <row r="233" spans="3:27" s="214" customFormat="1" ht="15.75" customHeight="1" x14ac:dyDescent="0.25">
      <c r="C233" s="238"/>
      <c r="M233" s="239"/>
      <c r="O233" s="226"/>
      <c r="P233" s="226"/>
      <c r="Q233" s="226"/>
      <c r="R233" s="226"/>
      <c r="S233" s="226"/>
      <c r="T233" s="226"/>
      <c r="U233" s="226"/>
      <c r="V233" s="226"/>
      <c r="W233" s="226"/>
      <c r="X233" s="226"/>
      <c r="Y233" s="226"/>
      <c r="Z233" s="226"/>
      <c r="AA233" s="226"/>
    </row>
    <row r="234" spans="3:27" s="214" customFormat="1" ht="15.75" customHeight="1" x14ac:dyDescent="0.25">
      <c r="C234" s="238"/>
      <c r="M234" s="239"/>
      <c r="O234" s="226"/>
      <c r="P234" s="226"/>
      <c r="Q234" s="226"/>
      <c r="R234" s="226"/>
      <c r="S234" s="226"/>
      <c r="T234" s="226"/>
      <c r="U234" s="226"/>
      <c r="V234" s="226"/>
      <c r="W234" s="226"/>
      <c r="X234" s="226"/>
      <c r="Y234" s="226"/>
      <c r="Z234" s="226"/>
      <c r="AA234" s="226"/>
    </row>
    <row r="235" spans="3:27" s="214" customFormat="1" ht="15.75" customHeight="1" x14ac:dyDescent="0.25">
      <c r="C235" s="238"/>
      <c r="M235" s="239"/>
      <c r="O235" s="226"/>
      <c r="P235" s="226"/>
      <c r="Q235" s="226"/>
      <c r="R235" s="226"/>
      <c r="S235" s="226"/>
      <c r="T235" s="226"/>
      <c r="U235" s="226"/>
      <c r="V235" s="226"/>
      <c r="W235" s="226"/>
      <c r="X235" s="226"/>
      <c r="Y235" s="226"/>
      <c r="Z235" s="226"/>
      <c r="AA235" s="226"/>
    </row>
    <row r="236" spans="3:27" s="214" customFormat="1" ht="15.75" customHeight="1" x14ac:dyDescent="0.25">
      <c r="C236" s="238"/>
      <c r="M236" s="239"/>
      <c r="O236" s="226"/>
      <c r="P236" s="226"/>
      <c r="Q236" s="226"/>
      <c r="R236" s="226"/>
      <c r="S236" s="226"/>
      <c r="T236" s="226"/>
      <c r="U236" s="226"/>
      <c r="V236" s="226"/>
      <c r="W236" s="226"/>
      <c r="X236" s="226"/>
      <c r="Y236" s="226"/>
      <c r="Z236" s="226"/>
      <c r="AA236" s="226"/>
    </row>
    <row r="237" spans="3:27" s="214" customFormat="1" ht="15.75" customHeight="1" x14ac:dyDescent="0.25">
      <c r="C237" s="238"/>
      <c r="M237" s="239"/>
      <c r="O237" s="226"/>
      <c r="P237" s="226"/>
      <c r="Q237" s="226"/>
      <c r="R237" s="226"/>
      <c r="S237" s="226"/>
      <c r="T237" s="226"/>
      <c r="U237" s="226"/>
      <c r="V237" s="226"/>
      <c r="W237" s="226"/>
      <c r="X237" s="226"/>
      <c r="Y237" s="226"/>
      <c r="Z237" s="226"/>
      <c r="AA237" s="226"/>
    </row>
    <row r="238" spans="3:27" s="214" customFormat="1" ht="15.75" customHeight="1" x14ac:dyDescent="0.25">
      <c r="C238" s="238"/>
      <c r="M238" s="239"/>
      <c r="O238" s="226"/>
      <c r="P238" s="226"/>
      <c r="Q238" s="226"/>
      <c r="R238" s="226"/>
      <c r="S238" s="226"/>
      <c r="T238" s="226"/>
      <c r="U238" s="226"/>
      <c r="V238" s="226"/>
      <c r="W238" s="226"/>
      <c r="X238" s="226"/>
      <c r="Y238" s="226"/>
      <c r="Z238" s="226"/>
      <c r="AA238" s="226"/>
    </row>
    <row r="239" spans="3:27" s="214" customFormat="1" ht="15.75" customHeight="1" x14ac:dyDescent="0.25">
      <c r="C239" s="238"/>
      <c r="M239" s="239"/>
      <c r="O239" s="226"/>
      <c r="P239" s="226"/>
      <c r="Q239" s="226"/>
      <c r="R239" s="226"/>
      <c r="S239" s="226"/>
      <c r="T239" s="226"/>
      <c r="U239" s="226"/>
      <c r="V239" s="226"/>
      <c r="W239" s="226"/>
      <c r="X239" s="226"/>
      <c r="Y239" s="226"/>
      <c r="Z239" s="226"/>
      <c r="AA239" s="226"/>
    </row>
    <row r="240" spans="3:27" s="214" customFormat="1" ht="15.75" customHeight="1" x14ac:dyDescent="0.25">
      <c r="C240" s="238"/>
      <c r="M240" s="239"/>
      <c r="O240" s="226"/>
      <c r="P240" s="226"/>
      <c r="Q240" s="226"/>
      <c r="R240" s="226"/>
      <c r="S240" s="226"/>
      <c r="T240" s="226"/>
      <c r="U240" s="226"/>
      <c r="V240" s="226"/>
      <c r="W240" s="226"/>
      <c r="X240" s="226"/>
      <c r="Y240" s="226"/>
      <c r="Z240" s="226"/>
      <c r="AA240" s="226"/>
    </row>
    <row r="241" spans="3:27" s="214" customFormat="1" ht="15.75" customHeight="1" x14ac:dyDescent="0.25">
      <c r="C241" s="238"/>
      <c r="M241" s="239"/>
      <c r="O241" s="226"/>
      <c r="P241" s="226"/>
      <c r="Q241" s="226"/>
      <c r="R241" s="226"/>
      <c r="S241" s="226"/>
      <c r="T241" s="226"/>
      <c r="U241" s="226"/>
      <c r="V241" s="226"/>
      <c r="W241" s="226"/>
      <c r="X241" s="226"/>
      <c r="Y241" s="226"/>
      <c r="Z241" s="226"/>
      <c r="AA241" s="226"/>
    </row>
    <row r="242" spans="3:27" s="214" customFormat="1" ht="15.75" customHeight="1" x14ac:dyDescent="0.25">
      <c r="C242" s="238"/>
      <c r="M242" s="239"/>
      <c r="O242" s="226"/>
      <c r="P242" s="226"/>
      <c r="Q242" s="226"/>
      <c r="R242" s="226"/>
      <c r="S242" s="226"/>
      <c r="T242" s="226"/>
      <c r="U242" s="226"/>
      <c r="V242" s="226"/>
      <c r="W242" s="226"/>
      <c r="X242" s="226"/>
      <c r="Y242" s="226"/>
      <c r="Z242" s="226"/>
      <c r="AA242" s="226"/>
    </row>
    <row r="243" spans="3:27" s="214" customFormat="1" ht="15.75" customHeight="1" x14ac:dyDescent="0.25">
      <c r="C243" s="238"/>
      <c r="M243" s="239"/>
      <c r="O243" s="226"/>
      <c r="P243" s="226"/>
      <c r="Q243" s="226"/>
      <c r="R243" s="226"/>
      <c r="S243" s="226"/>
      <c r="T243" s="226"/>
      <c r="U243" s="226"/>
      <c r="V243" s="226"/>
      <c r="W243" s="226"/>
      <c r="X243" s="226"/>
      <c r="Y243" s="226"/>
      <c r="Z243" s="226"/>
      <c r="AA243" s="226"/>
    </row>
    <row r="244" spans="3:27" s="214" customFormat="1" ht="15.75" customHeight="1" x14ac:dyDescent="0.25">
      <c r="C244" s="238"/>
      <c r="M244" s="239"/>
      <c r="O244" s="226"/>
      <c r="P244" s="226"/>
      <c r="Q244" s="226"/>
      <c r="R244" s="226"/>
      <c r="S244" s="226"/>
      <c r="T244" s="226"/>
      <c r="U244" s="226"/>
      <c r="V244" s="226"/>
      <c r="W244" s="226"/>
      <c r="X244" s="226"/>
      <c r="Y244" s="226"/>
      <c r="Z244" s="226"/>
      <c r="AA244" s="226"/>
    </row>
    <row r="245" spans="3:27" s="214" customFormat="1" ht="15.75" customHeight="1" x14ac:dyDescent="0.25">
      <c r="C245" s="238"/>
      <c r="M245" s="239"/>
      <c r="O245" s="226"/>
      <c r="P245" s="226"/>
      <c r="Q245" s="226"/>
      <c r="R245" s="226"/>
      <c r="S245" s="226"/>
      <c r="T245" s="226"/>
      <c r="U245" s="226"/>
      <c r="V245" s="226"/>
      <c r="W245" s="226"/>
      <c r="X245" s="226"/>
      <c r="Y245" s="226"/>
      <c r="Z245" s="226"/>
      <c r="AA245" s="226"/>
    </row>
    <row r="246" spans="3:27" s="214" customFormat="1" ht="15.75" customHeight="1" x14ac:dyDescent="0.25">
      <c r="C246" s="238"/>
      <c r="M246" s="239"/>
      <c r="O246" s="226"/>
      <c r="P246" s="226"/>
      <c r="Q246" s="226"/>
      <c r="R246" s="226"/>
      <c r="S246" s="226"/>
      <c r="T246" s="226"/>
      <c r="U246" s="226"/>
      <c r="V246" s="226"/>
      <c r="W246" s="226"/>
      <c r="X246" s="226"/>
      <c r="Y246" s="226"/>
      <c r="Z246" s="226"/>
      <c r="AA246" s="226"/>
    </row>
    <row r="247" spans="3:27" s="214" customFormat="1" ht="15.75" customHeight="1" x14ac:dyDescent="0.25">
      <c r="C247" s="238"/>
      <c r="M247" s="239"/>
      <c r="O247" s="226"/>
      <c r="P247" s="226"/>
      <c r="Q247" s="226"/>
      <c r="R247" s="226"/>
      <c r="S247" s="226"/>
      <c r="T247" s="226"/>
      <c r="U247" s="226"/>
      <c r="V247" s="226"/>
      <c r="W247" s="226"/>
      <c r="X247" s="226"/>
      <c r="Y247" s="226"/>
      <c r="Z247" s="226"/>
      <c r="AA247" s="226"/>
    </row>
    <row r="248" spans="3:27" s="214" customFormat="1" ht="15.75" customHeight="1" x14ac:dyDescent="0.25">
      <c r="C248" s="238"/>
      <c r="M248" s="239"/>
      <c r="O248" s="226"/>
      <c r="P248" s="226"/>
      <c r="Q248" s="226"/>
      <c r="R248" s="226"/>
      <c r="S248" s="226"/>
      <c r="T248" s="226"/>
      <c r="U248" s="226"/>
      <c r="V248" s="226"/>
      <c r="W248" s="226"/>
      <c r="X248" s="226"/>
      <c r="Y248" s="226"/>
      <c r="Z248" s="226"/>
      <c r="AA248" s="226"/>
    </row>
    <row r="249" spans="3:27" s="214" customFormat="1" ht="15.75" customHeight="1" x14ac:dyDescent="0.25">
      <c r="C249" s="238"/>
      <c r="M249" s="239"/>
      <c r="O249" s="226"/>
      <c r="P249" s="226"/>
      <c r="Q249" s="226"/>
      <c r="R249" s="226"/>
      <c r="S249" s="226"/>
      <c r="T249" s="226"/>
      <c r="U249" s="226"/>
      <c r="V249" s="226"/>
      <c r="W249" s="226"/>
      <c r="X249" s="226"/>
      <c r="Y249" s="226"/>
      <c r="Z249" s="226"/>
      <c r="AA249" s="226"/>
    </row>
    <row r="250" spans="3:27" s="214" customFormat="1" ht="15.75" customHeight="1" x14ac:dyDescent="0.25">
      <c r="C250" s="238"/>
      <c r="M250" s="239"/>
      <c r="O250" s="226"/>
      <c r="P250" s="226"/>
      <c r="Q250" s="226"/>
      <c r="R250" s="226"/>
      <c r="S250" s="226"/>
      <c r="T250" s="226"/>
      <c r="U250" s="226"/>
      <c r="V250" s="226"/>
      <c r="W250" s="226"/>
      <c r="X250" s="226"/>
      <c r="Y250" s="226"/>
      <c r="Z250" s="226"/>
      <c r="AA250" s="226"/>
    </row>
    <row r="251" spans="3:27" s="214" customFormat="1" ht="15.75" customHeight="1" x14ac:dyDescent="0.25">
      <c r="C251" s="238"/>
      <c r="M251" s="239"/>
      <c r="O251" s="226"/>
      <c r="P251" s="226"/>
      <c r="Q251" s="226"/>
      <c r="R251" s="226"/>
      <c r="S251" s="226"/>
      <c r="T251" s="226"/>
      <c r="U251" s="226"/>
      <c r="V251" s="226"/>
      <c r="W251" s="226"/>
      <c r="X251" s="226"/>
      <c r="Y251" s="226"/>
      <c r="Z251" s="226"/>
      <c r="AA251" s="226"/>
    </row>
    <row r="252" spans="3:27" s="214" customFormat="1" ht="15.75" customHeight="1" x14ac:dyDescent="0.25">
      <c r="C252" s="238"/>
      <c r="M252" s="239"/>
      <c r="O252" s="226"/>
      <c r="P252" s="226"/>
      <c r="Q252" s="226"/>
      <c r="R252" s="226"/>
      <c r="S252" s="226"/>
      <c r="T252" s="226"/>
      <c r="U252" s="226"/>
      <c r="V252" s="226"/>
      <c r="W252" s="226"/>
      <c r="X252" s="226"/>
      <c r="Y252" s="226"/>
      <c r="Z252" s="226"/>
      <c r="AA252" s="226"/>
    </row>
    <row r="253" spans="3:27" s="214" customFormat="1" ht="15.75" customHeight="1" x14ac:dyDescent="0.25">
      <c r="C253" s="238"/>
      <c r="M253" s="239"/>
      <c r="O253" s="226"/>
      <c r="P253" s="226"/>
      <c r="Q253" s="226"/>
      <c r="R253" s="226"/>
      <c r="S253" s="226"/>
      <c r="T253" s="226"/>
      <c r="U253" s="226"/>
      <c r="V253" s="226"/>
      <c r="W253" s="226"/>
      <c r="X253" s="226"/>
      <c r="Y253" s="226"/>
      <c r="Z253" s="226"/>
      <c r="AA253" s="226"/>
    </row>
    <row r="254" spans="3:27" s="214" customFormat="1" ht="15.75" customHeight="1" x14ac:dyDescent="0.25">
      <c r="C254" s="238"/>
      <c r="M254" s="239"/>
      <c r="O254" s="226"/>
      <c r="P254" s="226"/>
      <c r="Q254" s="226"/>
      <c r="R254" s="226"/>
      <c r="S254" s="226"/>
      <c r="T254" s="226"/>
      <c r="U254" s="226"/>
      <c r="V254" s="226"/>
      <c r="W254" s="226"/>
      <c r="X254" s="226"/>
      <c r="Y254" s="226"/>
      <c r="Z254" s="226"/>
      <c r="AA254" s="226"/>
    </row>
    <row r="255" spans="3:27" s="214" customFormat="1" ht="15.75" customHeight="1" x14ac:dyDescent="0.25">
      <c r="C255" s="238"/>
      <c r="M255" s="239"/>
      <c r="O255" s="226"/>
      <c r="P255" s="226"/>
      <c r="Q255" s="226"/>
      <c r="R255" s="226"/>
      <c r="S255" s="226"/>
      <c r="T255" s="226"/>
      <c r="U255" s="226"/>
      <c r="V255" s="226"/>
      <c r="W255" s="226"/>
      <c r="X255" s="226"/>
      <c r="Y255" s="226"/>
      <c r="Z255" s="226"/>
      <c r="AA255" s="226"/>
    </row>
    <row r="256" spans="3:27" s="214" customFormat="1" ht="15.75" customHeight="1" x14ac:dyDescent="0.25">
      <c r="C256" s="238"/>
      <c r="M256" s="239"/>
      <c r="O256" s="226"/>
      <c r="P256" s="226"/>
      <c r="Q256" s="226"/>
      <c r="R256" s="226"/>
      <c r="S256" s="226"/>
      <c r="T256" s="226"/>
      <c r="U256" s="226"/>
      <c r="V256" s="226"/>
      <c r="W256" s="226"/>
      <c r="X256" s="226"/>
      <c r="Y256" s="226"/>
      <c r="Z256" s="226"/>
      <c r="AA256" s="226"/>
    </row>
    <row r="257" spans="3:27" s="214" customFormat="1" ht="15.75" customHeight="1" x14ac:dyDescent="0.25">
      <c r="C257" s="238"/>
      <c r="M257" s="239"/>
      <c r="O257" s="226"/>
      <c r="P257" s="226"/>
      <c r="Q257" s="226"/>
      <c r="R257" s="226"/>
      <c r="S257" s="226"/>
      <c r="T257" s="226"/>
      <c r="U257" s="226"/>
      <c r="V257" s="226"/>
      <c r="W257" s="226"/>
      <c r="X257" s="226"/>
      <c r="Y257" s="226"/>
      <c r="Z257" s="226"/>
      <c r="AA257" s="226"/>
    </row>
    <row r="258" spans="3:27" s="214" customFormat="1" ht="15.75" customHeight="1" x14ac:dyDescent="0.25">
      <c r="C258" s="238"/>
      <c r="M258" s="239"/>
      <c r="O258" s="226"/>
      <c r="P258" s="226"/>
      <c r="Q258" s="226"/>
      <c r="R258" s="226"/>
      <c r="S258" s="226"/>
      <c r="T258" s="226"/>
      <c r="U258" s="226"/>
      <c r="V258" s="226"/>
      <c r="W258" s="226"/>
      <c r="X258" s="226"/>
      <c r="Y258" s="226"/>
      <c r="Z258" s="226"/>
      <c r="AA258" s="226"/>
    </row>
    <row r="259" spans="3:27" s="214" customFormat="1" ht="15.75" customHeight="1" x14ac:dyDescent="0.25">
      <c r="C259" s="238"/>
      <c r="M259" s="239"/>
      <c r="O259" s="226"/>
      <c r="P259" s="226"/>
      <c r="Q259" s="226"/>
      <c r="R259" s="226"/>
      <c r="S259" s="226"/>
      <c r="T259" s="226"/>
      <c r="U259" s="226"/>
      <c r="V259" s="226"/>
      <c r="W259" s="226"/>
      <c r="X259" s="226"/>
      <c r="Y259" s="226"/>
      <c r="Z259" s="226"/>
      <c r="AA259" s="226"/>
    </row>
    <row r="260" spans="3:27" ht="15.75" customHeight="1" x14ac:dyDescent="0.25"/>
    <row r="261" spans="3:27" ht="15.75" customHeight="1" x14ac:dyDescent="0.25"/>
    <row r="262" spans="3:27" ht="15.75" customHeight="1" x14ac:dyDescent="0.25"/>
    <row r="263" spans="3:27" ht="15.75" customHeight="1" x14ac:dyDescent="0.25"/>
    <row r="264" spans="3:27" ht="15.75" customHeight="1" x14ac:dyDescent="0.25"/>
    <row r="265" spans="3:27" ht="15.75" customHeight="1" x14ac:dyDescent="0.25"/>
    <row r="266" spans="3:27" ht="15.75" customHeight="1" x14ac:dyDescent="0.25"/>
    <row r="267" spans="3:27" ht="15.75" customHeight="1" x14ac:dyDescent="0.25"/>
    <row r="268" spans="3:27" ht="15.75" customHeight="1" x14ac:dyDescent="0.25"/>
    <row r="269" spans="3:27" ht="15.75" customHeight="1" x14ac:dyDescent="0.25"/>
    <row r="270" spans="3:27" ht="15.75" customHeight="1" x14ac:dyDescent="0.25"/>
    <row r="271" spans="3:27" ht="15.75" customHeight="1" x14ac:dyDescent="0.25"/>
    <row r="272" spans="3:27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</sheetData>
  <autoFilter ref="A1:N85"/>
  <pageMargins left="0.7" right="0.7" top="0.75" bottom="0.75" header="0" footer="0"/>
  <pageSetup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1000"/>
  <sheetViews>
    <sheetView topLeftCell="O1" zoomScale="90" zoomScaleNormal="90" workbookViewId="0">
      <pane ySplit="1" topLeftCell="A70" activePane="bottomLeft" state="frozen"/>
      <selection activeCell="H1" sqref="H1"/>
      <selection pane="bottomLeft" activeCell="AA77" sqref="AA77"/>
    </sheetView>
  </sheetViews>
  <sheetFormatPr defaultColWidth="12.625" defaultRowHeight="15" customHeight="1" x14ac:dyDescent="0.25"/>
  <cols>
    <col min="1" max="1" width="7.625" style="177" customWidth="1"/>
    <col min="2" max="2" width="12.375" style="177" bestFit="1" customWidth="1"/>
    <col min="3" max="3" width="30.125" style="334" customWidth="1"/>
    <col min="4" max="4" width="30" style="177" bestFit="1" customWidth="1"/>
    <col min="5" max="5" width="7.625" style="177" customWidth="1"/>
    <col min="6" max="6" width="9.625" style="177" bestFit="1" customWidth="1"/>
    <col min="7" max="7" width="12.5" style="177" bestFit="1" customWidth="1"/>
    <col min="8" max="8" width="13.75" style="177" customWidth="1"/>
    <col min="9" max="9" width="34.625" style="177" customWidth="1"/>
    <col min="10" max="10" width="12.5" style="241" bestFit="1" customWidth="1"/>
    <col min="11" max="11" width="16.125" style="177" customWidth="1"/>
    <col min="12" max="13" width="20" style="177" customWidth="1"/>
    <col min="14" max="14" width="36.625" style="177" customWidth="1"/>
    <col min="15" max="20" width="12.75" style="176" bestFit="1" customWidth="1"/>
    <col min="21" max="26" width="12.75" style="177" bestFit="1" customWidth="1"/>
    <col min="27" max="27" width="13.75" style="177" bestFit="1" customWidth="1"/>
    <col min="28" max="16384" width="12.625" style="177"/>
  </cols>
  <sheetData>
    <row r="1" spans="1:27" x14ac:dyDescent="0.25">
      <c r="A1" s="242" t="s">
        <v>128</v>
      </c>
      <c r="B1" s="242" t="s">
        <v>178</v>
      </c>
      <c r="C1" s="243" t="s">
        <v>180</v>
      </c>
      <c r="D1" s="243" t="s">
        <v>181</v>
      </c>
      <c r="E1" s="243" t="s">
        <v>182</v>
      </c>
      <c r="F1" s="243" t="s">
        <v>183</v>
      </c>
      <c r="G1" s="243" t="s">
        <v>184</v>
      </c>
      <c r="H1" s="243" t="s">
        <v>185</v>
      </c>
      <c r="I1" s="243" t="s">
        <v>186</v>
      </c>
      <c r="J1" s="244" t="s">
        <v>187</v>
      </c>
      <c r="K1" s="245" t="s">
        <v>189</v>
      </c>
      <c r="L1" s="246" t="s">
        <v>348</v>
      </c>
      <c r="M1" s="246" t="s">
        <v>349</v>
      </c>
      <c r="N1" s="247" t="s">
        <v>190</v>
      </c>
      <c r="O1" s="176" t="s">
        <v>350</v>
      </c>
      <c r="P1" s="176" t="s">
        <v>165</v>
      </c>
      <c r="Q1" s="176" t="s">
        <v>166</v>
      </c>
      <c r="R1" s="176" t="s">
        <v>167</v>
      </c>
      <c r="S1" s="176" t="s">
        <v>168</v>
      </c>
      <c r="T1" s="176" t="s">
        <v>169</v>
      </c>
      <c r="U1" s="177" t="s">
        <v>170</v>
      </c>
      <c r="V1" s="177" t="s">
        <v>171</v>
      </c>
      <c r="W1" s="177" t="s">
        <v>172</v>
      </c>
      <c r="X1" s="177" t="s">
        <v>173</v>
      </c>
      <c r="Y1" s="177" t="s">
        <v>174</v>
      </c>
      <c r="Z1" s="177" t="s">
        <v>175</v>
      </c>
      <c r="AA1" s="177" t="s">
        <v>351</v>
      </c>
    </row>
    <row r="2" spans="1:27" x14ac:dyDescent="0.25">
      <c r="A2" s="248">
        <v>1</v>
      </c>
      <c r="B2" s="248" t="s">
        <v>191</v>
      </c>
      <c r="C2" s="249" t="s">
        <v>352</v>
      </c>
      <c r="D2" s="249" t="s">
        <v>195</v>
      </c>
      <c r="E2" s="249">
        <v>40</v>
      </c>
      <c r="F2" s="249"/>
      <c r="G2" s="250">
        <v>43347</v>
      </c>
      <c r="H2" s="250">
        <v>43466</v>
      </c>
      <c r="I2" s="249" t="s">
        <v>353</v>
      </c>
      <c r="J2" s="251">
        <v>7000000</v>
      </c>
      <c r="K2" s="252">
        <v>5000000</v>
      </c>
      <c r="L2" s="253">
        <v>43847</v>
      </c>
      <c r="M2" s="253"/>
      <c r="N2" s="254" t="s">
        <v>354</v>
      </c>
      <c r="O2" s="177"/>
      <c r="P2" s="177"/>
      <c r="Q2" s="177"/>
      <c r="R2" s="177"/>
      <c r="S2" s="177"/>
      <c r="T2" s="177"/>
    </row>
    <row r="3" spans="1:27" x14ac:dyDescent="0.25">
      <c r="A3" s="255">
        <v>2</v>
      </c>
      <c r="B3" s="255" t="s">
        <v>191</v>
      </c>
      <c r="C3" s="256" t="s">
        <v>355</v>
      </c>
      <c r="D3" s="256"/>
      <c r="E3" s="256">
        <v>25</v>
      </c>
      <c r="F3" s="256"/>
      <c r="G3" s="257">
        <v>43347</v>
      </c>
      <c r="H3" s="257">
        <v>43497</v>
      </c>
      <c r="I3" s="256" t="s">
        <v>353</v>
      </c>
      <c r="J3" s="258">
        <v>9500000</v>
      </c>
      <c r="K3" s="259">
        <v>5000000</v>
      </c>
      <c r="L3" s="260">
        <v>44681</v>
      </c>
      <c r="M3" s="260"/>
      <c r="N3" s="261"/>
      <c r="O3" s="177"/>
      <c r="P3" s="177"/>
      <c r="Q3" s="177"/>
      <c r="R3" s="177"/>
      <c r="S3" s="177"/>
      <c r="T3" s="177"/>
    </row>
    <row r="4" spans="1:27" x14ac:dyDescent="0.25">
      <c r="A4" s="262">
        <v>3</v>
      </c>
      <c r="B4" s="262" t="s">
        <v>191</v>
      </c>
      <c r="C4" s="263" t="s">
        <v>356</v>
      </c>
      <c r="D4" s="263" t="s">
        <v>357</v>
      </c>
      <c r="E4" s="263">
        <v>46</v>
      </c>
      <c r="F4" s="263"/>
      <c r="G4" s="264">
        <v>43363</v>
      </c>
      <c r="H4" s="264">
        <v>43466</v>
      </c>
      <c r="I4" s="263" t="s">
        <v>358</v>
      </c>
      <c r="J4" s="265">
        <v>1300000</v>
      </c>
      <c r="K4" s="266">
        <v>1000000</v>
      </c>
      <c r="L4" s="267"/>
      <c r="M4" s="267"/>
      <c r="N4" s="268"/>
      <c r="O4" s="269">
        <f>$J4/2</f>
        <v>650000</v>
      </c>
      <c r="P4" s="269">
        <f t="shared" ref="P4:Z4" si="0">$J4/2</f>
        <v>650000</v>
      </c>
      <c r="Q4" s="269">
        <f t="shared" si="0"/>
        <v>650000</v>
      </c>
      <c r="R4" s="269">
        <f t="shared" si="0"/>
        <v>650000</v>
      </c>
      <c r="S4" s="269">
        <f t="shared" si="0"/>
        <v>650000</v>
      </c>
      <c r="T4" s="269">
        <f t="shared" si="0"/>
        <v>650000</v>
      </c>
      <c r="U4" s="269">
        <f t="shared" si="0"/>
        <v>650000</v>
      </c>
      <c r="V4" s="269">
        <f t="shared" si="0"/>
        <v>650000</v>
      </c>
      <c r="W4" s="269">
        <f t="shared" si="0"/>
        <v>650000</v>
      </c>
      <c r="X4" s="269">
        <f t="shared" si="0"/>
        <v>650000</v>
      </c>
      <c r="Y4" s="269">
        <f t="shared" si="0"/>
        <v>650000</v>
      </c>
      <c r="Z4" s="269">
        <f t="shared" si="0"/>
        <v>650000</v>
      </c>
      <c r="AA4" s="269">
        <f>SUM(O4:Z4)</f>
        <v>7800000</v>
      </c>
    </row>
    <row r="5" spans="1:27" x14ac:dyDescent="0.25">
      <c r="A5" s="270">
        <v>4</v>
      </c>
      <c r="B5" s="270" t="s">
        <v>191</v>
      </c>
      <c r="C5" s="271" t="s">
        <v>359</v>
      </c>
      <c r="D5" s="271"/>
      <c r="E5" s="271">
        <v>25</v>
      </c>
      <c r="F5" s="271"/>
      <c r="G5" s="272">
        <v>43381</v>
      </c>
      <c r="H5" s="272"/>
      <c r="I5" s="271" t="s">
        <v>249</v>
      </c>
      <c r="J5" s="273">
        <v>4000000</v>
      </c>
      <c r="K5" s="274">
        <v>5000000</v>
      </c>
      <c r="L5" s="275"/>
      <c r="M5" s="275"/>
      <c r="N5" s="276" t="s">
        <v>360</v>
      </c>
      <c r="O5" s="177"/>
      <c r="P5" s="177"/>
      <c r="Q5" s="177"/>
      <c r="R5" s="177"/>
      <c r="S5" s="177"/>
      <c r="T5" s="177"/>
    </row>
    <row r="6" spans="1:27" x14ac:dyDescent="0.25">
      <c r="A6" s="262">
        <v>5</v>
      </c>
      <c r="B6" s="262" t="s">
        <v>191</v>
      </c>
      <c r="C6" s="263" t="s">
        <v>361</v>
      </c>
      <c r="D6" s="263"/>
      <c r="E6" s="263">
        <v>11</v>
      </c>
      <c r="F6" s="263"/>
      <c r="G6" s="264">
        <v>43418</v>
      </c>
      <c r="H6" s="264">
        <v>43455</v>
      </c>
      <c r="I6" s="263" t="s">
        <v>362</v>
      </c>
      <c r="J6" s="265">
        <v>17200000</v>
      </c>
      <c r="K6" s="266">
        <v>30000000</v>
      </c>
      <c r="L6" s="267"/>
      <c r="M6" s="267"/>
      <c r="N6" s="268"/>
      <c r="O6" s="269">
        <f>$J6/2</f>
        <v>8600000</v>
      </c>
      <c r="P6" s="269">
        <f t="shared" ref="P6:Z6" si="1">$J6/2</f>
        <v>8600000</v>
      </c>
      <c r="Q6" s="269">
        <f t="shared" si="1"/>
        <v>8600000</v>
      </c>
      <c r="R6" s="269">
        <f t="shared" si="1"/>
        <v>8600000</v>
      </c>
      <c r="S6" s="269">
        <f t="shared" si="1"/>
        <v>8600000</v>
      </c>
      <c r="T6" s="269">
        <f t="shared" si="1"/>
        <v>8600000</v>
      </c>
      <c r="U6" s="269">
        <f t="shared" si="1"/>
        <v>8600000</v>
      </c>
      <c r="V6" s="269">
        <f t="shared" si="1"/>
        <v>8600000</v>
      </c>
      <c r="W6" s="269">
        <f t="shared" si="1"/>
        <v>8600000</v>
      </c>
      <c r="X6" s="269">
        <f t="shared" si="1"/>
        <v>8600000</v>
      </c>
      <c r="Y6" s="269">
        <f t="shared" si="1"/>
        <v>8600000</v>
      </c>
      <c r="Z6" s="269">
        <f t="shared" si="1"/>
        <v>8600000</v>
      </c>
      <c r="AA6" s="269">
        <f>SUM(O6:Z6)</f>
        <v>103200000</v>
      </c>
    </row>
    <row r="7" spans="1:27" x14ac:dyDescent="0.25">
      <c r="A7" s="248">
        <v>6</v>
      </c>
      <c r="B7" s="248" t="s">
        <v>191</v>
      </c>
      <c r="C7" s="249" t="s">
        <v>361</v>
      </c>
      <c r="D7" s="249"/>
      <c r="E7" s="249">
        <v>15</v>
      </c>
      <c r="F7" s="249"/>
      <c r="G7" s="250">
        <v>29</v>
      </c>
      <c r="H7" s="250">
        <v>43818</v>
      </c>
      <c r="I7" s="249" t="s">
        <v>363</v>
      </c>
      <c r="J7" s="251">
        <v>8000000</v>
      </c>
      <c r="K7" s="252"/>
      <c r="L7" s="253">
        <v>43929</v>
      </c>
      <c r="M7" s="253"/>
      <c r="N7" s="277"/>
      <c r="O7" s="177"/>
      <c r="P7" s="177"/>
      <c r="Q7" s="177"/>
      <c r="R7" s="177"/>
      <c r="S7" s="177"/>
      <c r="T7" s="177"/>
    </row>
    <row r="8" spans="1:27" x14ac:dyDescent="0.25">
      <c r="A8" s="262">
        <v>7</v>
      </c>
      <c r="B8" s="262" t="s">
        <v>191</v>
      </c>
      <c r="C8" s="263" t="s">
        <v>364</v>
      </c>
      <c r="D8" s="263"/>
      <c r="E8" s="263">
        <v>42</v>
      </c>
      <c r="F8" s="263" t="s">
        <v>365</v>
      </c>
      <c r="G8" s="264">
        <v>43438</v>
      </c>
      <c r="H8" s="264">
        <v>43465</v>
      </c>
      <c r="I8" s="263" t="s">
        <v>366</v>
      </c>
      <c r="J8" s="265">
        <v>10000000</v>
      </c>
      <c r="K8" s="266">
        <v>5000000</v>
      </c>
      <c r="L8" s="267"/>
      <c r="M8" s="267"/>
      <c r="N8" s="278"/>
      <c r="O8" s="269">
        <f t="shared" ref="O8:Z9" si="2">$J8/2</f>
        <v>5000000</v>
      </c>
      <c r="P8" s="269">
        <f t="shared" si="2"/>
        <v>5000000</v>
      </c>
      <c r="Q8" s="269">
        <f t="shared" si="2"/>
        <v>5000000</v>
      </c>
      <c r="R8" s="269">
        <f t="shared" si="2"/>
        <v>5000000</v>
      </c>
      <c r="S8" s="269">
        <f t="shared" si="2"/>
        <v>5000000</v>
      </c>
      <c r="T8" s="269">
        <f t="shared" si="2"/>
        <v>5000000</v>
      </c>
      <c r="U8" s="269">
        <f t="shared" si="2"/>
        <v>5000000</v>
      </c>
      <c r="V8" s="269">
        <f t="shared" si="2"/>
        <v>5000000</v>
      </c>
      <c r="W8" s="269">
        <f t="shared" si="2"/>
        <v>5000000</v>
      </c>
      <c r="X8" s="269">
        <f t="shared" si="2"/>
        <v>5000000</v>
      </c>
      <c r="Y8" s="269">
        <f t="shared" si="2"/>
        <v>5000000</v>
      </c>
      <c r="Z8" s="269">
        <f t="shared" si="2"/>
        <v>5000000</v>
      </c>
      <c r="AA8" s="269">
        <f t="shared" ref="AA8:AA9" si="3">SUM(O8:Z8)</f>
        <v>60000000</v>
      </c>
    </row>
    <row r="9" spans="1:27" x14ac:dyDescent="0.25">
      <c r="A9" s="262">
        <v>8</v>
      </c>
      <c r="B9" s="262" t="s">
        <v>191</v>
      </c>
      <c r="C9" s="263" t="s">
        <v>367</v>
      </c>
      <c r="D9" s="263" t="s">
        <v>367</v>
      </c>
      <c r="E9" s="263">
        <v>9</v>
      </c>
      <c r="F9" s="263"/>
      <c r="G9" s="264">
        <v>43476</v>
      </c>
      <c r="H9" s="264">
        <v>43507</v>
      </c>
      <c r="I9" s="263" t="s">
        <v>368</v>
      </c>
      <c r="J9" s="265">
        <v>5000000</v>
      </c>
      <c r="K9" s="266">
        <v>2000000</v>
      </c>
      <c r="L9" s="267"/>
      <c r="M9" s="267"/>
      <c r="N9" s="268"/>
      <c r="O9" s="269">
        <f t="shared" si="2"/>
        <v>2500000</v>
      </c>
      <c r="P9" s="269">
        <f t="shared" si="2"/>
        <v>2500000</v>
      </c>
      <c r="Q9" s="269">
        <f t="shared" si="2"/>
        <v>2500000</v>
      </c>
      <c r="R9" s="269">
        <f t="shared" si="2"/>
        <v>2500000</v>
      </c>
      <c r="S9" s="269">
        <f t="shared" si="2"/>
        <v>2500000</v>
      </c>
      <c r="T9" s="269">
        <f t="shared" si="2"/>
        <v>2500000</v>
      </c>
      <c r="U9" s="269">
        <f t="shared" si="2"/>
        <v>2500000</v>
      </c>
      <c r="V9" s="269">
        <f t="shared" si="2"/>
        <v>2500000</v>
      </c>
      <c r="W9" s="269">
        <f t="shared" si="2"/>
        <v>2500000</v>
      </c>
      <c r="X9" s="269">
        <f t="shared" si="2"/>
        <v>2500000</v>
      </c>
      <c r="Y9" s="269">
        <f t="shared" si="2"/>
        <v>2500000</v>
      </c>
      <c r="Z9" s="269">
        <f t="shared" si="2"/>
        <v>2500000</v>
      </c>
      <c r="AA9" s="269">
        <f t="shared" si="3"/>
        <v>30000000</v>
      </c>
    </row>
    <row r="10" spans="1:27" x14ac:dyDescent="0.25">
      <c r="A10" s="270">
        <v>9</v>
      </c>
      <c r="B10" s="270" t="s">
        <v>191</v>
      </c>
      <c r="C10" s="271" t="s">
        <v>369</v>
      </c>
      <c r="D10" s="271"/>
      <c r="E10" s="271">
        <v>45</v>
      </c>
      <c r="F10" s="271"/>
      <c r="G10" s="272">
        <v>43490</v>
      </c>
      <c r="H10" s="279"/>
      <c r="I10" s="271" t="s">
        <v>370</v>
      </c>
      <c r="J10" s="273">
        <v>6000000</v>
      </c>
      <c r="K10" s="274" t="s">
        <v>371</v>
      </c>
      <c r="L10" s="275"/>
      <c r="M10" s="275"/>
      <c r="N10" s="280" t="s">
        <v>360</v>
      </c>
      <c r="O10" s="177"/>
      <c r="P10" s="177"/>
      <c r="Q10" s="177"/>
      <c r="R10" s="177"/>
      <c r="S10" s="177"/>
      <c r="T10" s="177"/>
    </row>
    <row r="11" spans="1:27" x14ac:dyDescent="0.25">
      <c r="A11" s="262">
        <v>10</v>
      </c>
      <c r="B11" s="262" t="s">
        <v>191</v>
      </c>
      <c r="C11" s="263" t="s">
        <v>372</v>
      </c>
      <c r="D11" s="263"/>
      <c r="E11" s="263">
        <v>42</v>
      </c>
      <c r="F11" s="263"/>
      <c r="G11" s="281">
        <v>43490</v>
      </c>
      <c r="H11" s="281">
        <v>43556</v>
      </c>
      <c r="I11" s="263" t="s">
        <v>373</v>
      </c>
      <c r="J11" s="265">
        <v>2300000</v>
      </c>
      <c r="K11" s="266" t="s">
        <v>371</v>
      </c>
      <c r="L11" s="267"/>
      <c r="M11" s="267"/>
      <c r="N11" s="282"/>
      <c r="O11" s="269">
        <f>$J11/2</f>
        <v>1150000</v>
      </c>
      <c r="P11" s="269">
        <f t="shared" ref="P11:Z11" si="4">$J11/2</f>
        <v>1150000</v>
      </c>
      <c r="Q11" s="269">
        <f t="shared" si="4"/>
        <v>1150000</v>
      </c>
      <c r="R11" s="269">
        <f t="shared" si="4"/>
        <v>1150000</v>
      </c>
      <c r="S11" s="269">
        <f t="shared" si="4"/>
        <v>1150000</v>
      </c>
      <c r="T11" s="269">
        <f t="shared" si="4"/>
        <v>1150000</v>
      </c>
      <c r="U11" s="269">
        <f t="shared" si="4"/>
        <v>1150000</v>
      </c>
      <c r="V11" s="269">
        <f t="shared" si="4"/>
        <v>1150000</v>
      </c>
      <c r="W11" s="269">
        <f t="shared" si="4"/>
        <v>1150000</v>
      </c>
      <c r="X11" s="269">
        <f t="shared" si="4"/>
        <v>1150000</v>
      </c>
      <c r="Y11" s="269">
        <f t="shared" si="4"/>
        <v>1150000</v>
      </c>
      <c r="Z11" s="269">
        <f t="shared" si="4"/>
        <v>1150000</v>
      </c>
      <c r="AA11" s="269">
        <f>SUM(O11:Z11)</f>
        <v>13800000</v>
      </c>
    </row>
    <row r="12" spans="1:27" x14ac:dyDescent="0.25">
      <c r="A12" s="248">
        <v>11</v>
      </c>
      <c r="B12" s="248" t="s">
        <v>191</v>
      </c>
      <c r="C12" s="249" t="s">
        <v>374</v>
      </c>
      <c r="D12" s="249" t="s">
        <v>374</v>
      </c>
      <c r="E12" s="249">
        <v>41</v>
      </c>
      <c r="F12" s="249" t="s">
        <v>375</v>
      </c>
      <c r="G12" s="283">
        <v>43504</v>
      </c>
      <c r="H12" s="283">
        <v>43549</v>
      </c>
      <c r="I12" s="249" t="s">
        <v>376</v>
      </c>
      <c r="J12" s="251">
        <v>8500000</v>
      </c>
      <c r="K12" s="252">
        <v>5000000</v>
      </c>
      <c r="L12" s="253">
        <v>44118</v>
      </c>
      <c r="M12" s="253"/>
      <c r="N12" s="284"/>
      <c r="O12" s="177"/>
      <c r="P12" s="177"/>
      <c r="Q12" s="177"/>
      <c r="R12" s="177"/>
      <c r="S12" s="177"/>
      <c r="T12" s="177"/>
    </row>
    <row r="13" spans="1:27" x14ac:dyDescent="0.25">
      <c r="A13" s="262">
        <v>12</v>
      </c>
      <c r="B13" s="262" t="s">
        <v>191</v>
      </c>
      <c r="C13" s="263" t="s">
        <v>377</v>
      </c>
      <c r="D13" s="263"/>
      <c r="E13" s="263">
        <v>23</v>
      </c>
      <c r="F13" s="263"/>
      <c r="G13" s="281">
        <v>43636</v>
      </c>
      <c r="H13" s="281">
        <v>43692</v>
      </c>
      <c r="I13" s="263" t="s">
        <v>378</v>
      </c>
      <c r="J13" s="265">
        <v>9000000</v>
      </c>
      <c r="K13" s="266">
        <v>2000000</v>
      </c>
      <c r="L13" s="267"/>
      <c r="M13" s="267"/>
      <c r="N13" s="282"/>
      <c r="O13" s="269">
        <f t="shared" ref="O13:Z16" si="5">$J13/2</f>
        <v>4500000</v>
      </c>
      <c r="P13" s="269">
        <f t="shared" si="5"/>
        <v>4500000</v>
      </c>
      <c r="Q13" s="269">
        <f t="shared" si="5"/>
        <v>4500000</v>
      </c>
      <c r="R13" s="269">
        <f t="shared" si="5"/>
        <v>4500000</v>
      </c>
      <c r="S13" s="269">
        <f t="shared" si="5"/>
        <v>4500000</v>
      </c>
      <c r="T13" s="269">
        <f t="shared" si="5"/>
        <v>4500000</v>
      </c>
      <c r="U13" s="269">
        <f t="shared" si="5"/>
        <v>4500000</v>
      </c>
      <c r="V13" s="269">
        <f t="shared" si="5"/>
        <v>4500000</v>
      </c>
      <c r="W13" s="269">
        <f t="shared" si="5"/>
        <v>4500000</v>
      </c>
      <c r="X13" s="269">
        <f t="shared" si="5"/>
        <v>4500000</v>
      </c>
      <c r="Y13" s="269">
        <f t="shared" si="5"/>
        <v>4500000</v>
      </c>
      <c r="Z13" s="269">
        <f t="shared" si="5"/>
        <v>4500000</v>
      </c>
      <c r="AA13" s="269">
        <f t="shared" ref="AA13:AA16" si="6">SUM(O13:Z13)</f>
        <v>54000000</v>
      </c>
    </row>
    <row r="14" spans="1:27" x14ac:dyDescent="0.25">
      <c r="A14" s="262">
        <v>13</v>
      </c>
      <c r="B14" s="262" t="s">
        <v>191</v>
      </c>
      <c r="C14" s="263" t="s">
        <v>379</v>
      </c>
      <c r="D14" s="263"/>
      <c r="E14" s="263">
        <v>41</v>
      </c>
      <c r="F14" s="285"/>
      <c r="G14" s="281">
        <v>43649</v>
      </c>
      <c r="H14" s="281">
        <v>43668</v>
      </c>
      <c r="I14" s="263" t="s">
        <v>380</v>
      </c>
      <c r="J14" s="265">
        <v>11875000</v>
      </c>
      <c r="K14" s="266">
        <v>2000000</v>
      </c>
      <c r="L14" s="267"/>
      <c r="M14" s="267"/>
      <c r="N14" s="282"/>
      <c r="O14" s="269">
        <f t="shared" si="5"/>
        <v>5937500</v>
      </c>
      <c r="P14" s="269">
        <f t="shared" si="5"/>
        <v>5937500</v>
      </c>
      <c r="Q14" s="269">
        <f t="shared" si="5"/>
        <v>5937500</v>
      </c>
      <c r="R14" s="269">
        <f t="shared" si="5"/>
        <v>5937500</v>
      </c>
      <c r="S14" s="269">
        <f t="shared" si="5"/>
        <v>5937500</v>
      </c>
      <c r="T14" s="269">
        <f t="shared" si="5"/>
        <v>5937500</v>
      </c>
      <c r="U14" s="269">
        <f t="shared" si="5"/>
        <v>5937500</v>
      </c>
      <c r="V14" s="269">
        <f t="shared" si="5"/>
        <v>5937500</v>
      </c>
      <c r="W14" s="269">
        <f t="shared" si="5"/>
        <v>5937500</v>
      </c>
      <c r="X14" s="269">
        <f t="shared" si="5"/>
        <v>5937500</v>
      </c>
      <c r="Y14" s="269">
        <f t="shared" si="5"/>
        <v>5937500</v>
      </c>
      <c r="Z14" s="269">
        <f t="shared" si="5"/>
        <v>5937500</v>
      </c>
      <c r="AA14" s="269">
        <f t="shared" si="6"/>
        <v>71250000</v>
      </c>
    </row>
    <row r="15" spans="1:27" x14ac:dyDescent="0.25">
      <c r="A15" s="262">
        <v>14</v>
      </c>
      <c r="B15" s="262" t="s">
        <v>191</v>
      </c>
      <c r="C15" s="263" t="s">
        <v>381</v>
      </c>
      <c r="D15" s="286"/>
      <c r="E15" s="263">
        <v>25</v>
      </c>
      <c r="F15" s="263"/>
      <c r="G15" s="281">
        <v>43656</v>
      </c>
      <c r="H15" s="281">
        <v>43709</v>
      </c>
      <c r="I15" s="263" t="s">
        <v>382</v>
      </c>
      <c r="J15" s="265">
        <v>5000000</v>
      </c>
      <c r="K15" s="266">
        <v>1000000</v>
      </c>
      <c r="L15" s="267"/>
      <c r="M15" s="267"/>
      <c r="N15" s="282"/>
      <c r="O15" s="269">
        <f t="shared" si="5"/>
        <v>2500000</v>
      </c>
      <c r="P15" s="269">
        <f t="shared" si="5"/>
        <v>2500000</v>
      </c>
      <c r="Q15" s="269">
        <f t="shared" si="5"/>
        <v>2500000</v>
      </c>
      <c r="R15" s="269">
        <f t="shared" si="5"/>
        <v>2500000</v>
      </c>
      <c r="S15" s="269">
        <f t="shared" si="5"/>
        <v>2500000</v>
      </c>
      <c r="T15" s="269">
        <f t="shared" si="5"/>
        <v>2500000</v>
      </c>
      <c r="U15" s="269">
        <f t="shared" si="5"/>
        <v>2500000</v>
      </c>
      <c r="V15" s="269">
        <f t="shared" si="5"/>
        <v>2500000</v>
      </c>
      <c r="W15" s="269">
        <f t="shared" si="5"/>
        <v>2500000</v>
      </c>
      <c r="X15" s="269">
        <f t="shared" si="5"/>
        <v>2500000</v>
      </c>
      <c r="Y15" s="269">
        <f t="shared" si="5"/>
        <v>2500000</v>
      </c>
      <c r="Z15" s="269">
        <f t="shared" si="5"/>
        <v>2500000</v>
      </c>
      <c r="AA15" s="269">
        <f t="shared" si="6"/>
        <v>30000000</v>
      </c>
    </row>
    <row r="16" spans="1:27" x14ac:dyDescent="0.25">
      <c r="A16" s="262">
        <v>15</v>
      </c>
      <c r="B16" s="262" t="s">
        <v>191</v>
      </c>
      <c r="C16" s="263" t="s">
        <v>383</v>
      </c>
      <c r="D16" s="263"/>
      <c r="E16" s="263">
        <v>41</v>
      </c>
      <c r="F16" s="263"/>
      <c r="G16" s="281">
        <v>43670</v>
      </c>
      <c r="H16" s="281">
        <v>43705</v>
      </c>
      <c r="I16" s="263" t="s">
        <v>384</v>
      </c>
      <c r="J16" s="265">
        <v>1800000</v>
      </c>
      <c r="K16" s="266">
        <v>1000000</v>
      </c>
      <c r="L16" s="267"/>
      <c r="M16" s="267"/>
      <c r="N16" s="282"/>
      <c r="O16" s="269">
        <f t="shared" si="5"/>
        <v>900000</v>
      </c>
      <c r="P16" s="269">
        <f t="shared" si="5"/>
        <v>900000</v>
      </c>
      <c r="Q16" s="269">
        <f t="shared" si="5"/>
        <v>900000</v>
      </c>
      <c r="R16" s="269">
        <f t="shared" si="5"/>
        <v>900000</v>
      </c>
      <c r="S16" s="269">
        <f t="shared" si="5"/>
        <v>900000</v>
      </c>
      <c r="T16" s="269">
        <f t="shared" si="5"/>
        <v>900000</v>
      </c>
      <c r="U16" s="269">
        <f t="shared" si="5"/>
        <v>900000</v>
      </c>
      <c r="V16" s="269">
        <f t="shared" si="5"/>
        <v>900000</v>
      </c>
      <c r="W16" s="269">
        <f t="shared" si="5"/>
        <v>900000</v>
      </c>
      <c r="X16" s="269">
        <f t="shared" si="5"/>
        <v>900000</v>
      </c>
      <c r="Y16" s="269">
        <f t="shared" si="5"/>
        <v>900000</v>
      </c>
      <c r="Z16" s="269">
        <f t="shared" si="5"/>
        <v>900000</v>
      </c>
      <c r="AA16" s="269">
        <f t="shared" si="6"/>
        <v>10800000</v>
      </c>
    </row>
    <row r="17" spans="1:27" x14ac:dyDescent="0.25">
      <c r="A17" s="270">
        <v>16</v>
      </c>
      <c r="B17" s="270" t="s">
        <v>191</v>
      </c>
      <c r="C17" s="271" t="s">
        <v>385</v>
      </c>
      <c r="D17" s="271"/>
      <c r="E17" s="271">
        <v>38</v>
      </c>
      <c r="F17" s="271"/>
      <c r="G17" s="279">
        <v>43700</v>
      </c>
      <c r="H17" s="279"/>
      <c r="I17" s="271" t="s">
        <v>358</v>
      </c>
      <c r="J17" s="273">
        <v>1300000</v>
      </c>
      <c r="K17" s="274">
        <v>1000000</v>
      </c>
      <c r="L17" s="275"/>
      <c r="M17" s="275"/>
      <c r="N17" s="280" t="s">
        <v>360</v>
      </c>
      <c r="O17" s="177"/>
      <c r="P17" s="177"/>
      <c r="Q17" s="177"/>
      <c r="R17" s="177"/>
      <c r="S17" s="177"/>
      <c r="T17" s="177"/>
    </row>
    <row r="18" spans="1:27" x14ac:dyDescent="0.25">
      <c r="A18" s="255">
        <v>17</v>
      </c>
      <c r="B18" s="255" t="s">
        <v>191</v>
      </c>
      <c r="C18" s="256" t="s">
        <v>386</v>
      </c>
      <c r="D18" s="256"/>
      <c r="E18" s="256">
        <v>20</v>
      </c>
      <c r="F18" s="256"/>
      <c r="G18" s="287">
        <v>43788</v>
      </c>
      <c r="H18" s="287">
        <v>43804</v>
      </c>
      <c r="I18" s="256" t="s">
        <v>249</v>
      </c>
      <c r="J18" s="258">
        <v>3000000</v>
      </c>
      <c r="K18" s="259">
        <v>2000000</v>
      </c>
      <c r="L18" s="260">
        <v>44442</v>
      </c>
      <c r="M18" s="260"/>
      <c r="N18" s="288"/>
      <c r="O18" s="177"/>
      <c r="P18" s="177"/>
      <c r="Q18" s="177"/>
      <c r="R18" s="177"/>
      <c r="S18" s="177"/>
      <c r="T18" s="177"/>
    </row>
    <row r="19" spans="1:27" x14ac:dyDescent="0.25">
      <c r="A19" s="255">
        <v>18</v>
      </c>
      <c r="B19" s="255" t="s">
        <v>191</v>
      </c>
      <c r="C19" s="256" t="s">
        <v>387</v>
      </c>
      <c r="D19" s="256" t="s">
        <v>388</v>
      </c>
      <c r="E19" s="256" t="s">
        <v>389</v>
      </c>
      <c r="F19" s="256"/>
      <c r="G19" s="287">
        <v>43789</v>
      </c>
      <c r="H19" s="287">
        <v>43805</v>
      </c>
      <c r="I19" s="256" t="s">
        <v>390</v>
      </c>
      <c r="J19" s="258">
        <v>20000000</v>
      </c>
      <c r="K19" s="259">
        <v>5000000</v>
      </c>
      <c r="L19" s="260">
        <v>44672</v>
      </c>
      <c r="M19" s="260"/>
      <c r="N19" s="288"/>
      <c r="O19" s="177"/>
      <c r="P19" s="177"/>
      <c r="Q19" s="177"/>
      <c r="R19" s="177"/>
      <c r="S19" s="177"/>
      <c r="T19" s="177"/>
    </row>
    <row r="20" spans="1:27" x14ac:dyDescent="0.25">
      <c r="A20" s="248">
        <v>19</v>
      </c>
      <c r="B20" s="248" t="s">
        <v>191</v>
      </c>
      <c r="C20" s="249" t="s">
        <v>391</v>
      </c>
      <c r="D20" s="249"/>
      <c r="E20" s="249">
        <v>23</v>
      </c>
      <c r="F20" s="249"/>
      <c r="G20" s="283">
        <v>43847</v>
      </c>
      <c r="H20" s="283">
        <v>43867</v>
      </c>
      <c r="I20" s="249" t="s">
        <v>373</v>
      </c>
      <c r="J20" s="251">
        <v>2300000</v>
      </c>
      <c r="K20" s="252">
        <v>1000000</v>
      </c>
      <c r="L20" s="253">
        <v>44032</v>
      </c>
      <c r="M20" s="253"/>
      <c r="N20" s="284"/>
      <c r="O20" s="177"/>
      <c r="P20" s="177"/>
      <c r="Q20" s="177"/>
      <c r="R20" s="177"/>
      <c r="S20" s="177"/>
      <c r="T20" s="177"/>
    </row>
    <row r="21" spans="1:27" ht="15.75" customHeight="1" x14ac:dyDescent="0.25">
      <c r="A21" s="255">
        <v>20</v>
      </c>
      <c r="B21" s="255" t="s">
        <v>191</v>
      </c>
      <c r="C21" s="256" t="s">
        <v>392</v>
      </c>
      <c r="D21" s="256"/>
      <c r="E21" s="256">
        <v>23</v>
      </c>
      <c r="F21" s="256"/>
      <c r="G21" s="287">
        <v>43924</v>
      </c>
      <c r="H21" s="287">
        <v>43927</v>
      </c>
      <c r="I21" s="256" t="s">
        <v>393</v>
      </c>
      <c r="J21" s="258">
        <v>12500000</v>
      </c>
      <c r="K21" s="259">
        <v>0</v>
      </c>
      <c r="L21" s="260"/>
      <c r="M21" s="260"/>
      <c r="N21" s="288"/>
      <c r="O21" s="177"/>
      <c r="P21" s="177"/>
      <c r="Q21" s="177"/>
      <c r="R21" s="177"/>
      <c r="S21" s="177"/>
      <c r="T21" s="177"/>
      <c r="AA21" s="269">
        <f>SUM(O21:Z21)</f>
        <v>0</v>
      </c>
    </row>
    <row r="22" spans="1:27" ht="15.75" customHeight="1" x14ac:dyDescent="0.25">
      <c r="A22" s="255">
        <v>21</v>
      </c>
      <c r="B22" s="255" t="s">
        <v>191</v>
      </c>
      <c r="C22" s="256" t="s">
        <v>394</v>
      </c>
      <c r="D22" s="256" t="s">
        <v>395</v>
      </c>
      <c r="E22" s="256">
        <v>40</v>
      </c>
      <c r="F22" s="256"/>
      <c r="G22" s="287">
        <v>43965</v>
      </c>
      <c r="H22" s="287">
        <v>44004</v>
      </c>
      <c r="I22" s="256" t="s">
        <v>396</v>
      </c>
      <c r="J22" s="258">
        <v>9000000</v>
      </c>
      <c r="K22" s="259">
        <v>0</v>
      </c>
      <c r="L22" s="260">
        <v>44592</v>
      </c>
      <c r="M22" s="260"/>
      <c r="N22" s="288" t="s">
        <v>397</v>
      </c>
      <c r="O22" s="177"/>
      <c r="P22" s="177"/>
      <c r="Q22" s="177"/>
      <c r="R22" s="177"/>
      <c r="S22" s="177"/>
      <c r="T22" s="177"/>
    </row>
    <row r="23" spans="1:27" ht="15.75" customHeight="1" x14ac:dyDescent="0.25">
      <c r="A23" s="255">
        <v>22</v>
      </c>
      <c r="B23" s="255" t="s">
        <v>191</v>
      </c>
      <c r="C23" s="256" t="s">
        <v>398</v>
      </c>
      <c r="D23" s="256" t="s">
        <v>399</v>
      </c>
      <c r="E23" s="256">
        <v>40</v>
      </c>
      <c r="F23" s="256"/>
      <c r="G23" s="287">
        <v>43965</v>
      </c>
      <c r="H23" s="287">
        <v>44004</v>
      </c>
      <c r="I23" s="256" t="s">
        <v>396</v>
      </c>
      <c r="J23" s="258">
        <v>9000000</v>
      </c>
      <c r="K23" s="259">
        <v>0</v>
      </c>
      <c r="L23" s="260"/>
      <c r="M23" s="260"/>
      <c r="N23" s="288"/>
      <c r="O23" s="177"/>
      <c r="P23" s="177"/>
      <c r="Q23" s="177"/>
      <c r="R23" s="177"/>
      <c r="S23" s="177"/>
      <c r="T23" s="177"/>
      <c r="AA23" s="269">
        <f>SUM(O23:Z23)</f>
        <v>0</v>
      </c>
    </row>
    <row r="24" spans="1:27" ht="15.75" customHeight="1" x14ac:dyDescent="0.25">
      <c r="A24" s="255">
        <v>24</v>
      </c>
      <c r="B24" s="255" t="s">
        <v>191</v>
      </c>
      <c r="C24" s="256" t="s">
        <v>400</v>
      </c>
      <c r="D24" s="256"/>
      <c r="E24" s="256">
        <v>29</v>
      </c>
      <c r="F24" s="256"/>
      <c r="G24" s="287">
        <v>44007</v>
      </c>
      <c r="H24" s="287">
        <v>44015</v>
      </c>
      <c r="I24" s="256" t="s">
        <v>373</v>
      </c>
      <c r="J24" s="258">
        <v>2300000</v>
      </c>
      <c r="K24" s="259">
        <v>1000000</v>
      </c>
      <c r="L24" s="260">
        <v>44468</v>
      </c>
      <c r="M24" s="260"/>
      <c r="N24" s="288"/>
      <c r="O24" s="177"/>
      <c r="P24" s="177"/>
      <c r="Q24" s="177"/>
      <c r="R24" s="177"/>
      <c r="S24" s="177"/>
      <c r="T24" s="177"/>
    </row>
    <row r="25" spans="1:27" ht="15.75" customHeight="1" x14ac:dyDescent="0.25">
      <c r="A25" s="255">
        <v>25</v>
      </c>
      <c r="B25" s="255" t="s">
        <v>191</v>
      </c>
      <c r="C25" s="256" t="s">
        <v>359</v>
      </c>
      <c r="D25" s="256"/>
      <c r="E25" s="256">
        <v>25</v>
      </c>
      <c r="F25" s="256"/>
      <c r="G25" s="287">
        <v>44078</v>
      </c>
      <c r="H25" s="287">
        <v>44085</v>
      </c>
      <c r="I25" s="256" t="s">
        <v>249</v>
      </c>
      <c r="J25" s="258">
        <v>3200000</v>
      </c>
      <c r="K25" s="259">
        <v>2000000</v>
      </c>
      <c r="L25" s="260">
        <v>45068</v>
      </c>
      <c r="M25" s="260"/>
      <c r="N25" s="288" t="s">
        <v>401</v>
      </c>
      <c r="O25" s="176">
        <f>$J25/2</f>
        <v>1600000</v>
      </c>
      <c r="P25" s="176">
        <f>$J25/2</f>
        <v>1600000</v>
      </c>
      <c r="Q25" s="176">
        <f>$J25/2</f>
        <v>1600000</v>
      </c>
      <c r="R25" s="176">
        <f>$J25/2</f>
        <v>1600000</v>
      </c>
      <c r="S25" s="176">
        <f>(((22/31)*J25)/2)</f>
        <v>1135483.8709677421</v>
      </c>
    </row>
    <row r="26" spans="1:27" ht="15.75" customHeight="1" x14ac:dyDescent="0.25">
      <c r="A26" s="262">
        <v>26</v>
      </c>
      <c r="B26" s="262" t="s">
        <v>191</v>
      </c>
      <c r="C26" s="263" t="s">
        <v>402</v>
      </c>
      <c r="D26" s="263" t="s">
        <v>403</v>
      </c>
      <c r="E26" s="263">
        <v>41</v>
      </c>
      <c r="F26" s="263"/>
      <c r="G26" s="281">
        <v>44083</v>
      </c>
      <c r="H26" s="281">
        <v>44090</v>
      </c>
      <c r="I26" s="263" t="s">
        <v>249</v>
      </c>
      <c r="J26" s="265">
        <v>4000000</v>
      </c>
      <c r="K26" s="266">
        <v>2000000</v>
      </c>
      <c r="L26" s="267"/>
      <c r="M26" s="267"/>
      <c r="N26" s="282"/>
      <c r="O26" s="269">
        <f t="shared" ref="O26:Z38" si="7">$J26/2</f>
        <v>2000000</v>
      </c>
      <c r="P26" s="269">
        <f t="shared" si="7"/>
        <v>2000000</v>
      </c>
      <c r="Q26" s="269">
        <f t="shared" si="7"/>
        <v>2000000</v>
      </c>
      <c r="R26" s="269">
        <f t="shared" si="7"/>
        <v>2000000</v>
      </c>
      <c r="S26" s="269">
        <f t="shared" si="7"/>
        <v>2000000</v>
      </c>
      <c r="T26" s="269">
        <f t="shared" si="7"/>
        <v>2000000</v>
      </c>
      <c r="U26" s="269">
        <f t="shared" si="7"/>
        <v>2000000</v>
      </c>
      <c r="V26" s="269">
        <f t="shared" si="7"/>
        <v>2000000</v>
      </c>
      <c r="W26" s="269">
        <f t="shared" si="7"/>
        <v>2000000</v>
      </c>
      <c r="X26" s="269">
        <f t="shared" si="7"/>
        <v>2000000</v>
      </c>
      <c r="Y26" s="269">
        <f t="shared" si="7"/>
        <v>2000000</v>
      </c>
      <c r="Z26" s="269">
        <f t="shared" si="7"/>
        <v>2000000</v>
      </c>
      <c r="AA26" s="269">
        <f t="shared" ref="AA26:AA39" si="8">SUM(O26:Z26)</f>
        <v>24000000</v>
      </c>
    </row>
    <row r="27" spans="1:27" ht="15.75" customHeight="1" x14ac:dyDescent="0.25">
      <c r="A27" s="262">
        <v>27</v>
      </c>
      <c r="B27" s="262" t="s">
        <v>191</v>
      </c>
      <c r="C27" s="263" t="s">
        <v>402</v>
      </c>
      <c r="D27" s="263" t="s">
        <v>403</v>
      </c>
      <c r="E27" s="263">
        <v>41</v>
      </c>
      <c r="F27" s="263"/>
      <c r="G27" s="281">
        <v>44083</v>
      </c>
      <c r="H27" s="281">
        <v>44090</v>
      </c>
      <c r="I27" s="263" t="s">
        <v>218</v>
      </c>
      <c r="J27" s="265">
        <v>5500000</v>
      </c>
      <c r="K27" s="266" t="s">
        <v>195</v>
      </c>
      <c r="L27" s="267"/>
      <c r="M27" s="267"/>
      <c r="N27" s="282"/>
      <c r="O27" s="269">
        <f t="shared" si="7"/>
        <v>2750000</v>
      </c>
      <c r="P27" s="269">
        <f t="shared" si="7"/>
        <v>2750000</v>
      </c>
      <c r="Q27" s="269">
        <f t="shared" si="7"/>
        <v>2750000</v>
      </c>
      <c r="R27" s="269">
        <f t="shared" si="7"/>
        <v>2750000</v>
      </c>
      <c r="S27" s="269">
        <f t="shared" si="7"/>
        <v>2750000</v>
      </c>
      <c r="T27" s="269">
        <f t="shared" si="7"/>
        <v>2750000</v>
      </c>
      <c r="U27" s="269">
        <f t="shared" si="7"/>
        <v>2750000</v>
      </c>
      <c r="V27" s="269">
        <f t="shared" si="7"/>
        <v>2750000</v>
      </c>
      <c r="W27" s="269">
        <f t="shared" si="7"/>
        <v>2750000</v>
      </c>
      <c r="X27" s="269">
        <f t="shared" si="7"/>
        <v>2750000</v>
      </c>
      <c r="Y27" s="269">
        <f t="shared" si="7"/>
        <v>2750000</v>
      </c>
      <c r="Z27" s="269">
        <f t="shared" si="7"/>
        <v>2750000</v>
      </c>
      <c r="AA27" s="269">
        <f t="shared" si="8"/>
        <v>33000000</v>
      </c>
    </row>
    <row r="28" spans="1:27" ht="15.75" customHeight="1" x14ac:dyDescent="0.25">
      <c r="A28" s="262">
        <v>28</v>
      </c>
      <c r="B28" s="262" t="s">
        <v>191</v>
      </c>
      <c r="C28" s="263" t="s">
        <v>404</v>
      </c>
      <c r="D28" s="263" t="s">
        <v>405</v>
      </c>
      <c r="E28" s="263">
        <v>22</v>
      </c>
      <c r="F28" s="263"/>
      <c r="G28" s="281">
        <v>44106</v>
      </c>
      <c r="H28" s="264">
        <v>44118</v>
      </c>
      <c r="I28" s="263" t="s">
        <v>308</v>
      </c>
      <c r="J28" s="265">
        <v>4500000</v>
      </c>
      <c r="K28" s="266">
        <v>5000000</v>
      </c>
      <c r="L28" s="267"/>
      <c r="M28" s="267"/>
      <c r="N28" s="282"/>
      <c r="O28" s="269">
        <f t="shared" si="7"/>
        <v>2250000</v>
      </c>
      <c r="P28" s="269">
        <f t="shared" si="7"/>
        <v>2250000</v>
      </c>
      <c r="Q28" s="269">
        <f t="shared" si="7"/>
        <v>2250000</v>
      </c>
      <c r="R28" s="269">
        <f t="shared" si="7"/>
        <v>2250000</v>
      </c>
      <c r="S28" s="269">
        <f t="shared" si="7"/>
        <v>2250000</v>
      </c>
      <c r="T28" s="269">
        <f t="shared" si="7"/>
        <v>2250000</v>
      </c>
      <c r="U28" s="269">
        <f t="shared" si="7"/>
        <v>2250000</v>
      </c>
      <c r="V28" s="269">
        <f t="shared" si="7"/>
        <v>2250000</v>
      </c>
      <c r="W28" s="269">
        <f t="shared" si="7"/>
        <v>2250000</v>
      </c>
      <c r="X28" s="269">
        <f t="shared" si="7"/>
        <v>2250000</v>
      </c>
      <c r="Y28" s="269">
        <f t="shared" si="7"/>
        <v>2250000</v>
      </c>
      <c r="Z28" s="269">
        <f t="shared" si="7"/>
        <v>2250000</v>
      </c>
      <c r="AA28" s="269">
        <f t="shared" si="8"/>
        <v>27000000</v>
      </c>
    </row>
    <row r="29" spans="1:27" ht="15.75" customHeight="1" x14ac:dyDescent="0.25">
      <c r="A29" s="262">
        <v>29</v>
      </c>
      <c r="B29" s="262" t="s">
        <v>191</v>
      </c>
      <c r="C29" s="263" t="s">
        <v>406</v>
      </c>
      <c r="D29" s="263" t="s">
        <v>406</v>
      </c>
      <c r="E29" s="263">
        <v>25</v>
      </c>
      <c r="F29" s="263"/>
      <c r="G29" s="281">
        <v>44155</v>
      </c>
      <c r="H29" s="264">
        <v>44161</v>
      </c>
      <c r="I29" s="263" t="s">
        <v>407</v>
      </c>
      <c r="J29" s="265">
        <v>5500000</v>
      </c>
      <c r="K29" s="266" t="s">
        <v>195</v>
      </c>
      <c r="L29" s="267"/>
      <c r="M29" s="267"/>
      <c r="N29" s="282"/>
      <c r="O29" s="269">
        <f t="shared" si="7"/>
        <v>2750000</v>
      </c>
      <c r="P29" s="269">
        <f t="shared" si="7"/>
        <v>2750000</v>
      </c>
      <c r="Q29" s="269">
        <f t="shared" si="7"/>
        <v>2750000</v>
      </c>
      <c r="R29" s="269">
        <f t="shared" si="7"/>
        <v>2750000</v>
      </c>
      <c r="S29" s="269">
        <f t="shared" si="7"/>
        <v>2750000</v>
      </c>
      <c r="T29" s="269">
        <f t="shared" si="7"/>
        <v>2750000</v>
      </c>
      <c r="U29" s="269">
        <f t="shared" si="7"/>
        <v>2750000</v>
      </c>
      <c r="V29" s="269">
        <f t="shared" si="7"/>
        <v>2750000</v>
      </c>
      <c r="W29" s="269">
        <f t="shared" si="7"/>
        <v>2750000</v>
      </c>
      <c r="X29" s="269">
        <f t="shared" si="7"/>
        <v>2750000</v>
      </c>
      <c r="Y29" s="269">
        <f t="shared" si="7"/>
        <v>2750000</v>
      </c>
      <c r="Z29" s="269">
        <f t="shared" si="7"/>
        <v>2750000</v>
      </c>
      <c r="AA29" s="269">
        <f t="shared" si="8"/>
        <v>33000000</v>
      </c>
    </row>
    <row r="30" spans="1:27" ht="15.75" customHeight="1" x14ac:dyDescent="0.25">
      <c r="A30" s="262">
        <v>30</v>
      </c>
      <c r="B30" s="262" t="s">
        <v>191</v>
      </c>
      <c r="C30" s="263" t="s">
        <v>408</v>
      </c>
      <c r="D30" s="263"/>
      <c r="E30" s="263">
        <v>18</v>
      </c>
      <c r="F30" s="263"/>
      <c r="G30" s="281">
        <v>44208</v>
      </c>
      <c r="H30" s="264">
        <v>44230</v>
      </c>
      <c r="I30" s="263" t="s">
        <v>409</v>
      </c>
      <c r="J30" s="265">
        <v>3000000</v>
      </c>
      <c r="K30" s="266">
        <v>1800000</v>
      </c>
      <c r="L30" s="267"/>
      <c r="M30" s="267"/>
      <c r="N30" s="282"/>
      <c r="O30" s="269">
        <f t="shared" si="7"/>
        <v>1500000</v>
      </c>
      <c r="P30" s="269">
        <f t="shared" si="7"/>
        <v>1500000</v>
      </c>
      <c r="Q30" s="269">
        <f t="shared" si="7"/>
        <v>1500000</v>
      </c>
      <c r="R30" s="269">
        <f t="shared" si="7"/>
        <v>1500000</v>
      </c>
      <c r="S30" s="269">
        <f t="shared" si="7"/>
        <v>1500000</v>
      </c>
      <c r="T30" s="269">
        <f t="shared" si="7"/>
        <v>1500000</v>
      </c>
      <c r="U30" s="269">
        <f t="shared" si="7"/>
        <v>1500000</v>
      </c>
      <c r="V30" s="269">
        <f t="shared" si="7"/>
        <v>1500000</v>
      </c>
      <c r="W30" s="269">
        <f t="shared" si="7"/>
        <v>1500000</v>
      </c>
      <c r="X30" s="269">
        <f t="shared" si="7"/>
        <v>1500000</v>
      </c>
      <c r="Y30" s="269">
        <f t="shared" si="7"/>
        <v>1500000</v>
      </c>
      <c r="Z30" s="269">
        <f t="shared" si="7"/>
        <v>1500000</v>
      </c>
      <c r="AA30" s="269">
        <f t="shared" si="8"/>
        <v>18000000</v>
      </c>
    </row>
    <row r="31" spans="1:27" ht="15.75" customHeight="1" x14ac:dyDescent="0.25">
      <c r="A31" s="262">
        <v>31</v>
      </c>
      <c r="B31" s="262" t="s">
        <v>191</v>
      </c>
      <c r="C31" s="263" t="s">
        <v>410</v>
      </c>
      <c r="D31" s="263"/>
      <c r="E31" s="263">
        <v>23</v>
      </c>
      <c r="F31" s="263" t="s">
        <v>411</v>
      </c>
      <c r="G31" s="264">
        <v>44229</v>
      </c>
      <c r="H31" s="264">
        <v>44237</v>
      </c>
      <c r="I31" s="263" t="s">
        <v>200</v>
      </c>
      <c r="J31" s="265">
        <v>750000</v>
      </c>
      <c r="K31" s="266">
        <v>1500000</v>
      </c>
      <c r="L31" s="263"/>
      <c r="M31" s="267"/>
      <c r="N31" s="282"/>
      <c r="O31" s="269">
        <f t="shared" si="7"/>
        <v>375000</v>
      </c>
      <c r="P31" s="269">
        <f t="shared" si="7"/>
        <v>375000</v>
      </c>
      <c r="Q31" s="269">
        <f t="shared" si="7"/>
        <v>375000</v>
      </c>
      <c r="R31" s="269">
        <f t="shared" si="7"/>
        <v>375000</v>
      </c>
      <c r="S31" s="269">
        <f t="shared" si="7"/>
        <v>375000</v>
      </c>
      <c r="T31" s="269">
        <f t="shared" si="7"/>
        <v>375000</v>
      </c>
      <c r="U31" s="269">
        <f t="shared" si="7"/>
        <v>375000</v>
      </c>
      <c r="V31" s="269">
        <f t="shared" si="7"/>
        <v>375000</v>
      </c>
      <c r="W31" s="269">
        <f t="shared" si="7"/>
        <v>375000</v>
      </c>
      <c r="X31" s="269">
        <f t="shared" si="7"/>
        <v>375000</v>
      </c>
      <c r="Y31" s="269">
        <f t="shared" si="7"/>
        <v>375000</v>
      </c>
      <c r="Z31" s="269">
        <f t="shared" si="7"/>
        <v>375000</v>
      </c>
      <c r="AA31" s="269">
        <f t="shared" si="8"/>
        <v>4500000</v>
      </c>
    </row>
    <row r="32" spans="1:27" ht="15.75" customHeight="1" x14ac:dyDescent="0.25">
      <c r="A32" s="262">
        <v>32</v>
      </c>
      <c r="B32" s="262" t="s">
        <v>326</v>
      </c>
      <c r="C32" s="263" t="s">
        <v>412</v>
      </c>
      <c r="D32" s="263"/>
      <c r="E32" s="263">
        <v>32</v>
      </c>
      <c r="F32" s="263"/>
      <c r="G32" s="264">
        <v>44309</v>
      </c>
      <c r="H32" s="264">
        <v>44354</v>
      </c>
      <c r="I32" s="263" t="s">
        <v>413</v>
      </c>
      <c r="J32" s="265">
        <v>46000000</v>
      </c>
      <c r="K32" s="266">
        <v>11000000</v>
      </c>
      <c r="L32" s="267"/>
      <c r="M32" s="267"/>
      <c r="N32" s="282"/>
      <c r="O32" s="269">
        <f t="shared" si="7"/>
        <v>23000000</v>
      </c>
      <c r="P32" s="269">
        <f t="shared" si="7"/>
        <v>23000000</v>
      </c>
      <c r="Q32" s="269">
        <f t="shared" si="7"/>
        <v>23000000</v>
      </c>
      <c r="R32" s="269">
        <f t="shared" si="7"/>
        <v>23000000</v>
      </c>
      <c r="S32" s="269">
        <f t="shared" si="7"/>
        <v>23000000</v>
      </c>
      <c r="T32" s="269">
        <f t="shared" si="7"/>
        <v>23000000</v>
      </c>
      <c r="U32" s="269">
        <f t="shared" si="7"/>
        <v>23000000</v>
      </c>
      <c r="V32" s="269">
        <f t="shared" si="7"/>
        <v>23000000</v>
      </c>
      <c r="W32" s="269">
        <f t="shared" si="7"/>
        <v>23000000</v>
      </c>
      <c r="X32" s="269">
        <f t="shared" si="7"/>
        <v>23000000</v>
      </c>
      <c r="Y32" s="269">
        <f t="shared" si="7"/>
        <v>23000000</v>
      </c>
      <c r="Z32" s="269">
        <f t="shared" si="7"/>
        <v>23000000</v>
      </c>
      <c r="AA32" s="269">
        <f t="shared" si="8"/>
        <v>276000000</v>
      </c>
    </row>
    <row r="33" spans="1:27" ht="15.75" customHeight="1" x14ac:dyDescent="0.25">
      <c r="A33" s="262">
        <v>33</v>
      </c>
      <c r="B33" s="262" t="s">
        <v>191</v>
      </c>
      <c r="C33" s="263" t="s">
        <v>414</v>
      </c>
      <c r="D33" s="263"/>
      <c r="E33" s="263">
        <v>41</v>
      </c>
      <c r="F33" s="263"/>
      <c r="G33" s="264">
        <v>44320</v>
      </c>
      <c r="H33" s="264">
        <v>44323</v>
      </c>
      <c r="I33" s="263" t="s">
        <v>370</v>
      </c>
      <c r="J33" s="265">
        <v>5000000</v>
      </c>
      <c r="K33" s="266" t="s">
        <v>195</v>
      </c>
      <c r="L33" s="267"/>
      <c r="M33" s="267"/>
      <c r="N33" s="282"/>
      <c r="O33" s="269">
        <f t="shared" si="7"/>
        <v>2500000</v>
      </c>
      <c r="P33" s="269">
        <f t="shared" si="7"/>
        <v>2500000</v>
      </c>
      <c r="Q33" s="269">
        <f t="shared" si="7"/>
        <v>2500000</v>
      </c>
      <c r="R33" s="269">
        <f t="shared" si="7"/>
        <v>2500000</v>
      </c>
      <c r="S33" s="269">
        <f t="shared" si="7"/>
        <v>2500000</v>
      </c>
      <c r="T33" s="269">
        <f t="shared" si="7"/>
        <v>2500000</v>
      </c>
      <c r="U33" s="269">
        <f t="shared" si="7"/>
        <v>2500000</v>
      </c>
      <c r="V33" s="269">
        <f t="shared" si="7"/>
        <v>2500000</v>
      </c>
      <c r="W33" s="269">
        <f t="shared" si="7"/>
        <v>2500000</v>
      </c>
      <c r="X33" s="269">
        <f t="shared" si="7"/>
        <v>2500000</v>
      </c>
      <c r="Y33" s="269">
        <f t="shared" si="7"/>
        <v>2500000</v>
      </c>
      <c r="Z33" s="269">
        <f t="shared" si="7"/>
        <v>2500000</v>
      </c>
      <c r="AA33" s="269">
        <f t="shared" si="8"/>
        <v>30000000</v>
      </c>
    </row>
    <row r="34" spans="1:27" ht="15.75" customHeight="1" x14ac:dyDescent="0.25">
      <c r="A34" s="262">
        <v>34</v>
      </c>
      <c r="B34" s="262" t="s">
        <v>191</v>
      </c>
      <c r="C34" s="289" t="s">
        <v>415</v>
      </c>
      <c r="D34" s="289"/>
      <c r="E34" s="289">
        <v>39</v>
      </c>
      <c r="F34" s="289"/>
      <c r="G34" s="290">
        <v>44349</v>
      </c>
      <c r="H34" s="290">
        <v>44412</v>
      </c>
      <c r="I34" s="289" t="s">
        <v>416</v>
      </c>
      <c r="J34" s="291">
        <v>2750000</v>
      </c>
      <c r="K34" s="292">
        <v>2000000</v>
      </c>
      <c r="L34" s="267"/>
      <c r="M34" s="267"/>
      <c r="N34" s="282"/>
      <c r="O34" s="269">
        <f t="shared" si="7"/>
        <v>1375000</v>
      </c>
      <c r="P34" s="269">
        <f t="shared" si="7"/>
        <v>1375000</v>
      </c>
      <c r="Q34" s="269">
        <f t="shared" si="7"/>
        <v>1375000</v>
      </c>
      <c r="R34" s="269">
        <f t="shared" si="7"/>
        <v>1375000</v>
      </c>
      <c r="S34" s="269">
        <f t="shared" si="7"/>
        <v>1375000</v>
      </c>
      <c r="T34" s="269">
        <f t="shared" si="7"/>
        <v>1375000</v>
      </c>
      <c r="U34" s="269">
        <f t="shared" si="7"/>
        <v>1375000</v>
      </c>
      <c r="V34" s="269">
        <f t="shared" si="7"/>
        <v>1375000</v>
      </c>
      <c r="W34" s="269">
        <f t="shared" si="7"/>
        <v>1375000</v>
      </c>
      <c r="X34" s="269">
        <f t="shared" si="7"/>
        <v>1375000</v>
      </c>
      <c r="Y34" s="269">
        <f t="shared" si="7"/>
        <v>1375000</v>
      </c>
      <c r="Z34" s="269">
        <f t="shared" si="7"/>
        <v>1375000</v>
      </c>
      <c r="AA34" s="269">
        <f t="shared" si="8"/>
        <v>16500000</v>
      </c>
    </row>
    <row r="35" spans="1:27" ht="15.75" customHeight="1" x14ac:dyDescent="0.25">
      <c r="A35" s="262">
        <v>35</v>
      </c>
      <c r="B35" s="262" t="s">
        <v>191</v>
      </c>
      <c r="C35" s="289" t="s">
        <v>392</v>
      </c>
      <c r="D35" s="289"/>
      <c r="E35" s="289">
        <v>23</v>
      </c>
      <c r="F35" s="289"/>
      <c r="G35" s="290">
        <v>44734</v>
      </c>
      <c r="H35" s="290">
        <v>44739</v>
      </c>
      <c r="I35" s="263" t="s">
        <v>417</v>
      </c>
      <c r="J35" s="291">
        <v>10000000</v>
      </c>
      <c r="K35" s="292">
        <v>2000000</v>
      </c>
      <c r="L35" s="267"/>
      <c r="M35" s="267"/>
      <c r="N35" s="282"/>
      <c r="O35" s="269">
        <f t="shared" si="7"/>
        <v>5000000</v>
      </c>
      <c r="P35" s="269">
        <f t="shared" si="7"/>
        <v>5000000</v>
      </c>
      <c r="Q35" s="269">
        <f t="shared" si="7"/>
        <v>5000000</v>
      </c>
      <c r="R35" s="269">
        <f t="shared" si="7"/>
        <v>5000000</v>
      </c>
      <c r="S35" s="269">
        <f t="shared" si="7"/>
        <v>5000000</v>
      </c>
      <c r="T35" s="269">
        <f t="shared" si="7"/>
        <v>5000000</v>
      </c>
      <c r="U35" s="269">
        <f t="shared" si="7"/>
        <v>5000000</v>
      </c>
      <c r="V35" s="269">
        <f t="shared" si="7"/>
        <v>5000000</v>
      </c>
      <c r="W35" s="269">
        <f t="shared" si="7"/>
        <v>5000000</v>
      </c>
      <c r="X35" s="269">
        <f t="shared" si="7"/>
        <v>5000000</v>
      </c>
      <c r="Y35" s="269">
        <f t="shared" si="7"/>
        <v>5000000</v>
      </c>
      <c r="Z35" s="269">
        <f t="shared" si="7"/>
        <v>5000000</v>
      </c>
      <c r="AA35" s="269">
        <f t="shared" si="8"/>
        <v>60000000</v>
      </c>
    </row>
    <row r="36" spans="1:27" ht="15.75" customHeight="1" x14ac:dyDescent="0.25">
      <c r="A36" s="262">
        <v>36</v>
      </c>
      <c r="B36" s="262" t="s">
        <v>191</v>
      </c>
      <c r="C36" s="289" t="s">
        <v>418</v>
      </c>
      <c r="D36" s="289"/>
      <c r="E36" s="289">
        <v>18</v>
      </c>
      <c r="F36" s="289"/>
      <c r="G36" s="290">
        <v>44393</v>
      </c>
      <c r="H36" s="290">
        <v>44427</v>
      </c>
      <c r="I36" s="263" t="s">
        <v>308</v>
      </c>
      <c r="J36" s="265">
        <v>4500000</v>
      </c>
      <c r="K36" s="266">
        <v>5000000</v>
      </c>
      <c r="L36" s="293"/>
      <c r="M36" s="293"/>
      <c r="N36" s="294"/>
      <c r="O36" s="269">
        <f t="shared" si="7"/>
        <v>2250000</v>
      </c>
      <c r="P36" s="269">
        <f t="shared" si="7"/>
        <v>2250000</v>
      </c>
      <c r="Q36" s="269">
        <f t="shared" si="7"/>
        <v>2250000</v>
      </c>
      <c r="R36" s="269">
        <f t="shared" si="7"/>
        <v>2250000</v>
      </c>
      <c r="S36" s="269">
        <f t="shared" si="7"/>
        <v>2250000</v>
      </c>
      <c r="T36" s="269">
        <f t="shared" si="7"/>
        <v>2250000</v>
      </c>
      <c r="U36" s="269">
        <f t="shared" si="7"/>
        <v>2250000</v>
      </c>
      <c r="V36" s="269">
        <f t="shared" si="7"/>
        <v>2250000</v>
      </c>
      <c r="W36" s="269">
        <f t="shared" si="7"/>
        <v>2250000</v>
      </c>
      <c r="X36" s="269">
        <f t="shared" si="7"/>
        <v>2250000</v>
      </c>
      <c r="Y36" s="269">
        <f t="shared" si="7"/>
        <v>2250000</v>
      </c>
      <c r="Z36" s="269">
        <f t="shared" si="7"/>
        <v>2250000</v>
      </c>
      <c r="AA36" s="269">
        <f t="shared" si="8"/>
        <v>27000000</v>
      </c>
    </row>
    <row r="37" spans="1:27" ht="15.75" customHeight="1" x14ac:dyDescent="0.25">
      <c r="A37" s="262">
        <v>37</v>
      </c>
      <c r="B37" s="262" t="s">
        <v>191</v>
      </c>
      <c r="C37" s="289" t="s">
        <v>418</v>
      </c>
      <c r="D37" s="289"/>
      <c r="E37" s="289">
        <v>18</v>
      </c>
      <c r="F37" s="289"/>
      <c r="G37" s="295">
        <v>44396</v>
      </c>
      <c r="H37" s="290">
        <v>44414</v>
      </c>
      <c r="I37" s="263" t="s">
        <v>419</v>
      </c>
      <c r="J37" s="291">
        <v>4000000</v>
      </c>
      <c r="K37" s="292">
        <v>2000000</v>
      </c>
      <c r="L37" s="293"/>
      <c r="M37" s="293"/>
      <c r="N37" s="294"/>
      <c r="O37" s="269">
        <f t="shared" si="7"/>
        <v>2000000</v>
      </c>
      <c r="P37" s="269">
        <f t="shared" si="7"/>
        <v>2000000</v>
      </c>
      <c r="Q37" s="269">
        <f t="shared" si="7"/>
        <v>2000000</v>
      </c>
      <c r="R37" s="269">
        <f t="shared" si="7"/>
        <v>2000000</v>
      </c>
      <c r="S37" s="269">
        <f t="shared" si="7"/>
        <v>2000000</v>
      </c>
      <c r="T37" s="269">
        <f t="shared" si="7"/>
        <v>2000000</v>
      </c>
      <c r="U37" s="269">
        <f t="shared" si="7"/>
        <v>2000000</v>
      </c>
      <c r="V37" s="269">
        <f t="shared" si="7"/>
        <v>2000000</v>
      </c>
      <c r="W37" s="269">
        <f t="shared" si="7"/>
        <v>2000000</v>
      </c>
      <c r="X37" s="269">
        <f t="shared" si="7"/>
        <v>2000000</v>
      </c>
      <c r="Y37" s="269">
        <f t="shared" si="7"/>
        <v>2000000</v>
      </c>
      <c r="Z37" s="269">
        <f t="shared" si="7"/>
        <v>2000000</v>
      </c>
      <c r="AA37" s="269">
        <f t="shared" si="8"/>
        <v>24000000</v>
      </c>
    </row>
    <row r="38" spans="1:27" ht="15.75" customHeight="1" x14ac:dyDescent="0.25">
      <c r="A38" s="262">
        <v>38</v>
      </c>
      <c r="B38" s="262" t="s">
        <v>191</v>
      </c>
      <c r="C38" s="289" t="s">
        <v>418</v>
      </c>
      <c r="D38" s="289"/>
      <c r="E38" s="289">
        <v>18</v>
      </c>
      <c r="F38" s="289"/>
      <c r="G38" s="295">
        <v>44477</v>
      </c>
      <c r="H38" s="290">
        <v>44479</v>
      </c>
      <c r="I38" s="289" t="s">
        <v>420</v>
      </c>
      <c r="J38" s="291">
        <v>1000000</v>
      </c>
      <c r="K38" s="292">
        <v>2000000</v>
      </c>
      <c r="L38" s="293"/>
      <c r="M38" s="293"/>
      <c r="N38" s="294"/>
      <c r="O38" s="269">
        <f t="shared" si="7"/>
        <v>500000</v>
      </c>
      <c r="P38" s="269">
        <f t="shared" si="7"/>
        <v>500000</v>
      </c>
      <c r="Q38" s="269">
        <f t="shared" si="7"/>
        <v>500000</v>
      </c>
      <c r="R38" s="269">
        <f t="shared" si="7"/>
        <v>500000</v>
      </c>
      <c r="S38" s="269">
        <f t="shared" si="7"/>
        <v>500000</v>
      </c>
      <c r="T38" s="269">
        <f t="shared" si="7"/>
        <v>500000</v>
      </c>
      <c r="U38" s="269">
        <f t="shared" si="7"/>
        <v>500000</v>
      </c>
      <c r="V38" s="269">
        <f t="shared" si="7"/>
        <v>500000</v>
      </c>
      <c r="W38" s="269">
        <f t="shared" si="7"/>
        <v>500000</v>
      </c>
      <c r="X38" s="269">
        <f t="shared" si="7"/>
        <v>500000</v>
      </c>
      <c r="Y38" s="269">
        <f t="shared" si="7"/>
        <v>500000</v>
      </c>
      <c r="Z38" s="269">
        <f t="shared" si="7"/>
        <v>500000</v>
      </c>
      <c r="AA38" s="269">
        <f t="shared" si="8"/>
        <v>6000000</v>
      </c>
    </row>
    <row r="39" spans="1:27" ht="15.75" customHeight="1" x14ac:dyDescent="0.25">
      <c r="A39" s="255">
        <v>39</v>
      </c>
      <c r="B39" s="255" t="s">
        <v>191</v>
      </c>
      <c r="C39" s="256" t="s">
        <v>421</v>
      </c>
      <c r="D39" s="296"/>
      <c r="E39" s="296">
        <v>43</v>
      </c>
      <c r="F39" s="296"/>
      <c r="G39" s="297">
        <v>44490</v>
      </c>
      <c r="H39" s="298">
        <v>44493</v>
      </c>
      <c r="I39" s="256" t="s">
        <v>422</v>
      </c>
      <c r="J39" s="299">
        <v>44000000</v>
      </c>
      <c r="K39" s="300" t="s">
        <v>195</v>
      </c>
      <c r="L39" s="301"/>
      <c r="M39" s="301"/>
      <c r="N39" s="302" t="s">
        <v>423</v>
      </c>
      <c r="O39" s="177"/>
      <c r="P39" s="177"/>
      <c r="Q39" s="177"/>
      <c r="R39" s="177"/>
      <c r="S39" s="177"/>
      <c r="T39" s="177"/>
      <c r="AA39" s="269">
        <f t="shared" si="8"/>
        <v>0</v>
      </c>
    </row>
    <row r="40" spans="1:27" ht="15.75" customHeight="1" x14ac:dyDescent="0.25">
      <c r="A40" s="262">
        <v>40</v>
      </c>
      <c r="B40" s="262" t="s">
        <v>326</v>
      </c>
      <c r="C40" s="263" t="s">
        <v>424</v>
      </c>
      <c r="D40" s="289"/>
      <c r="E40" s="289">
        <v>40</v>
      </c>
      <c r="F40" s="289"/>
      <c r="G40" s="295">
        <v>44553</v>
      </c>
      <c r="H40" s="290">
        <v>44585</v>
      </c>
      <c r="I40" s="289" t="s">
        <v>425</v>
      </c>
      <c r="J40" s="291">
        <v>16800000</v>
      </c>
      <c r="K40" s="292">
        <v>2000000</v>
      </c>
      <c r="L40" s="293" t="s">
        <v>426</v>
      </c>
      <c r="M40" s="293"/>
      <c r="N40" s="294" t="s">
        <v>427</v>
      </c>
      <c r="O40" s="177"/>
      <c r="P40" s="177"/>
      <c r="Q40" s="177"/>
      <c r="R40" s="177"/>
      <c r="S40" s="177"/>
      <c r="T40" s="177"/>
    </row>
    <row r="41" spans="1:27" ht="15.75" customHeight="1" x14ac:dyDescent="0.25">
      <c r="A41" s="255">
        <v>41</v>
      </c>
      <c r="B41" s="255" t="s">
        <v>191</v>
      </c>
      <c r="C41" s="256" t="s">
        <v>428</v>
      </c>
      <c r="D41" s="296"/>
      <c r="E41" s="296">
        <v>29</v>
      </c>
      <c r="F41" s="296" t="s">
        <v>429</v>
      </c>
      <c r="G41" s="297" t="s">
        <v>195</v>
      </c>
      <c r="H41" s="298">
        <v>44492</v>
      </c>
      <c r="I41" s="256" t="s">
        <v>373</v>
      </c>
      <c r="J41" s="258">
        <v>2300000</v>
      </c>
      <c r="K41" s="259">
        <v>1000000</v>
      </c>
      <c r="L41" s="301">
        <v>44895</v>
      </c>
      <c r="M41" s="301"/>
      <c r="N41" s="302"/>
      <c r="O41" s="177"/>
      <c r="P41" s="177"/>
      <c r="Q41" s="177"/>
      <c r="R41" s="177"/>
      <c r="S41" s="177"/>
      <c r="T41" s="177"/>
    </row>
    <row r="42" spans="1:27" ht="15.75" customHeight="1" x14ac:dyDescent="0.25">
      <c r="A42" s="262">
        <v>42</v>
      </c>
      <c r="B42" s="303" t="s">
        <v>191</v>
      </c>
      <c r="C42" s="304" t="s">
        <v>430</v>
      </c>
      <c r="D42" s="304"/>
      <c r="E42" s="304">
        <v>7</v>
      </c>
      <c r="F42" s="304"/>
      <c r="G42" s="305"/>
      <c r="H42" s="306">
        <v>44680</v>
      </c>
      <c r="I42" s="263" t="s">
        <v>431</v>
      </c>
      <c r="J42" s="307">
        <v>2200000</v>
      </c>
      <c r="K42" s="308">
        <v>1500000</v>
      </c>
      <c r="L42" s="309"/>
      <c r="M42" s="309"/>
      <c r="N42" s="310"/>
      <c r="O42" s="269">
        <f t="shared" ref="O42:Z44" si="9">$J42/2</f>
        <v>1100000</v>
      </c>
      <c r="P42" s="269">
        <f t="shared" si="9"/>
        <v>1100000</v>
      </c>
      <c r="Q42" s="269">
        <f t="shared" si="9"/>
        <v>1100000</v>
      </c>
      <c r="R42" s="269">
        <f t="shared" si="9"/>
        <v>1100000</v>
      </c>
      <c r="S42" s="269">
        <f t="shared" si="9"/>
        <v>1100000</v>
      </c>
      <c r="T42" s="269">
        <f t="shared" si="9"/>
        <v>1100000</v>
      </c>
      <c r="U42" s="269">
        <f t="shared" si="9"/>
        <v>1100000</v>
      </c>
      <c r="V42" s="269">
        <f t="shared" si="9"/>
        <v>1100000</v>
      </c>
      <c r="W42" s="269">
        <f t="shared" si="9"/>
        <v>1100000</v>
      </c>
      <c r="X42" s="269">
        <f t="shared" si="9"/>
        <v>1100000</v>
      </c>
      <c r="Y42" s="269">
        <f t="shared" si="9"/>
        <v>1100000</v>
      </c>
      <c r="Z42" s="269">
        <f t="shared" si="9"/>
        <v>1100000</v>
      </c>
      <c r="AA42" s="269">
        <f t="shared" ref="AA42:AA44" si="10">SUM(O42:Z42)</f>
        <v>13200000</v>
      </c>
    </row>
    <row r="43" spans="1:27" ht="15.75" customHeight="1" x14ac:dyDescent="0.25">
      <c r="A43" s="262">
        <v>43</v>
      </c>
      <c r="B43" s="303" t="s">
        <v>191</v>
      </c>
      <c r="C43" s="289" t="s">
        <v>432</v>
      </c>
      <c r="D43" s="289"/>
      <c r="E43" s="289">
        <v>20</v>
      </c>
      <c r="F43" s="289"/>
      <c r="G43" s="295" t="s">
        <v>433</v>
      </c>
      <c r="H43" s="290">
        <v>44762</v>
      </c>
      <c r="I43" s="263" t="s">
        <v>200</v>
      </c>
      <c r="J43" s="265">
        <v>750000</v>
      </c>
      <c r="K43" s="266">
        <v>1000000</v>
      </c>
      <c r="L43" s="293"/>
      <c r="M43" s="293"/>
      <c r="N43" s="294"/>
      <c r="O43" s="269">
        <f t="shared" si="9"/>
        <v>375000</v>
      </c>
      <c r="P43" s="269">
        <f t="shared" si="9"/>
        <v>375000</v>
      </c>
      <c r="Q43" s="269">
        <f t="shared" si="9"/>
        <v>375000</v>
      </c>
      <c r="R43" s="269">
        <f t="shared" si="9"/>
        <v>375000</v>
      </c>
      <c r="S43" s="269">
        <f t="shared" si="9"/>
        <v>375000</v>
      </c>
      <c r="T43" s="269">
        <f t="shared" si="9"/>
        <v>375000</v>
      </c>
      <c r="U43" s="269">
        <f t="shared" si="9"/>
        <v>375000</v>
      </c>
      <c r="V43" s="269">
        <f t="shared" si="9"/>
        <v>375000</v>
      </c>
      <c r="W43" s="269">
        <f t="shared" si="9"/>
        <v>375000</v>
      </c>
      <c r="X43" s="269">
        <f t="shared" si="9"/>
        <v>375000</v>
      </c>
      <c r="Y43" s="269">
        <f t="shared" si="9"/>
        <v>375000</v>
      </c>
      <c r="Z43" s="269">
        <f t="shared" si="9"/>
        <v>375000</v>
      </c>
      <c r="AA43" s="269">
        <f t="shared" si="10"/>
        <v>4500000</v>
      </c>
    </row>
    <row r="44" spans="1:27" ht="15.75" customHeight="1" x14ac:dyDescent="0.25">
      <c r="A44" s="262">
        <v>44</v>
      </c>
      <c r="B44" s="303" t="s">
        <v>326</v>
      </c>
      <c r="C44" s="289" t="s">
        <v>434</v>
      </c>
      <c r="D44" s="289"/>
      <c r="E44" s="289">
        <v>18</v>
      </c>
      <c r="F44" s="289"/>
      <c r="G44" s="295">
        <v>44762</v>
      </c>
      <c r="H44" s="290">
        <v>44778</v>
      </c>
      <c r="I44" s="263" t="s">
        <v>435</v>
      </c>
      <c r="J44" s="291">
        <v>12000000</v>
      </c>
      <c r="K44" s="292">
        <v>5000000</v>
      </c>
      <c r="L44" s="293"/>
      <c r="M44" s="293"/>
      <c r="N44" s="294"/>
      <c r="O44" s="269">
        <f t="shared" si="9"/>
        <v>6000000</v>
      </c>
      <c r="P44" s="269">
        <f t="shared" si="9"/>
        <v>6000000</v>
      </c>
      <c r="Q44" s="269">
        <f t="shared" si="9"/>
        <v>6000000</v>
      </c>
      <c r="R44" s="269">
        <f t="shared" si="9"/>
        <v>6000000</v>
      </c>
      <c r="S44" s="269">
        <f t="shared" si="9"/>
        <v>6000000</v>
      </c>
      <c r="T44" s="269">
        <f t="shared" si="9"/>
        <v>6000000</v>
      </c>
      <c r="U44" s="269">
        <f t="shared" si="9"/>
        <v>6000000</v>
      </c>
      <c r="V44" s="269">
        <f t="shared" si="9"/>
        <v>6000000</v>
      </c>
      <c r="W44" s="269">
        <f t="shared" si="9"/>
        <v>6000000</v>
      </c>
      <c r="X44" s="269">
        <f t="shared" si="9"/>
        <v>6000000</v>
      </c>
      <c r="Y44" s="269">
        <f t="shared" si="9"/>
        <v>6000000</v>
      </c>
      <c r="Z44" s="269">
        <f t="shared" si="9"/>
        <v>6000000</v>
      </c>
      <c r="AA44" s="269">
        <f t="shared" si="10"/>
        <v>72000000</v>
      </c>
    </row>
    <row r="45" spans="1:27" ht="15.75" customHeight="1" x14ac:dyDescent="0.25">
      <c r="A45" s="262">
        <v>45</v>
      </c>
      <c r="B45" s="303" t="s">
        <v>191</v>
      </c>
      <c r="C45" s="263" t="s">
        <v>436</v>
      </c>
      <c r="D45" s="289"/>
      <c r="E45" s="289">
        <v>25</v>
      </c>
      <c r="F45" s="289"/>
      <c r="G45" s="295">
        <v>44774</v>
      </c>
      <c r="H45" s="281" t="s">
        <v>322</v>
      </c>
      <c r="I45" s="263" t="s">
        <v>437</v>
      </c>
      <c r="J45" s="291">
        <v>7000000</v>
      </c>
      <c r="K45" s="292">
        <v>2000000</v>
      </c>
      <c r="L45" s="293"/>
      <c r="M45" s="293"/>
      <c r="N45" s="294"/>
      <c r="O45" s="177"/>
      <c r="P45" s="177"/>
      <c r="Q45" s="177"/>
      <c r="R45" s="177"/>
      <c r="S45" s="177"/>
      <c r="T45" s="177"/>
    </row>
    <row r="46" spans="1:27" ht="15.75" customHeight="1" x14ac:dyDescent="0.25">
      <c r="A46" s="262">
        <v>46</v>
      </c>
      <c r="B46" s="303" t="s">
        <v>191</v>
      </c>
      <c r="C46" s="289" t="s">
        <v>438</v>
      </c>
      <c r="D46" s="289"/>
      <c r="E46" s="289">
        <v>19</v>
      </c>
      <c r="F46" s="289"/>
      <c r="G46" s="295">
        <v>44783</v>
      </c>
      <c r="H46" s="281">
        <v>44791</v>
      </c>
      <c r="I46" s="263" t="s">
        <v>422</v>
      </c>
      <c r="J46" s="291">
        <v>4000000</v>
      </c>
      <c r="K46" s="292">
        <v>3000000</v>
      </c>
      <c r="L46" s="293"/>
      <c r="M46" s="293"/>
      <c r="N46" s="294"/>
      <c r="O46" s="269">
        <f t="shared" ref="O46:Z51" si="11">$J46/2</f>
        <v>2000000</v>
      </c>
      <c r="P46" s="269">
        <f t="shared" si="11"/>
        <v>2000000</v>
      </c>
      <c r="Q46" s="269">
        <f t="shared" si="11"/>
        <v>2000000</v>
      </c>
      <c r="R46" s="269">
        <f t="shared" si="11"/>
        <v>2000000</v>
      </c>
      <c r="S46" s="269">
        <f t="shared" si="11"/>
        <v>2000000</v>
      </c>
      <c r="T46" s="269">
        <f t="shared" si="11"/>
        <v>2000000</v>
      </c>
      <c r="U46" s="269">
        <f t="shared" si="11"/>
        <v>2000000</v>
      </c>
      <c r="V46" s="269">
        <f t="shared" si="11"/>
        <v>2000000</v>
      </c>
      <c r="W46" s="269">
        <f t="shared" si="11"/>
        <v>2000000</v>
      </c>
      <c r="X46" s="269">
        <f t="shared" si="11"/>
        <v>2000000</v>
      </c>
      <c r="Y46" s="269">
        <f t="shared" si="11"/>
        <v>2000000</v>
      </c>
      <c r="Z46" s="269">
        <f t="shared" si="11"/>
        <v>2000000</v>
      </c>
      <c r="AA46" s="269">
        <f t="shared" ref="AA46:AA47" si="12">SUM(O46:Z46)</f>
        <v>24000000</v>
      </c>
    </row>
    <row r="47" spans="1:27" ht="15.75" customHeight="1" x14ac:dyDescent="0.25">
      <c r="A47" s="262">
        <v>47</v>
      </c>
      <c r="B47" s="311" t="s">
        <v>191</v>
      </c>
      <c r="C47" s="312" t="s">
        <v>439</v>
      </c>
      <c r="D47" s="312"/>
      <c r="E47" s="312">
        <v>27</v>
      </c>
      <c r="F47" s="312"/>
      <c r="G47" s="313">
        <v>44886</v>
      </c>
      <c r="H47" s="313">
        <v>44890</v>
      </c>
      <c r="I47" s="263" t="s">
        <v>358</v>
      </c>
      <c r="J47" s="314">
        <v>1300000</v>
      </c>
      <c r="K47" s="266">
        <v>1000000</v>
      </c>
      <c r="L47" s="293"/>
      <c r="M47" s="293"/>
      <c r="N47" s="294"/>
      <c r="O47" s="269">
        <f t="shared" si="11"/>
        <v>650000</v>
      </c>
      <c r="P47" s="269">
        <f t="shared" si="11"/>
        <v>650000</v>
      </c>
      <c r="Q47" s="269">
        <f t="shared" si="11"/>
        <v>650000</v>
      </c>
      <c r="R47" s="269">
        <f t="shared" si="11"/>
        <v>650000</v>
      </c>
      <c r="S47" s="269">
        <f t="shared" si="11"/>
        <v>650000</v>
      </c>
      <c r="T47" s="269">
        <f t="shared" si="11"/>
        <v>650000</v>
      </c>
      <c r="U47" s="269">
        <f t="shared" si="11"/>
        <v>650000</v>
      </c>
      <c r="V47" s="269">
        <f t="shared" si="11"/>
        <v>650000</v>
      </c>
      <c r="W47" s="269">
        <f t="shared" si="11"/>
        <v>650000</v>
      </c>
      <c r="X47" s="269">
        <f t="shared" si="11"/>
        <v>650000</v>
      </c>
      <c r="Y47" s="269">
        <f t="shared" si="11"/>
        <v>650000</v>
      </c>
      <c r="Z47" s="269">
        <f t="shared" si="11"/>
        <v>650000</v>
      </c>
      <c r="AA47" s="269">
        <f t="shared" si="12"/>
        <v>7800000</v>
      </c>
    </row>
    <row r="48" spans="1:27" ht="15.75" customHeight="1" x14ac:dyDescent="0.25">
      <c r="A48" s="262">
        <v>48</v>
      </c>
      <c r="B48" s="303" t="s">
        <v>191</v>
      </c>
      <c r="C48" s="315" t="s">
        <v>440</v>
      </c>
      <c r="D48" s="289"/>
      <c r="E48" s="289">
        <v>15</v>
      </c>
      <c r="F48" s="289"/>
      <c r="G48" s="281">
        <v>45075</v>
      </c>
      <c r="H48" s="264">
        <v>45077</v>
      </c>
      <c r="I48" s="315" t="s">
        <v>441</v>
      </c>
      <c r="J48" s="265">
        <f>900000</f>
        <v>900000</v>
      </c>
      <c r="K48" s="266">
        <v>1000000</v>
      </c>
      <c r="L48" s="293"/>
      <c r="M48" s="293"/>
      <c r="N48" s="294"/>
      <c r="O48" s="177"/>
      <c r="P48" s="177"/>
      <c r="Q48" s="177"/>
      <c r="R48" s="177"/>
      <c r="S48" s="176">
        <f>(((31-31+1)/31)*J48)/2</f>
        <v>14516.129032258064</v>
      </c>
      <c r="T48" s="176">
        <f>$J48/2</f>
        <v>450000</v>
      </c>
      <c r="U48" s="176">
        <f t="shared" si="11"/>
        <v>450000</v>
      </c>
      <c r="V48" s="176">
        <f t="shared" si="11"/>
        <v>450000</v>
      </c>
      <c r="W48" s="176">
        <f t="shared" si="11"/>
        <v>450000</v>
      </c>
      <c r="X48" s="176">
        <f t="shared" si="11"/>
        <v>450000</v>
      </c>
      <c r="Y48" s="176">
        <f t="shared" si="11"/>
        <v>450000</v>
      </c>
      <c r="Z48" s="176">
        <f t="shared" si="11"/>
        <v>450000</v>
      </c>
      <c r="AA48" s="176">
        <f>SUM(O48:Z48)</f>
        <v>3164516.1290322579</v>
      </c>
    </row>
    <row r="49" spans="1:27" ht="15.75" customHeight="1" x14ac:dyDescent="0.25">
      <c r="A49" s="262">
        <v>49</v>
      </c>
      <c r="B49" s="303" t="s">
        <v>191</v>
      </c>
      <c r="C49" s="315" t="s">
        <v>442</v>
      </c>
      <c r="D49" s="289"/>
      <c r="E49" s="289">
        <v>15</v>
      </c>
      <c r="F49" s="289"/>
      <c r="G49" s="281">
        <v>45075</v>
      </c>
      <c r="H49" s="264">
        <v>45079</v>
      </c>
      <c r="I49" s="315" t="s">
        <v>441</v>
      </c>
      <c r="J49" s="265">
        <f t="shared" ref="J49:J51" si="13">900000</f>
        <v>900000</v>
      </c>
      <c r="K49" s="266">
        <v>1000000</v>
      </c>
      <c r="L49" s="293"/>
      <c r="M49" s="293"/>
      <c r="N49" s="294"/>
      <c r="O49" s="177"/>
      <c r="P49" s="177"/>
      <c r="Q49" s="177"/>
      <c r="R49" s="177"/>
      <c r="T49" s="176">
        <f>(((30-2+1)/30)*J49)/2</f>
        <v>435000</v>
      </c>
      <c r="U49" s="176">
        <f t="shared" si="11"/>
        <v>450000</v>
      </c>
      <c r="V49" s="176">
        <f t="shared" si="11"/>
        <v>450000</v>
      </c>
      <c r="W49" s="176">
        <f t="shared" si="11"/>
        <v>450000</v>
      </c>
      <c r="X49" s="176">
        <f t="shared" si="11"/>
        <v>450000</v>
      </c>
      <c r="Y49" s="176">
        <f t="shared" si="11"/>
        <v>450000</v>
      </c>
      <c r="Z49" s="176">
        <f t="shared" si="11"/>
        <v>450000</v>
      </c>
      <c r="AA49" s="176">
        <f>SUM(O49:Z49)</f>
        <v>3135000</v>
      </c>
    </row>
    <row r="50" spans="1:27" ht="15.75" customHeight="1" x14ac:dyDescent="0.25">
      <c r="A50" s="262">
        <v>50</v>
      </c>
      <c r="B50" s="303" t="s">
        <v>191</v>
      </c>
      <c r="C50" s="315" t="s">
        <v>443</v>
      </c>
      <c r="D50" s="289"/>
      <c r="E50" s="289">
        <v>15</v>
      </c>
      <c r="F50" s="289"/>
      <c r="G50" s="281">
        <v>45075</v>
      </c>
      <c r="H50" s="264">
        <v>45079</v>
      </c>
      <c r="I50" s="315" t="s">
        <v>441</v>
      </c>
      <c r="J50" s="265">
        <f t="shared" si="13"/>
        <v>900000</v>
      </c>
      <c r="K50" s="266">
        <v>1000000</v>
      </c>
      <c r="L50" s="293"/>
      <c r="M50" s="293"/>
      <c r="N50" s="294"/>
      <c r="O50" s="177"/>
      <c r="P50" s="177"/>
      <c r="Q50" s="177"/>
      <c r="R50" s="177"/>
      <c r="T50" s="176">
        <f>(((30-2+1)/30)*J50)/2</f>
        <v>435000</v>
      </c>
      <c r="U50" s="176">
        <f t="shared" si="11"/>
        <v>450000</v>
      </c>
      <c r="V50" s="176">
        <f t="shared" si="11"/>
        <v>450000</v>
      </c>
      <c r="W50" s="176">
        <f t="shared" si="11"/>
        <v>450000</v>
      </c>
      <c r="X50" s="176">
        <f t="shared" si="11"/>
        <v>450000</v>
      </c>
      <c r="Y50" s="176">
        <f t="shared" si="11"/>
        <v>450000</v>
      </c>
      <c r="Z50" s="176">
        <f t="shared" si="11"/>
        <v>450000</v>
      </c>
      <c r="AA50" s="176">
        <f>SUM(O50:Z50)</f>
        <v>3135000</v>
      </c>
    </row>
    <row r="51" spans="1:27" ht="15.75" customHeight="1" x14ac:dyDescent="0.25">
      <c r="A51" s="262">
        <v>51</v>
      </c>
      <c r="B51" s="303" t="s">
        <v>191</v>
      </c>
      <c r="C51" s="315" t="s">
        <v>444</v>
      </c>
      <c r="D51" s="289"/>
      <c r="E51" s="289">
        <v>15</v>
      </c>
      <c r="F51" s="289"/>
      <c r="G51" s="281">
        <v>45075</v>
      </c>
      <c r="H51" s="264">
        <v>45077</v>
      </c>
      <c r="I51" s="315" t="s">
        <v>441</v>
      </c>
      <c r="J51" s="265">
        <f t="shared" si="13"/>
        <v>900000</v>
      </c>
      <c r="K51" s="266">
        <v>1000000</v>
      </c>
      <c r="L51" s="293"/>
      <c r="M51" s="293"/>
      <c r="N51" s="294"/>
      <c r="O51" s="177"/>
      <c r="P51" s="177"/>
      <c r="Q51" s="177"/>
      <c r="R51" s="177"/>
      <c r="S51" s="176">
        <f>(((31-31+1)/31)*J51)/2</f>
        <v>14516.129032258064</v>
      </c>
      <c r="T51" s="176">
        <f>$J51/2</f>
        <v>450000</v>
      </c>
      <c r="U51" s="176">
        <f t="shared" si="11"/>
        <v>450000</v>
      </c>
      <c r="V51" s="176">
        <f t="shared" si="11"/>
        <v>450000</v>
      </c>
      <c r="W51" s="176">
        <f t="shared" si="11"/>
        <v>450000</v>
      </c>
      <c r="X51" s="176">
        <f t="shared" si="11"/>
        <v>450000</v>
      </c>
      <c r="Y51" s="176">
        <f t="shared" si="11"/>
        <v>450000</v>
      </c>
      <c r="Z51" s="176">
        <f t="shared" si="11"/>
        <v>450000</v>
      </c>
      <c r="AA51" s="176">
        <f>SUM(O51:Z51)</f>
        <v>3164516.1290322579</v>
      </c>
    </row>
    <row r="52" spans="1:27" ht="15.75" customHeight="1" x14ac:dyDescent="0.25">
      <c r="A52" s="262">
        <v>52</v>
      </c>
      <c r="B52" s="262" t="s">
        <v>191</v>
      </c>
      <c r="C52" s="289" t="s">
        <v>445</v>
      </c>
      <c r="D52" s="289"/>
      <c r="E52" s="289">
        <v>18</v>
      </c>
      <c r="F52" s="289"/>
      <c r="G52" s="295">
        <v>45111</v>
      </c>
      <c r="H52" s="290"/>
      <c r="I52" s="315" t="s">
        <v>446</v>
      </c>
      <c r="J52" s="265">
        <f>12000000</f>
        <v>12000000</v>
      </c>
      <c r="K52" s="316">
        <f>4000000</f>
        <v>4000000</v>
      </c>
      <c r="L52" s="293"/>
      <c r="M52" s="293"/>
      <c r="N52" s="294"/>
      <c r="O52" s="177"/>
      <c r="P52" s="177"/>
      <c r="Q52" s="177"/>
      <c r="R52" s="177"/>
      <c r="S52" s="177"/>
      <c r="T52" s="177"/>
    </row>
    <row r="53" spans="1:27" ht="15.75" customHeight="1" x14ac:dyDescent="0.25">
      <c r="A53" s="262">
        <v>53</v>
      </c>
      <c r="B53" s="262" t="s">
        <v>191</v>
      </c>
      <c r="C53" s="289" t="s">
        <v>447</v>
      </c>
      <c r="D53" s="289"/>
      <c r="E53" s="289">
        <v>18</v>
      </c>
      <c r="F53" s="289"/>
      <c r="G53" s="295">
        <v>45113</v>
      </c>
      <c r="H53" s="290"/>
      <c r="I53" s="315" t="s">
        <v>446</v>
      </c>
      <c r="J53" s="265">
        <f>7083333</f>
        <v>7083333</v>
      </c>
      <c r="K53" s="316">
        <f>5000000</f>
        <v>5000000</v>
      </c>
      <c r="L53" s="293"/>
      <c r="M53" s="293"/>
      <c r="N53" s="294"/>
      <c r="O53" s="177"/>
      <c r="P53" s="177"/>
      <c r="Q53" s="177"/>
      <c r="R53" s="177"/>
      <c r="S53" s="177"/>
      <c r="T53" s="177"/>
    </row>
    <row r="54" spans="1:27" ht="15.75" customHeight="1" x14ac:dyDescent="0.25">
      <c r="A54" s="262">
        <v>54</v>
      </c>
      <c r="B54" s="262" t="s">
        <v>326</v>
      </c>
      <c r="C54" s="289" t="s">
        <v>447</v>
      </c>
      <c r="D54" s="289"/>
      <c r="E54" s="289">
        <v>18</v>
      </c>
      <c r="F54" s="289"/>
      <c r="G54" s="295">
        <v>45124</v>
      </c>
      <c r="H54" s="290" t="s">
        <v>448</v>
      </c>
      <c r="I54" s="315" t="s">
        <v>446</v>
      </c>
      <c r="J54" s="265">
        <f>7000000</f>
        <v>7000000</v>
      </c>
      <c r="K54" s="316">
        <f>5000000</f>
        <v>5000000</v>
      </c>
      <c r="L54" s="293"/>
      <c r="M54" s="293"/>
      <c r="N54" s="294"/>
      <c r="O54" s="177"/>
      <c r="P54" s="177"/>
      <c r="Q54" s="177"/>
      <c r="R54" s="177"/>
      <c r="S54" s="177"/>
      <c r="T54" s="177"/>
    </row>
    <row r="55" spans="1:27" ht="15.75" customHeight="1" x14ac:dyDescent="0.25">
      <c r="A55" s="262">
        <v>55</v>
      </c>
      <c r="B55" s="317" t="s">
        <v>326</v>
      </c>
      <c r="C55" s="318" t="s">
        <v>449</v>
      </c>
      <c r="D55" s="318"/>
      <c r="E55" s="317">
        <v>43</v>
      </c>
      <c r="F55" s="317"/>
      <c r="G55" s="319">
        <v>45097</v>
      </c>
      <c r="H55" s="320">
        <v>45119</v>
      </c>
      <c r="I55" s="318" t="s">
        <v>446</v>
      </c>
      <c r="J55" s="321">
        <f>980*15048.5</f>
        <v>14747530</v>
      </c>
      <c r="K55" s="322">
        <f>450*15048.5</f>
        <v>6771825</v>
      </c>
      <c r="M55" s="293"/>
      <c r="N55" s="294"/>
      <c r="O55" s="177"/>
      <c r="P55" s="177"/>
      <c r="Q55" s="177"/>
      <c r="R55" s="177"/>
      <c r="S55" s="177"/>
      <c r="T55" s="177"/>
      <c r="U55" s="176">
        <f>(((31-12+1)/31)*J55)/2</f>
        <v>4757267.7419354841</v>
      </c>
      <c r="V55" s="176">
        <f t="shared" ref="V55:Z55" si="14">$J55/2</f>
        <v>7373765</v>
      </c>
      <c r="W55" s="176">
        <f t="shared" si="14"/>
        <v>7373765</v>
      </c>
      <c r="X55" s="176">
        <f t="shared" si="14"/>
        <v>7373765</v>
      </c>
      <c r="Y55" s="176">
        <f t="shared" si="14"/>
        <v>7373765</v>
      </c>
      <c r="Z55" s="176">
        <f t="shared" si="14"/>
        <v>7373765</v>
      </c>
      <c r="AA55" s="176">
        <f>SUM(O55:Z55)</f>
        <v>41626092.741935484</v>
      </c>
    </row>
    <row r="56" spans="1:27" ht="30" customHeight="1" x14ac:dyDescent="0.25">
      <c r="A56" s="262">
        <v>56</v>
      </c>
      <c r="B56" s="323" t="s">
        <v>191</v>
      </c>
      <c r="C56" s="324" t="s">
        <v>450</v>
      </c>
      <c r="D56" s="324"/>
      <c r="E56" s="325">
        <v>38</v>
      </c>
      <c r="F56" s="325"/>
      <c r="G56" s="326">
        <v>45173</v>
      </c>
      <c r="H56" s="327"/>
      <c r="I56" s="324" t="s">
        <v>451</v>
      </c>
      <c r="J56" s="328">
        <f>3850000</f>
        <v>3850000</v>
      </c>
      <c r="K56" s="329">
        <f>1500000</f>
        <v>1500000</v>
      </c>
      <c r="M56" s="330"/>
      <c r="N56" s="330"/>
      <c r="O56" s="331"/>
      <c r="P56" s="331"/>
      <c r="Q56" s="332"/>
      <c r="R56" s="177"/>
      <c r="S56" s="177"/>
      <c r="T56" s="177"/>
    </row>
    <row r="57" spans="1:27" ht="15.75" customHeight="1" x14ac:dyDescent="0.25">
      <c r="A57" s="262">
        <v>57</v>
      </c>
      <c r="B57" s="262" t="s">
        <v>326</v>
      </c>
      <c r="C57" s="263" t="s">
        <v>424</v>
      </c>
      <c r="D57" s="289"/>
      <c r="E57" s="289">
        <v>40</v>
      </c>
      <c r="F57" s="289"/>
      <c r="G57" s="295">
        <v>45182</v>
      </c>
      <c r="H57" s="290"/>
      <c r="I57" s="289" t="s">
        <v>452</v>
      </c>
      <c r="J57" s="291">
        <f>25000000</f>
        <v>25000000</v>
      </c>
      <c r="K57" s="292">
        <v>0</v>
      </c>
      <c r="L57" s="293"/>
      <c r="M57" s="293"/>
      <c r="N57" s="294"/>
      <c r="O57" s="177"/>
      <c r="P57" s="177"/>
      <c r="Q57" s="177"/>
      <c r="R57" s="177"/>
      <c r="S57" s="177"/>
      <c r="T57" s="177"/>
    </row>
    <row r="58" spans="1:27" ht="15.75" customHeight="1" x14ac:dyDescent="0.25">
      <c r="A58" s="262">
        <v>58</v>
      </c>
      <c r="B58" s="262" t="s">
        <v>191</v>
      </c>
      <c r="C58" s="315" t="s">
        <v>453</v>
      </c>
      <c r="D58" s="315"/>
      <c r="E58" s="263">
        <v>30</v>
      </c>
      <c r="F58" s="263"/>
      <c r="G58" s="281">
        <v>45224</v>
      </c>
      <c r="H58" s="264"/>
      <c r="I58" s="315" t="s">
        <v>218</v>
      </c>
      <c r="J58" s="265">
        <f>5500000</f>
        <v>5500000</v>
      </c>
      <c r="K58" s="316">
        <f>1500000</f>
        <v>1500000</v>
      </c>
      <c r="M58" s="293"/>
      <c r="N58" s="294"/>
      <c r="O58" s="177"/>
      <c r="P58" s="177"/>
      <c r="Q58" s="177"/>
      <c r="R58" s="177"/>
      <c r="S58" s="177"/>
      <c r="T58" s="177"/>
    </row>
    <row r="59" spans="1:27" ht="15.75" customHeight="1" x14ac:dyDescent="0.25">
      <c r="A59" s="262">
        <v>59</v>
      </c>
      <c r="B59" s="262"/>
      <c r="C59" s="289"/>
      <c r="D59" s="289"/>
      <c r="E59" s="289"/>
      <c r="F59" s="289"/>
      <c r="G59" s="295"/>
      <c r="H59" s="290"/>
      <c r="I59" s="289"/>
      <c r="J59" s="291"/>
      <c r="K59" s="292"/>
      <c r="L59" s="293"/>
      <c r="M59" s="293"/>
      <c r="N59" s="294"/>
      <c r="O59" s="177"/>
      <c r="P59" s="177"/>
      <c r="Q59" s="177"/>
      <c r="R59" s="177"/>
      <c r="S59" s="177"/>
      <c r="T59" s="177"/>
    </row>
    <row r="60" spans="1:27" ht="15.75" customHeight="1" x14ac:dyDescent="0.25">
      <c r="A60" s="262">
        <v>60</v>
      </c>
      <c r="B60" s="262"/>
      <c r="C60" s="289"/>
      <c r="D60" s="289"/>
      <c r="E60" s="289"/>
      <c r="F60" s="289"/>
      <c r="G60" s="295"/>
      <c r="H60" s="290"/>
      <c r="I60" s="289"/>
      <c r="J60" s="291"/>
      <c r="K60" s="292"/>
      <c r="L60" s="293"/>
      <c r="M60" s="293"/>
      <c r="N60" s="294"/>
      <c r="O60" s="177"/>
      <c r="P60" s="177"/>
      <c r="Q60" s="177"/>
      <c r="R60" s="177"/>
      <c r="S60" s="177"/>
      <c r="T60" s="177"/>
    </row>
    <row r="61" spans="1:27" ht="15.75" customHeight="1" x14ac:dyDescent="0.25">
      <c r="A61" s="262">
        <v>61</v>
      </c>
      <c r="B61" s="262"/>
      <c r="C61" s="289"/>
      <c r="D61" s="289"/>
      <c r="E61" s="289"/>
      <c r="F61" s="289"/>
      <c r="G61" s="295"/>
      <c r="H61" s="290"/>
      <c r="I61" s="289"/>
      <c r="J61" s="291"/>
      <c r="K61" s="333"/>
      <c r="L61" s="293"/>
      <c r="M61" s="293"/>
      <c r="N61" s="294"/>
      <c r="O61" s="176">
        <f>SUM(O2:O60)</f>
        <v>91712500</v>
      </c>
      <c r="P61" s="176">
        <f t="shared" ref="P61:Z61" si="15">SUM(P2:P60)</f>
        <v>91712500</v>
      </c>
      <c r="Q61" s="176">
        <f t="shared" si="15"/>
        <v>91712500</v>
      </c>
      <c r="R61" s="176">
        <f t="shared" si="15"/>
        <v>91712500</v>
      </c>
      <c r="S61" s="176">
        <f t="shared" si="15"/>
        <v>91277016.129032254</v>
      </c>
      <c r="T61" s="176">
        <f t="shared" si="15"/>
        <v>91882500</v>
      </c>
      <c r="U61" s="176">
        <f t="shared" si="15"/>
        <v>96669767.741935492</v>
      </c>
      <c r="V61" s="176">
        <f t="shared" si="15"/>
        <v>99286265</v>
      </c>
      <c r="W61" s="176">
        <f t="shared" si="15"/>
        <v>99286265</v>
      </c>
      <c r="X61" s="176">
        <f t="shared" si="15"/>
        <v>99286265</v>
      </c>
      <c r="Y61" s="176">
        <f t="shared" si="15"/>
        <v>99286265</v>
      </c>
      <c r="Z61" s="176">
        <f t="shared" si="15"/>
        <v>99286265</v>
      </c>
      <c r="AA61" s="176">
        <f>SUM(O61:Z61)</f>
        <v>1143110608.8709679</v>
      </c>
    </row>
    <row r="62" spans="1:27" ht="15.75" customHeight="1" x14ac:dyDescent="0.25">
      <c r="A62" s="262">
        <v>62</v>
      </c>
      <c r="B62" s="262"/>
      <c r="C62" s="289"/>
      <c r="D62" s="289"/>
      <c r="E62" s="289"/>
      <c r="F62" s="289"/>
      <c r="G62" s="295"/>
      <c r="H62" s="290"/>
      <c r="I62" s="289"/>
      <c r="J62" s="291"/>
      <c r="K62" s="292"/>
      <c r="L62" s="293"/>
      <c r="M62" s="293"/>
      <c r="N62" s="294"/>
      <c r="O62" s="177"/>
      <c r="P62" s="177"/>
      <c r="Q62" s="177"/>
      <c r="R62" s="177"/>
      <c r="S62" s="177"/>
      <c r="T62" s="177"/>
    </row>
    <row r="63" spans="1:27" ht="15.75" customHeight="1" x14ac:dyDescent="0.25">
      <c r="A63" s="262">
        <v>63</v>
      </c>
      <c r="B63" s="262"/>
      <c r="C63" s="289"/>
      <c r="D63" s="289"/>
      <c r="E63" s="289"/>
      <c r="F63" s="289"/>
      <c r="G63" s="295"/>
      <c r="H63" s="290"/>
      <c r="I63" s="289"/>
      <c r="J63" s="291"/>
      <c r="K63" s="292"/>
      <c r="L63" s="293"/>
      <c r="M63" s="293"/>
      <c r="N63" s="294"/>
      <c r="O63" s="177"/>
      <c r="P63" s="177"/>
      <c r="Q63" s="177"/>
      <c r="R63" s="177"/>
      <c r="S63" s="177"/>
      <c r="T63" s="177"/>
    </row>
    <row r="64" spans="1:27" ht="15.75" customHeight="1" x14ac:dyDescent="0.25">
      <c r="A64" s="262">
        <v>64</v>
      </c>
      <c r="B64" s="262"/>
      <c r="C64" s="289"/>
      <c r="D64" s="289"/>
      <c r="E64" s="289"/>
      <c r="F64" s="289"/>
      <c r="G64" s="295"/>
      <c r="H64" s="290"/>
      <c r="I64" s="289"/>
      <c r="J64" s="291"/>
      <c r="K64" s="333"/>
      <c r="L64" s="293"/>
      <c r="M64" s="293"/>
      <c r="N64" s="294"/>
      <c r="O64" s="177"/>
      <c r="P64" s="177"/>
      <c r="Q64" s="177"/>
      <c r="R64" s="177"/>
      <c r="S64" s="177"/>
      <c r="T64" s="177"/>
    </row>
    <row r="65" spans="1:27" ht="15.75" customHeight="1" x14ac:dyDescent="0.25">
      <c r="A65" s="262">
        <v>65</v>
      </c>
      <c r="B65" s="262"/>
      <c r="C65" s="289"/>
      <c r="D65" s="289"/>
      <c r="E65" s="289"/>
      <c r="F65" s="289"/>
      <c r="G65" s="295"/>
      <c r="H65" s="290"/>
      <c r="I65" s="289"/>
      <c r="J65" s="291"/>
      <c r="K65" s="292"/>
      <c r="L65" s="293"/>
      <c r="M65" s="293"/>
      <c r="N65" s="294"/>
      <c r="O65" s="177"/>
      <c r="P65" s="177"/>
      <c r="Q65" s="177"/>
      <c r="R65" s="177"/>
      <c r="S65" s="177"/>
      <c r="T65" s="177"/>
    </row>
    <row r="66" spans="1:27" ht="15.75" customHeight="1" x14ac:dyDescent="0.25">
      <c r="A66" s="262">
        <v>66</v>
      </c>
      <c r="B66" s="262"/>
      <c r="C66" s="289"/>
      <c r="D66" s="289"/>
      <c r="E66" s="289"/>
      <c r="F66" s="289"/>
      <c r="G66" s="295"/>
      <c r="H66" s="290"/>
      <c r="I66" s="289"/>
      <c r="J66" s="291"/>
      <c r="K66" s="292"/>
      <c r="L66" s="293"/>
      <c r="M66" s="293"/>
      <c r="N66" s="294"/>
      <c r="O66" s="177"/>
      <c r="P66" s="177"/>
      <c r="Q66" s="177"/>
      <c r="R66" s="177"/>
      <c r="S66" s="177"/>
      <c r="T66" s="177"/>
    </row>
    <row r="67" spans="1:27" ht="15.75" customHeight="1" x14ac:dyDescent="0.25">
      <c r="A67" s="262">
        <v>67</v>
      </c>
      <c r="B67" s="262"/>
      <c r="C67" s="289"/>
      <c r="D67" s="289"/>
      <c r="E67" s="289"/>
      <c r="F67" s="289"/>
      <c r="G67" s="295"/>
      <c r="H67" s="290"/>
      <c r="I67" s="289"/>
      <c r="J67" s="291"/>
      <c r="K67" s="333"/>
      <c r="L67" s="293"/>
      <c r="M67" s="293"/>
      <c r="N67" s="294"/>
      <c r="O67" s="177"/>
      <c r="P67" s="177"/>
      <c r="Q67" s="177"/>
      <c r="R67" s="177"/>
      <c r="S67" s="177"/>
      <c r="T67" s="177"/>
    </row>
    <row r="68" spans="1:27" ht="15.75" customHeight="1" x14ac:dyDescent="0.25">
      <c r="A68" s="262">
        <v>68</v>
      </c>
      <c r="B68" s="262"/>
      <c r="C68" s="289"/>
      <c r="D68" s="289"/>
      <c r="E68" s="289"/>
      <c r="F68" s="289"/>
      <c r="G68" s="295"/>
      <c r="H68" s="290"/>
      <c r="I68" s="289"/>
      <c r="J68" s="291"/>
      <c r="K68" s="292"/>
      <c r="L68" s="293"/>
      <c r="M68" s="293"/>
      <c r="N68" s="294"/>
      <c r="O68" s="177"/>
      <c r="P68" s="177"/>
      <c r="Q68" s="177"/>
      <c r="R68" s="177"/>
      <c r="S68" s="177"/>
      <c r="T68" s="177"/>
    </row>
    <row r="69" spans="1:27" ht="15.75" customHeight="1" x14ac:dyDescent="0.25">
      <c r="A69" s="262">
        <v>69</v>
      </c>
      <c r="B69" s="262"/>
      <c r="C69" s="289"/>
      <c r="D69" s="289"/>
      <c r="E69" s="289"/>
      <c r="F69" s="289"/>
      <c r="G69" s="295"/>
      <c r="H69" s="290"/>
      <c r="I69" s="289"/>
      <c r="J69" s="291"/>
      <c r="K69" s="292"/>
      <c r="L69" s="293"/>
      <c r="M69" s="293"/>
      <c r="N69" s="294"/>
      <c r="O69" s="177"/>
      <c r="P69" s="177"/>
      <c r="Q69" s="177"/>
      <c r="R69" s="177"/>
      <c r="S69" s="177"/>
      <c r="T69" s="177"/>
    </row>
    <row r="70" spans="1:27" ht="15.75" customHeight="1" x14ac:dyDescent="0.25">
      <c r="A70" s="262">
        <v>70</v>
      </c>
      <c r="B70" s="262"/>
      <c r="C70" s="289"/>
      <c r="D70" s="289"/>
      <c r="E70" s="289"/>
      <c r="F70" s="289"/>
      <c r="G70" s="295"/>
      <c r="H70" s="290"/>
      <c r="I70" s="289"/>
      <c r="J70" s="291"/>
      <c r="K70" s="333"/>
      <c r="L70" s="293"/>
      <c r="M70" s="293"/>
      <c r="N70" s="294"/>
      <c r="O70" s="177"/>
      <c r="P70" s="177"/>
      <c r="Q70" s="177"/>
      <c r="R70" s="177"/>
      <c r="S70" s="177"/>
      <c r="T70" s="177"/>
    </row>
    <row r="71" spans="1:27" ht="15.75" customHeight="1" x14ac:dyDescent="0.25">
      <c r="A71" s="262">
        <v>71</v>
      </c>
      <c r="B71" s="262"/>
      <c r="C71" s="289"/>
      <c r="D71" s="289"/>
      <c r="E71" s="289"/>
      <c r="F71" s="289"/>
      <c r="G71" s="295"/>
      <c r="H71" s="290"/>
      <c r="I71" s="289"/>
      <c r="J71" s="291"/>
      <c r="K71" s="292"/>
      <c r="L71" s="293"/>
      <c r="M71" s="293"/>
      <c r="N71" s="294"/>
      <c r="O71" s="177"/>
      <c r="P71" s="177"/>
      <c r="Q71" s="177"/>
      <c r="R71" s="177"/>
      <c r="S71" s="177"/>
      <c r="T71" s="177"/>
    </row>
    <row r="72" spans="1:27" ht="15.75" customHeight="1" x14ac:dyDescent="0.25">
      <c r="A72" s="262">
        <v>72</v>
      </c>
      <c r="B72" s="262"/>
      <c r="C72" s="289"/>
      <c r="D72" s="289"/>
      <c r="E72" s="289"/>
      <c r="F72" s="289"/>
      <c r="G72" s="295"/>
      <c r="H72" s="290"/>
      <c r="I72" s="289"/>
      <c r="J72" s="291"/>
      <c r="K72" s="292"/>
      <c r="L72" s="293"/>
      <c r="M72" s="293"/>
      <c r="N72" s="294"/>
      <c r="O72" s="177"/>
      <c r="P72" s="177"/>
      <c r="Q72" s="177"/>
      <c r="R72" s="177"/>
      <c r="S72" s="177"/>
      <c r="T72" s="177"/>
    </row>
    <row r="73" spans="1:27" ht="15.75" customHeight="1" x14ac:dyDescent="0.25">
      <c r="A73" s="262">
        <v>73</v>
      </c>
      <c r="B73" s="262"/>
      <c r="C73" s="289"/>
      <c r="D73" s="289"/>
      <c r="E73" s="289"/>
      <c r="F73" s="289"/>
      <c r="G73" s="295"/>
      <c r="H73" s="290"/>
      <c r="I73" s="289"/>
      <c r="J73" s="291"/>
      <c r="K73" s="333"/>
      <c r="L73" s="293"/>
      <c r="M73" s="293"/>
      <c r="N73" s="294"/>
      <c r="O73" s="177"/>
      <c r="P73" s="177"/>
      <c r="Q73" s="177"/>
      <c r="R73" s="177"/>
      <c r="S73" s="177"/>
      <c r="T73" s="177"/>
    </row>
    <row r="74" spans="1:27" ht="15.75" customHeight="1" x14ac:dyDescent="0.25">
      <c r="A74" s="262">
        <v>74</v>
      </c>
      <c r="B74" s="262"/>
      <c r="C74" s="289"/>
      <c r="D74" s="289"/>
      <c r="E74" s="289"/>
      <c r="F74" s="289"/>
      <c r="G74" s="295"/>
      <c r="H74" s="290"/>
      <c r="I74" s="289"/>
      <c r="J74" s="291"/>
      <c r="K74" s="292"/>
      <c r="L74" s="293"/>
      <c r="M74" s="293"/>
      <c r="N74" s="294"/>
      <c r="O74" s="177"/>
      <c r="P74" s="177"/>
      <c r="Q74" s="177"/>
      <c r="R74" s="177"/>
      <c r="S74" s="177"/>
      <c r="T74" s="177"/>
    </row>
    <row r="75" spans="1:27" ht="15.75" customHeight="1" x14ac:dyDescent="0.25">
      <c r="A75" s="262">
        <v>75</v>
      </c>
      <c r="B75" s="262"/>
      <c r="C75" s="289"/>
      <c r="D75" s="289"/>
      <c r="E75" s="289"/>
      <c r="F75" s="289"/>
      <c r="G75" s="295"/>
      <c r="H75" s="290"/>
      <c r="I75" s="289"/>
      <c r="J75" s="291"/>
      <c r="K75" s="292"/>
      <c r="L75" s="293"/>
      <c r="M75" s="293"/>
      <c r="N75" s="294"/>
      <c r="O75" s="177"/>
      <c r="P75" s="177"/>
      <c r="Q75" s="177"/>
      <c r="R75" s="177"/>
      <c r="S75" s="177"/>
      <c r="T75" s="177"/>
    </row>
    <row r="76" spans="1:27" ht="15.75" customHeight="1" x14ac:dyDescent="0.25">
      <c r="A76" s="262">
        <v>76</v>
      </c>
      <c r="B76" s="262"/>
      <c r="C76" s="289"/>
      <c r="D76" s="289"/>
      <c r="E76" s="289"/>
      <c r="F76" s="289"/>
      <c r="G76" s="295"/>
      <c r="H76" s="290"/>
      <c r="I76" s="289"/>
      <c r="J76" s="291"/>
      <c r="K76" s="333"/>
      <c r="L76" s="293"/>
      <c r="M76" s="293"/>
      <c r="N76" s="294"/>
      <c r="O76" s="177"/>
      <c r="P76" s="177"/>
      <c r="Q76" s="177"/>
      <c r="R76" s="177"/>
      <c r="S76" s="177"/>
      <c r="T76" s="177"/>
    </row>
    <row r="77" spans="1:27" ht="15.75" customHeight="1" x14ac:dyDescent="0.25">
      <c r="O77" s="335">
        <f t="shared" ref="O77:AA77" si="16">SUM(O48:O61)</f>
        <v>91712500</v>
      </c>
      <c r="P77" s="335">
        <f t="shared" si="16"/>
        <v>91712500</v>
      </c>
      <c r="Q77" s="335">
        <f t="shared" si="16"/>
        <v>91712500</v>
      </c>
      <c r="R77" s="335">
        <f t="shared" si="16"/>
        <v>91712500</v>
      </c>
      <c r="S77" s="335">
        <f t="shared" si="16"/>
        <v>91306048.387096778</v>
      </c>
      <c r="T77" s="335">
        <f t="shared" si="16"/>
        <v>93652500</v>
      </c>
      <c r="U77" s="335">
        <f t="shared" si="16"/>
        <v>103227035.48387098</v>
      </c>
      <c r="V77" s="335">
        <f t="shared" si="16"/>
        <v>108460030</v>
      </c>
      <c r="W77" s="335">
        <f t="shared" si="16"/>
        <v>108460030</v>
      </c>
      <c r="X77" s="335">
        <f t="shared" si="16"/>
        <v>108460030</v>
      </c>
      <c r="Y77" s="335">
        <f t="shared" si="16"/>
        <v>108460030</v>
      </c>
      <c r="Z77" s="335">
        <f t="shared" si="16"/>
        <v>108460030</v>
      </c>
      <c r="AA77" s="335">
        <f t="shared" si="16"/>
        <v>1197335733.8709679</v>
      </c>
    </row>
    <row r="78" spans="1:27" ht="15.75" customHeight="1" x14ac:dyDescent="0.25"/>
    <row r="79" spans="1:27" ht="15.75" customHeight="1" x14ac:dyDescent="0.25"/>
    <row r="80" spans="1:27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autoFilter ref="A1:N77"/>
  <pageMargins left="0.7" right="0.7" top="0.75" bottom="0.75" header="0" footer="0"/>
  <pageSetup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44"/>
  <sheetViews>
    <sheetView zoomScale="70" zoomScaleNormal="70" workbookViewId="0">
      <selection activeCell="B5" sqref="B5"/>
    </sheetView>
  </sheetViews>
  <sheetFormatPr defaultRowHeight="15.75" x14ac:dyDescent="0.25"/>
  <cols>
    <col min="1" max="1" width="13.5" bestFit="1" customWidth="1"/>
    <col min="2" max="2" width="15.875" bestFit="1" customWidth="1"/>
    <col min="3" max="4" width="14.75" bestFit="1" customWidth="1"/>
    <col min="5" max="5" width="14.875" customWidth="1"/>
    <col min="6" max="6" width="14" customWidth="1"/>
    <col min="7" max="7" width="12.125" bestFit="1" customWidth="1"/>
    <col min="8" max="8" width="16.75" customWidth="1"/>
    <col min="9" max="9" width="15.375" customWidth="1"/>
    <col min="10" max="10" width="25.5" bestFit="1" customWidth="1"/>
    <col min="11" max="11" width="24.75" bestFit="1" customWidth="1"/>
  </cols>
  <sheetData>
    <row r="1" spans="1:11" x14ac:dyDescent="0.25">
      <c r="B1" t="s">
        <v>6</v>
      </c>
      <c r="C1" t="s">
        <v>7</v>
      </c>
      <c r="D1" t="s">
        <v>8</v>
      </c>
      <c r="E1" t="s">
        <v>9</v>
      </c>
      <c r="F1" t="s">
        <v>10</v>
      </c>
      <c r="G1" t="s">
        <v>37</v>
      </c>
      <c r="H1" t="s">
        <v>38</v>
      </c>
      <c r="I1" t="s">
        <v>39</v>
      </c>
      <c r="J1" t="s">
        <v>40</v>
      </c>
      <c r="K1" t="s">
        <v>41</v>
      </c>
    </row>
    <row r="2" spans="1:11" x14ac:dyDescent="0.25">
      <c r="A2" t="s">
        <v>45</v>
      </c>
      <c r="B2" s="86">
        <f>IRR!G9</f>
        <v>223364157.28125</v>
      </c>
      <c r="C2" s="13">
        <f>$B$2-$B$4</f>
        <v>178691325.82499999</v>
      </c>
      <c r="D2" s="13">
        <f>$C$2-$B$4</f>
        <v>134018494.36874999</v>
      </c>
      <c r="E2" s="13">
        <f>$D$2-$B$4</f>
        <v>89345662.912499994</v>
      </c>
      <c r="F2" s="13">
        <f>$E$2-$B$4</f>
        <v>44672831.456249997</v>
      </c>
      <c r="G2" s="13">
        <f>$F$2-$B$4</f>
        <v>0</v>
      </c>
      <c r="H2" s="13">
        <f>$G$2-$B$4</f>
        <v>-44672831.456249997</v>
      </c>
      <c r="I2" s="13">
        <f>$H$2-$B$4</f>
        <v>-89345662.912499994</v>
      </c>
      <c r="J2" s="13">
        <f>$I$2-$B$4</f>
        <v>-134018494.36874999</v>
      </c>
      <c r="K2" s="13">
        <f>$J$2-$B$4</f>
        <v>-178691325.82499999</v>
      </c>
    </row>
    <row r="3" spans="1:11" x14ac:dyDescent="0.25">
      <c r="A3" t="s">
        <v>46</v>
      </c>
      <c r="B3" s="86">
        <v>5</v>
      </c>
    </row>
    <row r="4" spans="1:11" x14ac:dyDescent="0.25">
      <c r="A4" t="s">
        <v>47</v>
      </c>
      <c r="B4" s="86">
        <f>$B$2/$B$3</f>
        <v>44672831.456249997</v>
      </c>
    </row>
    <row r="5" spans="1:11" x14ac:dyDescent="0.25">
      <c r="A5" t="s">
        <v>48</v>
      </c>
      <c r="B5" s="86">
        <f>(($B$2*IRR!$F$3)*6)/12</f>
        <v>11168207.864062501</v>
      </c>
      <c r="C5" s="13">
        <f>AVERAGE(B2:C2)*IRR!$F$3</f>
        <v>20102774.155312501</v>
      </c>
      <c r="D5" s="13">
        <f>AVERAGE(C2:D2)*IRR!$F$3</f>
        <v>15635491.009687498</v>
      </c>
      <c r="E5" s="13">
        <f>AVERAGE(D2:E2)*IRR!$F$3</f>
        <v>11168207.864062501</v>
      </c>
      <c r="F5" s="13">
        <f>AVERAGE(E2:F2)*IRR!$F$3</f>
        <v>6700924.7184375003</v>
      </c>
      <c r="G5" s="13">
        <f>AVERAGE(F2:G2)*IRR!$F$3</f>
        <v>2233641.5728124999</v>
      </c>
      <c r="H5" s="13">
        <f>AVERAGE($G$2:$H$2)*[5]IRR!$G$4</f>
        <v>-2233641.5728124999</v>
      </c>
      <c r="I5" s="13">
        <f>AVERAGE($H$2:$I$2)*[5]IRR!$G$4</f>
        <v>-6700924.7184375003</v>
      </c>
      <c r="J5" s="13">
        <f>AVERAGE($I$2:$J$2)*[5]IRR!$G$4</f>
        <v>-11168207.864062501</v>
      </c>
      <c r="K5" s="13">
        <f>AVERAGE($J$2:$K$2)*[5]IRR!$G$4</f>
        <v>-15635491.009687498</v>
      </c>
    </row>
    <row r="10" spans="1:11" x14ac:dyDescent="0.25">
      <c r="F10" s="126" t="s">
        <v>85</v>
      </c>
      <c r="G10" s="126" t="s">
        <v>86</v>
      </c>
      <c r="H10" s="126" t="s">
        <v>87</v>
      </c>
      <c r="I10" s="127" t="s">
        <v>88</v>
      </c>
      <c r="J10" s="382" t="s">
        <v>89</v>
      </c>
      <c r="K10" s="382" t="s">
        <v>90</v>
      </c>
    </row>
    <row r="11" spans="1:11" x14ac:dyDescent="0.25">
      <c r="E11" s="128" t="s">
        <v>91</v>
      </c>
      <c r="F11" s="129">
        <v>2</v>
      </c>
      <c r="G11" s="130">
        <v>1</v>
      </c>
      <c r="H11" s="130">
        <v>1</v>
      </c>
      <c r="I11" s="131">
        <v>186</v>
      </c>
      <c r="J11" s="382"/>
      <c r="K11" s="382"/>
    </row>
    <row r="12" spans="1:11" x14ac:dyDescent="0.25">
      <c r="B12" s="383" t="s">
        <v>92</v>
      </c>
      <c r="C12" s="132" t="s">
        <v>93</v>
      </c>
      <c r="D12" s="133">
        <f>C23</f>
        <v>3000000</v>
      </c>
      <c r="E12" s="132" t="s">
        <v>85</v>
      </c>
      <c r="F12" s="126">
        <f>F11</f>
        <v>2</v>
      </c>
      <c r="G12" s="126"/>
      <c r="H12" s="126"/>
      <c r="I12" s="127"/>
      <c r="J12" s="134">
        <f>F12*D12</f>
        <v>6000000</v>
      </c>
    </row>
    <row r="13" spans="1:11" x14ac:dyDescent="0.25">
      <c r="B13" s="384"/>
      <c r="C13" s="132" t="s">
        <v>94</v>
      </c>
      <c r="D13" s="135">
        <v>600000</v>
      </c>
      <c r="E13" s="132" t="s">
        <v>85</v>
      </c>
      <c r="F13" s="126">
        <f>F11</f>
        <v>2</v>
      </c>
      <c r="G13" s="126"/>
      <c r="H13" s="126"/>
      <c r="I13" s="127">
        <f>IF($I$10&lt;=120,2,IF($I$10&gt;220,4,3))</f>
        <v>4</v>
      </c>
      <c r="J13" s="135">
        <f>D13*F13</f>
        <v>1200000</v>
      </c>
    </row>
    <row r="14" spans="1:11" x14ac:dyDescent="0.25">
      <c r="B14" s="385"/>
      <c r="C14" s="132" t="s">
        <v>92</v>
      </c>
      <c r="D14" s="135">
        <v>200000</v>
      </c>
      <c r="E14" s="132" t="s">
        <v>95</v>
      </c>
      <c r="F14" s="126"/>
      <c r="G14" s="126">
        <f>G11</f>
        <v>1</v>
      </c>
      <c r="H14" s="126"/>
      <c r="I14" s="127"/>
      <c r="J14" s="135">
        <f>G14*D14</f>
        <v>200000</v>
      </c>
    </row>
    <row r="15" spans="1:11" x14ac:dyDescent="0.25">
      <c r="B15" s="132" t="s">
        <v>96</v>
      </c>
      <c r="C15" s="132" t="s">
        <v>96</v>
      </c>
      <c r="D15" s="135">
        <v>450000</v>
      </c>
      <c r="E15" s="132" t="s">
        <v>87</v>
      </c>
      <c r="F15" s="126">
        <f>F11</f>
        <v>2</v>
      </c>
      <c r="G15" s="126"/>
      <c r="H15" s="126">
        <f>H11</f>
        <v>1</v>
      </c>
      <c r="I15" s="127">
        <f t="shared" ref="I15:I16" si="0">IF($I$10&lt;=120,2,IF($I$10&gt;220,4,3))</f>
        <v>4</v>
      </c>
      <c r="J15" s="135">
        <f>H15*D15*I15</f>
        <v>1800000</v>
      </c>
    </row>
    <row r="16" spans="1:11" x14ac:dyDescent="0.25">
      <c r="B16" s="132" t="s">
        <v>97</v>
      </c>
      <c r="C16" s="132" t="s">
        <v>97</v>
      </c>
      <c r="D16" s="135">
        <v>120000</v>
      </c>
      <c r="E16" s="132" t="s">
        <v>85</v>
      </c>
      <c r="F16" s="126">
        <f>F11</f>
        <v>2</v>
      </c>
      <c r="G16" s="126"/>
      <c r="H16" s="126"/>
      <c r="I16" s="127">
        <f t="shared" si="0"/>
        <v>4</v>
      </c>
      <c r="J16" s="135">
        <f>I16*D16*F16</f>
        <v>960000</v>
      </c>
    </row>
    <row r="17" spans="1:11" x14ac:dyDescent="0.25">
      <c r="J17" s="136">
        <f>SUM(J12:J16)</f>
        <v>10160000</v>
      </c>
      <c r="K17" s="137">
        <f>J17*2</f>
        <v>20320000</v>
      </c>
    </row>
    <row r="20" spans="1:11" x14ac:dyDescent="0.25">
      <c r="K20" s="13"/>
    </row>
    <row r="21" spans="1:11" x14ac:dyDescent="0.25">
      <c r="B21" s="126" t="s">
        <v>98</v>
      </c>
      <c r="C21" s="126" t="s">
        <v>93</v>
      </c>
      <c r="E21" s="132" t="s">
        <v>99</v>
      </c>
      <c r="K21" s="32"/>
    </row>
    <row r="22" spans="1:11" x14ac:dyDescent="0.25">
      <c r="A22" t="s">
        <v>100</v>
      </c>
      <c r="B22" s="86">
        <v>16800000</v>
      </c>
      <c r="C22" s="86">
        <v>4000000</v>
      </c>
      <c r="E22" t="s">
        <v>101</v>
      </c>
      <c r="K22" s="13"/>
    </row>
    <row r="23" spans="1:11" x14ac:dyDescent="0.25">
      <c r="A23" t="s">
        <v>102</v>
      </c>
      <c r="B23" s="86"/>
      <c r="C23" s="86">
        <v>3000000</v>
      </c>
      <c r="E23" t="s">
        <v>103</v>
      </c>
      <c r="I23" s="86">
        <v>10000000</v>
      </c>
    </row>
    <row r="24" spans="1:11" x14ac:dyDescent="0.25">
      <c r="A24" t="s">
        <v>104</v>
      </c>
      <c r="B24" s="86">
        <v>15600000</v>
      </c>
      <c r="C24" s="86">
        <v>2500000</v>
      </c>
      <c r="E24" t="s">
        <v>103</v>
      </c>
      <c r="H24" t="s">
        <v>105</v>
      </c>
      <c r="I24" s="86">
        <v>12000000</v>
      </c>
    </row>
    <row r="25" spans="1:11" x14ac:dyDescent="0.25">
      <c r="A25" t="s">
        <v>106</v>
      </c>
      <c r="B25" s="86">
        <v>15000000</v>
      </c>
      <c r="C25" s="86">
        <v>2000000</v>
      </c>
      <c r="E25" t="s">
        <v>103</v>
      </c>
      <c r="H25" t="s">
        <v>107</v>
      </c>
      <c r="I25" s="86">
        <v>14000000</v>
      </c>
    </row>
    <row r="26" spans="1:11" x14ac:dyDescent="0.25">
      <c r="A26" t="s">
        <v>108</v>
      </c>
      <c r="B26" s="86">
        <v>15000000</v>
      </c>
      <c r="C26" s="86">
        <v>1850000</v>
      </c>
      <c r="E26" t="s">
        <v>103</v>
      </c>
      <c r="H26" t="s">
        <v>109</v>
      </c>
      <c r="I26" s="86">
        <v>14000000</v>
      </c>
    </row>
    <row r="27" spans="1:11" x14ac:dyDescent="0.25">
      <c r="A27" t="s">
        <v>110</v>
      </c>
      <c r="B27" s="86">
        <v>12000000</v>
      </c>
      <c r="C27" s="86">
        <v>1200000</v>
      </c>
      <c r="E27" t="s">
        <v>103</v>
      </c>
      <c r="H27" t="s">
        <v>100</v>
      </c>
      <c r="I27" s="86">
        <v>17000000</v>
      </c>
    </row>
    <row r="28" spans="1:11" x14ac:dyDescent="0.25">
      <c r="A28" t="s">
        <v>111</v>
      </c>
      <c r="B28" s="86">
        <v>16800000</v>
      </c>
      <c r="C28" s="86">
        <v>2000000</v>
      </c>
      <c r="E28" t="s">
        <v>103</v>
      </c>
      <c r="H28" t="s">
        <v>111</v>
      </c>
      <c r="I28" s="86">
        <v>14000000</v>
      </c>
    </row>
    <row r="29" spans="1:11" x14ac:dyDescent="0.25">
      <c r="A29" t="s">
        <v>112</v>
      </c>
      <c r="B29" s="86">
        <v>15720000</v>
      </c>
      <c r="C29" s="86">
        <v>3500000</v>
      </c>
    </row>
    <row r="30" spans="1:11" x14ac:dyDescent="0.25">
      <c r="A30" t="s">
        <v>113</v>
      </c>
      <c r="C30" s="86">
        <v>2800000</v>
      </c>
    </row>
    <row r="31" spans="1:11" x14ac:dyDescent="0.25">
      <c r="A31" t="s">
        <v>114</v>
      </c>
      <c r="B31">
        <v>0</v>
      </c>
      <c r="C31" s="86">
        <v>0</v>
      </c>
      <c r="D31" t="s">
        <v>115</v>
      </c>
    </row>
    <row r="33" spans="1:3" x14ac:dyDescent="0.25">
      <c r="B33" s="126" t="s">
        <v>116</v>
      </c>
      <c r="C33" s="126"/>
    </row>
    <row r="34" spans="1:3" x14ac:dyDescent="0.25">
      <c r="B34" s="86">
        <v>7000000</v>
      </c>
    </row>
    <row r="36" spans="1:3" x14ac:dyDescent="0.25">
      <c r="A36" s="132" t="s">
        <v>117</v>
      </c>
      <c r="B36" s="13"/>
    </row>
    <row r="37" spans="1:3" x14ac:dyDescent="0.25">
      <c r="A37" t="s">
        <v>118</v>
      </c>
    </row>
    <row r="38" spans="1:3" x14ac:dyDescent="0.25">
      <c r="A38" t="s">
        <v>119</v>
      </c>
      <c r="B38" s="86">
        <v>36000000</v>
      </c>
    </row>
    <row r="39" spans="1:3" x14ac:dyDescent="0.25">
      <c r="A39" t="s">
        <v>120</v>
      </c>
      <c r="B39" s="86">
        <v>42000000</v>
      </c>
    </row>
    <row r="40" spans="1:3" x14ac:dyDescent="0.25">
      <c r="A40" t="s">
        <v>121</v>
      </c>
      <c r="B40" s="86">
        <v>48000000</v>
      </c>
    </row>
    <row r="42" spans="1:3" x14ac:dyDescent="0.25">
      <c r="A42" t="s">
        <v>122</v>
      </c>
    </row>
    <row r="43" spans="1:3" x14ac:dyDescent="0.25">
      <c r="A43" t="s">
        <v>123</v>
      </c>
      <c r="B43" s="86">
        <v>75000000</v>
      </c>
    </row>
    <row r="44" spans="1:3" x14ac:dyDescent="0.25">
      <c r="A44" t="s">
        <v>121</v>
      </c>
      <c r="B44" s="86">
        <v>95000000</v>
      </c>
    </row>
  </sheetData>
  <mergeCells count="3">
    <mergeCell ref="J10:J11"/>
    <mergeCell ref="K10:K11"/>
    <mergeCell ref="B12:B14"/>
  </mergeCells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Summary</vt:lpstr>
      <vt:lpstr>IRR</vt:lpstr>
      <vt:lpstr>Rev</vt:lpstr>
      <vt:lpstr>BOQ</vt:lpstr>
      <vt:lpstr>REVENUE</vt:lpstr>
      <vt:lpstr>PI Shopping Center</vt:lpstr>
      <vt:lpstr>The Plaza Office</vt:lpstr>
      <vt:lpstr>PARAMETER</vt:lpstr>
      <vt:lpstr>IRR!Print_Area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2023-07-06T04:20:42Z</cp:lastPrinted>
  <dcterms:created xsi:type="dcterms:W3CDTF">2020-06-08T08:40:20Z</dcterms:created>
  <dcterms:modified xsi:type="dcterms:W3CDTF">2024-02-22T04:45:53Z</dcterms:modified>
</cp:coreProperties>
</file>