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/>
  <mc:AlternateContent xmlns:mc="http://schemas.openxmlformats.org/markup-compatibility/2006">
    <mc:Choice Requires="x15">
      <x15ac:absPath xmlns:x15ac="http://schemas.microsoft.com/office/spreadsheetml/2010/11/ac" url="D:\2020 strategic planning\PnL\IBC\Brawijaya Antasari\"/>
    </mc:Choice>
  </mc:AlternateContent>
  <xr:revisionPtr revIDLastSave="0" documentId="13_ncr:1_{4F3F5E52-9806-465A-8EF3-42E6B955A4BA}" xr6:coauthVersionLast="36" xr6:coauthVersionMax="36" xr10:uidLastSave="{00000000-0000-0000-0000-000000000000}"/>
  <bookViews>
    <workbookView xWindow="-110" yWindow="-110" windowWidth="19430" windowHeight="10430" xr2:uid="{00000000-000D-0000-FFFF-FFFF00000000}"/>
  </bookViews>
  <sheets>
    <sheet name="Summary" sheetId="6" r:id="rId1"/>
    <sheet name="IRR" sheetId="1" r:id="rId2"/>
    <sheet name="PARAMETER" sheetId="2" r:id="rId3"/>
    <sheet name="Book Value" sheetId="7" r:id="rId4"/>
    <sheet name="Summary Review new" sheetId="8" r:id="rId5"/>
  </sheets>
  <externalReferences>
    <externalReference r:id="rId6"/>
    <externalReference r:id="rId7"/>
    <externalReference r:id="rId8"/>
  </externalReferences>
  <definedNames>
    <definedName name="jk" localSheetId="4">#REF!</definedName>
    <definedName name="jk">#REF!</definedName>
    <definedName name="_xlnm.Print_Area" localSheetId="1">IRR!$B$1:$L$52</definedName>
    <definedName name="_xlnm.Print_Area" localSheetId="0">Summary!$B$1:$N$36</definedName>
    <definedName name="_xlnm.Print_Area" localSheetId="4">'Summary Review new'!$A$1:$D$21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4" i="6" l="1"/>
  <c r="M13" i="6"/>
  <c r="M12" i="6"/>
  <c r="M11" i="6"/>
  <c r="J18" i="1"/>
  <c r="M6" i="6"/>
  <c r="M7" i="6" s="1"/>
  <c r="G9" i="1" l="1"/>
  <c r="F37" i="1" l="1"/>
  <c r="Q74" i="1"/>
  <c r="P77" i="1"/>
  <c r="O77" i="1"/>
  <c r="N77" i="1"/>
  <c r="M77" i="1"/>
  <c r="L77" i="1"/>
  <c r="K77" i="1"/>
  <c r="J77" i="1"/>
  <c r="I77" i="1"/>
  <c r="H77" i="1"/>
  <c r="G77" i="1"/>
  <c r="V73" i="1"/>
  <c r="U73" i="1"/>
  <c r="T73" i="1"/>
  <c r="S73" i="1"/>
  <c r="R73" i="1"/>
  <c r="Q73" i="1"/>
  <c r="P73" i="1"/>
  <c r="U71" i="1"/>
  <c r="T71" i="1"/>
  <c r="S71" i="1"/>
  <c r="R71" i="1"/>
  <c r="Q71" i="1"/>
  <c r="P72" i="1"/>
  <c r="S70" i="1"/>
  <c r="R70" i="1"/>
  <c r="Q70" i="1"/>
  <c r="P70" i="1"/>
  <c r="O70" i="1"/>
  <c r="N70" i="1"/>
  <c r="M70" i="1"/>
  <c r="R68" i="1"/>
  <c r="Q68" i="1"/>
  <c r="P68" i="1"/>
  <c r="O68" i="1"/>
  <c r="N68" i="1"/>
  <c r="M69" i="1"/>
  <c r="O67" i="1"/>
  <c r="N67" i="1"/>
  <c r="M67" i="1"/>
  <c r="L67" i="1"/>
  <c r="K67" i="1"/>
  <c r="J67" i="1"/>
  <c r="I67" i="1"/>
  <c r="N65" i="1"/>
  <c r="M65" i="1"/>
  <c r="L65" i="1"/>
  <c r="K65" i="1"/>
  <c r="J65" i="1"/>
  <c r="I62" i="1"/>
  <c r="I66" i="1"/>
  <c r="L61" i="1"/>
  <c r="K61" i="1"/>
  <c r="J61" i="1"/>
  <c r="I61" i="1"/>
  <c r="H61" i="1"/>
  <c r="H64" i="1"/>
  <c r="G61" i="1"/>
  <c r="H63" i="1"/>
  <c r="G60" i="1"/>
  <c r="Q75" i="1" l="1"/>
  <c r="R74" i="1" s="1"/>
  <c r="Q76" i="1"/>
  <c r="Q77" i="1" s="1"/>
  <c r="G32" i="1" s="1"/>
  <c r="J62" i="1"/>
  <c r="I64" i="1"/>
  <c r="R62" i="1"/>
  <c r="Q62" i="1"/>
  <c r="P62" i="1"/>
  <c r="O62" i="1"/>
  <c r="P64" i="1" s="1"/>
  <c r="N62" i="1"/>
  <c r="O64" i="1" s="1"/>
  <c r="P59" i="1"/>
  <c r="O59" i="1"/>
  <c r="N59" i="1"/>
  <c r="O61" i="1" s="1"/>
  <c r="M59" i="1"/>
  <c r="N61" i="1" s="1"/>
  <c r="L59" i="1"/>
  <c r="H59" i="1"/>
  <c r="I59" i="1" s="1"/>
  <c r="S74" i="1" l="1"/>
  <c r="S76" i="1"/>
  <c r="S77" i="1" s="1"/>
  <c r="I32" i="1" s="1"/>
  <c r="R76" i="1"/>
  <c r="R77" i="1" s="1"/>
  <c r="H32" i="1" s="1"/>
  <c r="K62" i="1"/>
  <c r="J64" i="1"/>
  <c r="M61" i="1"/>
  <c r="P61" i="1"/>
  <c r="J59" i="1"/>
  <c r="K18" i="1"/>
  <c r="T74" i="1" l="1"/>
  <c r="L62" i="1"/>
  <c r="K64" i="1"/>
  <c r="K59" i="1"/>
  <c r="L2" i="7"/>
  <c r="I2" i="7"/>
  <c r="U74" i="1" l="1"/>
  <c r="T76" i="1"/>
  <c r="T77" i="1" s="1"/>
  <c r="J32" i="1" s="1"/>
  <c r="M62" i="1"/>
  <c r="M64" i="1"/>
  <c r="L64" i="1"/>
  <c r="N64" i="1"/>
  <c r="L9" i="7"/>
  <c r="K9" i="7"/>
  <c r="J9" i="7"/>
  <c r="K8" i="7"/>
  <c r="J8" i="7"/>
  <c r="L6" i="7"/>
  <c r="K6" i="7"/>
  <c r="J6" i="7"/>
  <c r="L5" i="7"/>
  <c r="L8" i="7" s="1"/>
  <c r="K5" i="7"/>
  <c r="J5" i="7"/>
  <c r="V74" i="1" l="1"/>
  <c r="W76" i="1" s="1"/>
  <c r="U76" i="1"/>
  <c r="U77" i="1" s="1"/>
  <c r="K32" i="1" s="1"/>
  <c r="L18" i="1"/>
  <c r="V76" i="1" l="1"/>
  <c r="V77" i="1" s="1"/>
  <c r="I17" i="1"/>
  <c r="J17" i="1" l="1"/>
  <c r="K17" i="1" s="1"/>
  <c r="L17" i="1" s="1"/>
  <c r="H20" i="1"/>
  <c r="I20" i="1"/>
  <c r="G20" i="1"/>
  <c r="K20" i="1" l="1"/>
  <c r="J20" i="1"/>
  <c r="C9" i="7"/>
  <c r="E9" i="7"/>
  <c r="F9" i="7"/>
  <c r="G9" i="7"/>
  <c r="C8" i="7"/>
  <c r="E8" i="7"/>
  <c r="G8" i="7"/>
  <c r="H8" i="7"/>
  <c r="C6" i="7"/>
  <c r="D6" i="7"/>
  <c r="D9" i="7" s="1"/>
  <c r="E6" i="7"/>
  <c r="F6" i="7"/>
  <c r="G6" i="7"/>
  <c r="H6" i="7"/>
  <c r="H9" i="7" s="1"/>
  <c r="I6" i="7"/>
  <c r="I9" i="7" s="1"/>
  <c r="B6" i="7"/>
  <c r="B9" i="7" s="1"/>
  <c r="C5" i="7"/>
  <c r="D5" i="7"/>
  <c r="D8" i="7" s="1"/>
  <c r="E5" i="7"/>
  <c r="F5" i="7"/>
  <c r="F8" i="7" s="1"/>
  <c r="G5" i="7"/>
  <c r="H5" i="7"/>
  <c r="I5" i="7"/>
  <c r="I8" i="7" s="1"/>
  <c r="B5" i="7"/>
  <c r="B8" i="7" s="1"/>
  <c r="L20" i="1" l="1"/>
  <c r="M15" i="6" s="1"/>
  <c r="G47" i="1"/>
  <c r="G52" i="1" s="1"/>
  <c r="F38" i="1"/>
  <c r="H48" i="1"/>
  <c r="L24" i="1" l="1"/>
  <c r="L23" i="1"/>
  <c r="B2" i="2"/>
  <c r="K37" i="1"/>
  <c r="J37" i="1"/>
  <c r="G26" i="1"/>
  <c r="G27" i="1" s="1"/>
  <c r="G28" i="1" s="1"/>
  <c r="H26" i="1" l="1"/>
  <c r="H27" i="1" s="1"/>
  <c r="L25" i="1" l="1"/>
  <c r="K26" i="1" l="1"/>
  <c r="I26" i="1"/>
  <c r="I27" i="1" s="1"/>
  <c r="J26" i="1"/>
  <c r="J27" i="1" l="1"/>
  <c r="J28" i="1" s="1"/>
  <c r="J29" i="1" s="1"/>
  <c r="K27" i="1"/>
  <c r="K28" i="1" s="1"/>
  <c r="K29" i="1" s="1"/>
  <c r="I28" i="1"/>
  <c r="I29" i="1" s="1"/>
  <c r="L26" i="1"/>
  <c r="L27" i="1" s="1"/>
  <c r="I49" i="1"/>
  <c r="I16" i="2" l="1"/>
  <c r="J16" i="2" s="1"/>
  <c r="F16" i="2"/>
  <c r="I15" i="2"/>
  <c r="H15" i="2"/>
  <c r="F15" i="2"/>
  <c r="G14" i="2"/>
  <c r="J14" i="2" s="1"/>
  <c r="I13" i="2"/>
  <c r="F13" i="2"/>
  <c r="J13" i="2" s="1"/>
  <c r="F12" i="2"/>
  <c r="D12" i="2"/>
  <c r="J15" i="2" l="1"/>
  <c r="J12" i="2"/>
  <c r="J17" i="2"/>
  <c r="K17" i="2" s="1"/>
  <c r="G37" i="1" l="1"/>
  <c r="H37" i="1"/>
  <c r="I37" i="1"/>
  <c r="M9" i="6" l="1"/>
  <c r="B4" i="2" l="1"/>
  <c r="C2" i="2" s="1"/>
  <c r="B5" i="2"/>
  <c r="C5" i="2" l="1"/>
  <c r="D2" i="2"/>
  <c r="D5" i="2" l="1"/>
  <c r="E2" i="2"/>
  <c r="E5" i="2" l="1"/>
  <c r="F2" i="2"/>
  <c r="F5" i="2" l="1"/>
  <c r="G2" i="2"/>
  <c r="G5" i="2" s="1"/>
  <c r="H2" i="2" l="1"/>
  <c r="H5" i="2" s="1"/>
  <c r="I2" i="2" l="1"/>
  <c r="I5" i="2" s="1"/>
  <c r="J2" i="2" l="1"/>
  <c r="J5" i="2" s="1"/>
  <c r="K2" i="2" l="1"/>
  <c r="K5" i="2" s="1"/>
  <c r="J49" i="1" l="1"/>
  <c r="K49" i="1" s="1"/>
  <c r="I48" i="1"/>
  <c r="J48" i="1" s="1"/>
  <c r="K48" i="1" s="1"/>
  <c r="G30" i="1"/>
  <c r="G31" i="1" s="1"/>
  <c r="H47" i="1" l="1"/>
  <c r="J50" i="1"/>
  <c r="H52" i="1" l="1"/>
  <c r="H30" i="1" s="1"/>
  <c r="I47" i="1"/>
  <c r="I52" i="1" l="1"/>
  <c r="I30" i="1" s="1"/>
  <c r="J47" i="1"/>
  <c r="J52" i="1" l="1"/>
  <c r="J30" i="1" s="1"/>
  <c r="K47" i="1"/>
  <c r="K50" i="1" l="1"/>
  <c r="K52" i="1" s="1"/>
  <c r="K30" i="1" l="1"/>
  <c r="I46" i="1"/>
  <c r="J46" i="1"/>
  <c r="K46" i="1"/>
  <c r="H28" i="1" l="1"/>
  <c r="H29" i="1" s="1"/>
  <c r="F39" i="1"/>
  <c r="H31" i="1" l="1"/>
  <c r="H33" i="1" s="1"/>
  <c r="I31" i="1"/>
  <c r="H34" i="1" l="1"/>
  <c r="H35" i="1" s="1"/>
  <c r="H38" i="1" s="1"/>
  <c r="L28" i="1"/>
  <c r="L29" i="1" s="1"/>
  <c r="F43" i="1" s="1"/>
  <c r="I33" i="1"/>
  <c r="G33" i="1"/>
  <c r="G34" i="1" s="1"/>
  <c r="G35" i="1" s="1"/>
  <c r="J31" i="1"/>
  <c r="H46" i="1"/>
  <c r="G46" i="1"/>
  <c r="I34" i="1" l="1"/>
  <c r="I35" i="1" s="1"/>
  <c r="I38" i="1" s="1"/>
  <c r="M19" i="6"/>
  <c r="G38" i="1"/>
  <c r="J33" i="1"/>
  <c r="G39" i="1" l="1"/>
  <c r="J34" i="1"/>
  <c r="J35" i="1" s="1"/>
  <c r="J38" i="1" s="1"/>
  <c r="L30" i="1"/>
  <c r="G40" i="1" l="1"/>
  <c r="H39" i="1"/>
  <c r="H40" i="1" s="1"/>
  <c r="L32" i="1"/>
  <c r="K31" i="1"/>
  <c r="I39" i="1" l="1"/>
  <c r="J39" i="1" s="1"/>
  <c r="J40" i="1" s="1"/>
  <c r="K33" i="1"/>
  <c r="L31" i="1"/>
  <c r="I40" i="1" l="1"/>
  <c r="L33" i="1"/>
  <c r="K34" i="1"/>
  <c r="K35" i="1" s="1"/>
  <c r="K38" i="1" s="1"/>
  <c r="L38" i="1" s="1"/>
  <c r="F42" i="1" l="1"/>
  <c r="M18" i="6" s="1"/>
  <c r="F41" i="1"/>
  <c r="M17" i="6" s="1"/>
  <c r="K39" i="1"/>
  <c r="K40" i="1" s="1"/>
  <c r="L34" i="1"/>
  <c r="L35" i="1" s="1"/>
  <c r="F44" i="1" l="1"/>
  <c r="M20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11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<sst xmlns="http://schemas.openxmlformats.org/spreadsheetml/2006/main" count="252" uniqueCount="192">
  <si>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</si>
  <si>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</si>
  <si>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</si>
  <si>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</si>
  <si>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</si>
  <si>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</si>
  <si>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</si>
  <si>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</si>
  <si>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</si>
  <si>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</si>
  <si>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</si>
  <si>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</si>
  <si>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</si>
  <si>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</si>
  <si>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</si>
  <si>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</si>
  <si>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</si>
  <si>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</si>
  <si>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</si>
  <si>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</si>
  <si>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</si>
  <si>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</si>
  <si>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</si>
  <si>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</si>
  <si>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</si>
  <si>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</si>
  <si>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</si>
  <si>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</si>
  <si>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</si>
  <si>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</si>
  <si>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</si>
  <si>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</si>
  <si>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</si>
  <si>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</si>
  <si>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</si>
  <si>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</si>
  <si>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</si>
  <si>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</si>
  <si>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</si>
  <si>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</si>
  <si>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</si>
  <si>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Lease to BM</t>
  </si>
  <si>
    <t>Maintenance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</si>
  <si>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</si>
  <si>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</si>
  <si>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</si>
  <si>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</si>
  <si>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</si>
  <si>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</si>
  <si>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</si>
  <si>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</si>
  <si>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</si>
  <si>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</si>
  <si>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</si>
  <si>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</si>
  <si>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</si>
  <si>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</si>
  <si>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</si>
  <si>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</si>
  <si>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</si>
  <si>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</si>
  <si>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</si>
  <si>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</si>
  <si>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</si>
  <si>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</si>
  <si>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</si>
  <si>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</si>
  <si>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</si>
  <si>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</si>
  <si>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</si>
  <si>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</si>
  <si>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</si>
  <si>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</si>
  <si>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floor</t>
  </si>
  <si>
    <t>Cable FO (Core)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</si>
  <si>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</si>
  <si>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</si>
  <si>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</si>
  <si>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</si>
  <si>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</si>
  <si>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</si>
  <si>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</si>
  <si>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DAS</t>
  </si>
  <si>
    <t>BTS</t>
  </si>
  <si>
    <t>Price Adjustment after 5 years</t>
  </si>
  <si>
    <t>Revenue</t>
  </si>
  <si>
    <t>Target Achieved by Commercial:</t>
  </si>
  <si>
    <t xml:space="preserve">Tanggal P&amp;L:  </t>
  </si>
  <si>
    <t>IBS / DAS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</si>
  <si>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</si>
  <si>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</si>
  <si>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</si>
  <si>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</si>
  <si>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</si>
  <si>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</si>
  <si>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</si>
  <si>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</si>
  <si>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</si>
  <si>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</si>
  <si>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</si>
  <si>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</si>
  <si>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</si>
  <si>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</si>
  <si>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</si>
  <si>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</si>
  <si>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</si>
  <si>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</si>
  <si>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</si>
  <si>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</si>
  <si>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</si>
  <si>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</si>
  <si>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</si>
  <si>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</si>
  <si>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</si>
  <si>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</si>
  <si>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</si>
  <si>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</si>
  <si>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</si>
  <si>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</si>
  <si>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</si>
  <si>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</si>
  <si>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</si>
  <si>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</si>
  <si>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</si>
  <si>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</si>
  <si>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</si>
  <si>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</si>
  <si>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</si>
  <si>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</si>
  <si>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</si>
  <si>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Total Revenues (SF)</t>
  </si>
  <si>
    <t xml:space="preserve">: </t>
  </si>
  <si>
    <t>TSEL</t>
  </si>
  <si>
    <t>XL</t>
  </si>
  <si>
    <t>DKI Jakarta</t>
  </si>
  <si>
    <t>IOH</t>
  </si>
  <si>
    <t>New</t>
  </si>
  <si>
    <t>RS Brawijaya Antasari</t>
  </si>
  <si>
    <t>Hospital</t>
  </si>
  <si>
    <t>New DAS</t>
  </si>
  <si>
    <t>Book Value Capex</t>
  </si>
  <si>
    <t>RS BRAWIJAYA ANTASARI</t>
  </si>
  <si>
    <t>SUMMARY REVIEW</t>
  </si>
  <si>
    <t xml:space="preserve">Nama Site                          </t>
  </si>
  <si>
    <t>: RSIA Brawijaya</t>
  </si>
  <si>
    <t xml:space="preserve">Nama Pemilik      </t>
  </si>
  <si>
    <t>: Brawijaya Medikatama</t>
  </si>
  <si>
    <t xml:space="preserve">Alamat Pemilik      </t>
  </si>
  <si>
    <t>: Jl. Taman Brawijaya No. 1 Cipete</t>
  </si>
  <si>
    <t xml:space="preserve">Telp                                            </t>
  </si>
  <si>
    <t>: 021-7211337</t>
  </si>
  <si>
    <t xml:space="preserve">Obyek Sewa            </t>
  </si>
  <si>
    <t>: Area roof top</t>
  </si>
  <si>
    <t xml:space="preserve">No. </t>
  </si>
  <si>
    <t>Keterangan</t>
  </si>
  <si>
    <t>Existing</t>
  </si>
  <si>
    <t>Renewal</t>
  </si>
  <si>
    <t>1.</t>
  </si>
  <si>
    <t>Scope Of Lease</t>
  </si>
  <si>
    <t>2.</t>
  </si>
  <si>
    <t>Obyek Sewa</t>
  </si>
  <si>
    <t>47Omni, 8 Pole, 30M2 RBS</t>
  </si>
  <si>
    <t>3.</t>
  </si>
  <si>
    <t>Periode Sewa</t>
  </si>
  <si>
    <t>01/05/2019 s/d 30/04/2024 (5 tahun)</t>
  </si>
  <si>
    <t>01/05/2024 s/d 30/04/2029 (5 tahun)</t>
  </si>
  <si>
    <t>Harga Sewa / Masa Sewa</t>
  </si>
  <si>
    <t>Rp.                                                         250.000.000</t>
  </si>
  <si>
    <t>Rp.                                                         270.000.000</t>
  </si>
  <si>
    <t>Harga Sewa / Tahun</t>
  </si>
  <si>
    <t>Rp.                                                         50.000.000</t>
  </si>
  <si>
    <t>Rp.                                                         54.000.000</t>
  </si>
  <si>
    <t>Operator Join</t>
  </si>
  <si>
    <t>Telkomsel (13/07/2021 s/d 12/07/2024)</t>
  </si>
  <si>
    <t>Telkomsel (13/07/2024 s/d 12/07/2029)</t>
  </si>
  <si>
    <t>6.</t>
  </si>
  <si>
    <t>Kenaikan/ Penurunan Harga</t>
  </si>
  <si>
    <t>mengalami kenaikan Harga 8 %</t>
  </si>
  <si>
    <t>XL (6 /11/2019 s/d 5/11/2024)</t>
  </si>
  <si>
    <t>XL (6 /11/2024 s/d 5/11/2029)</t>
  </si>
  <si>
    <t>Citra Kartika</t>
  </si>
  <si>
    <t>0025/03/IRR/IBC/XI/2023</t>
  </si>
  <si>
    <t>47 (MOS)</t>
  </si>
  <si>
    <t>7 (Resell Isat)</t>
  </si>
  <si>
    <t>2 pole 6m</t>
  </si>
  <si>
    <t>Capex DAS</t>
  </si>
  <si>
    <t>Total Capex BV</t>
  </si>
  <si>
    <t>Total Capex New DAS</t>
  </si>
  <si>
    <t>Total Opex Sewa</t>
  </si>
  <si>
    <t>Total Opex Other</t>
  </si>
  <si>
    <t>: Tidak ada penurunan harga Renewal Operator</t>
  </si>
  <si>
    <t>: Sebelumnya Reseller Isat menjadi MOS IBS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</si>
</sst>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-&quot;Rp&quot;* #,##0_-;\-&quot;Rp&quot;* #,##0_-;_-&quot;Rp&quot;* &quot;-&quot;_-;_-@_-"/>
    <numFmt numFmtId="41" formatCode="_-* #,##0_-;\-* #,##0_-;_-* &quot;-&quot;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  <numFmt numFmtId="167" formatCode="_(* #,##0.0_);_(* \(#,##0.0\);_(* &quot;-&quot;??_);_(@_)"/>
    <numFmt numFmtId="168" formatCode="_-* #,##0.0_-;\-* #,##0.0_-;_-* &quot;-&quot;_-;_-@_-"/>
    <numFmt numFmtId="169" formatCode="_(&quot;Rp&quot;* #,##0_);_(&quot;Rp&quot;* \(#,##0\);_(&quot;Rp&quot;* &quot;-&quot;_);_(@_)"/>
    <numFmt numFmtId="175" formatCode="_-* #,##0_-;\-* #,##0_-;_-* &quot;-&quot;_-;_-@_-"/>
    <numFmt numFmtId="177" formatCode="_-* #,##0.00_-;\-* #,##0.00_-;_-* &quot;-&quot;??_-;_-@_-"/>
  </numFmts>
  <fonts count="3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/>
    <xf numFmtId="165" fontId="9" fillId="0" borderId="0" applyFont="0" applyFill="0" applyBorder="0" applyAlignment="0" applyProtection="0"/>
    <xf numFmtId="41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8" fillId="0" borderId="0"/>
    <xf numFmtId="0" fontId="24" fillId="0" borderId="0"/>
    <xf numFmtId="165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4" fontId="10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29" fillId="0" borderId="0"/>
    <xf numFmtId="0" fontId="29" fillId="0" borderId="0"/>
    <xf numFmtId="165" fontId="29" fillId="0" borderId="0" applyFont="0" applyFill="0" applyBorder="0" applyAlignment="0" applyProtection="0"/>
    <xf numFmtId="169" fontId="4" fillId="0" borderId="0" applyFont="0" applyFill="0" applyBorder="0" applyAlignment="0" applyProtection="0"/>
    <xf numFmtId="0" fontId="4" fillId="0" borderId="0"/>
    <xf numFmtId="165" fontId="3" fillId="0" borderId="0" applyFont="0" applyFill="0" applyBorder="0" applyAlignment="0" applyProtection="0"/>
    <xf numFmtId="0" fontId="24" fillId="0" borderId="0"/>
    <xf numFmtId="0" fontId="2" fillId="0" borderId="0"/>
    <xf numFmtId="169" fontId="24" fillId="0" borderId="0" applyFont="0" applyFill="0" applyBorder="0" applyAlignment="0" applyProtection="0"/>
    <xf numFmtId="0" fontId="24" fillId="0" borderId="0"/>
    <xf numFmtId="41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175" fontId="10" fillId="0" borderId="0" applyFont="0" applyFill="0" applyBorder="0" applyAlignment="0" applyProtection="0"/>
    <xf numFmtId="0" fontId="1" fillId="0" borderId="0"/>
    <xf numFmtId="43" fontId="24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9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75" fontId="10" fillId="0" borderId="0" applyFont="0" applyFill="0" applyBorder="0" applyAlignment="0" applyProtection="0"/>
    <xf numFmtId="0" fontId="1" fillId="0" borderId="0"/>
    <xf numFmtId="0" fontId="24" fillId="0" borderId="0"/>
    <xf numFmtId="41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9">
    <xf numFmtId="0" fontId="0" fillId="0" borderId="0" xfId="0"/>
    <xf numFmtId="0" fontId="11" fillId="0" borderId="0" xfId="0" applyFont="1"/>
    <xf numFmtId="0" fontId="0" fillId="0" borderId="0" xfId="0" applyAlignment="1">
      <alignment vertical="center"/>
    </xf>
    <xf numFmtId="0" fontId="12" fillId="0" borderId="0" xfId="0" applyFont="1"/>
    <xf numFmtId="0" fontId="0" fillId="3" borderId="0" xfId="0" applyFill="1"/>
    <xf numFmtId="9" fontId="13" fillId="0" borderId="0" xfId="2" applyNumberFormat="1" applyFont="1"/>
    <xf numFmtId="10" fontId="13" fillId="0" borderId="0" xfId="2" applyNumberFormat="1" applyFont="1"/>
    <xf numFmtId="0" fontId="0" fillId="0" borderId="1" xfId="0" applyBorder="1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3" fillId="0" borderId="0" xfId="0" applyNumberFormat="1" applyFont="1" applyBorder="1"/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8" fillId="0" borderId="0" xfId="0" applyFont="1"/>
    <xf numFmtId="0" fontId="18" fillId="0" borderId="0" xfId="0" applyFont="1" applyAlignment="1">
      <alignment vertical="center"/>
    </xf>
    <xf numFmtId="165" fontId="18" fillId="0" borderId="0" xfId="1" applyFont="1"/>
    <xf numFmtId="41" fontId="0" fillId="0" borderId="2" xfId="2" applyFont="1" applyBorder="1" applyAlignment="1">
      <alignment vertical="center"/>
    </xf>
    <xf numFmtId="41" fontId="11" fillId="0" borderId="0" xfId="0" applyNumberFormat="1" applyFont="1" applyAlignment="1">
      <alignment vertical="center"/>
    </xf>
    <xf numFmtId="0" fontId="19" fillId="0" borderId="0" xfId="0" applyFont="1"/>
    <xf numFmtId="0" fontId="20" fillId="0" borderId="0" xfId="0" applyFont="1"/>
    <xf numFmtId="9" fontId="19" fillId="0" borderId="0" xfId="3" applyFont="1" applyAlignment="1">
      <alignment vertical="center"/>
    </xf>
    <xf numFmtId="0" fontId="0" fillId="0" borderId="0" xfId="0" applyFill="1" applyBorder="1"/>
    <xf numFmtId="38" fontId="14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6" fontId="17" fillId="0" borderId="0" xfId="1" applyNumberFormat="1" applyFont="1"/>
    <xf numFmtId="0" fontId="0" fillId="0" borderId="0" xfId="0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166" fontId="0" fillId="0" borderId="0" xfId="0" applyNumberFormat="1"/>
    <xf numFmtId="0" fontId="11" fillId="0" borderId="4" xfId="0" applyFont="1" applyBorder="1"/>
    <xf numFmtId="0" fontId="0" fillId="0" borderId="4" xfId="0" applyBorder="1"/>
    <xf numFmtId="166" fontId="11" fillId="0" borderId="4" xfId="0" applyNumberFormat="1" applyFont="1" applyBorder="1" applyAlignment="1">
      <alignment vertical="center"/>
    </xf>
    <xf numFmtId="0" fontId="0" fillId="0" borderId="0" xfId="0" applyBorder="1"/>
    <xf numFmtId="41" fontId="16" fillId="0" borderId="0" xfId="0" applyNumberFormat="1" applyFont="1" applyBorder="1"/>
    <xf numFmtId="41" fontId="15" fillId="0" borderId="0" xfId="0" applyNumberFormat="1" applyFont="1" applyBorder="1"/>
    <xf numFmtId="166" fontId="11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5" fontId="18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1" fillId="3" borderId="0" xfId="0" applyNumberFormat="1" applyFont="1" applyFill="1" applyBorder="1" applyAlignment="1">
      <alignment vertical="center"/>
    </xf>
    <xf numFmtId="0" fontId="11" fillId="3" borderId="0" xfId="0" applyFont="1" applyFill="1" applyBorder="1"/>
    <xf numFmtId="9" fontId="19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1" fillId="0" borderId="0" xfId="0" applyFont="1" applyBorder="1" applyAlignment="1">
      <alignment horizontal="center"/>
    </xf>
    <xf numFmtId="0" fontId="22" fillId="0" borderId="6" xfId="0" applyFont="1" applyBorder="1"/>
    <xf numFmtId="0" fontId="22" fillId="0" borderId="3" xfId="0" applyFont="1" applyBorder="1"/>
    <xf numFmtId="0" fontId="22" fillId="0" borderId="8" xfId="0" applyFont="1" applyBorder="1"/>
    <xf numFmtId="0" fontId="22" fillId="0" borderId="0" xfId="0" applyFont="1" applyBorder="1"/>
    <xf numFmtId="41" fontId="22" fillId="0" borderId="9" xfId="0" applyNumberFormat="1" applyFont="1" applyBorder="1"/>
    <xf numFmtId="9" fontId="22" fillId="0" borderId="9" xfId="3" applyFont="1" applyBorder="1"/>
    <xf numFmtId="0" fontId="22" fillId="0" borderId="10" xfId="0" applyFont="1" applyBorder="1"/>
    <xf numFmtId="0" fontId="22" fillId="0" borderId="2" xfId="0" applyFont="1" applyBorder="1"/>
    <xf numFmtId="167" fontId="22" fillId="0" borderId="11" xfId="1" applyNumberFormat="1" applyFont="1" applyBorder="1"/>
    <xf numFmtId="0" fontId="11" fillId="0" borderId="12" xfId="0" applyFont="1" applyBorder="1"/>
    <xf numFmtId="41" fontId="11" fillId="0" borderId="12" xfId="0" applyNumberFormat="1" applyFont="1" applyBorder="1" applyAlignment="1">
      <alignment vertical="center"/>
    </xf>
    <xf numFmtId="166" fontId="10" fillId="0" borderId="0" xfId="17" applyNumberFormat="1" applyFont="1"/>
    <xf numFmtId="41" fontId="0" fillId="0" borderId="0" xfId="2" applyFont="1" applyAlignment="1">
      <alignment vertical="center"/>
    </xf>
    <xf numFmtId="41" fontId="10" fillId="0" borderId="0" xfId="2" applyFont="1" applyFill="1"/>
    <xf numFmtId="166" fontId="0" fillId="4" borderId="0" xfId="0" applyNumberFormat="1" applyFill="1" applyAlignment="1">
      <alignment vertical="center"/>
    </xf>
    <xf numFmtId="0" fontId="22" fillId="5" borderId="1" xfId="0" applyFont="1" applyFill="1" applyBorder="1" applyAlignment="1">
      <alignment horizontal="center"/>
    </xf>
    <xf numFmtId="0" fontId="14" fillId="5" borderId="0" xfId="0" applyFont="1" applyFill="1"/>
    <xf numFmtId="41" fontId="22" fillId="5" borderId="12" xfId="0" applyNumberFormat="1" applyFont="1" applyFill="1" applyBorder="1" applyAlignment="1">
      <alignment vertical="center"/>
    </xf>
    <xf numFmtId="165" fontId="23" fillId="5" borderId="0" xfId="1" applyFont="1" applyFill="1"/>
    <xf numFmtId="41" fontId="14" fillId="5" borderId="0" xfId="0" applyNumberFormat="1" applyFont="1" applyFill="1" applyBorder="1" applyAlignment="1">
      <alignment vertical="center"/>
    </xf>
    <xf numFmtId="41" fontId="11" fillId="5" borderId="0" xfId="0" applyNumberFormat="1" applyFont="1" applyFill="1" applyAlignment="1">
      <alignment vertical="center"/>
    </xf>
    <xf numFmtId="9" fontId="19" fillId="5" borderId="0" xfId="3" applyFont="1" applyFill="1" applyAlignment="1">
      <alignment vertical="center"/>
    </xf>
    <xf numFmtId="41" fontId="14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41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165" fontId="0" fillId="5" borderId="2" xfId="1" applyFont="1" applyFill="1" applyBorder="1"/>
    <xf numFmtId="38" fontId="0" fillId="5" borderId="0" xfId="0" applyNumberFormat="1" applyFill="1"/>
    <xf numFmtId="166" fontId="17" fillId="5" borderId="0" xfId="1" applyNumberFormat="1" applyFont="1" applyFill="1"/>
    <xf numFmtId="0" fontId="14" fillId="0" borderId="0" xfId="0" applyFont="1"/>
    <xf numFmtId="41" fontId="22" fillId="0" borderId="4" xfId="0" applyNumberFormat="1" applyFont="1" applyBorder="1"/>
    <xf numFmtId="41" fontId="22" fillId="0" borderId="0" xfId="0" applyNumberFormat="1" applyFont="1" applyBorder="1"/>
    <xf numFmtId="41" fontId="11" fillId="5" borderId="12" xfId="0" applyNumberFormat="1" applyFont="1" applyFill="1" applyBorder="1" applyAlignment="1">
      <alignment vertical="center"/>
    </xf>
    <xf numFmtId="41" fontId="22" fillId="0" borderId="0" xfId="0" applyNumberFormat="1" applyFont="1" applyFill="1" applyBorder="1"/>
    <xf numFmtId="41" fontId="22" fillId="0" borderId="0" xfId="0" applyNumberFormat="1" applyFont="1"/>
    <xf numFmtId="0" fontId="22" fillId="0" borderId="0" xfId="0" applyFont="1"/>
    <xf numFmtId="41" fontId="0" fillId="0" borderId="0" xfId="0" applyNumberFormat="1" applyAlignment="1">
      <alignment horizontal="right" vertical="center"/>
    </xf>
    <xf numFmtId="41" fontId="0" fillId="5" borderId="0" xfId="2" applyFont="1" applyFill="1" applyBorder="1"/>
    <xf numFmtId="9" fontId="22" fillId="0" borderId="7" xfId="0" applyNumberFormat="1" applyFont="1" applyBorder="1"/>
    <xf numFmtId="41" fontId="0" fillId="0" borderId="0" xfId="2" applyFont="1"/>
    <xf numFmtId="0" fontId="0" fillId="0" borderId="0" xfId="0" applyFont="1"/>
    <xf numFmtId="0" fontId="11" fillId="0" borderId="0" xfId="0" applyFont="1" applyBorder="1"/>
    <xf numFmtId="0" fontId="26" fillId="0" borderId="0" xfId="0" applyFont="1"/>
    <xf numFmtId="0" fontId="0" fillId="0" borderId="0" xfId="0" applyFont="1" applyBorder="1"/>
    <xf numFmtId="0" fontId="25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1" fillId="0" borderId="19" xfId="2" applyNumberFormat="1" applyFont="1" applyBorder="1"/>
    <xf numFmtId="9" fontId="11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41" fontId="0" fillId="0" borderId="0" xfId="0" quotePrefix="1" applyNumberFormat="1" applyAlignment="1">
      <alignment vertical="center"/>
    </xf>
    <xf numFmtId="0" fontId="11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43" fontId="0" fillId="0" borderId="0" xfId="0" applyNumberFormat="1"/>
    <xf numFmtId="0" fontId="11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1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5" fillId="0" borderId="0" xfId="0" applyFont="1" applyBorder="1" applyAlignment="1"/>
    <xf numFmtId="14" fontId="25" fillId="0" borderId="0" xfId="0" applyNumberFormat="1" applyFont="1" applyBorder="1" applyAlignment="1"/>
    <xf numFmtId="41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41" fontId="0" fillId="0" borderId="0" xfId="2" applyFont="1" applyFill="1" applyBorder="1"/>
    <xf numFmtId="9" fontId="0" fillId="0" borderId="0" xfId="2" applyNumberFormat="1" applyFont="1" applyBorder="1"/>
    <xf numFmtId="166" fontId="0" fillId="0" borderId="0" xfId="19" applyNumberFormat="1" applyFont="1" applyBorder="1"/>
    <xf numFmtId="0" fontId="11" fillId="0" borderId="23" xfId="0" applyFont="1" applyBorder="1" applyAlignment="1">
      <alignment horizontal="left"/>
    </xf>
    <xf numFmtId="0" fontId="0" fillId="0" borderId="23" xfId="0" applyFont="1" applyBorder="1"/>
    <xf numFmtId="0" fontId="11" fillId="0" borderId="17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6" fontId="0" fillId="7" borderId="24" xfId="0" applyNumberFormat="1" applyFill="1" applyBorder="1"/>
    <xf numFmtId="166" fontId="0" fillId="0" borderId="24" xfId="0" applyNumberFormat="1" applyBorder="1" applyAlignment="1">
      <alignment horizontal="center"/>
    </xf>
    <xf numFmtId="166" fontId="0" fillId="0" borderId="24" xfId="1" applyNumberFormat="1" applyFont="1" applyBorder="1"/>
    <xf numFmtId="166" fontId="0" fillId="0" borderId="24" xfId="0" applyNumberFormat="1" applyBorder="1"/>
    <xf numFmtId="166" fontId="0" fillId="8" borderId="24" xfId="1" applyNumberFormat="1" applyFont="1" applyFill="1" applyBorder="1"/>
    <xf numFmtId="41" fontId="11" fillId="0" borderId="18" xfId="2" applyFont="1" applyBorder="1"/>
    <xf numFmtId="168" fontId="11" fillId="0" borderId="22" xfId="2" applyNumberFormat="1" applyFont="1" applyBorder="1"/>
    <xf numFmtId="41" fontId="14" fillId="0" borderId="0" xfId="2" applyFont="1" applyAlignment="1">
      <alignment vertical="center"/>
    </xf>
    <xf numFmtId="0" fontId="11" fillId="0" borderId="0" xfId="0" applyFont="1" applyBorder="1" applyAlignment="1">
      <alignment horizontal="left"/>
    </xf>
    <xf numFmtId="0" fontId="0" fillId="0" borderId="0" xfId="0" quotePrefix="1" applyFont="1" applyBorder="1" applyAlignment="1">
      <alignment horizontal="left" indent="1"/>
    </xf>
    <xf numFmtId="41" fontId="14" fillId="5" borderId="0" xfId="0" applyNumberFormat="1" applyFont="1" applyFill="1"/>
    <xf numFmtId="166" fontId="0" fillId="0" borderId="0" xfId="19" applyNumberFormat="1" applyFont="1" applyFill="1" applyBorder="1" applyAlignment="1" applyProtection="1">
      <alignment horizontal="left"/>
      <protection locked="0"/>
    </xf>
    <xf numFmtId="0" fontId="24" fillId="0" borderId="0" xfId="26" applyFont="1"/>
    <xf numFmtId="0" fontId="30" fillId="0" borderId="0" xfId="26" applyFont="1" applyAlignment="1">
      <alignment horizontal="center"/>
    </xf>
    <xf numFmtId="0" fontId="31" fillId="0" borderId="0" xfId="26" applyFont="1" applyAlignment="1">
      <alignment horizontal="left" vertical="top"/>
    </xf>
    <xf numFmtId="0" fontId="31" fillId="0" borderId="0" xfId="26" applyFont="1"/>
    <xf numFmtId="0" fontId="24" fillId="0" borderId="24" xfId="26" applyFont="1" applyBorder="1" applyAlignment="1">
      <alignment horizontal="center" vertical="center"/>
    </xf>
    <xf numFmtId="0" fontId="24" fillId="0" borderId="24" xfId="26" applyFont="1" applyBorder="1"/>
    <xf numFmtId="0" fontId="2" fillId="0" borderId="24" xfId="27" applyBorder="1"/>
    <xf numFmtId="0" fontId="0" fillId="0" borderId="24" xfId="26" applyFont="1" applyBorder="1"/>
    <xf numFmtId="169" fontId="0" fillId="0" borderId="24" xfId="28" applyFont="1" applyBorder="1" applyAlignment="1">
      <alignment horizontal="left"/>
    </xf>
    <xf numFmtId="169" fontId="24" fillId="0" borderId="0" xfId="26" applyNumberFormat="1" applyFont="1"/>
    <xf numFmtId="0" fontId="24" fillId="0" borderId="24" xfId="26" applyFont="1" applyFill="1" applyBorder="1"/>
    <xf numFmtId="14" fontId="0" fillId="0" borderId="24" xfId="26" applyNumberFormat="1" applyFont="1" applyBorder="1"/>
    <xf numFmtId="0" fontId="24" fillId="0" borderId="24" xfId="26" applyFont="1" applyFill="1" applyBorder="1" applyAlignment="1">
      <alignment horizontal="center" vertical="center"/>
    </xf>
    <xf numFmtId="0" fontId="0" fillId="0" borderId="0" xfId="26" applyFont="1"/>
    <xf numFmtId="0" fontId="11" fillId="0" borderId="0" xfId="29" applyFont="1"/>
    <xf numFmtId="0" fontId="0" fillId="0" borderId="20" xfId="0" quotePrefix="1" applyFont="1" applyBorder="1" applyAlignment="1">
      <alignment horizontal="left" indent="1"/>
    </xf>
    <xf numFmtId="0" fontId="11" fillId="0" borderId="18" xfId="0" applyFont="1" applyBorder="1" applyAlignment="1">
      <alignment horizontal="left"/>
    </xf>
    <xf numFmtId="0" fontId="7" fillId="0" borderId="0" xfId="13"/>
    <xf numFmtId="0" fontId="11" fillId="0" borderId="0" xfId="13" applyFont="1"/>
    <xf numFmtId="0" fontId="10" fillId="0" borderId="0" xfId="17"/>
    <xf numFmtId="166" fontId="0" fillId="0" borderId="0" xfId="19" applyNumberFormat="1" applyFont="1" applyFill="1" applyBorder="1" applyAlignment="1" applyProtection="1">
      <alignment horizontal="left" vertical="top" wrapText="1"/>
      <protection locked="0"/>
    </xf>
    <xf numFmtId="41" fontId="34" fillId="0" borderId="0" xfId="0" applyNumberFormat="1" applyFont="1" applyBorder="1"/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1" fillId="0" borderId="17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11" fillId="0" borderId="0" xfId="0" applyFont="1" applyBorder="1" applyAlignment="1">
      <alignment horizontal="left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quotePrefix="1" applyFont="1" applyBorder="1" applyAlignment="1">
      <alignment horizontal="left" indent="1"/>
    </xf>
    <xf numFmtId="166" fontId="0" fillId="0" borderId="0" xfId="19" applyNumberFormat="1" applyFont="1" applyFill="1" applyBorder="1" applyAlignment="1" applyProtection="1">
      <alignment horizontal="left" vertical="top" wrapText="1"/>
      <protection locked="0"/>
    </xf>
    <xf numFmtId="166" fontId="0" fillId="0" borderId="18" xfId="19" applyNumberFormat="1" applyFont="1" applyFill="1" applyBorder="1" applyAlignment="1" applyProtection="1">
      <alignment horizontal="left" vertical="top" wrapText="1"/>
      <protection locked="0"/>
    </xf>
    <xf numFmtId="0" fontId="11" fillId="0" borderId="20" xfId="0" applyFont="1" applyFill="1" applyBorder="1" applyAlignment="1" applyProtection="1">
      <alignment horizontal="left" indent="1"/>
    </xf>
    <xf numFmtId="0" fontId="11" fillId="0" borderId="0" xfId="0" applyFont="1" applyFill="1" applyBorder="1" applyAlignment="1" applyProtection="1">
      <alignment horizontal="left" indent="1"/>
    </xf>
    <xf numFmtId="0" fontId="11" fillId="0" borderId="21" xfId="0" applyFont="1" applyFill="1" applyBorder="1" applyAlignment="1" applyProtection="1">
      <alignment horizontal="left" indent="1"/>
    </xf>
    <xf numFmtId="0" fontId="11" fillId="0" borderId="1" xfId="0" applyFont="1" applyFill="1" applyBorder="1" applyAlignment="1" applyProtection="1">
      <alignment horizontal="left" indent="1"/>
    </xf>
    <xf numFmtId="0" fontId="11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1" fillId="0" borderId="16" xfId="0" applyFont="1" applyFill="1" applyBorder="1" applyAlignment="1" applyProtection="1">
      <alignment horizontal="left" indent="1"/>
    </xf>
    <xf numFmtId="0" fontId="11" fillId="0" borderId="17" xfId="0" applyFont="1" applyFill="1" applyBorder="1" applyAlignment="1" applyProtection="1">
      <alignment horizontal="left" indent="1"/>
    </xf>
    <xf numFmtId="41" fontId="11" fillId="0" borderId="12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5" xfId="26" applyFont="1" applyBorder="1" applyAlignment="1">
      <alignment horizontal="center" wrapText="1"/>
    </xf>
    <xf numFmtId="0" fontId="24" fillId="0" borderId="29" xfId="26" applyFont="1" applyBorder="1" applyAlignment="1">
      <alignment horizontal="center" wrapText="1"/>
    </xf>
    <xf numFmtId="0" fontId="32" fillId="9" borderId="24" xfId="26" applyFont="1" applyFill="1" applyBorder="1" applyAlignment="1">
      <alignment horizontal="center" vertical="center"/>
    </xf>
    <xf numFmtId="0" fontId="33" fillId="9" borderId="26" xfId="26" applyFont="1" applyFill="1" applyBorder="1" applyAlignment="1">
      <alignment horizontal="center" vertical="center"/>
    </xf>
    <xf numFmtId="0" fontId="33" fillId="9" borderId="28" xfId="26" applyFont="1" applyFill="1" applyBorder="1" applyAlignment="1">
      <alignment horizontal="center" vertical="center"/>
    </xf>
    <xf numFmtId="0" fontId="24" fillId="0" borderId="26" xfId="26" applyFont="1" applyBorder="1" applyAlignment="1">
      <alignment horizontal="center" vertical="center"/>
    </xf>
    <xf numFmtId="0" fontId="24" fillId="0" borderId="28" xfId="26" applyFont="1" applyBorder="1" applyAlignment="1">
      <alignment horizontal="center" vertical="center"/>
    </xf>
    <xf numFmtId="0" fontId="7" fillId="0" borderId="0" xfId="13" applyAlignment="1">
      <alignment horizontal="right"/>
    </xf>
    <xf numFmtId="0" fontId="0" fillId="0" borderId="0" xfId="0" applyAlignment="1">
      <alignment horizontal="right"/>
    </xf>
    <xf numFmtId="41" fontId="0" fillId="0" borderId="0" xfId="2" applyFont="1" applyAlignment="1">
      <alignment horizontal="right"/>
    </xf>
    <xf numFmtId="41" fontId="0" fillId="0" borderId="0" xfId="0" applyNumberFormat="1" applyAlignment="1">
      <alignment horizontal="right"/>
    </xf>
    <xf numFmtId="41" fontId="0" fillId="0" borderId="0" xfId="30" applyFont="1" applyAlignment="1">
      <alignment horizontal="right"/>
    </xf>
    <xf numFmtId="41" fontId="7" fillId="0" borderId="0" xfId="2" applyFont="1" applyAlignment="1">
      <alignment horizontal="right"/>
    </xf>
    <xf numFmtId="0" fontId="1" fillId="0" borderId="0" xfId="40" applyFont="1" applyAlignment="1">
      <alignment horizontal="left" indent="1"/>
    </xf>
    <xf numFmtId="0" fontId="1" fillId="0" borderId="17" xfId="40" applyBorder="1" applyAlignment="1">
      <alignment horizontal="left" indent="1"/>
    </xf>
    <xf numFmtId="0" fontId="1" fillId="0" borderId="0" xfId="40" applyAlignment="1">
      <alignment horizontal="left" indent="1"/>
    </xf>
    <xf numFmtId="0" fontId="1" fillId="0" borderId="0" xfId="40" applyAlignment="1">
      <alignment horizontal="left" indent="1"/>
    </xf>
    <xf numFmtId="0" fontId="0" fillId="0" borderId="0" xfId="0"/>
    <xf numFmtId="175" fontId="0" fillId="0" borderId="0" xfId="0" applyNumberFormat="1"/>
    <xf numFmtId="0" fontId="0" fillId="0" borderId="0" xfId="0" applyFont="1"/>
    <xf numFmtId="0" fontId="0" fillId="0" borderId="0" xfId="0" applyFont="1" applyBorder="1"/>
    <xf numFmtId="0" fontId="0" fillId="0" borderId="18" xfId="0" applyFont="1" applyBorder="1"/>
    <xf numFmtId="0" fontId="0" fillId="0" borderId="20" xfId="0" applyFont="1" applyBorder="1"/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1" fillId="0" borderId="20" xfId="0" applyFont="1" applyBorder="1" applyAlignment="1">
      <alignment horizontal="left"/>
    </xf>
    <xf numFmtId="0" fontId="11" fillId="0" borderId="0" xfId="0" applyFont="1" applyBorder="1" applyAlignment="1">
      <alignment horizontal="left"/>
    </xf>
  </cellXfs>
  <cellStyles count="55">
    <cellStyle name="Comma" xfId="1" builtinId="3"/>
    <cellStyle name="Comma [0]" xfId="2" builtinId="6"/>
    <cellStyle name="Comma [0] 2" xfId="9" xr:uid="{00000000-0005-0000-0000-000002000000}"/>
    <cellStyle name="Comma [0] 2 2" xfId="35" xr:uid="{00000000-0005-0000-0000-000002000000}"/>
    <cellStyle name="Comma [0] 3" xfId="52" xr:uid="{136C6F8F-F271-4CFA-8670-A6182FEBC704}"/>
    <cellStyle name="Comma [0] 3 2" xfId="53" xr:uid="{277AB6FF-D55F-4ECF-B610-55312439676E}"/>
    <cellStyle name="Comma [0] 4" xfId="30" xr:uid="{00000000-0005-0000-0000-000003000000}"/>
    <cellStyle name="Comma [0] 4 2" xfId="49" xr:uid="{7FC6AA11-96C1-4715-8F3D-89C108022F56}"/>
    <cellStyle name="Comma [0] 5" xfId="32" xr:uid="{00000000-0005-0000-0000-00004B000000}"/>
    <cellStyle name="Comma 2" xfId="7" xr:uid="{00000000-0005-0000-0000-000004000000}"/>
    <cellStyle name="Comma 2 2" xfId="34" xr:uid="{00000000-0005-0000-0000-000003000000}"/>
    <cellStyle name="Comma 2 3" xfId="22" xr:uid="{00000000-0005-0000-0000-000005000000}"/>
    <cellStyle name="Comma 2 3 2" xfId="45" xr:uid="{B2E8A81F-FC31-4A36-8EE9-F063B4A55E5E}"/>
    <cellStyle name="Comma 3" xfId="10" xr:uid="{00000000-0005-0000-0000-000006000000}"/>
    <cellStyle name="Comma 3 2" xfId="11" xr:uid="{00000000-0005-0000-0000-000007000000}"/>
    <cellStyle name="Comma 3 2 2" xfId="37" xr:uid="{00000000-0005-0000-0000-000005000000}"/>
    <cellStyle name="Comma 3 3" xfId="36" xr:uid="{00000000-0005-0000-0000-000004000000}"/>
    <cellStyle name="Comma 4" xfId="12" xr:uid="{00000000-0005-0000-0000-000008000000}"/>
    <cellStyle name="Comma 4 2" xfId="38" xr:uid="{00000000-0005-0000-0000-000006000000}"/>
    <cellStyle name="Comma 4 3 2 5" xfId="25" xr:uid="{00000000-0005-0000-0000-000009000000}"/>
    <cellStyle name="Comma 4 3 2 5 2" xfId="48" xr:uid="{0A76197D-1356-484F-B8F2-959C4E21348C}"/>
    <cellStyle name="Comma 5" xfId="18" xr:uid="{00000000-0005-0000-0000-00000A000000}"/>
    <cellStyle name="Comma 5 2" xfId="19" xr:uid="{00000000-0005-0000-0000-00000B000000}"/>
    <cellStyle name="Comma 5 2 2" xfId="44" xr:uid="{DBB744D5-E770-4328-88DD-89F844C5A7AD}"/>
    <cellStyle name="Comma 5 3" xfId="43" xr:uid="{ACE2A53B-E5FE-4F73-ADD9-169627CB313D}"/>
    <cellStyle name="Comma 6" xfId="31" xr:uid="{00000000-0005-0000-0000-00004A000000}"/>
    <cellStyle name="Currency [0] 2" xfId="23" xr:uid="{00000000-0005-0000-0000-00000C000000}"/>
    <cellStyle name="Currency [0] 2 2" xfId="28" xr:uid="{00000000-0005-0000-0000-00000D000000}"/>
    <cellStyle name="Currency [0] 2 3" xfId="46" xr:uid="{271EFADE-9CFB-429C-8FE6-D77DC5B2E4E9}"/>
    <cellStyle name="Normal" xfId="0" builtinId="0"/>
    <cellStyle name="Normal 2" xfId="5" xr:uid="{00000000-0005-0000-0000-00000F000000}"/>
    <cellStyle name="Normal 2 2" xfId="6" xr:uid="{00000000-0005-0000-0000-000010000000}"/>
    <cellStyle name="Normal 2 2 2 2 3" xfId="17" xr:uid="{00000000-0005-0000-0000-000011000000}"/>
    <cellStyle name="Normal 2 3" xfId="33" xr:uid="{00000000-0005-0000-0000-000008000000}"/>
    <cellStyle name="Normal 2 7" xfId="20" xr:uid="{00000000-0005-0000-0000-000012000000}"/>
    <cellStyle name="Normal 3" xfId="13" xr:uid="{00000000-0005-0000-0000-000013000000}"/>
    <cellStyle name="Normal 3 2" xfId="14" xr:uid="{00000000-0005-0000-0000-000014000000}"/>
    <cellStyle name="Normal 3 2 2" xfId="40" xr:uid="{00000000-0005-0000-0000-00000B000000}"/>
    <cellStyle name="Normal 3 3" xfId="21" xr:uid="{00000000-0005-0000-0000-000015000000}"/>
    <cellStyle name="Normal 3 4" xfId="39" xr:uid="{00000000-0005-0000-0000-00000A000000}"/>
    <cellStyle name="Normal 4" xfId="24" xr:uid="{00000000-0005-0000-0000-000016000000}"/>
    <cellStyle name="Normal 4 2" xfId="29" xr:uid="{00000000-0005-0000-0000-000017000000}"/>
    <cellStyle name="Normal 4 3" xfId="47" xr:uid="{989437A8-6F5E-40D9-9FDA-F58FB35F477F}"/>
    <cellStyle name="Normal 5" xfId="27" xr:uid="{00000000-0005-0000-0000-000018000000}"/>
    <cellStyle name="Normal 5 2" xfId="50" xr:uid="{41A7CFA8-6CC6-49EF-B6B2-B985E95AA4CE}"/>
    <cellStyle name="Normal 7" xfId="26" xr:uid="{00000000-0005-0000-0000-000019000000}"/>
    <cellStyle name="Normal 7 3" xfId="51" xr:uid="{77A01A53-9EA0-4D08-A06A-DC52E7212BBB}"/>
    <cellStyle name="Percent" xfId="3" builtinId="5"/>
    <cellStyle name="Percent 2" xfId="8" xr:uid="{00000000-0005-0000-0000-00001B000000}"/>
    <cellStyle name="Percent 2 2" xfId="4" xr:uid="{00000000-0005-0000-0000-00001C000000}"/>
    <cellStyle name="Percent 3" xfId="15" xr:uid="{00000000-0005-0000-0000-00001D000000}"/>
    <cellStyle name="Percent 3 2" xfId="16" xr:uid="{00000000-0005-0000-0000-00001E000000}"/>
    <cellStyle name="Percent 3 2 2" xfId="42" xr:uid="{00000000-0005-0000-0000-000010000000}"/>
    <cellStyle name="Percent 3 3" xfId="41" xr:uid="{00000000-0005-0000-0000-00000F000000}"/>
    <cellStyle name="Percent 4" xfId="54" xr:uid="{A3C7E026-A62C-4BF2-80F0-1C58CAE72228}"/>
  </cellStyles>
  <dxfs count="47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115161</xdr:colOff>
      <xdr:row>35</xdr:row>
      <xdr:rowOff>104251</xdr:rowOff>
    </xdr:from>
    <xdr:to>
      <xdr:col>13</xdr:col>
      <xdr:colOff>70304</xdr:colOff>
      <xdr:row>36</xdr:row>
      <xdr:rowOff>79374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361AC916-26C4-41DB-865F-45B43725DD6F}"/>
            </a:ext>
          </a:extLst>
        </xdr:cNvPr>
        <xdr:cNvGrpSpPr/>
      </xdr:nvGrpSpPr>
      <xdr:grpSpPr>
        <a:xfrm>
          <a:off x="650375" y="7034822"/>
          <a:ext cx="8917715" cy="174695"/>
          <a:chOff x="722947" y="7327377"/>
          <a:chExt cx="10285884" cy="0"/>
        </a:xfrm>
      </xdr:grpSpPr>
      <xdr:cxnSp macro="">
        <xdr:nvCxnSpPr>
          <xdr:cNvPr id="10" name="Straight Connector 9">
            <a:extLst>
              <a:ext uri="{FF2B5EF4-FFF2-40B4-BE49-F238E27FC236}">
                <a16:creationId xmlns:a16="http://schemas.microsoft.com/office/drawing/2014/main" id="{F7793B60-6109-47CA-BE5B-CEA42B255936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91950703-6F63-43D2-B33E-806F2C47E951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AF9F6D0C-6CE4-4EDA-BC55-17EE3E28E45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13BD3E8C-678F-428D-874A-7208714808B3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3FC5317F-00EF-41A4-820C-F30CC60C1EF6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344E174A-4A47-4AFA-9DC0-73FAF16DF8C1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612786</xdr:colOff>
      <xdr:row>26</xdr:row>
      <xdr:rowOff>79365</xdr:rowOff>
    </xdr:from>
    <xdr:to>
      <xdr:col>12</xdr:col>
      <xdr:colOff>791094</xdr:colOff>
      <xdr:row>26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29</xdr:row>
      <xdr:rowOff>20069</xdr:rowOff>
    </xdr:from>
    <xdr:to>
      <xdr:col>12</xdr:col>
      <xdr:colOff>1208314</xdr:colOff>
      <xdr:row>29</xdr:row>
      <xdr:rowOff>185057</xdr:rowOff>
    </xdr:to>
    <xdr:grpSp>
      <xdr:nvGrpSpPr>
        <xdr:cNvPr id="31" name="Group 30">
          <a:extLst>
            <a:ext uri="{FF2B5EF4-FFF2-40B4-BE49-F238E27FC236}">
              <a16:creationId xmlns:a16="http://schemas.microsoft.com/office/drawing/2014/main" id="{42193C3C-EE6E-42D7-AFE6-D77D628A36CD}"/>
            </a:ext>
          </a:extLst>
        </xdr:cNvPr>
        <xdr:cNvGrpSpPr/>
      </xdr:nvGrpSpPr>
      <xdr:grpSpPr>
        <a:xfrm>
          <a:off x="611415" y="5753212"/>
          <a:ext cx="8833756" cy="164988"/>
          <a:chOff x="570986" y="5042917"/>
          <a:chExt cx="14774690" cy="343744"/>
        </a:xfrm>
      </xdr:grpSpPr>
      <xdr:sp macro="" textlink="">
        <xdr:nvSpPr>
          <xdr:cNvPr id="32" name="TextBox 31">
            <a:extLst>
              <a:ext uri="{FF2B5EF4-FFF2-40B4-BE49-F238E27FC236}">
                <a16:creationId xmlns:a16="http://schemas.microsoft.com/office/drawing/2014/main" id="{C13A632E-11E9-44E2-AC96-52B2A084650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33" name="TextBox 32">
            <a:extLst>
              <a:ext uri="{FF2B5EF4-FFF2-40B4-BE49-F238E27FC236}">
                <a16:creationId xmlns:a16="http://schemas.microsoft.com/office/drawing/2014/main" id="{17DDC728-97B5-4D74-B039-702F2776473D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34" name="TextBox 33">
            <a:extLst>
              <a:ext uri="{FF2B5EF4-FFF2-40B4-BE49-F238E27FC236}">
                <a16:creationId xmlns:a16="http://schemas.microsoft.com/office/drawing/2014/main" id="{F529E5B2-8AD2-400C-870A-C4F652DADD33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35" name="TextBox 34">
            <a:extLst>
              <a:ext uri="{FF2B5EF4-FFF2-40B4-BE49-F238E27FC236}">
                <a16:creationId xmlns:a16="http://schemas.microsoft.com/office/drawing/2014/main" id="{2CA46CC9-2A14-4432-A6A0-B654AA186C39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36" name="TextBox 35">
            <a:extLst>
              <a:ext uri="{FF2B5EF4-FFF2-40B4-BE49-F238E27FC236}">
                <a16:creationId xmlns:a16="http://schemas.microsoft.com/office/drawing/2014/main" id="{7E4C97A1-E50A-4B08-B642-02B91650DC02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C6D696FF-4931-4166-8B15-314761204296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 refreshError="1"/>
      <sheetData sheetId="1" refreshError="1"/>
      <sheetData sheetId="2" refreshError="1"/>
      <sheetData sheetId="3" refreshError="1">
        <row r="4">
          <cell r="G4">
            <v>0.1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9"/>
  <sheetViews>
    <sheetView showGridLines="0" tabSelected="1" topLeftCell="A11" zoomScale="70" zoomScaleNormal="70" workbookViewId="0">
      <selection activeCell="L41" sqref="L41"/>
    </sheetView>
  </sheetViews>
  <sheetFormatPr defaultColWidth="8.58203125" defaultRowHeight="15.5" x14ac:dyDescent="0.35"/>
  <cols>
    <col min="1" max="1" width="4.08203125" style="96" customWidth="1"/>
    <col min="2" max="2" width="3" style="96" customWidth="1"/>
    <col min="3" max="3" width="16.58203125" style="96" customWidth="1"/>
    <col min="4" max="4" width="25.5" style="96" customWidth="1"/>
    <col min="5" max="5" width="4.25" style="96" customWidth="1"/>
    <col min="6" max="6" width="4.83203125" style="96" customWidth="1"/>
    <col min="7" max="7" width="10.58203125" style="96" customWidth="1"/>
    <col min="8" max="8" width="8.33203125" style="96" customWidth="1"/>
    <col min="9" max="9" width="5.33203125" style="96" customWidth="1"/>
    <col min="10" max="10" width="2.08203125" style="96" customWidth="1"/>
    <col min="11" max="11" width="5.08203125" style="96" customWidth="1"/>
    <col min="12" max="12" width="18.33203125" style="96" customWidth="1"/>
    <col min="13" max="13" width="16.5" style="96" customWidth="1"/>
    <col min="14" max="14" width="2.08203125" style="96" customWidth="1"/>
    <col min="15" max="15" width="3.58203125" style="96" customWidth="1"/>
    <col min="16" max="16384" width="8.58203125" style="96"/>
  </cols>
  <sheetData>
    <row r="1" spans="2:14" ht="8.5" customHeight="1" x14ac:dyDescent="0.35"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</row>
    <row r="2" spans="2:14" ht="18.5" x14ac:dyDescent="0.45">
      <c r="B2" s="99"/>
      <c r="C2" s="100" t="s">
        <v>55</v>
      </c>
      <c r="D2" s="97" t="s">
        <v>88</v>
      </c>
      <c r="E2" s="99"/>
      <c r="F2" s="99"/>
      <c r="G2" s="99"/>
      <c r="H2" s="99"/>
      <c r="J2" s="123" t="s">
        <v>87</v>
      </c>
      <c r="K2" s="123"/>
      <c r="L2" s="123"/>
      <c r="M2" s="124">
        <v>45204</v>
      </c>
      <c r="N2" s="99"/>
    </row>
    <row r="3" spans="2:14" ht="18.5" x14ac:dyDescent="0.45">
      <c r="B3" s="99"/>
      <c r="C3" s="100" t="s">
        <v>56</v>
      </c>
      <c r="D3" s="97" t="s">
        <v>136</v>
      </c>
      <c r="E3" s="99"/>
      <c r="F3" s="99"/>
      <c r="G3" s="99"/>
      <c r="H3" s="99"/>
      <c r="M3" s="99"/>
      <c r="N3" s="99"/>
    </row>
    <row r="4" spans="2:14" ht="1" customHeight="1" thickBot="1" x14ac:dyDescent="0.4">
      <c r="B4" s="99"/>
      <c r="C4" s="97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</row>
    <row r="5" spans="2:14" s="98" customFormat="1" ht="19" thickBot="1" x14ac:dyDescent="0.5">
      <c r="B5" s="174" t="s">
        <v>57</v>
      </c>
      <c r="C5" s="175"/>
      <c r="D5" s="176"/>
      <c r="E5" s="174" t="s">
        <v>58</v>
      </c>
      <c r="F5" s="175"/>
      <c r="G5" s="175"/>
      <c r="H5" s="175"/>
      <c r="I5" s="175"/>
      <c r="J5" s="174" t="s">
        <v>59</v>
      </c>
      <c r="K5" s="175"/>
      <c r="L5" s="175"/>
      <c r="M5" s="175"/>
      <c r="N5" s="176"/>
    </row>
    <row r="6" spans="2:14" x14ac:dyDescent="0.35">
      <c r="B6" s="177" t="s">
        <v>60</v>
      </c>
      <c r="C6" s="178"/>
      <c r="D6" s="113" t="s">
        <v>137</v>
      </c>
      <c r="E6" s="179" t="s">
        <v>61</v>
      </c>
      <c r="F6" s="179"/>
      <c r="G6" s="179"/>
      <c r="H6" s="179"/>
      <c r="I6" s="179"/>
      <c r="J6" s="115"/>
      <c r="K6" s="216" t="s">
        <v>185</v>
      </c>
      <c r="L6" s="216"/>
      <c r="M6" s="125">
        <f>IRR!G9</f>
        <v>366863118</v>
      </c>
      <c r="N6" s="113"/>
    </row>
    <row r="7" spans="2:14" s="221" customFormat="1" x14ac:dyDescent="0.35">
      <c r="B7" s="225"/>
      <c r="C7" s="226"/>
      <c r="D7" s="223"/>
      <c r="E7" s="228"/>
      <c r="F7" s="228"/>
      <c r="G7" s="228"/>
      <c r="H7" s="228"/>
      <c r="I7" s="228"/>
      <c r="J7" s="227"/>
      <c r="K7" s="217" t="s">
        <v>62</v>
      </c>
      <c r="L7" s="217"/>
      <c r="M7" s="125">
        <f>M6/IRR!F9</f>
        <v>7805598.2553191492</v>
      </c>
      <c r="N7" s="223"/>
    </row>
    <row r="8" spans="2:14" x14ac:dyDescent="0.35">
      <c r="B8" s="180" t="s">
        <v>63</v>
      </c>
      <c r="C8" s="181"/>
      <c r="D8" s="126"/>
      <c r="E8" s="182" t="s">
        <v>64</v>
      </c>
      <c r="F8" s="182"/>
      <c r="G8" s="182"/>
      <c r="H8" s="151" t="s">
        <v>182</v>
      </c>
      <c r="I8" s="99"/>
      <c r="J8" s="103"/>
      <c r="K8" s="182" t="s">
        <v>65</v>
      </c>
      <c r="L8" s="182"/>
      <c r="M8" s="127">
        <v>5</v>
      </c>
      <c r="N8" s="101"/>
    </row>
    <row r="9" spans="2:14" x14ac:dyDescent="0.35">
      <c r="B9" s="180"/>
      <c r="C9" s="181"/>
      <c r="D9" s="101"/>
      <c r="E9" s="182" t="s">
        <v>67</v>
      </c>
      <c r="F9" s="182"/>
      <c r="G9" s="182"/>
      <c r="H9" s="151" t="s">
        <v>183</v>
      </c>
      <c r="I9" s="99"/>
      <c r="J9" s="103"/>
      <c r="K9" s="182" t="s">
        <v>80</v>
      </c>
      <c r="L9" s="182"/>
      <c r="M9" s="128">
        <f>[2]IRR!F3</f>
        <v>0.1</v>
      </c>
      <c r="N9" s="101"/>
    </row>
    <row r="10" spans="2:14" ht="24" customHeight="1" x14ac:dyDescent="0.35">
      <c r="B10" s="116" t="s">
        <v>66</v>
      </c>
      <c r="C10" s="117"/>
      <c r="D10" s="101" t="s">
        <v>134</v>
      </c>
      <c r="E10" s="182" t="s">
        <v>69</v>
      </c>
      <c r="F10" s="182"/>
      <c r="G10" s="182"/>
      <c r="H10" s="186" t="s">
        <v>184</v>
      </c>
      <c r="I10" s="187"/>
      <c r="J10" s="103"/>
      <c r="K10" s="182" t="s">
        <v>70</v>
      </c>
      <c r="L10" s="182"/>
      <c r="M10" s="125">
        <v>0</v>
      </c>
      <c r="N10" s="101"/>
    </row>
    <row r="11" spans="2:14" x14ac:dyDescent="0.35">
      <c r="B11" s="118" t="s">
        <v>68</v>
      </c>
      <c r="C11" s="119"/>
      <c r="D11" s="101" t="s">
        <v>138</v>
      </c>
      <c r="H11" s="186"/>
      <c r="I11" s="187"/>
      <c r="J11" s="120"/>
      <c r="K11" s="217" t="s">
        <v>186</v>
      </c>
      <c r="L11" s="217"/>
      <c r="M11" s="125">
        <f>IRR!G10</f>
        <v>96100100</v>
      </c>
      <c r="N11" s="101"/>
    </row>
    <row r="12" spans="2:14" s="221" customFormat="1" x14ac:dyDescent="0.35">
      <c r="B12" s="225"/>
      <c r="C12" s="226"/>
      <c r="D12" s="223"/>
      <c r="H12" s="172"/>
      <c r="I12" s="172"/>
      <c r="J12" s="227"/>
      <c r="K12" s="215" t="s">
        <v>187</v>
      </c>
      <c r="L12" s="217"/>
      <c r="M12" s="125">
        <f>IRR!G9</f>
        <v>366863118</v>
      </c>
      <c r="N12" s="223"/>
    </row>
    <row r="13" spans="2:14" x14ac:dyDescent="0.35">
      <c r="B13" s="118" t="s">
        <v>71</v>
      </c>
      <c r="C13" s="119"/>
      <c r="D13" s="101" t="s">
        <v>136</v>
      </c>
      <c r="J13" s="103"/>
      <c r="K13" s="217" t="s">
        <v>188</v>
      </c>
      <c r="L13" s="217"/>
      <c r="M13" s="125">
        <f>IRR!L23</f>
        <v>270000000</v>
      </c>
      <c r="N13" s="101"/>
    </row>
    <row r="14" spans="2:14" s="221" customFormat="1" x14ac:dyDescent="0.35">
      <c r="B14" s="225"/>
      <c r="C14" s="226"/>
      <c r="D14" s="223"/>
      <c r="J14" s="224"/>
      <c r="K14" s="218" t="s">
        <v>189</v>
      </c>
      <c r="L14" s="218"/>
      <c r="M14" s="125">
        <f>SUM(IRR!L24:L26)</f>
        <v>321964000</v>
      </c>
      <c r="N14" s="223"/>
    </row>
    <row r="15" spans="2:14" x14ac:dyDescent="0.35">
      <c r="B15" s="121" t="s">
        <v>73</v>
      </c>
      <c r="C15" s="122"/>
      <c r="D15" s="102">
        <v>4</v>
      </c>
      <c r="E15" s="183" t="s">
        <v>72</v>
      </c>
      <c r="F15" s="183"/>
      <c r="G15" s="183"/>
      <c r="H15" s="183"/>
      <c r="I15" s="183"/>
      <c r="J15" s="103"/>
      <c r="K15" s="184" t="s">
        <v>77</v>
      </c>
      <c r="L15" s="184"/>
      <c r="M15" s="125">
        <f>IRR!L20</f>
        <v>1439280000</v>
      </c>
      <c r="N15" s="101"/>
    </row>
    <row r="16" spans="2:14" ht="16" thickBot="1" x14ac:dyDescent="0.4">
      <c r="B16" s="121" t="s">
        <v>75</v>
      </c>
      <c r="C16" s="122"/>
      <c r="D16" s="102">
        <v>1</v>
      </c>
      <c r="E16" s="185" t="s">
        <v>74</v>
      </c>
      <c r="F16" s="185"/>
      <c r="G16" s="185"/>
      <c r="H16" s="129">
        <v>0</v>
      </c>
      <c r="I16" s="99"/>
      <c r="J16" s="103"/>
      <c r="K16" s="109"/>
      <c r="L16" s="109"/>
      <c r="M16" s="99"/>
      <c r="N16" s="101"/>
    </row>
    <row r="17" spans="2:18" x14ac:dyDescent="0.35">
      <c r="B17" s="103"/>
      <c r="C17" s="99"/>
      <c r="D17" s="101"/>
      <c r="E17" s="167" t="s">
        <v>76</v>
      </c>
      <c r="F17" s="149"/>
      <c r="G17" s="149"/>
      <c r="H17" s="129">
        <v>0</v>
      </c>
      <c r="I17" s="99"/>
      <c r="J17" s="130"/>
      <c r="K17" s="194" t="s">
        <v>26</v>
      </c>
      <c r="L17" s="195"/>
      <c r="M17" s="104">
        <f>IRR!F41</f>
        <v>0.1216024822607169</v>
      </c>
      <c r="N17" s="101"/>
    </row>
    <row r="18" spans="2:18" x14ac:dyDescent="0.35">
      <c r="B18" s="103"/>
      <c r="C18" s="99"/>
      <c r="D18" s="101"/>
      <c r="E18" s="167" t="s">
        <v>78</v>
      </c>
      <c r="F18" s="149"/>
      <c r="G18" s="149"/>
      <c r="H18" s="129">
        <v>0</v>
      </c>
      <c r="I18" s="99"/>
      <c r="J18" s="131"/>
      <c r="K18" s="188" t="s">
        <v>27</v>
      </c>
      <c r="L18" s="189"/>
      <c r="M18" s="145">
        <f>IRR!F42</f>
        <v>35050642.143185496</v>
      </c>
      <c r="N18" s="101"/>
    </row>
    <row r="19" spans="2:18" x14ac:dyDescent="0.35">
      <c r="B19" s="103"/>
      <c r="C19" s="99"/>
      <c r="D19" s="101"/>
      <c r="E19" s="148" t="s">
        <v>79</v>
      </c>
      <c r="F19" s="148"/>
      <c r="G19" s="148"/>
      <c r="H19" s="148"/>
      <c r="I19" s="168"/>
      <c r="J19" s="131"/>
      <c r="K19" s="188" t="s">
        <v>28</v>
      </c>
      <c r="L19" s="189"/>
      <c r="M19" s="105">
        <f>IRR!F43</f>
        <v>0.58870824301039404</v>
      </c>
      <c r="N19" s="101"/>
      <c r="R19" s="96" t="s">
        <v>50</v>
      </c>
    </row>
    <row r="20" spans="2:18" ht="16" thickBot="1" x14ac:dyDescent="0.4">
      <c r="B20" s="103"/>
      <c r="C20" s="99"/>
      <c r="D20" s="101"/>
      <c r="E20" s="99"/>
      <c r="F20" s="99"/>
      <c r="G20" s="99"/>
      <c r="H20" s="99"/>
      <c r="I20" s="99"/>
      <c r="J20" s="131"/>
      <c r="K20" s="190" t="s">
        <v>81</v>
      </c>
      <c r="L20" s="191"/>
      <c r="M20" s="146">
        <f>IRR!F44</f>
        <v>3.7915270288157585</v>
      </c>
      <c r="N20" s="101"/>
      <c r="Q20" s="96" t="s">
        <v>50</v>
      </c>
    </row>
    <row r="21" spans="2:18" ht="16" thickBot="1" x14ac:dyDescent="0.4">
      <c r="B21" s="106"/>
      <c r="C21" s="107"/>
      <c r="D21" s="108"/>
      <c r="E21" s="107"/>
      <c r="F21" s="107" t="s">
        <v>50</v>
      </c>
      <c r="G21" s="107"/>
      <c r="H21" s="107"/>
      <c r="I21" s="107"/>
      <c r="J21" s="103"/>
      <c r="K21" s="109"/>
      <c r="L21" s="119"/>
      <c r="M21" s="119"/>
      <c r="N21" s="101"/>
    </row>
    <row r="22" spans="2:18" x14ac:dyDescent="0.35">
      <c r="B22" s="111" t="s">
        <v>86</v>
      </c>
      <c r="C22" s="112"/>
      <c r="D22" s="112"/>
      <c r="E22" s="112"/>
      <c r="F22" s="112"/>
      <c r="G22" s="112"/>
      <c r="H22" s="112"/>
      <c r="I22" s="112"/>
      <c r="J22" s="112"/>
      <c r="L22" s="132" t="s">
        <v>89</v>
      </c>
      <c r="M22" s="112"/>
      <c r="N22" s="113"/>
    </row>
    <row r="23" spans="2:18" x14ac:dyDescent="0.35">
      <c r="B23" s="103" t="s">
        <v>85</v>
      </c>
      <c r="C23" s="99"/>
      <c r="D23" s="222" t="s">
        <v>190</v>
      </c>
      <c r="E23" s="99"/>
      <c r="F23" s="99"/>
      <c r="G23" s="99"/>
      <c r="H23" s="99"/>
      <c r="I23" s="99"/>
      <c r="J23" s="99"/>
      <c r="K23" s="99"/>
      <c r="L23" s="192" t="s">
        <v>180</v>
      </c>
      <c r="M23" s="193"/>
      <c r="N23" s="101"/>
    </row>
    <row r="24" spans="2:18" x14ac:dyDescent="0.35">
      <c r="B24" s="103"/>
      <c r="C24" s="99"/>
      <c r="D24" s="222" t="s">
        <v>191</v>
      </c>
      <c r="E24" s="99"/>
      <c r="F24" s="99"/>
      <c r="G24" s="99"/>
      <c r="H24" s="99"/>
      <c r="I24" s="99"/>
      <c r="J24" s="99"/>
      <c r="K24" s="99"/>
      <c r="L24" s="99"/>
      <c r="M24" s="99"/>
      <c r="N24" s="101"/>
    </row>
    <row r="25" spans="2:18" x14ac:dyDescent="0.35">
      <c r="B25" s="103"/>
      <c r="C25" s="99"/>
      <c r="D25" s="99" t="s">
        <v>131</v>
      </c>
      <c r="E25" s="99"/>
      <c r="F25" s="99"/>
      <c r="G25" s="99"/>
      <c r="H25" s="99"/>
      <c r="I25" s="99"/>
      <c r="J25" s="99"/>
      <c r="K25" s="99"/>
      <c r="L25" s="99"/>
      <c r="M25" s="99"/>
      <c r="N25" s="101"/>
    </row>
    <row r="26" spans="2:18" x14ac:dyDescent="0.35">
      <c r="B26" s="103"/>
      <c r="C26" s="99"/>
      <c r="E26" s="99"/>
      <c r="F26" s="99"/>
      <c r="G26" s="99"/>
      <c r="H26" s="99"/>
      <c r="I26" s="99"/>
      <c r="J26" s="99"/>
      <c r="K26" s="99"/>
      <c r="L26" s="99"/>
      <c r="M26" s="99"/>
      <c r="N26" s="101"/>
    </row>
    <row r="27" spans="2:18" ht="16" thickBot="1" x14ac:dyDescent="0.4">
      <c r="B27" s="106"/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8"/>
    </row>
    <row r="29" spans="2:18" s="169" customFormat="1" x14ac:dyDescent="0.35">
      <c r="B29" s="170" t="s">
        <v>90</v>
      </c>
    </row>
    <row r="30" spans="2:18" s="169" customFormat="1" x14ac:dyDescent="0.35">
      <c r="B30" s="171"/>
      <c r="C30" s="171"/>
      <c r="D30" s="171"/>
      <c r="E30" s="171"/>
      <c r="F30" s="171"/>
      <c r="G30" s="171"/>
      <c r="H30" s="171"/>
      <c r="I30" s="171"/>
      <c r="J30" s="171"/>
      <c r="K30" s="171"/>
      <c r="L30" s="171"/>
      <c r="M30" s="171"/>
      <c r="N30" s="171"/>
      <c r="O30" s="171"/>
    </row>
    <row r="31" spans="2:18" s="169" customFormat="1" x14ac:dyDescent="0.35">
      <c r="B31" s="171"/>
      <c r="C31" s="171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</row>
    <row r="32" spans="2:18" s="169" customFormat="1" x14ac:dyDescent="0.35">
      <c r="B32" s="171"/>
      <c r="C32" s="171"/>
      <c r="D32" s="171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</row>
    <row r="33" spans="2:15" s="169" customFormat="1" x14ac:dyDescent="0.35">
      <c r="B33" s="171"/>
      <c r="C33" s="171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</row>
    <row r="34" spans="2:15" s="169" customFormat="1" x14ac:dyDescent="0.35">
      <c r="B34" s="171"/>
      <c r="C34" s="171"/>
      <c r="D34" s="171"/>
      <c r="E34" s="171"/>
      <c r="F34" s="171"/>
      <c r="G34" s="171"/>
      <c r="H34" s="171"/>
      <c r="I34" s="171"/>
      <c r="J34" s="171"/>
      <c r="K34" s="171"/>
      <c r="L34" s="171"/>
      <c r="M34" s="171"/>
      <c r="N34" s="171"/>
      <c r="O34" s="171"/>
    </row>
    <row r="35" spans="2:15" s="169" customFormat="1" x14ac:dyDescent="0.35">
      <c r="B35" s="171"/>
      <c r="C35" s="171"/>
      <c r="D35" s="171"/>
      <c r="E35" s="171"/>
      <c r="F35" s="171"/>
      <c r="G35" s="171"/>
      <c r="H35" s="171"/>
      <c r="I35" s="171"/>
      <c r="J35" s="171"/>
      <c r="K35" s="171"/>
      <c r="L35" s="171"/>
      <c r="M35" s="171"/>
      <c r="N35" s="171"/>
      <c r="O35" s="171"/>
    </row>
    <row r="36" spans="2:15" s="169" customFormat="1" x14ac:dyDescent="0.35">
      <c r="B36" s="171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71"/>
    </row>
    <row r="37" spans="2:15" s="169" customFormat="1" ht="14.5" x14ac:dyDescent="0.35"/>
    <row r="38" spans="2:15" s="169" customFormat="1" ht="14.5" x14ac:dyDescent="0.35"/>
    <row r="39" spans="2:15" s="169" customFormat="1" ht="14.5" x14ac:dyDescent="0.35"/>
  </sheetData>
  <mergeCells count="27">
    <mergeCell ref="K7:L7"/>
    <mergeCell ref="K12:L12"/>
    <mergeCell ref="K19:L19"/>
    <mergeCell ref="K20:L20"/>
    <mergeCell ref="L23:M23"/>
    <mergeCell ref="K15:L15"/>
    <mergeCell ref="K17:L17"/>
    <mergeCell ref="K18:L18"/>
    <mergeCell ref="E10:G10"/>
    <mergeCell ref="K10:L10"/>
    <mergeCell ref="E15:I15"/>
    <mergeCell ref="K11:L11"/>
    <mergeCell ref="E16:G16"/>
    <mergeCell ref="K13:L13"/>
    <mergeCell ref="H10:I11"/>
    <mergeCell ref="B8:C8"/>
    <mergeCell ref="E8:G8"/>
    <mergeCell ref="K8:L8"/>
    <mergeCell ref="B9:C9"/>
    <mergeCell ref="E9:G9"/>
    <mergeCell ref="K9:L9"/>
    <mergeCell ref="B5:D5"/>
    <mergeCell ref="E5:I5"/>
    <mergeCell ref="J5:N5"/>
    <mergeCell ref="B6:C6"/>
    <mergeCell ref="E6:I6"/>
    <mergeCell ref="K6:L6"/>
  </mergeCells>
  <pageMargins left="0.7" right="0.7" top="0.75" bottom="0.75" header="0.3" footer="0.3"/>
  <pageSetup paperSize="9" scale="94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W79"/>
  <sheetViews>
    <sheetView showGridLines="0" topLeftCell="B1" zoomScale="70" zoomScaleNormal="70" workbookViewId="0">
      <selection activeCell="J1" sqref="J1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8.83203125" customWidth="1"/>
    <col min="5" max="5" width="7.25" bestFit="1" customWidth="1"/>
    <col min="6" max="6" width="16.83203125" customWidth="1"/>
    <col min="7" max="7" width="17.58203125" style="2" customWidth="1"/>
    <col min="8" max="8" width="17.83203125" customWidth="1"/>
    <col min="9" max="10" width="15.58203125" bestFit="1" customWidth="1"/>
    <col min="11" max="11" width="16" bestFit="1" customWidth="1"/>
    <col min="12" max="12" width="16.58203125" bestFit="1" customWidth="1"/>
    <col min="13" max="13" width="15.83203125" customWidth="1"/>
    <col min="14" max="14" width="15" bestFit="1" customWidth="1"/>
    <col min="15" max="15" width="15.25" bestFit="1" customWidth="1"/>
    <col min="16" max="17" width="15" bestFit="1" customWidth="1"/>
    <col min="18" max="18" width="15.58203125" bestFit="1" customWidth="1"/>
    <col min="19" max="20" width="12.83203125" bestFit="1" customWidth="1"/>
    <col min="21" max="21" width="11.75" bestFit="1" customWidth="1"/>
    <col min="22" max="22" width="10.6640625" bestFit="1" customWidth="1"/>
  </cols>
  <sheetData>
    <row r="1" spans="2:21" x14ac:dyDescent="0.35">
      <c r="B1" t="s">
        <v>181</v>
      </c>
      <c r="K1" t="s">
        <v>141</v>
      </c>
    </row>
    <row r="2" spans="2:21" x14ac:dyDescent="0.35">
      <c r="B2" s="3" t="s">
        <v>0</v>
      </c>
    </row>
    <row r="3" spans="2:21" x14ac:dyDescent="0.35">
      <c r="C3" t="s">
        <v>1</v>
      </c>
      <c r="F3" s="5">
        <v>0.02</v>
      </c>
      <c r="L3" s="4"/>
      <c r="M3" s="4"/>
      <c r="N3" s="4"/>
    </row>
    <row r="4" spans="2:21" x14ac:dyDescent="0.35">
      <c r="C4" t="s">
        <v>40</v>
      </c>
      <c r="F4" s="5">
        <v>0.1</v>
      </c>
      <c r="L4" s="4"/>
      <c r="M4" s="4"/>
      <c r="N4" s="4"/>
    </row>
    <row r="5" spans="2:21" x14ac:dyDescent="0.35">
      <c r="C5" t="s">
        <v>2</v>
      </c>
      <c r="F5" s="5">
        <v>0.05</v>
      </c>
      <c r="G5" s="2" t="s">
        <v>3</v>
      </c>
    </row>
    <row r="6" spans="2:21" x14ac:dyDescent="0.35">
      <c r="C6" t="s">
        <v>4</v>
      </c>
      <c r="F6" s="6">
        <v>0</v>
      </c>
      <c r="G6" s="2" t="s">
        <v>3</v>
      </c>
    </row>
    <row r="7" spans="2:21" x14ac:dyDescent="0.35">
      <c r="C7" t="s">
        <v>84</v>
      </c>
      <c r="F7" s="5">
        <v>0.15</v>
      </c>
    </row>
    <row r="8" spans="2:21" x14ac:dyDescent="0.35">
      <c r="B8" s="1"/>
      <c r="G8" s="32" t="s">
        <v>35</v>
      </c>
      <c r="H8" s="32" t="s">
        <v>36</v>
      </c>
      <c r="I8" s="32" t="s">
        <v>37</v>
      </c>
      <c r="J8" s="32" t="s">
        <v>38</v>
      </c>
      <c r="K8" s="32" t="s">
        <v>39</v>
      </c>
      <c r="L8" s="25"/>
      <c r="M8" s="41"/>
      <c r="N8" s="41"/>
      <c r="O8" s="42"/>
      <c r="P8" s="41"/>
      <c r="Q8" s="41"/>
      <c r="R8" s="41"/>
      <c r="S8" s="41"/>
      <c r="T8" s="41"/>
    </row>
    <row r="9" spans="2:21" s="85" customFormat="1" ht="19" thickBot="1" x14ac:dyDescent="0.5">
      <c r="B9" s="91" t="s">
        <v>48</v>
      </c>
      <c r="E9" s="85" t="s">
        <v>139</v>
      </c>
      <c r="F9" s="90">
        <v>47</v>
      </c>
      <c r="G9" s="86">
        <f>391863118-25000000</f>
        <v>366863118</v>
      </c>
      <c r="H9" s="86">
        <v>0</v>
      </c>
      <c r="I9" s="86">
        <v>0</v>
      </c>
      <c r="J9" s="86">
        <v>0</v>
      </c>
      <c r="K9" s="86"/>
      <c r="L9" s="89"/>
      <c r="M9" s="87"/>
      <c r="N9" s="87"/>
      <c r="O9" s="173"/>
      <c r="P9" s="87"/>
      <c r="Q9" s="87"/>
      <c r="R9" s="87"/>
      <c r="S9" s="87"/>
      <c r="T9" s="87"/>
    </row>
    <row r="10" spans="2:21" s="85" customFormat="1" ht="19" thickTop="1" x14ac:dyDescent="0.45">
      <c r="B10" s="91"/>
      <c r="E10" s="85" t="s">
        <v>140</v>
      </c>
      <c r="F10" s="90"/>
      <c r="G10" s="87">
        <v>96100100</v>
      </c>
      <c r="H10" s="87"/>
      <c r="I10" s="87"/>
      <c r="J10" s="87"/>
      <c r="K10" s="87"/>
      <c r="L10" s="89"/>
      <c r="M10" s="87"/>
      <c r="N10" s="87"/>
      <c r="O10" s="173"/>
      <c r="P10" s="87"/>
      <c r="Q10" s="87"/>
      <c r="R10" s="87"/>
      <c r="S10" s="87"/>
      <c r="T10" s="87"/>
    </row>
    <row r="11" spans="2:21" s="85" customFormat="1" ht="18.5" x14ac:dyDescent="0.45">
      <c r="B11" s="91"/>
      <c r="F11" s="90"/>
      <c r="G11" s="87"/>
      <c r="H11" s="87"/>
      <c r="I11" s="87"/>
      <c r="J11" s="87"/>
      <c r="K11" s="87"/>
      <c r="L11" s="89"/>
      <c r="M11" s="87"/>
      <c r="N11" s="87"/>
      <c r="O11" s="173"/>
      <c r="P11" s="87"/>
      <c r="Q11" s="87"/>
      <c r="R11" s="87"/>
      <c r="S11" s="87"/>
      <c r="T11" s="87"/>
    </row>
    <row r="12" spans="2:21" x14ac:dyDescent="0.35">
      <c r="F12" s="10"/>
      <c r="G12" s="9">
        <v>2024</v>
      </c>
      <c r="H12" s="32">
        <v>2025</v>
      </c>
      <c r="I12" s="9">
        <v>2026</v>
      </c>
      <c r="J12" s="32">
        <v>2027</v>
      </c>
      <c r="K12" s="9">
        <v>2028</v>
      </c>
      <c r="L12" s="25"/>
      <c r="O12" s="40"/>
      <c r="P12" s="40"/>
      <c r="Q12" s="40"/>
      <c r="R12" s="40"/>
      <c r="S12" s="40"/>
      <c r="T12" s="40"/>
      <c r="U12" s="40"/>
    </row>
    <row r="13" spans="2:21" ht="16" thickBot="1" x14ac:dyDescent="0.4">
      <c r="B13" s="11" t="s">
        <v>11</v>
      </c>
      <c r="C13" s="7"/>
      <c r="D13" s="7"/>
      <c r="E13" s="7"/>
      <c r="F13" s="7"/>
      <c r="G13" s="8" t="s">
        <v>6</v>
      </c>
      <c r="H13" s="12" t="s">
        <v>7</v>
      </c>
      <c r="I13" s="8" t="s">
        <v>8</v>
      </c>
      <c r="J13" s="12" t="s">
        <v>9</v>
      </c>
      <c r="K13" s="8" t="s">
        <v>10</v>
      </c>
      <c r="L13" s="71" t="s">
        <v>12</v>
      </c>
      <c r="M13" s="55"/>
      <c r="N13" s="55"/>
      <c r="O13" s="55"/>
      <c r="P13" s="55"/>
      <c r="Q13" s="55"/>
      <c r="R13" s="55"/>
      <c r="S13" s="40"/>
      <c r="T13" s="40"/>
      <c r="U13" s="40"/>
    </row>
    <row r="14" spans="2:21" x14ac:dyDescent="0.35">
      <c r="B14" t="s">
        <v>13</v>
      </c>
      <c r="G14" s="9">
        <v>12</v>
      </c>
      <c r="H14" s="9">
        <v>12</v>
      </c>
      <c r="I14" s="9">
        <v>12</v>
      </c>
      <c r="J14" s="9">
        <v>12</v>
      </c>
      <c r="K14" s="9">
        <v>12</v>
      </c>
      <c r="L14" s="72"/>
    </row>
    <row r="15" spans="2:21" x14ac:dyDescent="0.35">
      <c r="L15" s="72"/>
    </row>
    <row r="16" spans="2:21" x14ac:dyDescent="0.35">
      <c r="B16" s="1" t="s">
        <v>5</v>
      </c>
      <c r="E16" s="17"/>
      <c r="G16" s="18"/>
      <c r="H16" s="147"/>
      <c r="I16" s="19"/>
      <c r="J16" s="19"/>
      <c r="K16" s="19"/>
      <c r="L16" s="72"/>
    </row>
    <row r="17" spans="2:19" x14ac:dyDescent="0.35">
      <c r="B17" s="1"/>
      <c r="C17" t="s">
        <v>132</v>
      </c>
      <c r="E17" s="17"/>
      <c r="G17" s="147">
        <v>137856000</v>
      </c>
      <c r="H17" s="147">
        <v>137856000</v>
      </c>
      <c r="I17" s="147">
        <f>H17</f>
        <v>137856000</v>
      </c>
      <c r="J17" s="147">
        <f>I17</f>
        <v>137856000</v>
      </c>
      <c r="K17" s="147">
        <f>J17</f>
        <v>137856000</v>
      </c>
      <c r="L17" s="150">
        <f>SUM(G17:K17)</f>
        <v>689280000</v>
      </c>
    </row>
    <row r="18" spans="2:19" x14ac:dyDescent="0.35">
      <c r="B18" s="1"/>
      <c r="C18" t="s">
        <v>133</v>
      </c>
      <c r="E18" s="17"/>
      <c r="G18" s="147">
        <v>150000000</v>
      </c>
      <c r="H18" s="147">
        <v>150000000</v>
      </c>
      <c r="I18" s="147">
        <v>150000000</v>
      </c>
      <c r="J18" s="147">
        <f>I18</f>
        <v>150000000</v>
      </c>
      <c r="K18" s="147">
        <f>J18</f>
        <v>150000000</v>
      </c>
      <c r="L18" s="150">
        <f>SUM(G18:K18)</f>
        <v>750000000</v>
      </c>
    </row>
    <row r="19" spans="2:19" x14ac:dyDescent="0.35">
      <c r="B19" s="1"/>
      <c r="C19" t="s">
        <v>135</v>
      </c>
      <c r="E19" s="17"/>
      <c r="G19" s="147"/>
      <c r="H19" s="147"/>
      <c r="I19" s="147"/>
      <c r="J19" s="147"/>
      <c r="K19" s="147"/>
      <c r="L19" s="72"/>
    </row>
    <row r="20" spans="2:19" x14ac:dyDescent="0.35">
      <c r="B20" s="65" t="s">
        <v>130</v>
      </c>
      <c r="C20" s="65"/>
      <c r="D20" s="65"/>
      <c r="E20" s="196"/>
      <c r="F20" s="197"/>
      <c r="G20" s="66">
        <f>SUM(G17:G19)</f>
        <v>287856000</v>
      </c>
      <c r="H20" s="66">
        <f t="shared" ref="H20:K20" si="0">SUM(H17:H19)</f>
        <v>287856000</v>
      </c>
      <c r="I20" s="66">
        <f t="shared" si="0"/>
        <v>287856000</v>
      </c>
      <c r="J20" s="66">
        <f t="shared" si="0"/>
        <v>287856000</v>
      </c>
      <c r="K20" s="66">
        <f t="shared" si="0"/>
        <v>287856000</v>
      </c>
      <c r="L20" s="73">
        <f>SUM(G20:K20)</f>
        <v>1439280000</v>
      </c>
      <c r="M20" s="44"/>
      <c r="N20" s="44"/>
      <c r="O20" s="44"/>
      <c r="P20" s="44"/>
      <c r="Q20" s="44"/>
      <c r="R20" s="44"/>
      <c r="S20" s="46"/>
    </row>
    <row r="21" spans="2:19" x14ac:dyDescent="0.35">
      <c r="L21" s="72"/>
      <c r="M21" s="46"/>
      <c r="N21" s="46"/>
      <c r="O21" s="46"/>
      <c r="P21" s="46"/>
      <c r="Q21" s="46"/>
      <c r="R21" s="46"/>
      <c r="S21" s="46"/>
    </row>
    <row r="22" spans="2:19" x14ac:dyDescent="0.35">
      <c r="B22" s="1" t="s">
        <v>14</v>
      </c>
      <c r="E22" s="17"/>
      <c r="F22" s="17"/>
      <c r="G22" s="18"/>
      <c r="H22" s="17"/>
      <c r="I22" s="19"/>
      <c r="J22" s="19"/>
      <c r="K22" s="19"/>
      <c r="L22" s="74"/>
      <c r="M22" s="47"/>
      <c r="N22" s="47"/>
      <c r="O22" s="47"/>
      <c r="P22" s="47"/>
      <c r="Q22" s="47"/>
      <c r="R22" s="46"/>
      <c r="S22" s="46"/>
    </row>
    <row r="23" spans="2:19" x14ac:dyDescent="0.35">
      <c r="C23" t="s">
        <v>41</v>
      </c>
      <c r="G23" s="13">
        <v>270000000</v>
      </c>
      <c r="H23" s="13"/>
      <c r="I23" s="13"/>
      <c r="J23" s="13"/>
      <c r="K23" s="13"/>
      <c r="L23" s="75">
        <f>SUM(G23:K23)</f>
        <v>270000000</v>
      </c>
      <c r="M23" s="44"/>
      <c r="N23" s="44"/>
      <c r="O23" s="44"/>
      <c r="P23" s="44"/>
      <c r="Q23" s="44"/>
      <c r="R23" s="45"/>
      <c r="S23" s="46"/>
    </row>
    <row r="24" spans="2:19" x14ac:dyDescent="0.35">
      <c r="C24" t="s">
        <v>15</v>
      </c>
      <c r="F24" s="114"/>
      <c r="G24" s="13">
        <v>36000000</v>
      </c>
      <c r="H24" s="13">
        <v>36000000</v>
      </c>
      <c r="I24" s="13">
        <v>36000000</v>
      </c>
      <c r="J24" s="13">
        <v>36000000</v>
      </c>
      <c r="K24" s="13">
        <v>36000000</v>
      </c>
      <c r="L24" s="75">
        <f>SUM(G24:K24)</f>
        <v>180000000</v>
      </c>
      <c r="M24" s="44"/>
      <c r="N24" s="44"/>
      <c r="O24" s="44"/>
      <c r="P24" s="44"/>
      <c r="Q24" s="44"/>
      <c r="R24" s="45"/>
      <c r="S24" s="46"/>
    </row>
    <row r="25" spans="2:19" x14ac:dyDescent="0.35">
      <c r="C25" t="s">
        <v>42</v>
      </c>
      <c r="G25" s="110">
        <v>14000000</v>
      </c>
      <c r="H25" s="110">
        <v>14000000</v>
      </c>
      <c r="I25" s="110">
        <v>14000000</v>
      </c>
      <c r="J25" s="110">
        <v>14000000</v>
      </c>
      <c r="K25" s="110">
        <v>14000000</v>
      </c>
      <c r="L25" s="75">
        <f>SUM(G25:K25)</f>
        <v>70000000</v>
      </c>
      <c r="M25" s="44"/>
      <c r="N25" s="44"/>
      <c r="O25" s="44"/>
      <c r="P25" s="44"/>
      <c r="Q25" s="44"/>
      <c r="R25" s="45"/>
      <c r="S25" s="46"/>
    </row>
    <row r="26" spans="2:19" x14ac:dyDescent="0.35">
      <c r="B26" s="15"/>
      <c r="C26" s="15" t="s">
        <v>2</v>
      </c>
      <c r="D26" s="15"/>
      <c r="E26" s="15"/>
      <c r="F26" s="15"/>
      <c r="G26" s="20">
        <f>G20*$F$5</f>
        <v>14392800</v>
      </c>
      <c r="H26" s="20">
        <f>H20*$F$5</f>
        <v>14392800</v>
      </c>
      <c r="I26" s="20">
        <f>I20*$F$5</f>
        <v>14392800</v>
      </c>
      <c r="J26" s="20">
        <f>J20*$F$5</f>
        <v>14392800</v>
      </c>
      <c r="K26" s="20">
        <f t="shared" ref="K26" si="1">K20*$F$5</f>
        <v>14392800</v>
      </c>
      <c r="L26" s="75">
        <f>SUM(G26:K26)</f>
        <v>71964000</v>
      </c>
      <c r="M26" s="48"/>
      <c r="N26" s="48"/>
      <c r="O26" s="48"/>
      <c r="P26" s="48"/>
      <c r="Q26" s="48"/>
      <c r="R26" s="45"/>
      <c r="S26" s="46"/>
    </row>
    <row r="27" spans="2:19" s="1" customFormat="1" x14ac:dyDescent="0.35">
      <c r="B27" s="65" t="s">
        <v>16</v>
      </c>
      <c r="C27" s="65"/>
      <c r="D27" s="65"/>
      <c r="E27" s="65"/>
      <c r="F27" s="65"/>
      <c r="G27" s="66">
        <f>SUM(G23:G26)</f>
        <v>334392800</v>
      </c>
      <c r="H27" s="66">
        <f t="shared" ref="H27:K27" si="2">SUM(H23:H26)</f>
        <v>64392800</v>
      </c>
      <c r="I27" s="66">
        <f t="shared" si="2"/>
        <v>64392800</v>
      </c>
      <c r="J27" s="66">
        <f t="shared" si="2"/>
        <v>64392800</v>
      </c>
      <c r="K27" s="66">
        <f t="shared" si="2"/>
        <v>64392800</v>
      </c>
      <c r="L27" s="88">
        <f>SUM(L23:L26)</f>
        <v>591964000</v>
      </c>
      <c r="M27" s="49"/>
      <c r="N27" s="49"/>
      <c r="O27" s="49"/>
      <c r="P27" s="49"/>
      <c r="Q27" s="49"/>
      <c r="R27" s="49"/>
      <c r="S27" s="50"/>
    </row>
    <row r="28" spans="2:19" s="1" customFormat="1" x14ac:dyDescent="0.35">
      <c r="B28" s="1" t="s">
        <v>17</v>
      </c>
      <c r="G28" s="21">
        <f>G20-G27</f>
        <v>-46536800</v>
      </c>
      <c r="H28" s="21">
        <f>H20-H27</f>
        <v>223463200</v>
      </c>
      <c r="I28" s="21">
        <f t="shared" ref="I28:K28" si="3">I20-I27</f>
        <v>223463200</v>
      </c>
      <c r="J28" s="21">
        <f t="shared" si="3"/>
        <v>223463200</v>
      </c>
      <c r="K28" s="21">
        <f t="shared" si="3"/>
        <v>223463200</v>
      </c>
      <c r="L28" s="76">
        <f>L20-L27</f>
        <v>847316000</v>
      </c>
      <c r="M28" s="49"/>
      <c r="N28" s="49"/>
      <c r="O28" s="49"/>
      <c r="P28" s="49"/>
      <c r="Q28" s="49"/>
      <c r="R28" s="49"/>
      <c r="S28" s="50"/>
    </row>
    <row r="29" spans="2:19" s="1" customFormat="1" x14ac:dyDescent="0.35">
      <c r="B29" s="22" t="s">
        <v>18</v>
      </c>
      <c r="C29" s="23"/>
      <c r="D29" s="23"/>
      <c r="E29" s="23"/>
      <c r="F29" s="23"/>
      <c r="G29" s="24">
        <v>0</v>
      </c>
      <c r="H29" s="24">
        <f>H28/H20</f>
        <v>0.77630203990884328</v>
      </c>
      <c r="I29" s="24">
        <f t="shared" ref="I29:K29" si="4">I28/I20</f>
        <v>0.77630203990884328</v>
      </c>
      <c r="J29" s="24">
        <f t="shared" si="4"/>
        <v>0.77630203990884328</v>
      </c>
      <c r="K29" s="24">
        <f t="shared" si="4"/>
        <v>0.77630203990884328</v>
      </c>
      <c r="L29" s="77">
        <f>L28/L20</f>
        <v>0.58870824301039404</v>
      </c>
      <c r="M29" s="51"/>
      <c r="N29" s="51"/>
      <c r="O29" s="51"/>
      <c r="P29" s="51"/>
      <c r="Q29" s="51"/>
      <c r="R29" s="51"/>
      <c r="S29" s="50"/>
    </row>
    <row r="30" spans="2:19" x14ac:dyDescent="0.35">
      <c r="B30" s="15" t="s">
        <v>19</v>
      </c>
      <c r="C30" s="15"/>
      <c r="D30" s="15"/>
      <c r="E30" s="15"/>
      <c r="F30" s="15"/>
      <c r="G30" s="16">
        <f>G52</f>
        <v>92592643.599999994</v>
      </c>
      <c r="H30" s="16">
        <f>H52</f>
        <v>92592643.599999994</v>
      </c>
      <c r="I30" s="16">
        <f>I52</f>
        <v>92592643.599999994</v>
      </c>
      <c r="J30" s="16">
        <f>J52</f>
        <v>92592643.599999994</v>
      </c>
      <c r="K30" s="16">
        <f>K52</f>
        <v>92592643.599999994</v>
      </c>
      <c r="L30" s="78">
        <f>SUM(G30:K30)</f>
        <v>462963218</v>
      </c>
      <c r="M30" s="44"/>
      <c r="N30" s="44"/>
      <c r="O30" s="44"/>
      <c r="P30" s="44"/>
      <c r="Q30" s="44"/>
      <c r="R30" s="44"/>
      <c r="S30" s="46"/>
    </row>
    <row r="31" spans="2:19" x14ac:dyDescent="0.35">
      <c r="B31" s="25" t="s">
        <v>20</v>
      </c>
      <c r="G31" s="26">
        <f t="shared" ref="G31:L31" si="5">G28-G30</f>
        <v>-139129443.59999999</v>
      </c>
      <c r="H31" s="26">
        <f t="shared" si="5"/>
        <v>130870556.40000001</v>
      </c>
      <c r="I31" s="26">
        <f t="shared" si="5"/>
        <v>130870556.40000001</v>
      </c>
      <c r="J31" s="26">
        <f t="shared" si="5"/>
        <v>130870556.40000001</v>
      </c>
      <c r="K31" s="26">
        <f t="shared" si="5"/>
        <v>130870556.40000001</v>
      </c>
      <c r="L31" s="79">
        <f t="shared" si="5"/>
        <v>384352782</v>
      </c>
      <c r="M31" s="52"/>
      <c r="N31" s="52"/>
      <c r="O31" s="52"/>
      <c r="P31" s="52"/>
      <c r="Q31" s="52"/>
      <c r="R31" s="52"/>
      <c r="S31" s="46"/>
    </row>
    <row r="32" spans="2:19" x14ac:dyDescent="0.35">
      <c r="B32" s="25" t="s">
        <v>33</v>
      </c>
      <c r="G32" s="69">
        <f>Q77</f>
        <v>25830558</v>
      </c>
      <c r="H32" s="69">
        <f>R77</f>
        <v>38013746.400000006</v>
      </c>
      <c r="I32" s="69">
        <f>S77</f>
        <v>28805749.609999999</v>
      </c>
      <c r="J32" s="69">
        <f>T77</f>
        <v>20218354.710000001</v>
      </c>
      <c r="K32" s="69">
        <f>U77</f>
        <v>11630959.809999999</v>
      </c>
      <c r="L32" s="93">
        <f>SUM(G32:K32)</f>
        <v>124499368.53</v>
      </c>
      <c r="M32" s="52"/>
      <c r="N32" s="52"/>
      <c r="O32" s="52"/>
      <c r="P32" s="52"/>
      <c r="Q32" s="52"/>
      <c r="R32" s="52"/>
      <c r="S32" s="46"/>
    </row>
    <row r="33" spans="2:19" x14ac:dyDescent="0.35">
      <c r="B33" s="25" t="s">
        <v>34</v>
      </c>
      <c r="G33" s="69">
        <f t="shared" ref="G33:K33" si="6">G31-G32</f>
        <v>-164960001.59999999</v>
      </c>
      <c r="H33" s="69">
        <f t="shared" si="6"/>
        <v>92856810</v>
      </c>
      <c r="I33" s="69">
        <f t="shared" si="6"/>
        <v>102064806.79000001</v>
      </c>
      <c r="J33" s="69">
        <f t="shared" si="6"/>
        <v>110652201.69</v>
      </c>
      <c r="K33" s="69">
        <f t="shared" si="6"/>
        <v>119239596.59</v>
      </c>
      <c r="L33" s="93">
        <f>SUM(G33:K33)</f>
        <v>259853413.47</v>
      </c>
      <c r="M33" s="52"/>
      <c r="N33" s="52"/>
      <c r="O33" s="52"/>
      <c r="P33" s="52"/>
      <c r="Q33" s="52"/>
      <c r="R33" s="52"/>
      <c r="S33" s="46"/>
    </row>
    <row r="34" spans="2:19" x14ac:dyDescent="0.35">
      <c r="B34" s="15" t="s">
        <v>21</v>
      </c>
      <c r="C34" s="15"/>
      <c r="D34" s="15"/>
      <c r="E34" s="15"/>
      <c r="F34" s="15"/>
      <c r="G34" s="67">
        <f>IF(G33&lt;0,0,G33*$F$3)</f>
        <v>0</v>
      </c>
      <c r="H34" s="67">
        <f t="shared" ref="H34:K34" si="7">IF(H33&lt;0,0,H33*$F$3)</f>
        <v>1857136.2</v>
      </c>
      <c r="I34" s="67">
        <f t="shared" si="7"/>
        <v>2041296.1358000003</v>
      </c>
      <c r="J34" s="67">
        <f t="shared" si="7"/>
        <v>2213044.0337999999</v>
      </c>
      <c r="K34" s="67">
        <f t="shared" si="7"/>
        <v>2384791.9317999999</v>
      </c>
      <c r="L34" s="80">
        <f>SUM(G34:K34)</f>
        <v>8496268.3014000002</v>
      </c>
      <c r="M34" s="54"/>
      <c r="N34" s="54"/>
      <c r="O34" s="54"/>
      <c r="P34" s="54"/>
      <c r="Q34" s="54"/>
      <c r="R34" s="53"/>
      <c r="S34" s="46"/>
    </row>
    <row r="35" spans="2:19" ht="16" thickBot="1" x14ac:dyDescent="0.4">
      <c r="B35" s="28" t="s">
        <v>49</v>
      </c>
      <c r="C35" s="28"/>
      <c r="D35" s="28"/>
      <c r="E35" s="28"/>
      <c r="F35" s="28"/>
      <c r="G35" s="29">
        <f>G33-G34</f>
        <v>-164960001.59999999</v>
      </c>
      <c r="H35" s="29">
        <f t="shared" ref="H35:L35" si="8">H33-H34</f>
        <v>90999673.799999997</v>
      </c>
      <c r="I35" s="29">
        <f t="shared" si="8"/>
        <v>100023510.6542</v>
      </c>
      <c r="J35" s="29">
        <f t="shared" si="8"/>
        <v>108439157.65619999</v>
      </c>
      <c r="K35" s="29">
        <f t="shared" si="8"/>
        <v>116854804.65820001</v>
      </c>
      <c r="L35" s="81">
        <f t="shared" si="8"/>
        <v>251357145.16859999</v>
      </c>
      <c r="M35" s="52"/>
      <c r="N35" s="52"/>
      <c r="O35" s="52"/>
      <c r="P35" s="52"/>
      <c r="Q35" s="52"/>
      <c r="R35" s="52"/>
      <c r="S35" s="46"/>
    </row>
    <row r="36" spans="2:19" x14ac:dyDescent="0.35">
      <c r="L36" s="72"/>
      <c r="M36" s="46"/>
      <c r="N36" s="46"/>
      <c r="O36" s="46"/>
      <c r="P36" s="46"/>
      <c r="Q36" s="46"/>
      <c r="R36" s="46"/>
      <c r="S36" s="46"/>
    </row>
    <row r="37" spans="2:19" x14ac:dyDescent="0.35">
      <c r="B37" s="15" t="s">
        <v>22</v>
      </c>
      <c r="C37" s="15"/>
      <c r="D37" s="15"/>
      <c r="E37" s="15"/>
      <c r="F37" s="30">
        <f>-SUM(G9:G10)</f>
        <v>-462963218</v>
      </c>
      <c r="G37" s="30">
        <f>-H9+-H10</f>
        <v>0</v>
      </c>
      <c r="H37" s="30">
        <f>-I9+-I10</f>
        <v>0</v>
      </c>
      <c r="I37" s="30">
        <f>-J9+-J10</f>
        <v>0</v>
      </c>
      <c r="J37" s="30">
        <f t="shared" ref="J37" si="9">-K9+-K10</f>
        <v>0</v>
      </c>
      <c r="K37" s="30">
        <f>-L9+-L10</f>
        <v>0</v>
      </c>
      <c r="L37" s="82"/>
      <c r="M37" s="53"/>
      <c r="N37" s="53"/>
      <c r="O37" s="53"/>
      <c r="P37" s="53"/>
      <c r="Q37" s="53"/>
      <c r="R37" s="53"/>
      <c r="S37" s="46"/>
    </row>
    <row r="38" spans="2:19" x14ac:dyDescent="0.35">
      <c r="B38" t="s">
        <v>23</v>
      </c>
      <c r="F38" s="27">
        <f>F37</f>
        <v>-462963218</v>
      </c>
      <c r="G38" s="27">
        <f t="shared" ref="G38:I38" si="10">G37+G35+G30</f>
        <v>-72367358</v>
      </c>
      <c r="H38" s="27">
        <f t="shared" si="10"/>
        <v>183592317.39999998</v>
      </c>
      <c r="I38" s="27">
        <f t="shared" si="10"/>
        <v>192616154.25419998</v>
      </c>
      <c r="J38" s="27">
        <f t="shared" ref="J38:K38" si="11">J37+J35+J30</f>
        <v>201031801.25619999</v>
      </c>
      <c r="K38" s="27">
        <f t="shared" si="11"/>
        <v>209447448.25819999</v>
      </c>
      <c r="L38" s="83">
        <f>SUM(F38:K38)</f>
        <v>251357145.16859993</v>
      </c>
      <c r="M38" s="53"/>
      <c r="N38" s="53"/>
      <c r="O38" s="53"/>
      <c r="P38" s="53"/>
      <c r="Q38" s="53"/>
      <c r="R38" s="53"/>
      <c r="S38" s="46"/>
    </row>
    <row r="39" spans="2:19" x14ac:dyDescent="0.35">
      <c r="B39" t="s">
        <v>24</v>
      </c>
      <c r="F39" s="27">
        <f>F38</f>
        <v>-462963218</v>
      </c>
      <c r="G39" s="27">
        <f>F39+G38</f>
        <v>-535330576</v>
      </c>
      <c r="H39" s="27">
        <f t="shared" ref="H39:I39" si="12">G39+H38</f>
        <v>-351738258.60000002</v>
      </c>
      <c r="I39" s="27">
        <f t="shared" si="12"/>
        <v>-159122104.34580004</v>
      </c>
      <c r="J39" s="27">
        <f t="shared" ref="J39" si="13">I39+J38</f>
        <v>41909696.910399944</v>
      </c>
      <c r="K39" s="27">
        <f t="shared" ref="K39" si="14">J39+K38</f>
        <v>251357145.16859993</v>
      </c>
      <c r="L39" s="83"/>
      <c r="M39" s="53"/>
      <c r="N39" s="53"/>
      <c r="O39" s="53"/>
      <c r="P39" s="53"/>
      <c r="Q39" s="53"/>
      <c r="R39" s="53"/>
      <c r="S39" s="46"/>
    </row>
    <row r="40" spans="2:19" x14ac:dyDescent="0.35">
      <c r="B40" t="s">
        <v>25</v>
      </c>
      <c r="F40" s="27"/>
      <c r="G40" s="31">
        <f>IF(AND(F39&lt;0,G39&gt;0),G45-(G39/G38),0)</f>
        <v>0</v>
      </c>
      <c r="H40" s="31">
        <f t="shared" ref="H40:K40" si="15">IF(AND(G39&lt;0,H39&gt;0),H45-(H39/H38),0)</f>
        <v>0</v>
      </c>
      <c r="I40" s="31">
        <f t="shared" si="15"/>
        <v>0</v>
      </c>
      <c r="J40" s="31">
        <f t="shared" si="15"/>
        <v>3.7915270288157585</v>
      </c>
      <c r="K40" s="31">
        <f t="shared" si="15"/>
        <v>0</v>
      </c>
      <c r="L40" s="84"/>
      <c r="M40" s="31"/>
      <c r="N40" s="31"/>
      <c r="O40" s="31"/>
      <c r="P40" s="31"/>
      <c r="Q40" s="31"/>
      <c r="R40" s="31"/>
    </row>
    <row r="41" spans="2:19" x14ac:dyDescent="0.35">
      <c r="B41" s="56" t="s">
        <v>26</v>
      </c>
      <c r="C41" s="57"/>
      <c r="D41" s="57"/>
      <c r="E41" s="57"/>
      <c r="F41" s="94">
        <f>IRR(F38:K38)</f>
        <v>0.1216024822607169</v>
      </c>
    </row>
    <row r="42" spans="2:19" x14ac:dyDescent="0.35">
      <c r="B42" s="58" t="s">
        <v>27</v>
      </c>
      <c r="C42" s="59"/>
      <c r="D42" s="59"/>
      <c r="E42" s="59"/>
      <c r="F42" s="60">
        <f>NPV(F4,G38:K38)+F38</f>
        <v>35050642.143185496</v>
      </c>
      <c r="H42" s="92"/>
      <c r="I42" s="14"/>
    </row>
    <row r="43" spans="2:19" x14ac:dyDescent="0.35">
      <c r="B43" s="58" t="s">
        <v>28</v>
      </c>
      <c r="C43" s="59"/>
      <c r="D43" s="59"/>
      <c r="E43" s="59"/>
      <c r="F43" s="61">
        <f>L29</f>
        <v>0.58870824301039404</v>
      </c>
      <c r="H43" s="68"/>
    </row>
    <row r="44" spans="2:19" x14ac:dyDescent="0.35">
      <c r="B44" s="62" t="s">
        <v>29</v>
      </c>
      <c r="C44" s="63"/>
      <c r="D44" s="63"/>
      <c r="E44" s="63"/>
      <c r="F44" s="64">
        <f>SUM(F40:K40)</f>
        <v>3.7915270288157585</v>
      </c>
    </row>
    <row r="45" spans="2:19" x14ac:dyDescent="0.35">
      <c r="G45" s="9">
        <v>1</v>
      </c>
      <c r="H45" s="32">
        <v>2</v>
      </c>
      <c r="I45" s="9">
        <v>3</v>
      </c>
      <c r="J45" s="32">
        <v>4</v>
      </c>
      <c r="K45" s="9">
        <v>5</v>
      </c>
      <c r="L45" s="32"/>
      <c r="M45" s="9"/>
      <c r="N45" s="32"/>
      <c r="O45" s="9"/>
      <c r="P45" s="32"/>
      <c r="Q45" s="9"/>
    </row>
    <row r="46" spans="2:19" x14ac:dyDescent="0.35">
      <c r="B46" s="33" t="s">
        <v>30</v>
      </c>
      <c r="E46" s="34" t="s">
        <v>31</v>
      </c>
      <c r="G46" s="34" t="str">
        <f t="shared" ref="G46:K46" si="16">G13</f>
        <v>Year 1</v>
      </c>
      <c r="H46" s="34" t="str">
        <f t="shared" si="16"/>
        <v>Year 2</v>
      </c>
      <c r="I46" s="34" t="str">
        <f t="shared" si="16"/>
        <v>Year 3</v>
      </c>
      <c r="J46" s="34" t="str">
        <f t="shared" si="16"/>
        <v>Year 4</v>
      </c>
      <c r="K46" s="34" t="str">
        <f t="shared" si="16"/>
        <v>Year 5</v>
      </c>
      <c r="L46" s="34"/>
      <c r="M46" s="34"/>
      <c r="N46" s="34"/>
      <c r="O46" s="34"/>
      <c r="P46" s="34"/>
      <c r="Q46" s="34"/>
      <c r="R46" s="34"/>
    </row>
    <row r="47" spans="2:19" x14ac:dyDescent="0.35">
      <c r="D47" t="s">
        <v>6</v>
      </c>
      <c r="E47">
        <v>5</v>
      </c>
      <c r="G47" s="70">
        <f>SUM(G9:G10)/$E47</f>
        <v>92592643.599999994</v>
      </c>
      <c r="H47" s="35">
        <f>G47</f>
        <v>92592643.599999994</v>
      </c>
      <c r="I47" s="35">
        <f t="shared" ref="I47:K47" si="17">H47</f>
        <v>92592643.599999994</v>
      </c>
      <c r="J47" s="35">
        <f t="shared" si="17"/>
        <v>92592643.599999994</v>
      </c>
      <c r="K47" s="35">
        <f t="shared" si="17"/>
        <v>92592643.599999994</v>
      </c>
      <c r="L47" s="35"/>
      <c r="M47" s="35"/>
      <c r="N47" s="35"/>
      <c r="O47" s="35"/>
      <c r="P47" s="35"/>
      <c r="Q47" s="35"/>
      <c r="R47" s="36"/>
    </row>
    <row r="48" spans="2:19" x14ac:dyDescent="0.35">
      <c r="D48" t="s">
        <v>7</v>
      </c>
      <c r="E48">
        <v>4</v>
      </c>
      <c r="H48" s="70">
        <f>H$10/$E48</f>
        <v>0</v>
      </c>
      <c r="I48" s="35">
        <f>H48</f>
        <v>0</v>
      </c>
      <c r="J48" s="35">
        <f t="shared" ref="J48:K48" si="18">I48</f>
        <v>0</v>
      </c>
      <c r="K48" s="35">
        <f t="shared" si="18"/>
        <v>0</v>
      </c>
      <c r="L48" s="35"/>
      <c r="M48" s="35"/>
      <c r="N48" s="35"/>
      <c r="O48" s="35"/>
      <c r="P48" s="35"/>
      <c r="Q48" s="35"/>
      <c r="R48" s="36"/>
    </row>
    <row r="49" spans="2:21" x14ac:dyDescent="0.35">
      <c r="D49" t="s">
        <v>8</v>
      </c>
      <c r="E49">
        <v>3</v>
      </c>
      <c r="I49" s="70">
        <f>I$10/$E49</f>
        <v>0</v>
      </c>
      <c r="J49" s="35">
        <f>I49</f>
        <v>0</v>
      </c>
      <c r="K49" s="35">
        <f t="shared" ref="K49" si="19">J49</f>
        <v>0</v>
      </c>
      <c r="L49" s="35"/>
      <c r="M49" s="35"/>
      <c r="N49" s="35"/>
      <c r="O49" s="35"/>
      <c r="P49" s="35"/>
      <c r="Q49" s="35"/>
      <c r="R49" s="36"/>
    </row>
    <row r="50" spans="2:21" x14ac:dyDescent="0.35">
      <c r="D50" t="s">
        <v>9</v>
      </c>
      <c r="E50">
        <v>2</v>
      </c>
      <c r="J50" s="70">
        <f>J$9/$E50</f>
        <v>0</v>
      </c>
      <c r="K50" s="35">
        <f>J50</f>
        <v>0</v>
      </c>
      <c r="L50" s="35"/>
      <c r="M50" s="35"/>
      <c r="N50" s="35"/>
      <c r="O50" s="35"/>
      <c r="P50" s="35"/>
      <c r="Q50" s="35"/>
      <c r="R50" s="36"/>
    </row>
    <row r="51" spans="2:21" x14ac:dyDescent="0.35">
      <c r="D51" t="s">
        <v>10</v>
      </c>
      <c r="E51">
        <v>1</v>
      </c>
      <c r="K51" s="70"/>
      <c r="L51" s="35"/>
      <c r="M51" s="35"/>
      <c r="N51" s="35"/>
      <c r="O51" s="35"/>
      <c r="P51" s="35"/>
      <c r="Q51" s="35"/>
      <c r="R51" s="36"/>
    </row>
    <row r="52" spans="2:21" ht="16" thickBot="1" x14ac:dyDescent="0.4">
      <c r="B52" s="37" t="s">
        <v>32</v>
      </c>
      <c r="C52" s="38"/>
      <c r="D52" s="38"/>
      <c r="E52" s="38"/>
      <c r="F52" s="38"/>
      <c r="G52" s="39">
        <f>SUM(G47:G51)</f>
        <v>92592643.599999994</v>
      </c>
      <c r="H52" s="39">
        <f t="shared" ref="H52:K52" si="20">SUM(H47:H51)</f>
        <v>92592643.599999994</v>
      </c>
      <c r="I52" s="39">
        <f t="shared" si="20"/>
        <v>92592643.599999994</v>
      </c>
      <c r="J52" s="39">
        <f t="shared" si="20"/>
        <v>92592643.599999994</v>
      </c>
      <c r="K52" s="39">
        <f t="shared" si="20"/>
        <v>92592643.599999994</v>
      </c>
      <c r="L52" s="43"/>
      <c r="M52" s="43"/>
      <c r="N52" s="43"/>
      <c r="O52" s="43"/>
      <c r="P52" s="43"/>
      <c r="Q52" s="43"/>
      <c r="R52" s="43"/>
      <c r="S52" s="40"/>
      <c r="T52" s="40"/>
      <c r="U52" s="40"/>
    </row>
    <row r="53" spans="2:21" ht="16" thickTop="1" x14ac:dyDescent="0.35">
      <c r="R53" s="14"/>
    </row>
    <row r="55" spans="2:21" x14ac:dyDescent="0.35">
      <c r="F55" t="s">
        <v>50</v>
      </c>
    </row>
    <row r="58" spans="2:21" s="169" customFormat="1" x14ac:dyDescent="0.35">
      <c r="F58">
        <v>5</v>
      </c>
      <c r="G58" s="209">
        <v>2014</v>
      </c>
      <c r="H58" s="209">
        <v>2015</v>
      </c>
      <c r="I58" s="209">
        <v>2016</v>
      </c>
      <c r="J58" s="209">
        <v>2017</v>
      </c>
      <c r="K58" s="209">
        <v>2018</v>
      </c>
      <c r="L58" s="209">
        <v>2019</v>
      </c>
      <c r="M58" s="209">
        <v>2020</v>
      </c>
      <c r="N58" s="209">
        <v>2021</v>
      </c>
      <c r="O58" s="209">
        <v>2022</v>
      </c>
      <c r="P58" s="209">
        <v>2023</v>
      </c>
      <c r="Q58" s="209">
        <v>2024</v>
      </c>
      <c r="R58" s="209">
        <v>2025</v>
      </c>
      <c r="S58" s="209">
        <v>2026</v>
      </c>
      <c r="T58" s="209">
        <v>2027</v>
      </c>
      <c r="U58" s="209">
        <v>2028</v>
      </c>
    </row>
    <row r="59" spans="2:21" s="169" customFormat="1" x14ac:dyDescent="0.35">
      <c r="E59" s="169">
        <v>2014</v>
      </c>
      <c r="F59" t="s">
        <v>51</v>
      </c>
      <c r="G59" s="211">
        <v>45797701</v>
      </c>
      <c r="H59" s="212">
        <f>G59-G60</f>
        <v>36638160.799999997</v>
      </c>
      <c r="I59" s="212">
        <f>H59-G60</f>
        <v>27478620.599999998</v>
      </c>
      <c r="J59" s="212">
        <f>I59-G60</f>
        <v>18319080.399999999</v>
      </c>
      <c r="K59" s="212">
        <f>J59-G60</f>
        <v>9159540.1999999993</v>
      </c>
      <c r="L59" s="212">
        <f>$F$2-$B$4</f>
        <v>0</v>
      </c>
      <c r="M59" s="212">
        <f>$G$2-$B$4</f>
        <v>0</v>
      </c>
      <c r="N59" s="212">
        <f>$H$2-$B$4</f>
        <v>0</v>
      </c>
      <c r="O59" s="212">
        <f>$I$2-$B$4</f>
        <v>0</v>
      </c>
      <c r="P59" s="212">
        <f>$J$2-$B$4</f>
        <v>0</v>
      </c>
      <c r="Q59" s="209"/>
      <c r="R59" s="209"/>
      <c r="S59" s="209"/>
      <c r="T59" s="209"/>
      <c r="U59" s="209"/>
    </row>
    <row r="60" spans="2:21" s="169" customFormat="1" x14ac:dyDescent="0.35">
      <c r="F60" t="s">
        <v>53</v>
      </c>
      <c r="G60" s="213">
        <f>G59/$F$58</f>
        <v>9159540.1999999993</v>
      </c>
      <c r="H60" s="210"/>
      <c r="I60" s="210"/>
      <c r="J60" s="210"/>
      <c r="K60" s="210"/>
      <c r="L60" s="210"/>
      <c r="M60" s="210"/>
      <c r="N60" s="210"/>
      <c r="O60" s="210"/>
      <c r="P60" s="210"/>
      <c r="Q60" s="209"/>
      <c r="R60" s="209"/>
      <c r="S60" s="209"/>
      <c r="T60" s="209"/>
      <c r="U60" s="209"/>
    </row>
    <row r="61" spans="2:21" s="169" customFormat="1" x14ac:dyDescent="0.35">
      <c r="F61" t="s">
        <v>54</v>
      </c>
      <c r="G61" s="213">
        <f>((G59*$F$4)*6)/12</f>
        <v>2289885.0500000003</v>
      </c>
      <c r="H61" s="212">
        <f>AVERAGE(G59:H59)*$F$4</f>
        <v>4121793.09</v>
      </c>
      <c r="I61" s="212">
        <f>AVERAGE(H59:I59)*$F$4</f>
        <v>3205839.07</v>
      </c>
      <c r="J61" s="212">
        <f>AVERAGE(I59:J59)*$F$4</f>
        <v>2289885.0500000003</v>
      </c>
      <c r="K61" s="212">
        <f>AVERAGE(J59:K59)*$F$4</f>
        <v>1373931.03</v>
      </c>
      <c r="L61" s="212">
        <f>AVERAGE(K59:L59)*$F$4</f>
        <v>457977.01</v>
      </c>
      <c r="M61" s="212">
        <f>AVERAGE(L59:M59)*10%</f>
        <v>0</v>
      </c>
      <c r="N61" s="212">
        <f>AVERAGE(M59:N59)*10%</f>
        <v>0</v>
      </c>
      <c r="O61" s="212">
        <f>AVERAGE(N59:O59)*10%</f>
        <v>0</v>
      </c>
      <c r="P61" s="212">
        <f>AVERAGE(O59:P59)*10%</f>
        <v>0</v>
      </c>
      <c r="Q61" s="209"/>
      <c r="R61" s="209"/>
      <c r="S61" s="209"/>
      <c r="T61" s="209"/>
      <c r="U61" s="209"/>
    </row>
    <row r="62" spans="2:21" s="169" customFormat="1" x14ac:dyDescent="0.35">
      <c r="E62" s="169">
        <v>2015</v>
      </c>
      <c r="F62" t="s">
        <v>51</v>
      </c>
      <c r="G62" s="209"/>
      <c r="H62" s="214">
        <v>118120984</v>
      </c>
      <c r="I62" s="212">
        <f>H62-H$63</f>
        <v>94496787.200000003</v>
      </c>
      <c r="J62" s="212">
        <f>I62-$H$63</f>
        <v>70872590.400000006</v>
      </c>
      <c r="K62" s="212">
        <f>J62-$H$63</f>
        <v>47248393.600000009</v>
      </c>
      <c r="L62" s="212">
        <f>K62-$H$63</f>
        <v>23624196.800000008</v>
      </c>
      <c r="M62" s="212">
        <f>L62-$H$63</f>
        <v>0</v>
      </c>
      <c r="N62" s="212">
        <f>$F$2-$B$4</f>
        <v>0</v>
      </c>
      <c r="O62" s="212">
        <f>$G$2-$B$4</f>
        <v>0</v>
      </c>
      <c r="P62" s="212">
        <f>$H$2-$B$4</f>
        <v>0</v>
      </c>
      <c r="Q62" s="212">
        <f>$I$2-$B$4</f>
        <v>0</v>
      </c>
      <c r="R62" s="212">
        <f>$J$2-$B$4</f>
        <v>0</v>
      </c>
      <c r="S62" s="209"/>
      <c r="T62" s="209"/>
      <c r="U62" s="209"/>
    </row>
    <row r="63" spans="2:21" s="169" customFormat="1" x14ac:dyDescent="0.35">
      <c r="F63" t="s">
        <v>53</v>
      </c>
      <c r="G63" s="209"/>
      <c r="H63" s="214">
        <f>H62/$F$58</f>
        <v>23624196.800000001</v>
      </c>
      <c r="I63" s="213"/>
      <c r="J63" s="210"/>
      <c r="K63" s="210"/>
      <c r="L63" s="210"/>
      <c r="M63" s="210"/>
      <c r="N63" s="210"/>
      <c r="O63" s="210"/>
      <c r="P63" s="210"/>
      <c r="Q63" s="210"/>
      <c r="R63" s="210"/>
      <c r="S63" s="209"/>
      <c r="T63" s="209"/>
      <c r="U63" s="209"/>
    </row>
    <row r="64" spans="2:21" s="169" customFormat="1" x14ac:dyDescent="0.35">
      <c r="F64" t="s">
        <v>54</v>
      </c>
      <c r="G64" s="209"/>
      <c r="H64" s="213">
        <f>((H62*$F$4)*6)/12</f>
        <v>5906049.2000000002</v>
      </c>
      <c r="I64" s="212">
        <f>AVERAGE(H62:I62)*$F$4</f>
        <v>10630888.560000001</v>
      </c>
      <c r="J64" s="212">
        <f>AVERAGE(I62:J62)*$F$4</f>
        <v>8268468.8800000018</v>
      </c>
      <c r="K64" s="212">
        <f>AVERAGE(J62:K62)*$F$4</f>
        <v>5906049.2000000011</v>
      </c>
      <c r="L64" s="212">
        <f>AVERAGE(K62:L62)*$F$4</f>
        <v>3543629.5200000014</v>
      </c>
      <c r="M64" s="212">
        <f>AVERAGE(L62:M62)*$F$4</f>
        <v>1181209.8400000005</v>
      </c>
      <c r="N64" s="212">
        <f>AVERAGE(M62:N62)*10%</f>
        <v>0</v>
      </c>
      <c r="O64" s="212">
        <f>AVERAGE(N62:O62)*10%</f>
        <v>0</v>
      </c>
      <c r="P64" s="212">
        <f>AVERAGE(O62:P62)*10%</f>
        <v>0</v>
      </c>
      <c r="Q64" s="212"/>
      <c r="R64" s="212"/>
      <c r="S64" s="209"/>
      <c r="T64" s="209"/>
      <c r="U64" s="209"/>
    </row>
    <row r="65" spans="5:23" s="169" customFormat="1" x14ac:dyDescent="0.35">
      <c r="E65" s="169">
        <v>2016</v>
      </c>
      <c r="F65" t="s">
        <v>51</v>
      </c>
      <c r="G65" s="209"/>
      <c r="H65" s="213"/>
      <c r="I65" s="220">
        <v>67888399</v>
      </c>
      <c r="J65" s="212">
        <f>I65-I66</f>
        <v>54310719.200000003</v>
      </c>
      <c r="K65" s="212">
        <f>J65-I66</f>
        <v>40733039.400000006</v>
      </c>
      <c r="L65" s="212">
        <f>K65-I66</f>
        <v>27155359.600000005</v>
      </c>
      <c r="M65" s="212">
        <f>L65-$I$66</f>
        <v>13577679.800000004</v>
      </c>
      <c r="N65" s="212">
        <f>M65-$I$66</f>
        <v>0</v>
      </c>
      <c r="O65" s="212"/>
      <c r="P65" s="212"/>
      <c r="Q65" s="212"/>
      <c r="R65" s="212"/>
      <c r="S65" s="209"/>
      <c r="T65" s="209"/>
      <c r="U65" s="209"/>
    </row>
    <row r="66" spans="5:23" s="169" customFormat="1" x14ac:dyDescent="0.35">
      <c r="F66" t="s">
        <v>53</v>
      </c>
      <c r="G66" s="209"/>
      <c r="H66" s="213"/>
      <c r="I66" s="214">
        <f>I65/$F$58</f>
        <v>13577679.800000001</v>
      </c>
      <c r="J66" s="212"/>
      <c r="K66" s="212"/>
      <c r="L66" s="212"/>
      <c r="M66" s="212"/>
      <c r="N66" s="212"/>
      <c r="O66" s="212"/>
      <c r="P66" s="212"/>
      <c r="Q66" s="212"/>
      <c r="R66" s="212"/>
      <c r="S66" s="209"/>
      <c r="T66" s="209"/>
      <c r="U66" s="209"/>
    </row>
    <row r="67" spans="5:23" s="169" customFormat="1" x14ac:dyDescent="0.35">
      <c r="F67" t="s">
        <v>54</v>
      </c>
      <c r="G67" s="209"/>
      <c r="H67" s="213"/>
      <c r="I67" s="213">
        <f>((I65*$F$4)*6)/12</f>
        <v>3394419.9500000007</v>
      </c>
      <c r="J67" s="212">
        <f>AVERAGE(I65:J65)*$F$4</f>
        <v>6109955.9100000001</v>
      </c>
      <c r="K67" s="212">
        <f>AVERAGE(J65:K65)*$F$4</f>
        <v>4752187.9300000006</v>
      </c>
      <c r="L67" s="212">
        <f>AVERAGE(K65:L65)*$F$4</f>
        <v>3394419.9500000011</v>
      </c>
      <c r="M67" s="212">
        <f>AVERAGE(L65:M65)*$F$4</f>
        <v>2036651.9700000004</v>
      </c>
      <c r="N67" s="212">
        <f>AVERAGE(M65:N65)*$F$4</f>
        <v>678883.99000000022</v>
      </c>
      <c r="O67" s="212">
        <f>AVERAGE(N65:O65)*$F$4</f>
        <v>0</v>
      </c>
      <c r="P67" s="212"/>
      <c r="Q67" s="212"/>
      <c r="R67" s="212"/>
      <c r="S67" s="209"/>
      <c r="T67" s="209"/>
      <c r="U67" s="209"/>
    </row>
    <row r="68" spans="5:23" s="169" customFormat="1" x14ac:dyDescent="0.35">
      <c r="E68" s="169">
        <v>2020</v>
      </c>
      <c r="F68" s="219" t="s">
        <v>51</v>
      </c>
      <c r="G68" s="209"/>
      <c r="H68" s="213"/>
      <c r="I68" s="212"/>
      <c r="J68" s="212"/>
      <c r="K68" s="212"/>
      <c r="L68" s="212"/>
      <c r="M68" s="212">
        <v>62060189</v>
      </c>
      <c r="N68" s="212">
        <f>M68-$M69</f>
        <v>49648151.200000003</v>
      </c>
      <c r="O68" s="212">
        <f>N68-$M69</f>
        <v>37236113.400000006</v>
      </c>
      <c r="P68" s="212">
        <f>O68-$M69</f>
        <v>24824075.600000005</v>
      </c>
      <c r="Q68" s="212">
        <f>P68-$M69</f>
        <v>12412037.800000004</v>
      </c>
      <c r="R68" s="212">
        <f>Q68-$M69</f>
        <v>0</v>
      </c>
      <c r="S68" s="209"/>
      <c r="T68" s="209"/>
      <c r="U68" s="209"/>
    </row>
    <row r="69" spans="5:23" s="169" customFormat="1" x14ac:dyDescent="0.35">
      <c r="F69" s="219" t="s">
        <v>53</v>
      </c>
      <c r="G69" s="209"/>
      <c r="H69" s="213"/>
      <c r="I69" s="212"/>
      <c r="J69" s="212"/>
      <c r="K69" s="212"/>
      <c r="L69" s="212"/>
      <c r="M69" s="214">
        <f>M68/$F$58</f>
        <v>12412037.800000001</v>
      </c>
      <c r="N69" s="212"/>
      <c r="O69" s="212"/>
      <c r="P69" s="212"/>
      <c r="Q69" s="212"/>
      <c r="R69" s="212"/>
      <c r="S69" s="209"/>
      <c r="T69" s="209"/>
      <c r="U69" s="209"/>
    </row>
    <row r="70" spans="5:23" s="169" customFormat="1" x14ac:dyDescent="0.35">
      <c r="F70" s="219" t="s">
        <v>54</v>
      </c>
      <c r="G70" s="209"/>
      <c r="H70" s="213"/>
      <c r="I70" s="212"/>
      <c r="J70" s="212"/>
      <c r="K70" s="212"/>
      <c r="L70" s="212"/>
      <c r="M70" s="213">
        <f>((M68*$F$4)*6)/12</f>
        <v>3103009.4500000007</v>
      </c>
      <c r="N70" s="212">
        <f>AVERAGE(M68:N68)*$F$4</f>
        <v>5585417.0100000007</v>
      </c>
      <c r="O70" s="212">
        <f>AVERAGE(N68:O68)*$F$4</f>
        <v>4344213.2300000004</v>
      </c>
      <c r="P70" s="212">
        <f>AVERAGE(O68:P68)*$F$4</f>
        <v>3103009.4500000011</v>
      </c>
      <c r="Q70" s="212">
        <f>AVERAGE(P68:Q68)*$F$4</f>
        <v>1861805.6700000004</v>
      </c>
      <c r="R70" s="212">
        <f>AVERAGE(Q68:R68)*$F$4</f>
        <v>620601.89000000025</v>
      </c>
      <c r="S70" s="212">
        <f>AVERAGE(R68:S68)*$F$4</f>
        <v>0</v>
      </c>
      <c r="T70" s="209"/>
      <c r="U70" s="209"/>
    </row>
    <row r="71" spans="5:23" s="169" customFormat="1" x14ac:dyDescent="0.35">
      <c r="E71" s="169">
        <v>2023</v>
      </c>
      <c r="F71" s="219" t="s">
        <v>51</v>
      </c>
      <c r="G71" s="209"/>
      <c r="H71" s="213"/>
      <c r="I71" s="212"/>
      <c r="J71" s="212"/>
      <c r="K71" s="212"/>
      <c r="L71" s="212"/>
      <c r="M71" s="212"/>
      <c r="N71" s="212"/>
      <c r="O71" s="212"/>
      <c r="P71" s="212">
        <v>62506627</v>
      </c>
      <c r="Q71" s="212">
        <f>P71-$P72</f>
        <v>50005301.600000001</v>
      </c>
      <c r="R71" s="212">
        <f>Q71-$P72</f>
        <v>37503976.200000003</v>
      </c>
      <c r="S71" s="212">
        <f>R71-$P72</f>
        <v>25002650.800000004</v>
      </c>
      <c r="T71" s="212">
        <f>S71-$P72</f>
        <v>12501325.400000004</v>
      </c>
      <c r="U71" s="212">
        <f>T71-$P72</f>
        <v>0</v>
      </c>
      <c r="V71" s="212"/>
    </row>
    <row r="72" spans="5:23" s="169" customFormat="1" x14ac:dyDescent="0.35">
      <c r="F72" s="219" t="s">
        <v>53</v>
      </c>
      <c r="G72" s="209"/>
      <c r="H72" s="213"/>
      <c r="I72" s="212"/>
      <c r="J72" s="212"/>
      <c r="K72" s="212"/>
      <c r="L72" s="212"/>
      <c r="M72" s="212"/>
      <c r="N72" s="212"/>
      <c r="O72" s="212"/>
      <c r="P72" s="212">
        <f>P71/F58</f>
        <v>12501325.4</v>
      </c>
      <c r="Q72" s="212"/>
      <c r="R72" s="212"/>
      <c r="S72" s="209"/>
      <c r="T72" s="209"/>
      <c r="U72" s="209"/>
    </row>
    <row r="73" spans="5:23" s="169" customFormat="1" x14ac:dyDescent="0.35">
      <c r="F73" s="219" t="s">
        <v>54</v>
      </c>
      <c r="G73" s="209"/>
      <c r="H73" s="213"/>
      <c r="I73" s="212"/>
      <c r="J73" s="212"/>
      <c r="K73" s="212"/>
      <c r="L73" s="212"/>
      <c r="M73" s="212"/>
      <c r="N73" s="212"/>
      <c r="O73" s="212"/>
      <c r="P73" s="213">
        <f>((P71*$F$4)*6)/12</f>
        <v>3125331.35</v>
      </c>
      <c r="Q73" s="212">
        <f>AVERAGE(P71:Q71)*$F$4</f>
        <v>5625596.4299999997</v>
      </c>
      <c r="R73" s="212">
        <f>AVERAGE(Q71:R71)*$F$4</f>
        <v>4375463.8900000006</v>
      </c>
      <c r="S73" s="212">
        <f>AVERAGE(R71:S71)*$F$4</f>
        <v>3125331.3500000006</v>
      </c>
      <c r="T73" s="212">
        <f>AVERAGE(S71:T71)*$F$4</f>
        <v>1875198.8100000005</v>
      </c>
      <c r="U73" s="212">
        <f>AVERAGE(T71:U71)*$F$4</f>
        <v>625066.27000000025</v>
      </c>
      <c r="V73" s="212">
        <f>AVERAGE(U71:V71)*$F$4</f>
        <v>0</v>
      </c>
    </row>
    <row r="74" spans="5:23" s="169" customFormat="1" x14ac:dyDescent="0.35">
      <c r="E74" s="169">
        <v>2024</v>
      </c>
      <c r="F74" s="219" t="s">
        <v>51</v>
      </c>
      <c r="G74" s="209"/>
      <c r="H74" s="213"/>
      <c r="I74" s="212"/>
      <c r="J74" s="212"/>
      <c r="K74" s="212"/>
      <c r="L74" s="212"/>
      <c r="M74" s="212"/>
      <c r="N74" s="212"/>
      <c r="O74" s="212"/>
      <c r="P74" s="213"/>
      <c r="Q74" s="212">
        <f>G9</f>
        <v>366863118</v>
      </c>
      <c r="R74" s="212">
        <f>Q74-$Q75</f>
        <v>293490494.39999998</v>
      </c>
      <c r="S74" s="212">
        <f>R74-$Q75</f>
        <v>220117870.79999998</v>
      </c>
      <c r="T74" s="212">
        <f>S74-$Q75</f>
        <v>146745247.19999999</v>
      </c>
      <c r="U74" s="212">
        <f>T74-$Q75</f>
        <v>73372623.599999994</v>
      </c>
      <c r="V74" s="212">
        <f>U74-$Q75</f>
        <v>0</v>
      </c>
      <c r="W74" s="212"/>
    </row>
    <row r="75" spans="5:23" s="169" customFormat="1" x14ac:dyDescent="0.35">
      <c r="F75" s="219" t="s">
        <v>53</v>
      </c>
      <c r="G75" s="209"/>
      <c r="H75" s="213"/>
      <c r="I75" s="212"/>
      <c r="J75" s="212"/>
      <c r="K75" s="212"/>
      <c r="L75" s="212"/>
      <c r="M75" s="212"/>
      <c r="N75" s="212"/>
      <c r="O75" s="212"/>
      <c r="P75" s="213"/>
      <c r="Q75" s="212">
        <f>Q74/F58</f>
        <v>73372623.599999994</v>
      </c>
      <c r="R75" s="212"/>
      <c r="S75" s="212"/>
      <c r="T75" s="212"/>
      <c r="U75" s="212"/>
      <c r="V75" s="212"/>
    </row>
    <row r="76" spans="5:23" s="169" customFormat="1" x14ac:dyDescent="0.35">
      <c r="F76" s="219" t="s">
        <v>54</v>
      </c>
      <c r="G76" s="209"/>
      <c r="H76" s="213"/>
      <c r="I76" s="212"/>
      <c r="J76" s="212"/>
      <c r="K76" s="212"/>
      <c r="L76" s="212"/>
      <c r="M76" s="212"/>
      <c r="N76" s="212"/>
      <c r="O76" s="212"/>
      <c r="Q76" s="213">
        <f>((Q74*$F$4)*6)/12</f>
        <v>18343155.900000002</v>
      </c>
      <c r="R76" s="212">
        <f>AVERAGE(Q74:R74)*$F$4</f>
        <v>33017680.620000001</v>
      </c>
      <c r="S76" s="212">
        <f>AVERAGE(R74:S74)*$F$4</f>
        <v>25680418.259999998</v>
      </c>
      <c r="T76" s="212">
        <f>AVERAGE(S74:T74)*$F$4</f>
        <v>18343155.900000002</v>
      </c>
      <c r="U76" s="212">
        <f>AVERAGE(T74:U74)*$F$4</f>
        <v>11005893.539999999</v>
      </c>
      <c r="V76" s="212">
        <f>AVERAGE(U74:V74)*$F$4</f>
        <v>3668631.1799999997</v>
      </c>
      <c r="W76" s="212">
        <f>AVERAGE(V74:W74)*$F$4</f>
        <v>0</v>
      </c>
    </row>
    <row r="77" spans="5:23" x14ac:dyDescent="0.35">
      <c r="G77" s="212">
        <f>G73+G70+G67+G64+G61</f>
        <v>2289885.0500000003</v>
      </c>
      <c r="H77" s="212">
        <f t="shared" ref="H77:V77" si="21">H73+H70+H67+H64+H61</f>
        <v>10027842.289999999</v>
      </c>
      <c r="I77" s="212">
        <f t="shared" si="21"/>
        <v>17231147.580000002</v>
      </c>
      <c r="J77" s="212">
        <f t="shared" si="21"/>
        <v>16668309.840000004</v>
      </c>
      <c r="K77" s="212">
        <f t="shared" si="21"/>
        <v>12032168.160000002</v>
      </c>
      <c r="L77" s="212">
        <f t="shared" si="21"/>
        <v>7396026.4800000023</v>
      </c>
      <c r="M77" s="212">
        <f t="shared" si="21"/>
        <v>6320871.2600000016</v>
      </c>
      <c r="N77" s="212">
        <f t="shared" si="21"/>
        <v>6264301.0000000009</v>
      </c>
      <c r="O77" s="212">
        <f t="shared" si="21"/>
        <v>4344213.2300000004</v>
      </c>
      <c r="P77" s="212">
        <f t="shared" si="21"/>
        <v>6228340.8000000007</v>
      </c>
      <c r="Q77" s="212">
        <f>Q73+Q70+Q67+Q64+Q61+Q76</f>
        <v>25830558</v>
      </c>
      <c r="R77" s="212">
        <f>R73+R70+R67+R64+R61+R76</f>
        <v>38013746.400000006</v>
      </c>
      <c r="S77" s="212">
        <f>S73+S70+S67+S64+S61+S76</f>
        <v>28805749.609999999</v>
      </c>
      <c r="T77" s="212">
        <f>T73+T70+T67+T64+T61+T76</f>
        <v>20218354.710000001</v>
      </c>
      <c r="U77" s="212">
        <f>U73+U70+U67+U64+U61+U76</f>
        <v>11630959.809999999</v>
      </c>
      <c r="V77" s="212">
        <f>V73+V70+V67+V64+V61+V76</f>
        <v>3668631.1799999997</v>
      </c>
    </row>
    <row r="78" spans="5:23" x14ac:dyDescent="0.35">
      <c r="G78" s="210"/>
      <c r="H78" s="210"/>
      <c r="I78" s="210"/>
      <c r="J78" s="210"/>
      <c r="K78" s="210"/>
      <c r="L78" s="210"/>
      <c r="M78" s="210"/>
      <c r="N78" s="210"/>
      <c r="O78" s="210"/>
      <c r="P78" s="210"/>
      <c r="Q78" s="210"/>
      <c r="R78" s="210"/>
      <c r="S78" s="210"/>
      <c r="T78" s="210"/>
      <c r="U78" s="210"/>
    </row>
    <row r="79" spans="5:23" x14ac:dyDescent="0.35">
      <c r="G79" s="210"/>
      <c r="H79" s="210"/>
      <c r="I79" s="210"/>
      <c r="J79" s="210"/>
      <c r="K79" s="210"/>
      <c r="L79" s="210"/>
      <c r="M79" s="210"/>
      <c r="N79" s="210"/>
      <c r="O79" s="210"/>
      <c r="P79" s="210"/>
      <c r="Q79" s="210"/>
      <c r="R79" s="210"/>
      <c r="S79" s="210"/>
      <c r="T79" s="210"/>
      <c r="U79" s="210"/>
    </row>
  </sheetData>
  <mergeCells count="1">
    <mergeCell ref="E20:F20"/>
  </mergeCells>
  <conditionalFormatting sqref="G61:P61 N71:R72 N73:O76">
    <cfRule type="cellIs" dxfId="46" priority="48" operator="lessThan">
      <formula>0</formula>
    </cfRule>
  </conditionalFormatting>
  <conditionalFormatting sqref="N64:R64 N66:R66 O65:R65 P67:R67 N68:R69">
    <cfRule type="cellIs" dxfId="45" priority="47" operator="lessThan">
      <formula>0</formula>
    </cfRule>
  </conditionalFormatting>
  <conditionalFormatting sqref="H64:H76">
    <cfRule type="cellIs" dxfId="44" priority="45" operator="lessThan">
      <formula>0</formula>
    </cfRule>
  </conditionalFormatting>
  <conditionalFormatting sqref="I64:I65 I68:I76">
    <cfRule type="cellIs" dxfId="43" priority="44" operator="lessThan">
      <formula>0</formula>
    </cfRule>
  </conditionalFormatting>
  <conditionalFormatting sqref="J64 J68:J76 J66">
    <cfRule type="cellIs" dxfId="42" priority="43" operator="lessThan">
      <formula>0</formula>
    </cfRule>
  </conditionalFormatting>
  <conditionalFormatting sqref="K64 K68:K76 K66">
    <cfRule type="cellIs" dxfId="41" priority="42" operator="lessThan">
      <formula>0</formula>
    </cfRule>
  </conditionalFormatting>
  <conditionalFormatting sqref="L64 L66 L68:L76">
    <cfRule type="cellIs" dxfId="40" priority="41" operator="lessThan">
      <formula>0</formula>
    </cfRule>
  </conditionalFormatting>
  <conditionalFormatting sqref="M64 M66 M68 M71:M76">
    <cfRule type="cellIs" dxfId="39" priority="40" operator="lessThan">
      <formula>0</formula>
    </cfRule>
  </conditionalFormatting>
  <conditionalFormatting sqref="I67">
    <cfRule type="cellIs" dxfId="38" priority="39" operator="lessThan">
      <formula>0</formula>
    </cfRule>
  </conditionalFormatting>
  <conditionalFormatting sqref="J67">
    <cfRule type="cellIs" dxfId="37" priority="38" operator="lessThan">
      <formula>0</formula>
    </cfRule>
  </conditionalFormatting>
  <conditionalFormatting sqref="S70">
    <cfRule type="cellIs" dxfId="36" priority="25" operator="lessThan">
      <formula>0</formula>
    </cfRule>
  </conditionalFormatting>
  <conditionalFormatting sqref="K67">
    <cfRule type="cellIs" dxfId="35" priority="36" operator="lessThan">
      <formula>0</formula>
    </cfRule>
  </conditionalFormatting>
  <conditionalFormatting sqref="L67">
    <cfRule type="cellIs" dxfId="34" priority="35" operator="lessThan">
      <formula>0</formula>
    </cfRule>
  </conditionalFormatting>
  <conditionalFormatting sqref="M67">
    <cfRule type="cellIs" dxfId="33" priority="34" operator="lessThan">
      <formula>0</formula>
    </cfRule>
  </conditionalFormatting>
  <conditionalFormatting sqref="N67">
    <cfRule type="cellIs" dxfId="32" priority="33" operator="lessThan">
      <formula>0</formula>
    </cfRule>
  </conditionalFormatting>
  <conditionalFormatting sqref="O67">
    <cfRule type="cellIs" dxfId="31" priority="32" operator="lessThan">
      <formula>0</formula>
    </cfRule>
  </conditionalFormatting>
  <conditionalFormatting sqref="M70">
    <cfRule type="cellIs" dxfId="30" priority="31" operator="lessThan">
      <formula>0</formula>
    </cfRule>
  </conditionalFormatting>
  <conditionalFormatting sqref="N70">
    <cfRule type="cellIs" dxfId="29" priority="30" operator="lessThan">
      <formula>0</formula>
    </cfRule>
  </conditionalFormatting>
  <conditionalFormatting sqref="O70">
    <cfRule type="cellIs" dxfId="28" priority="29" operator="lessThan">
      <formula>0</formula>
    </cfRule>
  </conditionalFormatting>
  <conditionalFormatting sqref="P70">
    <cfRule type="cellIs" dxfId="27" priority="28" operator="lessThan">
      <formula>0</formula>
    </cfRule>
  </conditionalFormatting>
  <conditionalFormatting sqref="Q70">
    <cfRule type="cellIs" dxfId="26" priority="27" operator="lessThan">
      <formula>0</formula>
    </cfRule>
  </conditionalFormatting>
  <conditionalFormatting sqref="R70">
    <cfRule type="cellIs" dxfId="25" priority="26" operator="lessThan">
      <formula>0</formula>
    </cfRule>
  </conditionalFormatting>
  <conditionalFormatting sqref="S71">
    <cfRule type="cellIs" dxfId="24" priority="24" operator="lessThan">
      <formula>0</formula>
    </cfRule>
  </conditionalFormatting>
  <conditionalFormatting sqref="T71">
    <cfRule type="cellIs" dxfId="23" priority="23" operator="lessThan">
      <formula>0</formula>
    </cfRule>
  </conditionalFormatting>
  <conditionalFormatting sqref="U71">
    <cfRule type="cellIs" dxfId="22" priority="22" operator="lessThan">
      <formula>0</formula>
    </cfRule>
  </conditionalFormatting>
  <conditionalFormatting sqref="V71">
    <cfRule type="cellIs" dxfId="21" priority="21" operator="lessThan">
      <formula>0</formula>
    </cfRule>
  </conditionalFormatting>
  <conditionalFormatting sqref="P73:P75">
    <cfRule type="cellIs" dxfId="20" priority="20" operator="lessThan">
      <formula>0</formula>
    </cfRule>
  </conditionalFormatting>
  <conditionalFormatting sqref="Q73:Q74">
    <cfRule type="cellIs" dxfId="19" priority="19" operator="lessThan">
      <formula>0</formula>
    </cfRule>
  </conditionalFormatting>
  <conditionalFormatting sqref="R73:R75">
    <cfRule type="cellIs" dxfId="18" priority="18" operator="lessThan">
      <formula>0</formula>
    </cfRule>
  </conditionalFormatting>
  <conditionalFormatting sqref="S73 S75">
    <cfRule type="cellIs" dxfId="17" priority="17" operator="lessThan">
      <formula>0</formula>
    </cfRule>
  </conditionalFormatting>
  <conditionalFormatting sqref="T73 T75">
    <cfRule type="cellIs" dxfId="16" priority="16" operator="lessThan">
      <formula>0</formula>
    </cfRule>
  </conditionalFormatting>
  <conditionalFormatting sqref="U73 U75">
    <cfRule type="cellIs" dxfId="15" priority="15" operator="lessThan">
      <formula>0</formula>
    </cfRule>
  </conditionalFormatting>
  <conditionalFormatting sqref="V73 V75">
    <cfRule type="cellIs" dxfId="14" priority="14" operator="lessThan">
      <formula>0</formula>
    </cfRule>
  </conditionalFormatting>
  <conditionalFormatting sqref="Q75">
    <cfRule type="cellIs" dxfId="13" priority="13" operator="lessThan">
      <formula>0</formula>
    </cfRule>
  </conditionalFormatting>
  <conditionalFormatting sqref="Q76">
    <cfRule type="cellIs" dxfId="12" priority="12" operator="lessThan">
      <formula>0</formula>
    </cfRule>
  </conditionalFormatting>
  <conditionalFormatting sqref="S74">
    <cfRule type="cellIs" dxfId="11" priority="11" operator="lessThan">
      <formula>0</formula>
    </cfRule>
  </conditionalFormatting>
  <conditionalFormatting sqref="T74">
    <cfRule type="cellIs" dxfId="10" priority="10" operator="lessThan">
      <formula>0</formula>
    </cfRule>
  </conditionalFormatting>
  <conditionalFormatting sqref="U74">
    <cfRule type="cellIs" dxfId="9" priority="9" operator="lessThan">
      <formula>0</formula>
    </cfRule>
  </conditionalFormatting>
  <conditionalFormatting sqref="V74">
    <cfRule type="cellIs" dxfId="8" priority="8" operator="lessThan">
      <formula>0</formula>
    </cfRule>
  </conditionalFormatting>
  <conditionalFormatting sqref="W74">
    <cfRule type="cellIs" dxfId="7" priority="7" operator="lessThan">
      <formula>0</formula>
    </cfRule>
  </conditionalFormatting>
  <conditionalFormatting sqref="R76">
    <cfRule type="cellIs" dxfId="6" priority="6" operator="lessThan">
      <formula>0</formula>
    </cfRule>
  </conditionalFormatting>
  <conditionalFormatting sqref="S76">
    <cfRule type="cellIs" dxfId="5" priority="5" operator="lessThan">
      <formula>0</formula>
    </cfRule>
  </conditionalFormatting>
  <conditionalFormatting sqref="T76">
    <cfRule type="cellIs" dxfId="4" priority="4" operator="lessThan">
      <formula>0</formula>
    </cfRule>
  </conditionalFormatting>
  <conditionalFormatting sqref="U76">
    <cfRule type="cellIs" dxfId="3" priority="3" operator="lessThan">
      <formula>0</formula>
    </cfRule>
  </conditionalFormatting>
  <conditionalFormatting sqref="V76">
    <cfRule type="cellIs" dxfId="2" priority="2" operator="lessThan">
      <formula>0</formula>
    </cfRule>
  </conditionalFormatting>
  <conditionalFormatting sqref="W76">
    <cfRule type="cellIs" dxfId="1" priority="1" operator="lessThan">
      <formula>0</formula>
    </cfRule>
  </conditionalFormatting>
  <printOptions horizontalCentered="1"/>
  <pageMargins left="0.23622047244094491" right="0.23622047244094491" top="0" bottom="0" header="0.31496062992125984" footer="0.31496062992125984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4"/>
  <sheetViews>
    <sheetView zoomScale="70" zoomScaleNormal="70" workbookViewId="0">
      <selection activeCell="B5" sqref="B5"/>
    </sheetView>
  </sheetViews>
  <sheetFormatPr defaultRowHeight="15.5" x14ac:dyDescent="0.35"/>
  <cols>
    <col min="1" max="1" width="13.5" bestFit="1" customWidth="1"/>
    <col min="2" max="2" width="15.83203125" bestFit="1" customWidth="1"/>
    <col min="3" max="4" width="13.75" bestFit="1" customWidth="1"/>
    <col min="5" max="5" width="14.83203125" customWidth="1"/>
    <col min="6" max="6" width="14" customWidth="1"/>
    <col min="7" max="7" width="12.08203125" bestFit="1" customWidth="1"/>
    <col min="8" max="8" width="16.75" customWidth="1"/>
    <col min="9" max="9" width="15.33203125" customWidth="1"/>
    <col min="10" max="11" width="13.75" bestFit="1" customWidth="1"/>
  </cols>
  <sheetData>
    <row r="1" spans="1:11" x14ac:dyDescent="0.35">
      <c r="B1" t="s">
        <v>6</v>
      </c>
      <c r="C1" t="s">
        <v>7</v>
      </c>
      <c r="D1" t="s">
        <v>8</v>
      </c>
      <c r="E1" t="s">
        <v>9</v>
      </c>
      <c r="F1" t="s">
        <v>10</v>
      </c>
      <c r="G1" t="s">
        <v>43</v>
      </c>
      <c r="H1" t="s">
        <v>44</v>
      </c>
      <c r="I1" t="s">
        <v>45</v>
      </c>
      <c r="J1" t="s">
        <v>46</v>
      </c>
      <c r="K1" t="s">
        <v>47</v>
      </c>
    </row>
    <row r="2" spans="1:11" x14ac:dyDescent="0.35">
      <c r="A2" t="s">
        <v>51</v>
      </c>
      <c r="B2" s="95">
        <f>IRR!G9</f>
        <v>366863118</v>
      </c>
      <c r="C2" s="14">
        <f>$B$2-$B$4</f>
        <v>293490494.39999998</v>
      </c>
      <c r="D2" s="14">
        <f>$C$2-$B$4</f>
        <v>220117870.79999998</v>
      </c>
      <c r="E2" s="14">
        <f>$D$2-$B$4</f>
        <v>146745247.19999999</v>
      </c>
      <c r="F2" s="14">
        <f>$E$2-$B$4</f>
        <v>73372623.599999994</v>
      </c>
      <c r="G2" s="14">
        <f>$F$2-$B$4</f>
        <v>0</v>
      </c>
      <c r="H2" s="14">
        <f>$G$2-$B$4</f>
        <v>-73372623.599999994</v>
      </c>
      <c r="I2" s="14">
        <f>$H$2-$B$4</f>
        <v>-146745247.19999999</v>
      </c>
      <c r="J2" s="14">
        <f>$I$2-$B$4</f>
        <v>-220117870.79999998</v>
      </c>
      <c r="K2" s="14">
        <f>$J$2-$B$4</f>
        <v>-293490494.39999998</v>
      </c>
    </row>
    <row r="3" spans="1:11" x14ac:dyDescent="0.35">
      <c r="A3" t="s">
        <v>52</v>
      </c>
      <c r="B3" s="95">
        <v>5</v>
      </c>
    </row>
    <row r="4" spans="1:11" x14ac:dyDescent="0.35">
      <c r="A4" t="s">
        <v>53</v>
      </c>
      <c r="B4" s="95">
        <f>$B$2/$B$3</f>
        <v>73372623.599999994</v>
      </c>
    </row>
    <row r="5" spans="1:11" x14ac:dyDescent="0.35">
      <c r="A5" t="s">
        <v>54</v>
      </c>
      <c r="B5" s="95">
        <f>(($B$2*IRR!$F$4)*6)/12</f>
        <v>18343155.900000002</v>
      </c>
      <c r="C5" s="14">
        <f>AVERAGE(B2:C2)*IRR!$F$4</f>
        <v>33017680.620000001</v>
      </c>
      <c r="D5" s="14">
        <f>AVERAGE(C2:D2)*IRR!$F$4</f>
        <v>25680418.259999998</v>
      </c>
      <c r="E5" s="14">
        <f>AVERAGE(D2:E2)*IRR!$F$4</f>
        <v>18343155.900000002</v>
      </c>
      <c r="F5" s="14">
        <f>AVERAGE(E2:F2)*IRR!$F$4</f>
        <v>11005893.539999999</v>
      </c>
      <c r="G5" s="14">
        <f>AVERAGE(F2:G2)*IRR!$F$4</f>
        <v>3668631.1799999997</v>
      </c>
      <c r="H5" s="14">
        <f>AVERAGE($G$2:$H$2)*[3]IRR!$G$4</f>
        <v>-3668631.1799999997</v>
      </c>
      <c r="I5" s="14">
        <f>AVERAGE($H$2:$I$2)*[3]IRR!$G$4</f>
        <v>-11005893.539999999</v>
      </c>
      <c r="J5" s="14">
        <f>AVERAGE($I$2:$J$2)*[3]IRR!$G$4</f>
        <v>-18343155.900000002</v>
      </c>
      <c r="K5" s="14">
        <f>AVERAGE($J$2:$K$2)*[3]IRR!$G$4</f>
        <v>-25680418.259999998</v>
      </c>
    </row>
    <row r="10" spans="1:11" x14ac:dyDescent="0.35">
      <c r="F10" s="133" t="s">
        <v>91</v>
      </c>
      <c r="G10" s="133" t="s">
        <v>92</v>
      </c>
      <c r="H10" s="133" t="s">
        <v>93</v>
      </c>
      <c r="I10" s="134" t="s">
        <v>94</v>
      </c>
      <c r="J10" s="198" t="s">
        <v>95</v>
      </c>
      <c r="K10" s="198" t="s">
        <v>96</v>
      </c>
    </row>
    <row r="11" spans="1:11" x14ac:dyDescent="0.35">
      <c r="E11" s="135" t="s">
        <v>97</v>
      </c>
      <c r="F11" s="136">
        <v>1</v>
      </c>
      <c r="G11" s="137">
        <v>1</v>
      </c>
      <c r="H11" s="137">
        <v>1</v>
      </c>
      <c r="I11" s="138">
        <v>157</v>
      </c>
      <c r="J11" s="198"/>
      <c r="K11" s="198"/>
    </row>
    <row r="12" spans="1:11" x14ac:dyDescent="0.35">
      <c r="B12" s="199" t="s">
        <v>98</v>
      </c>
      <c r="C12" s="139" t="s">
        <v>99</v>
      </c>
      <c r="D12" s="140">
        <f>C23</f>
        <v>3000000</v>
      </c>
      <c r="E12" s="139" t="s">
        <v>91</v>
      </c>
      <c r="F12" s="133">
        <f>F11</f>
        <v>1</v>
      </c>
      <c r="G12" s="133"/>
      <c r="H12" s="133"/>
      <c r="I12" s="134"/>
      <c r="J12" s="141">
        <f>F12*D12</f>
        <v>3000000</v>
      </c>
    </row>
    <row r="13" spans="1:11" x14ac:dyDescent="0.35">
      <c r="B13" s="200"/>
      <c r="C13" s="139" t="s">
        <v>100</v>
      </c>
      <c r="D13" s="142">
        <v>600000</v>
      </c>
      <c r="E13" s="139" t="s">
        <v>91</v>
      </c>
      <c r="F13" s="133">
        <f>F11</f>
        <v>1</v>
      </c>
      <c r="G13" s="133"/>
      <c r="H13" s="133"/>
      <c r="I13" s="134">
        <f>IF($I$10&lt;=120,2,IF($I$10&gt;220,4,3))</f>
        <v>4</v>
      </c>
      <c r="J13" s="142">
        <f>D13*F13</f>
        <v>600000</v>
      </c>
    </row>
    <row r="14" spans="1:11" x14ac:dyDescent="0.35">
      <c r="B14" s="201"/>
      <c r="C14" s="139" t="s">
        <v>98</v>
      </c>
      <c r="D14" s="142">
        <v>200000</v>
      </c>
      <c r="E14" s="139" t="s">
        <v>101</v>
      </c>
      <c r="F14" s="133"/>
      <c r="G14" s="133">
        <f>G11</f>
        <v>1</v>
      </c>
      <c r="H14" s="133"/>
      <c r="I14" s="134"/>
      <c r="J14" s="142">
        <f>G14*D14</f>
        <v>200000</v>
      </c>
    </row>
    <row r="15" spans="1:11" x14ac:dyDescent="0.35">
      <c r="B15" s="139" t="s">
        <v>102</v>
      </c>
      <c r="C15" s="139" t="s">
        <v>102</v>
      </c>
      <c r="D15" s="142">
        <v>450000</v>
      </c>
      <c r="E15" s="139" t="s">
        <v>93</v>
      </c>
      <c r="F15" s="133">
        <f>F11</f>
        <v>1</v>
      </c>
      <c r="G15" s="133"/>
      <c r="H15" s="133">
        <f>H11</f>
        <v>1</v>
      </c>
      <c r="I15" s="134">
        <f t="shared" ref="I15:I16" si="0">IF($I$10&lt;=120,2,IF($I$10&gt;220,4,3))</f>
        <v>4</v>
      </c>
      <c r="J15" s="142">
        <f>H15*D15*I15</f>
        <v>1800000</v>
      </c>
    </row>
    <row r="16" spans="1:11" x14ac:dyDescent="0.35">
      <c r="B16" s="139" t="s">
        <v>103</v>
      </c>
      <c r="C16" s="139" t="s">
        <v>103</v>
      </c>
      <c r="D16" s="142">
        <v>120000</v>
      </c>
      <c r="E16" s="139" t="s">
        <v>91</v>
      </c>
      <c r="F16" s="133">
        <f>F11</f>
        <v>1</v>
      </c>
      <c r="G16" s="133"/>
      <c r="H16" s="133"/>
      <c r="I16" s="134">
        <f t="shared" si="0"/>
        <v>4</v>
      </c>
      <c r="J16" s="142">
        <f>I16*D16*F16</f>
        <v>480000</v>
      </c>
    </row>
    <row r="17" spans="1:11" x14ac:dyDescent="0.35">
      <c r="J17" s="143">
        <f>SUM(J12:J16)</f>
        <v>6080000</v>
      </c>
      <c r="K17" s="144">
        <f>J17*2</f>
        <v>12160000</v>
      </c>
    </row>
    <row r="20" spans="1:11" x14ac:dyDescent="0.35">
      <c r="K20" s="14"/>
    </row>
    <row r="21" spans="1:11" x14ac:dyDescent="0.35">
      <c r="B21" s="133" t="s">
        <v>104</v>
      </c>
      <c r="C21" s="133" t="s">
        <v>99</v>
      </c>
      <c r="E21" s="139" t="s">
        <v>105</v>
      </c>
      <c r="K21" s="36"/>
    </row>
    <row r="22" spans="1:11" x14ac:dyDescent="0.35">
      <c r="A22" t="s">
        <v>106</v>
      </c>
      <c r="B22" s="95">
        <v>16800000</v>
      </c>
      <c r="C22" s="95">
        <v>4000000</v>
      </c>
      <c r="E22" t="s">
        <v>107</v>
      </c>
      <c r="K22" s="14"/>
    </row>
    <row r="23" spans="1:11" x14ac:dyDescent="0.35">
      <c r="A23" t="s">
        <v>108</v>
      </c>
      <c r="B23" s="95"/>
      <c r="C23" s="95">
        <v>3000000</v>
      </c>
      <c r="E23" t="s">
        <v>109</v>
      </c>
      <c r="I23" s="95">
        <v>10000000</v>
      </c>
    </row>
    <row r="24" spans="1:11" x14ac:dyDescent="0.35">
      <c r="A24" t="s">
        <v>110</v>
      </c>
      <c r="B24" s="95">
        <v>15600000</v>
      </c>
      <c r="C24" s="95">
        <v>2500000</v>
      </c>
      <c r="E24" t="s">
        <v>109</v>
      </c>
      <c r="H24" t="s">
        <v>111</v>
      </c>
      <c r="I24" s="95">
        <v>12000000</v>
      </c>
    </row>
    <row r="25" spans="1:11" x14ac:dyDescent="0.35">
      <c r="A25" t="s">
        <v>112</v>
      </c>
      <c r="B25" s="95">
        <v>15000000</v>
      </c>
      <c r="C25" s="95">
        <v>2000000</v>
      </c>
      <c r="E25" t="s">
        <v>109</v>
      </c>
      <c r="H25" t="s">
        <v>113</v>
      </c>
      <c r="I25" s="95">
        <v>14000000</v>
      </c>
    </row>
    <row r="26" spans="1:11" x14ac:dyDescent="0.35">
      <c r="A26" t="s">
        <v>114</v>
      </c>
      <c r="B26" s="95">
        <v>15000000</v>
      </c>
      <c r="C26" s="95">
        <v>1850000</v>
      </c>
      <c r="E26" t="s">
        <v>109</v>
      </c>
      <c r="H26" t="s">
        <v>115</v>
      </c>
      <c r="I26" s="95">
        <v>14000000</v>
      </c>
    </row>
    <row r="27" spans="1:11" x14ac:dyDescent="0.35">
      <c r="A27" t="s">
        <v>116</v>
      </c>
      <c r="B27" s="95">
        <v>12000000</v>
      </c>
      <c r="C27" s="95">
        <v>1200000</v>
      </c>
      <c r="E27" t="s">
        <v>109</v>
      </c>
      <c r="H27" t="s">
        <v>106</v>
      </c>
      <c r="I27" s="95">
        <v>17000000</v>
      </c>
    </row>
    <row r="28" spans="1:11" x14ac:dyDescent="0.35">
      <c r="A28" t="s">
        <v>117</v>
      </c>
      <c r="B28" s="95">
        <v>16800000</v>
      </c>
      <c r="C28" s="95">
        <v>2000000</v>
      </c>
      <c r="E28" t="s">
        <v>109</v>
      </c>
      <c r="H28" t="s">
        <v>117</v>
      </c>
      <c r="I28" s="95">
        <v>14000000</v>
      </c>
    </row>
    <row r="29" spans="1:11" x14ac:dyDescent="0.35">
      <c r="A29" t="s">
        <v>118</v>
      </c>
      <c r="B29" s="95">
        <v>15720000</v>
      </c>
      <c r="C29" s="95">
        <v>3500000</v>
      </c>
    </row>
    <row r="30" spans="1:11" x14ac:dyDescent="0.35">
      <c r="A30" t="s">
        <v>119</v>
      </c>
      <c r="C30" s="95">
        <v>2800000</v>
      </c>
    </row>
    <row r="31" spans="1:11" x14ac:dyDescent="0.35">
      <c r="A31" t="s">
        <v>120</v>
      </c>
      <c r="B31">
        <v>0</v>
      </c>
      <c r="C31" s="95">
        <v>0</v>
      </c>
      <c r="D31" t="s">
        <v>121</v>
      </c>
    </row>
    <row r="33" spans="1:3" x14ac:dyDescent="0.35">
      <c r="B33" s="133" t="s">
        <v>122</v>
      </c>
      <c r="C33" s="133"/>
    </row>
    <row r="34" spans="1:3" x14ac:dyDescent="0.35">
      <c r="B34" s="95">
        <v>7000000</v>
      </c>
    </row>
    <row r="36" spans="1:3" x14ac:dyDescent="0.35">
      <c r="A36" s="139" t="s">
        <v>123</v>
      </c>
      <c r="B36" s="14"/>
    </row>
    <row r="37" spans="1:3" x14ac:dyDescent="0.35">
      <c r="A37" t="s">
        <v>124</v>
      </c>
    </row>
    <row r="38" spans="1:3" x14ac:dyDescent="0.35">
      <c r="A38" t="s">
        <v>125</v>
      </c>
      <c r="B38" s="95">
        <v>36000000</v>
      </c>
    </row>
    <row r="39" spans="1:3" x14ac:dyDescent="0.35">
      <c r="A39" t="s">
        <v>126</v>
      </c>
      <c r="B39" s="95">
        <v>42000000</v>
      </c>
    </row>
    <row r="40" spans="1:3" x14ac:dyDescent="0.35">
      <c r="A40" t="s">
        <v>127</v>
      </c>
      <c r="B40" s="95">
        <v>48000000</v>
      </c>
    </row>
    <row r="42" spans="1:3" x14ac:dyDescent="0.35">
      <c r="A42" t="s">
        <v>128</v>
      </c>
    </row>
    <row r="43" spans="1:3" x14ac:dyDescent="0.35">
      <c r="A43" t="s">
        <v>129</v>
      </c>
      <c r="B43" s="95">
        <v>75000000</v>
      </c>
    </row>
    <row r="44" spans="1:3" x14ac:dyDescent="0.35">
      <c r="A44" t="s">
        <v>127</v>
      </c>
      <c r="B44" s="95">
        <v>95000000</v>
      </c>
    </row>
  </sheetData>
  <mergeCells count="3">
    <mergeCell ref="J10:J11"/>
    <mergeCell ref="K10:K11"/>
    <mergeCell ref="B12:B14"/>
  </mergeCells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9"/>
  <sheetViews>
    <sheetView workbookViewId="0">
      <selection activeCell="L3" sqref="L3"/>
    </sheetView>
  </sheetViews>
  <sheetFormatPr defaultRowHeight="15.5" x14ac:dyDescent="0.35"/>
  <cols>
    <col min="2" max="3" width="11.83203125" bestFit="1" customWidth="1"/>
    <col min="5" max="5" width="10.83203125" bestFit="1" customWidth="1"/>
    <col min="6" max="6" width="9.83203125" bestFit="1" customWidth="1"/>
    <col min="9" max="9" width="10.83203125" bestFit="1" customWidth="1"/>
    <col min="12" max="12" width="16" customWidth="1"/>
  </cols>
  <sheetData>
    <row r="1" spans="1:12" x14ac:dyDescent="0.35">
      <c r="B1">
        <v>2013</v>
      </c>
      <c r="C1">
        <v>2014</v>
      </c>
      <c r="D1">
        <v>2015</v>
      </c>
      <c r="E1">
        <v>2016</v>
      </c>
      <c r="F1">
        <v>2017</v>
      </c>
      <c r="G1">
        <v>2018</v>
      </c>
      <c r="H1">
        <v>2019</v>
      </c>
      <c r="I1">
        <v>2020</v>
      </c>
      <c r="J1">
        <v>2021</v>
      </c>
      <c r="K1">
        <v>2022</v>
      </c>
      <c r="L1">
        <v>2023</v>
      </c>
    </row>
    <row r="2" spans="1:12" x14ac:dyDescent="0.35">
      <c r="A2" t="s">
        <v>82</v>
      </c>
      <c r="B2" s="95">
        <v>378250750</v>
      </c>
      <c r="C2" s="95">
        <v>59213750</v>
      </c>
      <c r="D2" s="95"/>
      <c r="E2" s="95"/>
      <c r="F2" s="95">
        <v>5064252</v>
      </c>
      <c r="G2" s="95"/>
      <c r="H2" s="95"/>
      <c r="I2" s="95">
        <f>75650150*0</f>
        <v>0</v>
      </c>
      <c r="L2" s="95">
        <f>62506627*0</f>
        <v>0</v>
      </c>
    </row>
    <row r="3" spans="1:12" x14ac:dyDescent="0.35">
      <c r="A3" t="s">
        <v>83</v>
      </c>
      <c r="B3" s="95"/>
      <c r="C3" s="95">
        <v>158635410</v>
      </c>
      <c r="D3" s="95"/>
      <c r="E3" s="95">
        <v>62824147</v>
      </c>
      <c r="F3" s="95"/>
      <c r="G3" s="95"/>
      <c r="H3" s="95"/>
      <c r="I3" s="95"/>
    </row>
    <row r="5" spans="1:12" x14ac:dyDescent="0.35">
      <c r="A5" t="s">
        <v>82</v>
      </c>
      <c r="B5" s="95">
        <f>(B2/10)*(2023-B1)</f>
        <v>378250750</v>
      </c>
      <c r="C5" s="95">
        <f t="shared" ref="C5:I5" si="0">(C2/10)*(2023-C1)</f>
        <v>53292375</v>
      </c>
      <c r="D5" s="95">
        <f t="shared" si="0"/>
        <v>0</v>
      </c>
      <c r="E5" s="95">
        <f t="shared" si="0"/>
        <v>0</v>
      </c>
      <c r="F5" s="95">
        <f t="shared" si="0"/>
        <v>3038551.2</v>
      </c>
      <c r="G5" s="95">
        <f t="shared" si="0"/>
        <v>0</v>
      </c>
      <c r="H5" s="95">
        <f t="shared" si="0"/>
        <v>0</v>
      </c>
      <c r="I5" s="95">
        <f t="shared" si="0"/>
        <v>0</v>
      </c>
      <c r="J5" s="95">
        <f t="shared" ref="J5:L5" si="1">(J2/10)*(2023-J1)</f>
        <v>0</v>
      </c>
      <c r="K5" s="95">
        <f t="shared" si="1"/>
        <v>0</v>
      </c>
      <c r="L5" s="95">
        <f t="shared" si="1"/>
        <v>0</v>
      </c>
    </row>
    <row r="6" spans="1:12" x14ac:dyDescent="0.35">
      <c r="A6" t="s">
        <v>83</v>
      </c>
      <c r="B6" s="95">
        <f>(B3/10)*(2023-B1)</f>
        <v>0</v>
      </c>
      <c r="C6" s="95">
        <f t="shared" ref="C6:I6" si="2">(C3/10)*(2023-C1)</f>
        <v>142771869</v>
      </c>
      <c r="D6" s="95">
        <f t="shared" si="2"/>
        <v>0</v>
      </c>
      <c r="E6" s="95">
        <f t="shared" si="2"/>
        <v>43976902.899999999</v>
      </c>
      <c r="F6" s="95">
        <f t="shared" si="2"/>
        <v>0</v>
      </c>
      <c r="G6" s="95">
        <f t="shared" si="2"/>
        <v>0</v>
      </c>
      <c r="H6" s="95">
        <f t="shared" si="2"/>
        <v>0</v>
      </c>
      <c r="I6" s="95">
        <f t="shared" si="2"/>
        <v>0</v>
      </c>
      <c r="J6" s="95">
        <f t="shared" ref="J6:L6" si="3">(J3/10)*(2023-J1)</f>
        <v>0</v>
      </c>
      <c r="K6" s="95">
        <f t="shared" si="3"/>
        <v>0</v>
      </c>
      <c r="L6" s="95">
        <f t="shared" si="3"/>
        <v>0</v>
      </c>
    </row>
    <row r="8" spans="1:12" x14ac:dyDescent="0.35">
      <c r="A8" t="s">
        <v>82</v>
      </c>
      <c r="B8" s="14">
        <f>B2-B5</f>
        <v>0</v>
      </c>
      <c r="C8" s="14">
        <f t="shared" ref="C8:I9" si="4">C2-C5</f>
        <v>5921375</v>
      </c>
      <c r="D8" s="14">
        <f t="shared" si="4"/>
        <v>0</v>
      </c>
      <c r="E8" s="14">
        <f t="shared" si="4"/>
        <v>0</v>
      </c>
      <c r="F8" s="14">
        <f t="shared" si="4"/>
        <v>2025700.7999999998</v>
      </c>
      <c r="G8" s="14">
        <f t="shared" si="4"/>
        <v>0</v>
      </c>
      <c r="H8" s="14">
        <f t="shared" si="4"/>
        <v>0</v>
      </c>
      <c r="I8" s="14">
        <f t="shared" si="4"/>
        <v>0</v>
      </c>
      <c r="J8" s="14">
        <f t="shared" ref="J8:L8" si="5">J2-J5</f>
        <v>0</v>
      </c>
      <c r="K8" s="14">
        <f t="shared" si="5"/>
        <v>0</v>
      </c>
      <c r="L8" s="14">
        <f t="shared" si="5"/>
        <v>0</v>
      </c>
    </row>
    <row r="9" spans="1:12" x14ac:dyDescent="0.35">
      <c r="A9" t="s">
        <v>83</v>
      </c>
      <c r="B9" s="14">
        <f>B3-B6</f>
        <v>0</v>
      </c>
      <c r="C9" s="14">
        <f>C3-C6</f>
        <v>15863541</v>
      </c>
      <c r="D9" s="14">
        <f t="shared" si="4"/>
        <v>0</v>
      </c>
      <c r="E9" s="14">
        <f t="shared" si="4"/>
        <v>18847244.100000001</v>
      </c>
      <c r="F9" s="14">
        <f t="shared" si="4"/>
        <v>0</v>
      </c>
      <c r="G9" s="14">
        <f t="shared" si="4"/>
        <v>0</v>
      </c>
      <c r="H9" s="14">
        <f t="shared" si="4"/>
        <v>0</v>
      </c>
      <c r="I9" s="14">
        <f t="shared" si="4"/>
        <v>0</v>
      </c>
      <c r="J9" s="14">
        <f t="shared" ref="J9:L9" si="6">J3-J6</f>
        <v>0</v>
      </c>
      <c r="K9" s="14">
        <f t="shared" si="6"/>
        <v>0</v>
      </c>
      <c r="L9" s="14">
        <f t="shared" si="6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1"/>
  <sheetViews>
    <sheetView zoomScale="82" zoomScaleNormal="82" workbookViewId="0">
      <selection activeCell="D19" sqref="D19"/>
    </sheetView>
  </sheetViews>
  <sheetFormatPr defaultColWidth="9" defaultRowHeight="14.5" x14ac:dyDescent="0.35"/>
  <cols>
    <col min="1" max="1" width="4.83203125" style="152" customWidth="1"/>
    <col min="2" max="2" width="28.58203125" style="152" customWidth="1"/>
    <col min="3" max="3" width="42.58203125" style="152" customWidth="1"/>
    <col min="4" max="4" width="55.75" style="152" customWidth="1"/>
    <col min="5" max="16384" width="9" style="152"/>
  </cols>
  <sheetData>
    <row r="1" spans="1:7" ht="21" x14ac:dyDescent="0.5">
      <c r="C1" s="153" t="s">
        <v>142</v>
      </c>
    </row>
    <row r="3" spans="1:7" x14ac:dyDescent="0.35">
      <c r="A3" s="154" t="s">
        <v>143</v>
      </c>
      <c r="B3" s="154"/>
      <c r="C3" s="155" t="s">
        <v>144</v>
      </c>
    </row>
    <row r="4" spans="1:7" x14ac:dyDescent="0.35">
      <c r="A4" s="154" t="s">
        <v>145</v>
      </c>
      <c r="B4" s="154"/>
      <c r="C4" s="155" t="s">
        <v>146</v>
      </c>
    </row>
    <row r="5" spans="1:7" x14ac:dyDescent="0.35">
      <c r="A5" s="154" t="s">
        <v>147</v>
      </c>
      <c r="B5" s="154"/>
      <c r="C5" s="155" t="s">
        <v>148</v>
      </c>
    </row>
    <row r="6" spans="1:7" x14ac:dyDescent="0.35">
      <c r="A6" s="154" t="s">
        <v>149</v>
      </c>
      <c r="B6" s="154"/>
      <c r="C6" s="155" t="s">
        <v>150</v>
      </c>
    </row>
    <row r="7" spans="1:7" x14ac:dyDescent="0.35">
      <c r="A7" s="154" t="s">
        <v>151</v>
      </c>
      <c r="B7" s="154"/>
      <c r="C7" s="155" t="s">
        <v>152</v>
      </c>
    </row>
    <row r="9" spans="1:7" ht="15" customHeight="1" x14ac:dyDescent="0.35">
      <c r="A9" s="204" t="s">
        <v>153</v>
      </c>
      <c r="B9" s="205" t="s">
        <v>154</v>
      </c>
      <c r="C9" s="205" t="s">
        <v>155</v>
      </c>
      <c r="D9" s="205" t="s">
        <v>156</v>
      </c>
    </row>
    <row r="10" spans="1:7" ht="15" customHeight="1" x14ac:dyDescent="0.35">
      <c r="A10" s="204"/>
      <c r="B10" s="206"/>
      <c r="C10" s="206"/>
      <c r="D10" s="206"/>
    </row>
    <row r="11" spans="1:7" x14ac:dyDescent="0.35">
      <c r="A11" s="156" t="s">
        <v>157</v>
      </c>
      <c r="B11" s="157" t="s">
        <v>158</v>
      </c>
      <c r="C11" s="157" t="s">
        <v>61</v>
      </c>
      <c r="D11" s="157" t="s">
        <v>61</v>
      </c>
    </row>
    <row r="12" spans="1:7" x14ac:dyDescent="0.35">
      <c r="A12" s="156" t="s">
        <v>159</v>
      </c>
      <c r="B12" s="157" t="s">
        <v>160</v>
      </c>
      <c r="C12" s="158" t="s">
        <v>161</v>
      </c>
      <c r="D12" s="158" t="s">
        <v>161</v>
      </c>
    </row>
    <row r="13" spans="1:7" ht="15.5" x14ac:dyDescent="0.35">
      <c r="A13" s="156" t="s">
        <v>162</v>
      </c>
      <c r="B13" s="157" t="s">
        <v>163</v>
      </c>
      <c r="C13" s="159" t="s">
        <v>164</v>
      </c>
      <c r="D13" s="159" t="s">
        <v>165</v>
      </c>
    </row>
    <row r="14" spans="1:7" ht="15.5" x14ac:dyDescent="0.35">
      <c r="A14" s="207">
        <v>4</v>
      </c>
      <c r="B14" s="159" t="s">
        <v>166</v>
      </c>
      <c r="C14" s="160" t="s">
        <v>167</v>
      </c>
      <c r="D14" s="160" t="s">
        <v>168</v>
      </c>
      <c r="G14" s="161"/>
    </row>
    <row r="15" spans="1:7" ht="15.5" x14ac:dyDescent="0.35">
      <c r="A15" s="208"/>
      <c r="B15" s="157" t="s">
        <v>169</v>
      </c>
      <c r="C15" s="160" t="s">
        <v>170</v>
      </c>
      <c r="D15" s="160" t="s">
        <v>171</v>
      </c>
    </row>
    <row r="16" spans="1:7" ht="15.5" x14ac:dyDescent="0.35">
      <c r="A16" s="156">
        <v>5</v>
      </c>
      <c r="B16" s="162" t="s">
        <v>172</v>
      </c>
      <c r="C16" s="159" t="s">
        <v>173</v>
      </c>
      <c r="D16" s="159" t="s">
        <v>174</v>
      </c>
    </row>
    <row r="17" spans="1:4" ht="15.5" x14ac:dyDescent="0.35">
      <c r="A17" s="156"/>
      <c r="B17" s="162"/>
      <c r="C17" s="163" t="s">
        <v>178</v>
      </c>
      <c r="D17" s="163" t="s">
        <v>179</v>
      </c>
    </row>
    <row r="18" spans="1:4" x14ac:dyDescent="0.35">
      <c r="A18" s="164" t="s">
        <v>175</v>
      </c>
      <c r="B18" s="157" t="s">
        <v>176</v>
      </c>
      <c r="C18" s="202" t="s">
        <v>177</v>
      </c>
      <c r="D18" s="203"/>
    </row>
    <row r="20" spans="1:4" ht="15.5" x14ac:dyDescent="0.35">
      <c r="B20" s="165"/>
    </row>
    <row r="21" spans="1:4" ht="15.5" x14ac:dyDescent="0.35">
      <c r="B21" s="166"/>
      <c r="C21" s="166"/>
    </row>
  </sheetData>
  <mergeCells count="6">
    <mergeCell ref="C18:D18"/>
    <mergeCell ref="A9:A10"/>
    <mergeCell ref="B9:B10"/>
    <mergeCell ref="C9:C10"/>
    <mergeCell ref="D9:D10"/>
    <mergeCell ref="A14:A15"/>
  </mergeCells>
  <pageMargins left="0.70866141732283472" right="0.70866141732283472" top="0.74803149606299213" bottom="0.74803149606299213" header="0.31496062992125984" footer="0.31496062992125984"/>
  <pageSetup paperSize="9" scale="81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Summary</vt:lpstr>
      <vt:lpstr>IRR</vt:lpstr>
      <vt:lpstr>PARAMETER</vt:lpstr>
      <vt:lpstr>Book Value</vt:lpstr>
      <vt:lpstr>Summary Review new</vt:lpstr>
      <vt:lpstr>IRR!Print_Area</vt:lpstr>
      <vt:lpstr>Summary!Print_Area</vt:lpstr>
      <vt:lpstr>'Summary Review new'!Print_Area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2023-12-05T04:53:01Z</cp:lastPrinted>
  <dcterms:created xsi:type="dcterms:W3CDTF">2020-06-08T08:40:20Z</dcterms:created>
  <dcterms:modified xsi:type="dcterms:W3CDTF">2024-03-13T07:15:33Z</dcterms:modified>
</cp:coreProperties>
</file>