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Gading Icon Aprt\"/>
    </mc:Choice>
  </mc:AlternateContent>
  <xr:revisionPtr revIDLastSave="0" documentId="8_{8181E43A-6688-484C-9317-A7FDBF0D75C8}" xr6:coauthVersionLast="36" xr6:coauthVersionMax="36" xr10:uidLastSave="{00000000-0000-0000-0000-000000000000}"/>
  <bookViews>
    <workbookView xWindow="0" yWindow="0" windowWidth="19200" windowHeight="8130" activeTab="1" xr2:uid="{00000000-000D-0000-FFFF-FFFF00000000}"/>
  </bookViews>
  <sheets>
    <sheet name="Summary" sheetId="8" r:id="rId1"/>
    <sheet name="IRR Approved" sheetId="1" r:id="rId2"/>
    <sheet name="PARAMETER" sheetId="5" r:id="rId3"/>
    <sheet name="SummaryBR" sheetId="9" r:id="rId4"/>
    <sheet name="Analisa" sheetId="10" r:id="rId5"/>
  </sheets>
  <externalReferences>
    <externalReference r:id="rId6"/>
  </externalReferences>
  <definedNames>
    <definedName name="jk" localSheetId="4">#REF!</definedName>
    <definedName name="jk" localSheetId="3">#REF!</definedName>
    <definedName name="jk">#REF!</definedName>
    <definedName name="_xlnm.Print_Area" localSheetId="4">Analisa!$A$2:$F$20</definedName>
    <definedName name="_xlnm.Print_Area" localSheetId="1">'IRR Approved'!$B$1:$Q$61</definedName>
    <definedName name="_xlnm.Print_Area" localSheetId="0">Summary!$B$1:$N$34</definedName>
    <definedName name="_xlnm.Print_Area" localSheetId="3">SummaryBR!$A$1:$D$18</definedName>
    <definedName name="years_contract">[1]Kerlink!$D$5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6" i="9" l="1"/>
  <c r="M11" i="8"/>
  <c r="D18" i="10"/>
  <c r="F18" i="10" s="1"/>
  <c r="D17" i="10"/>
  <c r="F17" i="10" s="1"/>
  <c r="D16" i="10"/>
  <c r="F16" i="10" s="1"/>
  <c r="D9" i="10"/>
  <c r="F9" i="10" s="1"/>
  <c r="D11" i="10"/>
  <c r="F11" i="10" s="1"/>
  <c r="E10" i="10"/>
  <c r="D10" i="10"/>
  <c r="F20" i="10" l="1"/>
  <c r="F10" i="10"/>
  <c r="F13" i="10"/>
  <c r="G50" i="1" l="1"/>
  <c r="H50" i="1"/>
  <c r="I50" i="1" s="1"/>
  <c r="J50" i="1" s="1"/>
  <c r="K50" i="1" s="1"/>
  <c r="F38" i="1"/>
  <c r="H25" i="1"/>
  <c r="M7" i="8"/>
  <c r="L33" i="1"/>
  <c r="M33" i="1"/>
  <c r="N33" i="1"/>
  <c r="O33" i="1"/>
  <c r="P33" i="1"/>
  <c r="I25" i="1" l="1"/>
  <c r="J25" i="1" s="1"/>
  <c r="K25" i="1" s="1"/>
  <c r="Q25" i="1"/>
  <c r="Q50" i="1"/>
  <c r="J85" i="1"/>
  <c r="J86" i="1" s="1"/>
  <c r="J81" i="1"/>
  <c r="J79" i="1"/>
  <c r="H23" i="1"/>
  <c r="I23" i="1" l="1"/>
  <c r="J23" i="1" s="1"/>
  <c r="K23" i="1" s="1"/>
  <c r="Q23" i="1"/>
  <c r="K10" i="5"/>
  <c r="L10" i="5"/>
  <c r="M10" i="5"/>
  <c r="E8" i="5"/>
  <c r="E7" i="5"/>
  <c r="F6" i="5" s="1"/>
  <c r="C5" i="5"/>
  <c r="C10" i="5" s="1"/>
  <c r="C4" i="5"/>
  <c r="D3" i="5" s="1"/>
  <c r="D2" i="5"/>
  <c r="E2" i="5" s="1"/>
  <c r="F2" i="5" s="1"/>
  <c r="G2" i="5" s="1"/>
  <c r="H2" i="5" s="1"/>
  <c r="I2" i="5" s="1"/>
  <c r="J2" i="5" s="1"/>
  <c r="K2" i="5" s="1"/>
  <c r="L2" i="5" s="1"/>
  <c r="M2" i="5" s="1"/>
  <c r="E3" i="5" l="1"/>
  <c r="F3" i="5" s="1"/>
  <c r="G3" i="5" s="1"/>
  <c r="H3" i="5" s="1"/>
  <c r="E5" i="5"/>
  <c r="E10" i="5" s="1"/>
  <c r="D5" i="5"/>
  <c r="D10" i="5" s="1"/>
  <c r="F8" i="5"/>
  <c r="F5" i="5"/>
  <c r="G6" i="5"/>
  <c r="F10" i="5" l="1"/>
  <c r="G8" i="5"/>
  <c r="G5" i="5"/>
  <c r="H6" i="5"/>
  <c r="G10" i="5" l="1"/>
  <c r="H8" i="5"/>
  <c r="I6" i="5"/>
  <c r="J8" i="5" s="1"/>
  <c r="J10" i="5" s="1"/>
  <c r="I33" i="1" s="1"/>
  <c r="I8" i="5" l="1"/>
  <c r="I10" i="5" s="1"/>
  <c r="H33" i="1" s="1"/>
  <c r="H5" i="5"/>
  <c r="H10" i="5" s="1"/>
  <c r="G33" i="1" s="1"/>
  <c r="K33" i="1" l="1"/>
  <c r="I70" i="1"/>
  <c r="I69" i="1"/>
  <c r="J68" i="1" s="1"/>
  <c r="G66" i="1"/>
  <c r="H65" i="1" s="1"/>
  <c r="G67" i="1"/>
  <c r="R65" i="1"/>
  <c r="Q65" i="1"/>
  <c r="R67" i="1" s="1"/>
  <c r="K68" i="1" l="1"/>
  <c r="Q68" i="1" s="1"/>
  <c r="R68" i="1" s="1"/>
  <c r="S68" i="1" s="1"/>
  <c r="T70" i="1" s="1"/>
  <c r="T71" i="1" s="1"/>
  <c r="J33" i="1" s="1"/>
  <c r="S70" i="1"/>
  <c r="S71" i="1" s="1"/>
  <c r="J70" i="1"/>
  <c r="Q70" i="1"/>
  <c r="R70" i="1"/>
  <c r="R71" i="1" s="1"/>
  <c r="I65" i="1"/>
  <c r="I67" i="1" s="1"/>
  <c r="H67" i="1"/>
  <c r="K70" i="1" l="1"/>
  <c r="J65" i="1"/>
  <c r="J67" i="1" s="1"/>
  <c r="K65" i="1" l="1"/>
  <c r="Q67" i="1" s="1"/>
  <c r="Q71" i="1" s="1"/>
  <c r="K67" i="1" l="1"/>
  <c r="Q38" i="1" l="1"/>
  <c r="F39" i="1"/>
  <c r="G31" i="1"/>
  <c r="G49" i="1"/>
  <c r="F40" i="1" l="1"/>
  <c r="G60" i="1"/>
  <c r="H18" i="1"/>
  <c r="I18" i="1" l="1"/>
  <c r="H13" i="1"/>
  <c r="I13" i="1" s="1"/>
  <c r="J13" i="1" s="1"/>
  <c r="K13" i="1" s="1"/>
  <c r="L13" i="1" s="1"/>
  <c r="M13" i="1" l="1"/>
  <c r="L49" i="1"/>
  <c r="J18" i="1"/>
  <c r="Q59" i="1"/>
  <c r="N13" i="1" l="1"/>
  <c r="M49" i="1"/>
  <c r="K18" i="1"/>
  <c r="Q18" i="1" s="1"/>
  <c r="Q19" i="1"/>
  <c r="M9" i="8"/>
  <c r="Q1" i="1"/>
  <c r="L20" i="1" l="1"/>
  <c r="O13" i="1"/>
  <c r="N49" i="1"/>
  <c r="Q11" i="1"/>
  <c r="C56" i="5"/>
  <c r="D47" i="5"/>
  <c r="F29" i="5"/>
  <c r="H28" i="5"/>
  <c r="F28" i="5"/>
  <c r="G27" i="5"/>
  <c r="J27" i="5" s="1"/>
  <c r="F26" i="5"/>
  <c r="J26" i="5" s="1"/>
  <c r="F25" i="5"/>
  <c r="D25" i="5"/>
  <c r="P13" i="1" l="1"/>
  <c r="P49" i="1" s="1"/>
  <c r="O49" i="1"/>
  <c r="L26" i="1"/>
  <c r="M20" i="1"/>
  <c r="J25" i="5"/>
  <c r="Q20" i="1"/>
  <c r="L27" i="1" l="1"/>
  <c r="L28" i="1" s="1"/>
  <c r="L29" i="1" s="1"/>
  <c r="M26" i="1"/>
  <c r="N20" i="1"/>
  <c r="O6" i="8"/>
  <c r="M27" i="1" l="1"/>
  <c r="M28" i="1" s="1"/>
  <c r="M29" i="1" s="1"/>
  <c r="N26" i="1"/>
  <c r="N27" i="1" s="1"/>
  <c r="N28" i="1" s="1"/>
  <c r="N29" i="1" s="1"/>
  <c r="O20" i="1"/>
  <c r="H49" i="1"/>
  <c r="O26" i="1" l="1"/>
  <c r="O27" i="1" s="1"/>
  <c r="O28" i="1" s="1"/>
  <c r="O29" i="1" s="1"/>
  <c r="P20" i="1"/>
  <c r="C18" i="5"/>
  <c r="C17" i="5" s="1"/>
  <c r="C16" i="5" s="1"/>
  <c r="I49" i="1"/>
  <c r="P26" i="1" l="1"/>
  <c r="P27" i="1"/>
  <c r="P28" i="1" s="1"/>
  <c r="P29" i="1" s="1"/>
  <c r="J49" i="1"/>
  <c r="K49" i="1" l="1"/>
  <c r="D18" i="5" l="1"/>
  <c r="D17" i="5" s="1"/>
  <c r="D16" i="5" l="1"/>
  <c r="E18" i="5" l="1"/>
  <c r="E16" i="5" s="1"/>
  <c r="F18" i="5" l="1"/>
  <c r="F16" i="5" s="1"/>
  <c r="E17" i="5"/>
  <c r="G18" i="5" l="1"/>
  <c r="G16" i="5" s="1"/>
  <c r="F17" i="5"/>
  <c r="G17" i="5" s="1"/>
  <c r="H18" i="5" l="1"/>
  <c r="H60" i="1"/>
  <c r="H31" i="1" s="1"/>
  <c r="Q58" i="1"/>
  <c r="Q57" i="1" l="1"/>
  <c r="H17" i="5"/>
  <c r="H16" i="5"/>
  <c r="Q56" i="1" l="1"/>
  <c r="Q54" i="1"/>
  <c r="Q51" i="1"/>
  <c r="Q55" i="1"/>
  <c r="Q52" i="1"/>
  <c r="Q53" i="1"/>
  <c r="I18" i="5"/>
  <c r="I17" i="5" s="1"/>
  <c r="I16" i="5" l="1"/>
  <c r="I29" i="5" l="1"/>
  <c r="J29" i="5" s="1"/>
  <c r="I28" i="5"/>
  <c r="J28" i="5" s="1"/>
  <c r="J30" i="5" s="1"/>
  <c r="K30" i="5" s="1"/>
  <c r="I26" i="5"/>
  <c r="J18" i="5"/>
  <c r="J17" i="5" s="1"/>
  <c r="J16" i="5" l="1"/>
  <c r="M10" i="8"/>
  <c r="Q24" i="1"/>
  <c r="K18" i="5" l="1"/>
  <c r="I20" i="1"/>
  <c r="I26" i="1" s="1"/>
  <c r="J20" i="1"/>
  <c r="J26" i="1" s="1"/>
  <c r="K20" i="1"/>
  <c r="K26" i="1" s="1"/>
  <c r="H20" i="1"/>
  <c r="H26" i="1" s="1"/>
  <c r="K16" i="5" l="1"/>
  <c r="K17" i="5"/>
  <c r="Q33" i="1" l="1"/>
  <c r="G20" i="1" l="1"/>
  <c r="G26" i="1" s="1"/>
  <c r="Q26" i="1" s="1"/>
  <c r="Q27" i="1" s="1"/>
  <c r="Q28" i="1" s="1"/>
  <c r="Q29" i="1" l="1"/>
  <c r="R20" i="1"/>
  <c r="M13" i="8"/>
  <c r="I60" i="1" l="1"/>
  <c r="I31" i="1" s="1"/>
  <c r="J60" i="1" l="1"/>
  <c r="J31" i="1" s="1"/>
  <c r="K27" i="1"/>
  <c r="K28" i="1" s="1"/>
  <c r="K29" i="1" s="1"/>
  <c r="J27" i="1"/>
  <c r="J28" i="1" s="1"/>
  <c r="J29" i="1" s="1"/>
  <c r="I27" i="1"/>
  <c r="I28" i="1" s="1"/>
  <c r="I29" i="1" s="1"/>
  <c r="H27" i="1"/>
  <c r="H28" i="1" s="1"/>
  <c r="H32" i="1" s="1"/>
  <c r="H34" i="1" s="1"/>
  <c r="L60" i="1" l="1"/>
  <c r="L32" i="1" s="1"/>
  <c r="L34" i="1" s="1"/>
  <c r="M14" i="8"/>
  <c r="K60" i="1"/>
  <c r="K31" i="1" s="1"/>
  <c r="Q31" i="1" s="1"/>
  <c r="Q32" i="1" s="1"/>
  <c r="I32" i="1"/>
  <c r="G27" i="1"/>
  <c r="L36" i="1" l="1"/>
  <c r="L39" i="1" s="1"/>
  <c r="M60" i="1"/>
  <c r="M32" i="1" s="1"/>
  <c r="M34" i="1" s="1"/>
  <c r="M36" i="1" s="1"/>
  <c r="M39" i="1" s="1"/>
  <c r="F45" i="1"/>
  <c r="M18" i="8" s="1"/>
  <c r="G28" i="1"/>
  <c r="G32" i="1" s="1"/>
  <c r="G34" i="1" s="1"/>
  <c r="G35" i="1" s="1"/>
  <c r="H35" i="1"/>
  <c r="H29" i="1"/>
  <c r="J32" i="1"/>
  <c r="I34" i="1"/>
  <c r="N60" i="1" l="1"/>
  <c r="N32" i="1" s="1"/>
  <c r="N34" i="1" s="1"/>
  <c r="N36" i="1" s="1"/>
  <c r="N39" i="1" s="1"/>
  <c r="H36" i="1"/>
  <c r="H39" i="1" s="1"/>
  <c r="R27" i="1"/>
  <c r="R28" i="1"/>
  <c r="I35" i="1"/>
  <c r="I36" i="1" s="1"/>
  <c r="I39" i="1" s="1"/>
  <c r="J34" i="1"/>
  <c r="P60" i="1" l="1"/>
  <c r="P32" i="1" s="1"/>
  <c r="P34" i="1" s="1"/>
  <c r="P36" i="1" s="1"/>
  <c r="P39" i="1" s="1"/>
  <c r="O60" i="1"/>
  <c r="O32" i="1" s="1"/>
  <c r="O34" i="1" s="1"/>
  <c r="O36" i="1" s="1"/>
  <c r="O39" i="1" s="1"/>
  <c r="J35" i="1"/>
  <c r="J36" i="1" s="1"/>
  <c r="G36" i="1"/>
  <c r="G39" i="1" s="1"/>
  <c r="J39" i="1" l="1"/>
  <c r="Q60" i="1"/>
  <c r="K32" i="1"/>
  <c r="G40" i="1" l="1"/>
  <c r="K34" i="1"/>
  <c r="Q34" i="1" s="1"/>
  <c r="G41" i="1" l="1"/>
  <c r="H40" i="1"/>
  <c r="K35" i="1"/>
  <c r="Q35" i="1" s="1"/>
  <c r="Q36" i="1" s="1"/>
  <c r="K36" i="1" l="1"/>
  <c r="K39" i="1" s="1"/>
  <c r="R32" i="1"/>
  <c r="I40" i="1"/>
  <c r="H41" i="1"/>
  <c r="F44" i="1" l="1"/>
  <c r="M17" i="8" s="1"/>
  <c r="Q39" i="1"/>
  <c r="F43" i="1"/>
  <c r="R34" i="1"/>
  <c r="I41" i="1"/>
  <c r="J40" i="1"/>
  <c r="R36" i="1"/>
  <c r="J41" i="1" l="1"/>
  <c r="K40" i="1"/>
  <c r="K41" i="1" l="1"/>
  <c r="M16" i="8"/>
  <c r="F46" i="1" l="1"/>
  <c r="M19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4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<sst xmlns="http://schemas.openxmlformats.org/spreadsheetml/2006/main" count="255" uniqueCount="207">
  <si>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</si>
  <si>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</si>
  <si>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</si>
  <si>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</si>
  <si>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</si>
  <si>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</si>
  <si>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</si>
  <si>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</si>
  <si>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</si>
  <si>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</si>
  <si>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</si>
  <si>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</si>
  <si>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</si>
  <si>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</si>
  <si>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</si>
  <si>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</si>
  <si>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</si>
  <si>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</si>
  <si>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</si>
  <si>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</si>
  <si>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</si>
  <si>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</si>
  <si>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</si>
  <si>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</si>
  <si>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</si>
  <si>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</si>
  <si>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</si>
  <si>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</si>
  <si>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</si>
  <si>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</si>
  <si>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</si>
  <si>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</si>
  <si>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</si>
  <si>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XL</t>
  </si>
  <si>
    <t>Y1</t>
  </si>
  <si>
    <t>Y2</t>
  </si>
  <si>
    <t>Y3</t>
  </si>
  <si>
    <t>Y4</t>
  </si>
  <si>
    <t>Y5</t>
  </si>
  <si>
    <t>Interest Rate</t>
  </si>
  <si>
    <t>Lease to BM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</si>
  <si>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</si>
  <si>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</si>
  <si>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</si>
  <si>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</si>
  <si>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</si>
  <si>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</si>
  <si>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</si>
  <si>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</si>
  <si>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</si>
  <si>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</si>
  <si>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Installment/thn</t>
  </si>
  <si>
    <t>Interest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</si>
  <si>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</si>
  <si>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</si>
  <si>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</si>
  <si>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</si>
  <si>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</si>
  <si>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</si>
  <si>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</si>
  <si>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</si>
  <si>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</si>
  <si>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</si>
  <si>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</si>
  <si>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</si>
  <si>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</si>
  <si>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</si>
  <si>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</si>
  <si>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</si>
  <si>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</si>
  <si>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</si>
  <si>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</si>
  <si>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Drop Wire (meter)</t>
  </si>
  <si>
    <t>Cable FO (meter)</t>
  </si>
  <si>
    <t>Product :</t>
  </si>
  <si>
    <t>Status P&amp;L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</si>
  <si>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</si>
  <si>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</si>
  <si>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</si>
  <si>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</si>
  <si>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</si>
  <si>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</si>
  <si>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</si>
  <si>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</si>
  <si>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</si>
  <si>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</si>
  <si>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</si>
  <si>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Total COGS Rent</t>
  </si>
  <si>
    <t>Total COGS Other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</si>
  <si>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</si>
  <si>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</si>
  <si>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</si>
  <si>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</si>
  <si>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</si>
  <si>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</si>
  <si>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</si>
  <si>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</si>
  <si>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</si>
  <si>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</si>
  <si>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</si>
  <si>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</si>
  <si>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</si>
  <si>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</si>
  <si>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</si>
  <si>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</si>
  <si>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</si>
  <si>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</si>
  <si>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</si>
  <si>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</si>
  <si>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</si>
  <si>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</si>
  <si>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</si>
  <si>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</si>
  <si>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</si>
  <si>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</si>
  <si>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</si>
  <si>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</si>
  <si>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</si>
  <si>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</si>
  <si>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</si>
  <si>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</si>
  <si>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</si>
  <si>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</si>
  <si>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</si>
  <si>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</si>
  <si>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</si>
  <si>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</si>
  <si>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</si>
  <si>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</si>
  <si>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</si>
  <si>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</si>
  <si>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% increase (decrease)</t>
  </si>
  <si>
    <t>Rev/month - XL</t>
  </si>
  <si>
    <t>Renewal</t>
  </si>
  <si>
    <t>Renewal IBC</t>
  </si>
  <si>
    <t xml:space="preserve">NO : </t>
  </si>
  <si>
    <t>BV 31 Dec 23</t>
  </si>
  <si>
    <t xml:space="preserve">Gading Icon </t>
  </si>
  <si>
    <t>Apartmen</t>
  </si>
  <si>
    <t>Jl. Perintis Kemerdekaan No.Kav. 99, RT.1/RW.1</t>
  </si>
  <si>
    <t>Jakarta Timur</t>
  </si>
  <si>
    <t>TOTAL</t>
  </si>
  <si>
    <t>PERHITUNGAN INTEREST EXPENSE based CAPEX</t>
  </si>
  <si>
    <t>Capex tahun</t>
  </si>
  <si>
    <t>Interest Exp</t>
  </si>
  <si>
    <t>SUMMARY REVIEW</t>
  </si>
  <si>
    <t xml:space="preserve">Nama Site                   </t>
  </si>
  <si>
    <t xml:space="preserve">Nama Pemilik           </t>
  </si>
  <si>
    <t xml:space="preserve">Alamat Pemilik       </t>
  </si>
  <si>
    <t xml:space="preserve">Telp                           </t>
  </si>
  <si>
    <t xml:space="preserve">Obyek Sewa             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</si>
  <si>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</si>
  <si>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</si>
  <si>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</si>
  <si>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</si>
  <si>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</si>
  <si>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</si>
  <si>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</si>
  <si>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</si>
  <si>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</si>
  <si>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Harga Sewa</t>
  </si>
  <si>
    <t>Operator Join</t>
  </si>
  <si>
    <t>6.</t>
  </si>
  <si>
    <t>Kenaikan/ Penurunan Harga</t>
  </si>
  <si>
    <t>Y6</t>
  </si>
  <si>
    <t>Y7</t>
  </si>
  <si>
    <t>Y8</t>
  </si>
  <si>
    <t>Y9</t>
  </si>
  <si>
    <t>Y10</t>
  </si>
  <si>
    <t>Total Capex BV31DEs2023</t>
  </si>
  <si>
    <t>Capex DAS</t>
  </si>
  <si>
    <t>IRR 5 th</t>
  </si>
  <si>
    <t>NPV 5th</t>
  </si>
  <si>
    <t>GADING ICON APARTEMEN</t>
  </si>
  <si>
    <t>0009/IRR/IBC/IV/2024</t>
  </si>
  <si>
    <t>: Gading Icon Apartemen</t>
  </si>
  <si>
    <t>: P3SRS</t>
  </si>
  <si>
    <t>:  Jl. Perinris Kemerdekaan Kav 99 Jak Tim</t>
  </si>
  <si>
    <t xml:space="preserve">:  </t>
  </si>
  <si>
    <t xml:space="preserve">: 384 Omni </t>
  </si>
  <si>
    <t>XL 25Sep2019 sd 24Sep2024</t>
  </si>
  <si>
    <t>384 Omni, BTS, Pole</t>
  </si>
  <si>
    <t xml:space="preserve">Periode </t>
  </si>
  <si>
    <t>Start</t>
  </si>
  <si>
    <t>End</t>
  </si>
  <si>
    <t>Rev XL</t>
  </si>
  <si>
    <t>Sewa BM</t>
  </si>
  <si>
    <t>Days</t>
  </si>
  <si>
    <t>Worse &gt;&gt; Jika Sewa BM diperpanjang 5 tahun dan XL sesuai periodenya XL, maka:</t>
  </si>
  <si>
    <t xml:space="preserve">Sewa BM </t>
  </si>
  <si>
    <t xml:space="preserve">OM </t>
  </si>
  <si>
    <t>Antisipasi Add Capex and Pole</t>
  </si>
  <si>
    <t>Profit</t>
  </si>
  <si>
    <t>SITE GADING ICON APARTEMEN</t>
  </si>
  <si>
    <t>IRR Negatif karena selama periode 5thn pertama hanya ada satu Operator (XL)</t>
  </si>
  <si>
    <t>Direncanakan akan implementasi Opennet di Q3/Q4 2024</t>
  </si>
  <si>
    <t xml:space="preserve">No of tower </t>
  </si>
  <si>
    <t>21 &amp; 19</t>
  </si>
  <si>
    <t>IRR 5th</t>
  </si>
  <si>
    <t>24Feb2024 sd 23Feb2026</t>
  </si>
  <si>
    <t>24Okt2020 sd 23Feb2024 (tidak ada biaya sewa)</t>
  </si>
  <si>
    <t>24Okt2015 sd 23Feb2024</t>
  </si>
  <si>
    <t>Harga Sewa/th</t>
  </si>
  <si>
    <t>Penurunan 51,96%</t>
  </si>
  <si>
    <t>Worse &gt;&gt; Jika Sewa BM diperpanjang 2 tahun dan XL sesuai Eksisting, maka:</t>
  </si>
  <si>
    <t>IRR Dilanjutkan karena EBITDA 64% setelah Sewa BM turun 51,96%</t>
  </si>
  <si>
    <t>Sewa BM hanya 2 thn karena akan ada Pergantian PPPRS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</si>
</sst>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166" fontId="13" fillId="0" borderId="0" applyFont="0" applyFill="0" applyBorder="0" applyAlignment="0" applyProtection="0"/>
    <xf numFmtId="41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2" fillId="0" borderId="0"/>
    <xf numFmtId="0" fontId="27" fillId="0" borderId="0"/>
    <xf numFmtId="166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165" fontId="14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4" fillId="0" borderId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3" fillId="0" borderId="0"/>
    <xf numFmtId="166" fontId="33" fillId="0" borderId="0" applyFont="0" applyFill="0" applyBorder="0" applyAlignment="0" applyProtection="0"/>
    <xf numFmtId="0" fontId="7" fillId="0" borderId="0"/>
    <xf numFmtId="170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3" fillId="0" borderId="0"/>
    <xf numFmtId="165" fontId="7" fillId="0" borderId="0" applyFont="0" applyFill="0" applyBorder="0" applyAlignment="0" applyProtection="0"/>
    <xf numFmtId="0" fontId="6" fillId="0" borderId="0"/>
    <xf numFmtId="170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27" fillId="0" borderId="0"/>
    <xf numFmtId="0" fontId="3" fillId="0" borderId="0"/>
    <xf numFmtId="164" fontId="27" fillId="0" borderId="0" applyFont="0" applyFill="0" applyBorder="0" applyAlignment="0" applyProtection="0"/>
    <xf numFmtId="0" fontId="2" fillId="0" borderId="0"/>
    <xf numFmtId="0" fontId="27" fillId="0" borderId="0"/>
    <xf numFmtId="16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60">
    <xf numFmtId="0" fontId="0" fillId="0" borderId="0" xfId="0"/>
    <xf numFmtId="0" fontId="15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6" fillId="0" borderId="0" xfId="2" applyNumberFormat="1" applyFont="1"/>
    <xf numFmtId="10" fontId="16" fillId="0" borderId="0" xfId="2" applyNumberFormat="1" applyFont="1"/>
    <xf numFmtId="0" fontId="0" fillId="0" borderId="1" xfId="0" applyBorder="1"/>
    <xf numFmtId="0" fontId="1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8" fillId="0" borderId="0" xfId="0" applyNumberFormat="1" applyFont="1" applyBorder="1"/>
    <xf numFmtId="41" fontId="16" fillId="0" borderId="0" xfId="0" applyNumberFormat="1" applyFont="1" applyBorder="1"/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2" fillId="0" borderId="0" xfId="0" applyFont="1"/>
    <xf numFmtId="0" fontId="22" fillId="0" borderId="0" xfId="0" applyFont="1" applyAlignment="1">
      <alignment vertical="center"/>
    </xf>
    <xf numFmtId="166" fontId="22" fillId="0" borderId="0" xfId="1" applyFont="1"/>
    <xf numFmtId="41" fontId="0" fillId="0" borderId="2" xfId="2" applyFont="1" applyBorder="1" applyAlignment="1">
      <alignment vertical="center"/>
    </xf>
    <xf numFmtId="41" fontId="15" fillId="0" borderId="0" xfId="0" applyNumberFormat="1" applyFont="1" applyAlignment="1">
      <alignment vertical="center"/>
    </xf>
    <xf numFmtId="0" fontId="23" fillId="0" borderId="0" xfId="0" applyFont="1"/>
    <xf numFmtId="0" fontId="24" fillId="0" borderId="0" xfId="0" applyFont="1"/>
    <xf numFmtId="9" fontId="23" fillId="0" borderId="0" xfId="3" applyFont="1" applyAlignment="1">
      <alignment vertical="center"/>
    </xf>
    <xf numFmtId="0" fontId="0" fillId="0" borderId="0" xfId="0" applyFill="1" applyBorder="1"/>
    <xf numFmtId="38" fontId="17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21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5" fillId="0" borderId="0" xfId="0" applyFont="1"/>
    <xf numFmtId="0" fontId="25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5" fillId="0" borderId="4" xfId="0" applyFont="1" applyBorder="1"/>
    <xf numFmtId="0" fontId="0" fillId="0" borderId="4" xfId="0" applyBorder="1"/>
    <xf numFmtId="167" fontId="15" fillId="0" borderId="4" xfId="0" applyNumberFormat="1" applyFont="1" applyBorder="1" applyAlignment="1">
      <alignment vertical="center"/>
    </xf>
    <xf numFmtId="0" fontId="0" fillId="0" borderId="0" xfId="0" applyBorder="1"/>
    <xf numFmtId="41" fontId="20" fillId="0" borderId="0" xfId="0" applyNumberFormat="1" applyFont="1" applyBorder="1"/>
    <xf numFmtId="41" fontId="19" fillId="0" borderId="0" xfId="0" applyNumberFormat="1" applyFont="1" applyBorder="1"/>
    <xf numFmtId="167" fontId="15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2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5" fillId="3" borderId="0" xfId="0" applyNumberFormat="1" applyFont="1" applyFill="1" applyBorder="1" applyAlignment="1">
      <alignment vertical="center"/>
    </xf>
    <xf numFmtId="0" fontId="15" fillId="3" borderId="0" xfId="0" applyFont="1" applyFill="1" applyBorder="1"/>
    <xf numFmtId="9" fontId="23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5" fillId="0" borderId="0" xfId="0" applyFont="1" applyBorder="1" applyAlignment="1">
      <alignment horizontal="center"/>
    </xf>
    <xf numFmtId="0" fontId="26" fillId="0" borderId="6" xfId="0" applyFont="1" applyBorder="1"/>
    <xf numFmtId="0" fontId="26" fillId="0" borderId="3" xfId="0" applyFont="1" applyBorder="1"/>
    <xf numFmtId="0" fontId="26" fillId="0" borderId="8" xfId="0" applyFont="1" applyBorder="1"/>
    <xf numFmtId="0" fontId="26" fillId="0" borderId="0" xfId="0" applyFont="1" applyBorder="1"/>
    <xf numFmtId="9" fontId="26" fillId="0" borderId="9" xfId="3" applyFont="1" applyBorder="1"/>
    <xf numFmtId="0" fontId="26" fillId="0" borderId="10" xfId="0" applyFont="1" applyBorder="1"/>
    <xf numFmtId="0" fontId="26" fillId="0" borderId="2" xfId="0" applyFont="1" applyBorder="1"/>
    <xf numFmtId="168" fontId="26" fillId="0" borderId="11" xfId="1" applyNumberFormat="1" applyFont="1" applyBorder="1"/>
    <xf numFmtId="0" fontId="15" fillId="0" borderId="12" xfId="0" applyFont="1" applyBorder="1"/>
    <xf numFmtId="41" fontId="15" fillId="0" borderId="12" xfId="0" applyNumberFormat="1" applyFont="1" applyBorder="1" applyAlignment="1">
      <alignment vertical="center"/>
    </xf>
    <xf numFmtId="167" fontId="14" fillId="0" borderId="0" xfId="17" applyNumberFormat="1" applyFont="1"/>
    <xf numFmtId="41" fontId="0" fillId="0" borderId="0" xfId="2" applyFont="1" applyAlignment="1">
      <alignment vertical="center"/>
    </xf>
    <xf numFmtId="167" fontId="0" fillId="4" borderId="0" xfId="0" applyNumberFormat="1" applyFill="1" applyAlignment="1">
      <alignment vertical="center"/>
    </xf>
    <xf numFmtId="0" fontId="17" fillId="0" borderId="0" xfId="0" applyFont="1"/>
    <xf numFmtId="41" fontId="26" fillId="0" borderId="0" xfId="0" applyNumberFormat="1" applyFont="1" applyBorder="1"/>
    <xf numFmtId="41" fontId="28" fillId="0" borderId="0" xfId="0" applyNumberFormat="1" applyFont="1" applyBorder="1"/>
    <xf numFmtId="0" fontId="26" fillId="0" borderId="0" xfId="0" applyFont="1"/>
    <xf numFmtId="41" fontId="0" fillId="0" borderId="0" xfId="0" applyNumberFormat="1" applyAlignment="1">
      <alignment horizontal="right" vertical="center"/>
    </xf>
    <xf numFmtId="168" fontId="21" fillId="0" borderId="0" xfId="1" applyNumberFormat="1" applyFont="1"/>
    <xf numFmtId="9" fontId="0" fillId="0" borderId="0" xfId="0" applyNumberFormat="1"/>
    <xf numFmtId="0" fontId="29" fillId="0" borderId="0" xfId="0" applyFont="1"/>
    <xf numFmtId="0" fontId="29" fillId="0" borderId="0" xfId="0" applyFont="1" applyAlignment="1">
      <alignment vertical="center"/>
    </xf>
    <xf numFmtId="41" fontId="29" fillId="0" borderId="0" xfId="0" applyNumberFormat="1" applyFont="1" applyAlignment="1">
      <alignment vertical="center"/>
    </xf>
    <xf numFmtId="41" fontId="29" fillId="0" borderId="0" xfId="0" applyNumberFormat="1" applyFont="1"/>
    <xf numFmtId="41" fontId="0" fillId="0" borderId="0" xfId="2" applyFont="1"/>
    <xf numFmtId="0" fontId="0" fillId="0" borderId="0" xfId="0" applyFont="1"/>
    <xf numFmtId="0" fontId="15" fillId="0" borderId="0" xfId="0" applyFont="1" applyBorder="1"/>
    <xf numFmtId="0" fontId="0" fillId="0" borderId="0" xfId="0" applyFont="1" applyBorder="1"/>
    <xf numFmtId="0" fontId="32" fillId="0" borderId="0" xfId="0" applyFont="1"/>
    <xf numFmtId="0" fontId="31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5" fillId="0" borderId="18" xfId="2" applyNumberFormat="1" applyFont="1" applyBorder="1"/>
    <xf numFmtId="169" fontId="15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5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5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1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15" fillId="0" borderId="23" xfId="0" applyFont="1" applyBorder="1" applyAlignment="1">
      <alignment horizontal="left"/>
    </xf>
    <xf numFmtId="0" fontId="0" fillId="0" borderId="23" xfId="0" applyFont="1" applyBorder="1"/>
    <xf numFmtId="0" fontId="15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6" fillId="0" borderId="9" xfId="0" applyNumberFormat="1" applyFont="1" applyBorder="1"/>
    <xf numFmtId="38" fontId="15" fillId="0" borderId="18" xfId="2" applyNumberFormat="1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0" fillId="9" borderId="0" xfId="0" applyFill="1"/>
    <xf numFmtId="41" fontId="36" fillId="0" borderId="0" xfId="0" applyNumberFormat="1" applyFont="1" applyBorder="1"/>
    <xf numFmtId="0" fontId="0" fillId="0" borderId="0" xfId="0" quotePrefix="1"/>
    <xf numFmtId="0" fontId="25" fillId="0" borderId="0" xfId="0" applyFont="1" applyAlignment="1">
      <alignment horizontal="center"/>
    </xf>
    <xf numFmtId="167" fontId="15" fillId="0" borderId="32" xfId="0" applyNumberFormat="1" applyFont="1" applyBorder="1" applyAlignment="1">
      <alignment vertical="center"/>
    </xf>
    <xf numFmtId="0" fontId="26" fillId="0" borderId="29" xfId="0" applyFont="1" applyFill="1" applyBorder="1" applyAlignment="1">
      <alignment horizontal="center"/>
    </xf>
    <xf numFmtId="41" fontId="26" fillId="0" borderId="30" xfId="0" applyNumberFormat="1" applyFont="1" applyFill="1" applyBorder="1" applyAlignment="1">
      <alignment vertical="center"/>
    </xf>
    <xf numFmtId="41" fontId="15" fillId="0" borderId="30" xfId="0" applyNumberFormat="1" applyFont="1" applyFill="1" applyBorder="1" applyAlignment="1">
      <alignment vertical="center"/>
    </xf>
    <xf numFmtId="41" fontId="15" fillId="0" borderId="23" xfId="0" applyNumberFormat="1" applyFont="1" applyFill="1" applyBorder="1" applyAlignment="1">
      <alignment vertical="center"/>
    </xf>
    <xf numFmtId="9" fontId="23" fillId="0" borderId="23" xfId="3" applyFont="1" applyFill="1" applyBorder="1" applyAlignment="1">
      <alignment vertical="center"/>
    </xf>
    <xf numFmtId="41" fontId="26" fillId="0" borderId="3" xfId="0" applyNumberFormat="1" applyFont="1" applyBorder="1"/>
    <xf numFmtId="0" fontId="26" fillId="0" borderId="34" xfId="0" applyFont="1" applyFill="1" applyBorder="1" applyAlignment="1">
      <alignment horizontal="center"/>
    </xf>
    <xf numFmtId="0" fontId="15" fillId="3" borderId="0" xfId="0" applyFont="1" applyFill="1"/>
    <xf numFmtId="0" fontId="15" fillId="0" borderId="23" xfId="0" applyFont="1" applyFill="1" applyBorder="1"/>
    <xf numFmtId="41" fontId="26" fillId="0" borderId="33" xfId="0" applyNumberFormat="1" applyFont="1" applyFill="1" applyBorder="1" applyAlignment="1">
      <alignment vertical="center"/>
    </xf>
    <xf numFmtId="41" fontId="26" fillId="0" borderId="31" xfId="0" applyNumberFormat="1" applyFont="1" applyFill="1" applyBorder="1" applyAlignment="1">
      <alignment vertical="center"/>
    </xf>
    <xf numFmtId="0" fontId="26" fillId="0" borderId="23" xfId="0" applyFont="1" applyFill="1" applyBorder="1"/>
    <xf numFmtId="41" fontId="26" fillId="0" borderId="23" xfId="0" applyNumberFormat="1" applyFont="1" applyFill="1" applyBorder="1" applyAlignment="1">
      <alignment vertical="center"/>
    </xf>
    <xf numFmtId="166" fontId="37" fillId="0" borderId="23" xfId="1" applyFont="1" applyFill="1" applyBorder="1"/>
    <xf numFmtId="38" fontId="15" fillId="0" borderId="23" xfId="0" applyNumberFormat="1" applyFont="1" applyFill="1" applyBorder="1" applyAlignment="1">
      <alignment vertical="center"/>
    </xf>
    <xf numFmtId="165" fontId="15" fillId="0" borderId="31" xfId="1" applyNumberFormat="1" applyFont="1" applyFill="1" applyBorder="1"/>
    <xf numFmtId="38" fontId="15" fillId="0" borderId="23" xfId="0" applyNumberFormat="1" applyFont="1" applyFill="1" applyBorder="1"/>
    <xf numFmtId="167" fontId="38" fillId="0" borderId="23" xfId="1" applyNumberFormat="1" applyFont="1" applyFill="1" applyBorder="1"/>
    <xf numFmtId="0" fontId="39" fillId="0" borderId="23" xfId="0" applyFont="1" applyFill="1" applyBorder="1"/>
    <xf numFmtId="0" fontId="15" fillId="0" borderId="23" xfId="0" applyFont="1" applyBorder="1"/>
    <xf numFmtId="0" fontId="15" fillId="0" borderId="29" xfId="0" applyFont="1" applyBorder="1"/>
    <xf numFmtId="0" fontId="15" fillId="0" borderId="0" xfId="0" applyFont="1" applyAlignment="1">
      <alignment vertical="center"/>
    </xf>
    <xf numFmtId="14" fontId="15" fillId="9" borderId="0" xfId="0" applyNumberFormat="1" applyFont="1" applyFill="1" applyBorder="1" applyAlignment="1"/>
    <xf numFmtId="0" fontId="0" fillId="0" borderId="0" xfId="0" quotePrefix="1" applyFont="1" applyBorder="1" applyAlignment="1">
      <alignment horizontal="left" indent="1"/>
    </xf>
    <xf numFmtId="0" fontId="15" fillId="0" borderId="0" xfId="0" applyFont="1" applyBorder="1" applyAlignment="1">
      <alignment horizontal="left"/>
    </xf>
    <xf numFmtId="0" fontId="15" fillId="0" borderId="12" xfId="0" applyFont="1" applyBorder="1" applyAlignment="1">
      <alignment horizontal="center"/>
    </xf>
    <xf numFmtId="0" fontId="30" fillId="9" borderId="0" xfId="0" applyFont="1" applyFill="1" applyBorder="1" applyAlignment="1">
      <alignment horizontal="right" vertical="top"/>
    </xf>
    <xf numFmtId="38" fontId="15" fillId="2" borderId="5" xfId="0" applyNumberFormat="1" applyFont="1" applyFill="1" applyBorder="1" applyAlignment="1">
      <alignment vertical="center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5" fillId="0" borderId="0" xfId="0" applyFont="1" applyBorder="1" applyAlignment="1">
      <alignment horizontal="left"/>
    </xf>
    <xf numFmtId="0" fontId="0" fillId="0" borderId="0" xfId="0" quotePrefix="1" applyFont="1" applyBorder="1" applyAlignment="1">
      <alignment horizontal="left" indent="1"/>
    </xf>
    <xf numFmtId="0" fontId="15" fillId="0" borderId="12" xfId="0" applyFont="1" applyBorder="1" applyAlignment="1">
      <alignment horizontal="center"/>
    </xf>
    <xf numFmtId="0" fontId="11" fillId="0" borderId="0" xfId="13"/>
    <xf numFmtId="0" fontId="11" fillId="0" borderId="0" xfId="13" applyAlignment="1">
      <alignment horizontal="right"/>
    </xf>
    <xf numFmtId="41" fontId="0" fillId="0" borderId="0" xfId="0" applyNumberFormat="1" applyAlignment="1">
      <alignment horizontal="right"/>
    </xf>
    <xf numFmtId="165" fontId="0" fillId="0" borderId="0" xfId="31" applyFont="1" applyAlignment="1">
      <alignment horizontal="right"/>
    </xf>
    <xf numFmtId="0" fontId="0" fillId="0" borderId="0" xfId="0" applyAlignment="1">
      <alignment horizontal="right"/>
    </xf>
    <xf numFmtId="41" fontId="4" fillId="0" borderId="0" xfId="2" applyFont="1" applyAlignment="1">
      <alignment horizontal="right"/>
    </xf>
    <xf numFmtId="41" fontId="4" fillId="0" borderId="0" xfId="34" applyFont="1"/>
    <xf numFmtId="0" fontId="40" fillId="0" borderId="0" xfId="0" applyFont="1"/>
    <xf numFmtId="0" fontId="0" fillId="0" borderId="25" xfId="0" applyBorder="1"/>
    <xf numFmtId="0" fontId="0" fillId="0" borderId="24" xfId="0" applyBorder="1" applyAlignment="1">
      <alignment horizontal="center" vertical="center"/>
    </xf>
    <xf numFmtId="0" fontId="0" fillId="0" borderId="0" xfId="0" quotePrefix="1" applyAlignment="1">
      <alignment horizontal="right"/>
    </xf>
    <xf numFmtId="165" fontId="0" fillId="0" borderId="0" xfId="31" applyFont="1"/>
    <xf numFmtId="0" fontId="0" fillId="0" borderId="35" xfId="0" applyBorder="1"/>
    <xf numFmtId="165" fontId="0" fillId="0" borderId="24" xfId="31" applyFont="1" applyBorder="1"/>
    <xf numFmtId="0" fontId="27" fillId="0" borderId="0" xfId="35"/>
    <xf numFmtId="0" fontId="41" fillId="0" borderId="0" xfId="35" applyFont="1" applyAlignment="1">
      <alignment horizontal="center"/>
    </xf>
    <xf numFmtId="0" fontId="3" fillId="0" borderId="0" xfId="36"/>
    <xf numFmtId="0" fontId="42" fillId="0" borderId="0" xfId="35" applyFont="1"/>
    <xf numFmtId="0" fontId="27" fillId="0" borderId="24" xfId="35" applyBorder="1" applyAlignment="1">
      <alignment horizontal="center" vertical="center"/>
    </xf>
    <xf numFmtId="0" fontId="27" fillId="0" borderId="24" xfId="35" applyBorder="1"/>
    <xf numFmtId="0" fontId="27" fillId="0" borderId="25" xfId="35" applyBorder="1"/>
    <xf numFmtId="0" fontId="42" fillId="0" borderId="24" xfId="35" applyFont="1" applyBorder="1"/>
    <xf numFmtId="164" fontId="0" fillId="0" borderId="25" xfId="37" applyFont="1" applyBorder="1"/>
    <xf numFmtId="164" fontId="0" fillId="0" borderId="24" xfId="37" applyFont="1" applyBorder="1"/>
    <xf numFmtId="0" fontId="27" fillId="0" borderId="26" xfId="35" applyBorder="1" applyAlignment="1">
      <alignment horizontal="center" vertical="center"/>
    </xf>
    <xf numFmtId="0" fontId="27" fillId="0" borderId="7" xfId="35" applyBorder="1"/>
    <xf numFmtId="9" fontId="0" fillId="0" borderId="0" xfId="3" applyFont="1" applyAlignment="1">
      <alignment vertical="center"/>
    </xf>
    <xf numFmtId="9" fontId="39" fillId="5" borderId="7" xfId="0" applyNumberFormat="1" applyFont="1" applyFill="1" applyBorder="1"/>
    <xf numFmtId="9" fontId="39" fillId="0" borderId="19" xfId="2" applyNumberFormat="1" applyFont="1" applyBorder="1"/>
    <xf numFmtId="0" fontId="14" fillId="0" borderId="0" xfId="17"/>
    <xf numFmtId="0" fontId="45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Font="1" applyFill="1" applyBorder="1"/>
    <xf numFmtId="0" fontId="2" fillId="0" borderId="0" xfId="38"/>
    <xf numFmtId="0" fontId="27" fillId="0" borderId="24" xfId="35" applyBorder="1" applyAlignment="1">
      <alignment horizontal="center"/>
    </xf>
    <xf numFmtId="0" fontId="27" fillId="0" borderId="0" xfId="35" applyAlignment="1">
      <alignment horizontal="center"/>
    </xf>
    <xf numFmtId="171" fontId="27" fillId="0" borderId="24" xfId="35" applyNumberFormat="1" applyBorder="1" applyAlignment="1">
      <alignment horizontal="center"/>
    </xf>
    <xf numFmtId="171" fontId="27" fillId="0" borderId="0" xfId="35" applyNumberFormat="1"/>
    <xf numFmtId="0" fontId="40" fillId="0" borderId="0" xfId="39" applyFont="1" applyAlignment="1">
      <alignment horizontal="center"/>
    </xf>
    <xf numFmtId="171" fontId="27" fillId="0" borderId="0" xfId="35" applyNumberFormat="1" applyAlignment="1">
      <alignment horizontal="center"/>
    </xf>
    <xf numFmtId="165" fontId="27" fillId="0" borderId="0" xfId="40" applyFont="1" applyBorder="1"/>
    <xf numFmtId="172" fontId="27" fillId="0" borderId="0" xfId="41" applyNumberFormat="1" applyFont="1"/>
    <xf numFmtId="165" fontId="27" fillId="0" borderId="0" xfId="35" applyNumberFormat="1"/>
    <xf numFmtId="173" fontId="27" fillId="0" borderId="0" xfId="42" applyNumberFormat="1" applyFont="1"/>
    <xf numFmtId="41" fontId="27" fillId="0" borderId="2" xfId="41" applyFont="1" applyBorder="1"/>
    <xf numFmtId="38" fontId="29" fillId="0" borderId="0" xfId="2" applyNumberFormat="1" applyFont="1" applyFill="1"/>
    <xf numFmtId="38" fontId="39" fillId="0" borderId="23" xfId="0" applyNumberFormat="1" applyFont="1" applyFill="1" applyBorder="1" applyAlignment="1">
      <alignment vertical="center"/>
    </xf>
    <xf numFmtId="0" fontId="0" fillId="0" borderId="19" xfId="0" applyFont="1" applyFill="1" applyBorder="1"/>
    <xf numFmtId="0" fontId="0" fillId="0" borderId="18" xfId="0" applyFont="1" applyFill="1" applyBorder="1" applyAlignment="1">
      <alignment horizontal="left" vertical="justify" wrapText="1"/>
    </xf>
    <xf numFmtId="0" fontId="0" fillId="0" borderId="18" xfId="0" applyFont="1" applyFill="1" applyBorder="1"/>
    <xf numFmtId="41" fontId="26" fillId="0" borderId="0" xfId="0" applyNumberFormat="1" applyFont="1" applyFill="1"/>
    <xf numFmtId="41" fontId="40" fillId="0" borderId="24" xfId="34" applyFont="1" applyBorder="1"/>
    <xf numFmtId="0" fontId="1" fillId="0" borderId="0" xfId="36" applyFont="1"/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31" fillId="0" borderId="13" xfId="0" applyFont="1" applyBorder="1" applyAlignment="1">
      <alignment horizontal="center"/>
    </xf>
    <xf numFmtId="0" fontId="31" fillId="0" borderId="14" xfId="0" applyFont="1" applyBorder="1" applyAlignment="1">
      <alignment horizontal="center"/>
    </xf>
    <xf numFmtId="0" fontId="31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5" fillId="0" borderId="17" xfId="0" applyFont="1" applyBorder="1" applyAlignment="1">
      <alignment horizontal="left"/>
    </xf>
    <xf numFmtId="0" fontId="15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5" fillId="0" borderId="16" xfId="0" applyFont="1" applyFill="1" applyBorder="1" applyAlignment="1" applyProtection="1">
      <alignment horizontal="left" indent="1"/>
    </xf>
    <xf numFmtId="0" fontId="15" fillId="0" borderId="17" xfId="0" applyFont="1" applyFill="1" applyBorder="1" applyAlignment="1" applyProtection="1">
      <alignment horizontal="left" indent="1"/>
    </xf>
    <xf numFmtId="0" fontId="15" fillId="0" borderId="20" xfId="0" applyFont="1" applyFill="1" applyBorder="1" applyAlignment="1" applyProtection="1">
      <alignment horizontal="left" indent="1"/>
    </xf>
    <xf numFmtId="0" fontId="15" fillId="0" borderId="0" xfId="0" applyFont="1" applyFill="1" applyBorder="1" applyAlignment="1" applyProtection="1">
      <alignment horizontal="left" indent="1"/>
    </xf>
    <xf numFmtId="0" fontId="15" fillId="0" borderId="0" xfId="0" applyFont="1" applyBorder="1" applyAlignment="1">
      <alignment horizontal="left"/>
    </xf>
    <xf numFmtId="0" fontId="15" fillId="0" borderId="17" xfId="0" applyFont="1" applyBorder="1" applyAlignment="1">
      <alignment horizontal="center"/>
    </xf>
    <xf numFmtId="0" fontId="15" fillId="0" borderId="21" xfId="0" applyFont="1" applyFill="1" applyBorder="1" applyAlignment="1" applyProtection="1">
      <alignment horizontal="left" indent="1"/>
    </xf>
    <xf numFmtId="0" fontId="15" fillId="0" borderId="1" xfId="0" applyFont="1" applyFill="1" applyBorder="1" applyAlignment="1" applyProtection="1">
      <alignment horizontal="left" indent="1"/>
    </xf>
    <xf numFmtId="167" fontId="0" fillId="0" borderId="0" xfId="19" applyNumberFormat="1" applyFont="1" applyFill="1" applyBorder="1" applyAlignment="1" applyProtection="1">
      <alignment horizontal="center" wrapText="1"/>
      <protection locked="0"/>
    </xf>
    <xf numFmtId="167" fontId="0" fillId="0" borderId="18" xfId="19" applyNumberFormat="1" applyFont="1" applyFill="1" applyBorder="1" applyAlignment="1" applyProtection="1">
      <alignment horizontal="center" wrapText="1"/>
      <protection locked="0"/>
    </xf>
    <xf numFmtId="41" fontId="15" fillId="0" borderId="12" xfId="0" applyNumberFormat="1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7" fillId="0" borderId="25" xfId="35" applyBorder="1" applyAlignment="1">
      <alignment horizontal="center" wrapText="1"/>
    </xf>
    <xf numFmtId="0" fontId="27" fillId="0" borderId="35" xfId="35" applyBorder="1" applyAlignment="1">
      <alignment horizontal="center" wrapText="1"/>
    </xf>
    <xf numFmtId="0" fontId="43" fillId="10" borderId="24" xfId="35" applyFont="1" applyFill="1" applyBorder="1" applyAlignment="1">
      <alignment horizontal="center" vertical="center"/>
    </xf>
    <xf numFmtId="0" fontId="44" fillId="10" borderId="26" xfId="35" applyFont="1" applyFill="1" applyBorder="1" applyAlignment="1">
      <alignment horizontal="center" vertical="center"/>
    </xf>
    <xf numFmtId="0" fontId="44" fillId="10" borderId="28" xfId="35" applyFont="1" applyFill="1" applyBorder="1" applyAlignment="1">
      <alignment horizontal="center" vertical="center"/>
    </xf>
    <xf numFmtId="0" fontId="27" fillId="0" borderId="26" xfId="35" applyBorder="1" applyAlignment="1">
      <alignment horizontal="center" vertical="center"/>
    </xf>
    <xf numFmtId="0" fontId="27" fillId="0" borderId="28" xfId="35" applyBorder="1" applyAlignment="1">
      <alignment horizontal="center" vertical="center"/>
    </xf>
    <xf numFmtId="0" fontId="27" fillId="0" borderId="24" xfId="35" applyBorder="1" applyAlignment="1">
      <alignment horizontal="center"/>
    </xf>
  </cellXfs>
  <cellStyles count="44">
    <cellStyle name="Comma" xfId="1" builtinId="3"/>
    <cellStyle name="Comma [0]" xfId="2" builtinId="6"/>
    <cellStyle name="Comma [0] 2" xfId="9" xr:uid="{00000000-0005-0000-0000-000002000000}"/>
    <cellStyle name="Comma [0] 3" xfId="27" xr:uid="{00000000-0005-0000-0000-000003000000}"/>
    <cellStyle name="Comma [0] 3 2" xfId="41" xr:uid="{196225D8-0CEA-468A-B789-05FD935F1AAE}"/>
    <cellStyle name="Comma [0] 3 3" xfId="42" xr:uid="{24E55ED1-6ECF-43BE-B81C-AA2976614944}"/>
    <cellStyle name="Comma [0] 4" xfId="31" xr:uid="{00000000-0005-0000-0000-000004000000}"/>
    <cellStyle name="Comma [0] 5" xfId="34" xr:uid="{00000000-0005-0000-0000-00004C000000}"/>
    <cellStyle name="Comma [0] 6" xfId="40" xr:uid="{B67F9052-DBE9-4401-BCB0-27B04B6595F3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urrency [0] 2" xfId="25" xr:uid="{00000000-0005-0000-0000-00000E000000}"/>
    <cellStyle name="Currency [0] 2 2" xfId="37" xr:uid="{BA51C772-C60A-4037-A2B5-277B8197E896}"/>
    <cellStyle name="Currency [0] 3" xfId="30" xr:uid="{00000000-0005-0000-0000-00000F000000}"/>
    <cellStyle name="Currency 2" xfId="24" xr:uid="{00000000-0005-0000-0000-000010000000}"/>
    <cellStyle name="Currency 3" xfId="29" xr:uid="{00000000-0005-0000-0000-000011000000}"/>
    <cellStyle name="Normal" xfId="0" builtinId="0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4" xfId="23" xr:uid="{00000000-0005-0000-0000-00001A000000}"/>
    <cellStyle name="Normal 5" xfId="28" xr:uid="{00000000-0005-0000-0000-00001B000000}"/>
    <cellStyle name="Normal 6" xfId="33" xr:uid="{00000000-0005-0000-0000-00004D000000}"/>
    <cellStyle name="Normal 7" xfId="35" xr:uid="{3E399743-90A6-4EC7-85FB-A11415624228}"/>
    <cellStyle name="Normal 7 3" xfId="39" xr:uid="{2DF1862C-3206-4D29-A2C4-F9AF1DDFF5A2}"/>
    <cellStyle name="Normal 8" xfId="36" xr:uid="{93DAC2DA-B8F3-4C45-A65D-43A5C10729F9}"/>
    <cellStyle name="Normal 9" xfId="38" xr:uid="{2455F285-E815-4E8D-830B-6EB39497E235}"/>
    <cellStyle name="Percent" xfId="3" builtinId="5"/>
    <cellStyle name="Percent 2" xfId="8" xr:uid="{00000000-0005-0000-0000-00001D000000}"/>
    <cellStyle name="Percent 2 2" xfId="4" xr:uid="{00000000-0005-0000-0000-00001E000000}"/>
    <cellStyle name="Percent 3" xfId="15" xr:uid="{00000000-0005-0000-0000-00001F000000}"/>
    <cellStyle name="Percent 3 2" xfId="16" xr:uid="{00000000-0005-0000-0000-000020000000}"/>
    <cellStyle name="Percent 4" xfId="43" xr:uid="{421A9140-0426-42ED-BE09-1323D055C8E1}"/>
  </cellStyles>
  <dxfs count="20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27</xdr:row>
      <xdr:rowOff>20069</xdr:rowOff>
    </xdr:from>
    <xdr:to>
      <xdr:col>12</xdr:col>
      <xdr:colOff>1208314</xdr:colOff>
      <xdr:row>27</xdr:row>
      <xdr:rowOff>185057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F1A87ACD-72D4-44AB-83CD-DBA05FA313A6}"/>
            </a:ext>
          </a:extLst>
        </xdr:cNvPr>
        <xdr:cNvGrpSpPr/>
      </xdr:nvGrpSpPr>
      <xdr:grpSpPr>
        <a:xfrm>
          <a:off x="622078" y="5005376"/>
          <a:ext cx="8757683" cy="164988"/>
          <a:chOff x="570986" y="5042917"/>
          <a:chExt cx="14774690" cy="343744"/>
        </a:xfrm>
      </xdr:grpSpPr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CB6196-0650-4CD5-9428-B44F6C58D1A1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EFD91DE-8A03-4159-9DAE-6176F6C62990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BD897F5A-A50E-4058-8895-B03CC640D56E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84426472-AE60-45E8-B57B-EE367D1DF6E5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0C85AD9D-2C43-415A-9C71-18CB5CD3E100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C2F8C3A0-6B73-4B9C-A5BF-1ECA548956B4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171275C4-FFC0-4835-8C9E-25C962482327}"/>
            </a:ext>
          </a:extLst>
        </xdr:cNvPr>
        <xdr:cNvGrpSpPr/>
      </xdr:nvGrpSpPr>
      <xdr:grpSpPr>
        <a:xfrm>
          <a:off x="633824" y="6259295"/>
          <a:ext cx="8953328" cy="170079"/>
          <a:chOff x="722947" y="7327377"/>
          <a:chExt cx="10285884" cy="0"/>
        </a:xfrm>
      </xdr:grpSpPr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FDD61552-BB96-45A1-81E9-560F32EC1A98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9794F9C4-D5DB-4D03-B162-288C055F8F52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0052FCBA-E126-40D7-80FF-84C9CBFFB5CF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AB89CFE5-14FC-4D41-9CA4-525B5A397FF2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" name="Straight Connector 17">
            <a:extLst>
              <a:ext uri="{FF2B5EF4-FFF2-40B4-BE49-F238E27FC236}">
                <a16:creationId xmlns:a16="http://schemas.microsoft.com/office/drawing/2014/main" id="{13CFF796-907C-4D66-8930-432705471D0E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" name="Straight Connector 18">
            <a:extLst>
              <a:ext uri="{FF2B5EF4-FFF2-40B4-BE49-F238E27FC236}">
                <a16:creationId xmlns:a16="http://schemas.microsoft.com/office/drawing/2014/main" id="{6209045D-B646-485D-9699-BDA99EED512B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S34"/>
  <sheetViews>
    <sheetView showGridLines="0" topLeftCell="A13" zoomScale="114" zoomScaleNormal="114" workbookViewId="0">
      <selection activeCell="D29" sqref="D29"/>
    </sheetView>
  </sheetViews>
  <sheetFormatPr defaultColWidth="8.6640625" defaultRowHeight="15.5" x14ac:dyDescent="0.35"/>
  <cols>
    <col min="1" max="1" width="4.1640625" style="82" customWidth="1"/>
    <col min="2" max="2" width="3" style="82" customWidth="1"/>
    <col min="3" max="3" width="12.58203125" style="82" customWidth="1"/>
    <col min="4" max="4" width="20.1640625" style="82" customWidth="1"/>
    <col min="5" max="5" width="4.1640625" style="82" customWidth="1"/>
    <col min="6" max="6" width="4.83203125" style="82" customWidth="1"/>
    <col min="7" max="7" width="17" style="82" bestFit="1" customWidth="1"/>
    <col min="8" max="8" width="12.1640625" style="82" customWidth="1"/>
    <col min="9" max="9" width="3.58203125" style="82" customWidth="1"/>
    <col min="10" max="10" width="2.08203125" style="82" customWidth="1"/>
    <col min="11" max="11" width="5.08203125" style="82" customWidth="1"/>
    <col min="12" max="12" width="18.33203125" style="82" bestFit="1" customWidth="1"/>
    <col min="13" max="13" width="16.5" style="82" customWidth="1"/>
    <col min="14" max="14" width="2.08203125" style="82" customWidth="1"/>
    <col min="15" max="15" width="3.6640625" style="82" customWidth="1"/>
    <col min="16" max="16384" width="8.6640625" style="82"/>
  </cols>
  <sheetData>
    <row r="1" spans="2:19" x14ac:dyDescent="0.35">
      <c r="B1" s="84"/>
      <c r="C1" s="84" t="s">
        <v>174</v>
      </c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2:19" ht="21" x14ac:dyDescent="0.5">
      <c r="B2" s="84"/>
      <c r="C2" s="86" t="s">
        <v>74</v>
      </c>
      <c r="D2" s="83" t="s">
        <v>82</v>
      </c>
      <c r="E2" s="84"/>
      <c r="F2" s="84"/>
      <c r="G2" s="84"/>
      <c r="H2" s="84"/>
      <c r="M2" s="200" t="s">
        <v>173</v>
      </c>
      <c r="N2" s="84"/>
    </row>
    <row r="3" spans="2:19" ht="19" thickBot="1" x14ac:dyDescent="0.5">
      <c r="B3" s="84"/>
      <c r="C3" s="86" t="s">
        <v>75</v>
      </c>
      <c r="D3" s="83" t="s">
        <v>134</v>
      </c>
      <c r="E3" s="84"/>
      <c r="F3" s="84"/>
      <c r="G3" s="84"/>
      <c r="H3" s="84"/>
      <c r="J3" s="103" t="s">
        <v>78</v>
      </c>
      <c r="K3" s="103"/>
      <c r="L3" s="103"/>
      <c r="M3" s="159">
        <v>45318</v>
      </c>
      <c r="N3" s="84"/>
    </row>
    <row r="4" spans="2:19" ht="16" hidden="1" thickBot="1" x14ac:dyDescent="0.4">
      <c r="B4" s="84"/>
      <c r="C4" s="83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</row>
    <row r="5" spans="2:19" s="85" customFormat="1" ht="19" thickBot="1" x14ac:dyDescent="0.5">
      <c r="B5" s="226" t="s">
        <v>59</v>
      </c>
      <c r="C5" s="227"/>
      <c r="D5" s="228"/>
      <c r="E5" s="226" t="s">
        <v>65</v>
      </c>
      <c r="F5" s="227"/>
      <c r="G5" s="227"/>
      <c r="H5" s="227"/>
      <c r="I5" s="227"/>
      <c r="J5" s="226" t="s">
        <v>60</v>
      </c>
      <c r="K5" s="227"/>
      <c r="L5" s="227"/>
      <c r="M5" s="227"/>
      <c r="N5" s="228"/>
    </row>
    <row r="6" spans="2:19" x14ac:dyDescent="0.35">
      <c r="B6" s="229" t="s">
        <v>57</v>
      </c>
      <c r="C6" s="230"/>
      <c r="D6" s="217" t="s">
        <v>137</v>
      </c>
      <c r="E6" s="231" t="s">
        <v>67</v>
      </c>
      <c r="F6" s="231"/>
      <c r="G6" s="231"/>
      <c r="H6" s="231"/>
      <c r="I6" s="231"/>
      <c r="J6" s="98"/>
      <c r="K6" s="230" t="s">
        <v>170</v>
      </c>
      <c r="L6" s="230"/>
      <c r="M6" s="104">
        <v>1673733505.28</v>
      </c>
      <c r="N6" s="105"/>
      <c r="O6" s="80" t="e">
        <f>M6-'IRR Approved'!#REF!</f>
        <v>#REF!</v>
      </c>
    </row>
    <row r="7" spans="2:19" ht="19.25" customHeight="1" x14ac:dyDescent="0.35">
      <c r="B7" s="223" t="s">
        <v>58</v>
      </c>
      <c r="C7" s="224"/>
      <c r="D7" s="218" t="s">
        <v>139</v>
      </c>
      <c r="E7" s="225" t="s">
        <v>54</v>
      </c>
      <c r="F7" s="225"/>
      <c r="G7" s="225"/>
      <c r="I7" s="84"/>
      <c r="J7" s="89"/>
      <c r="K7" s="225" t="s">
        <v>63</v>
      </c>
      <c r="L7" s="225"/>
      <c r="M7" s="81">
        <f>M6/H8</f>
        <v>4358681.0033333329</v>
      </c>
      <c r="N7" s="87"/>
    </row>
    <row r="8" spans="2:19" x14ac:dyDescent="0.35">
      <c r="B8" s="223" t="s">
        <v>69</v>
      </c>
      <c r="C8" s="224"/>
      <c r="D8" s="219" t="s">
        <v>140</v>
      </c>
      <c r="E8" s="225" t="s">
        <v>55</v>
      </c>
      <c r="F8" s="225"/>
      <c r="G8" s="225"/>
      <c r="H8" s="106">
        <v>384</v>
      </c>
      <c r="I8" s="84"/>
      <c r="J8" s="89"/>
      <c r="K8" s="225" t="s">
        <v>62</v>
      </c>
      <c r="L8" s="225"/>
      <c r="M8" s="107">
        <v>5</v>
      </c>
      <c r="N8" s="87"/>
    </row>
    <row r="9" spans="2:19" ht="15.75" customHeight="1" x14ac:dyDescent="0.35">
      <c r="B9" s="234" t="s">
        <v>70</v>
      </c>
      <c r="C9" s="225"/>
      <c r="D9" s="219" t="s">
        <v>138</v>
      </c>
      <c r="E9" s="225" t="s">
        <v>56</v>
      </c>
      <c r="F9" s="225"/>
      <c r="G9" s="225"/>
      <c r="H9" s="244"/>
      <c r="I9" s="245"/>
      <c r="J9" s="89"/>
      <c r="K9" s="165" t="s">
        <v>76</v>
      </c>
      <c r="L9" s="165"/>
      <c r="M9" s="108">
        <f>'IRR Approved'!$F$4</f>
        <v>0.1</v>
      </c>
      <c r="N9" s="87"/>
    </row>
    <row r="10" spans="2:19" x14ac:dyDescent="0.35">
      <c r="B10" s="100" t="s">
        <v>53</v>
      </c>
      <c r="C10" s="101"/>
      <c r="D10" s="219" t="s">
        <v>133</v>
      </c>
      <c r="H10" s="244"/>
      <c r="I10" s="245"/>
      <c r="J10" s="95"/>
      <c r="K10" s="166" t="s">
        <v>61</v>
      </c>
      <c r="L10" s="166"/>
      <c r="M10" s="104">
        <f>'IRR Approved'!$Q$20</f>
        <v>750000000</v>
      </c>
      <c r="N10" s="87"/>
    </row>
    <row r="11" spans="2:19" x14ac:dyDescent="0.35">
      <c r="B11" s="96" t="s">
        <v>71</v>
      </c>
      <c r="C11" s="102"/>
      <c r="D11" s="88" t="s">
        <v>197</v>
      </c>
      <c r="E11" s="161" t="s">
        <v>66</v>
      </c>
      <c r="F11" s="161"/>
      <c r="G11" s="161"/>
      <c r="H11" s="161"/>
      <c r="I11" s="161"/>
      <c r="J11" s="89"/>
      <c r="K11" s="166" t="s">
        <v>169</v>
      </c>
      <c r="L11" s="166"/>
      <c r="M11" s="104">
        <f>'IRR Approved'!G11</f>
        <v>1068486975.1833335</v>
      </c>
      <c r="N11" s="87"/>
      <c r="O11" s="240"/>
      <c r="P11" s="240"/>
      <c r="Q11" s="240"/>
      <c r="R11" s="240"/>
      <c r="S11" s="240"/>
    </row>
    <row r="12" spans="2:19" x14ac:dyDescent="0.35">
      <c r="B12" s="96" t="s">
        <v>196</v>
      </c>
      <c r="C12" s="102"/>
      <c r="D12" s="88">
        <v>2</v>
      </c>
      <c r="E12" s="160" t="s">
        <v>64</v>
      </c>
      <c r="F12" s="160"/>
      <c r="G12" s="160"/>
      <c r="H12" s="109">
        <v>0</v>
      </c>
      <c r="I12" s="84"/>
      <c r="J12" s="89"/>
      <c r="K12" s="166" t="s">
        <v>89</v>
      </c>
      <c r="L12" s="166"/>
      <c r="M12" s="81"/>
      <c r="N12" s="87"/>
      <c r="O12" s="235"/>
      <c r="P12" s="235"/>
      <c r="Q12" s="235"/>
      <c r="R12" s="109"/>
      <c r="S12" s="84"/>
    </row>
    <row r="13" spans="2:19" x14ac:dyDescent="0.35">
      <c r="B13" s="96"/>
      <c r="C13" s="116"/>
      <c r="D13" s="88"/>
      <c r="E13" s="160" t="s">
        <v>73</v>
      </c>
      <c r="F13" s="160"/>
      <c r="G13" s="160"/>
      <c r="H13" s="109">
        <v>0</v>
      </c>
      <c r="I13" s="84"/>
      <c r="J13" s="89"/>
      <c r="K13" s="166" t="s">
        <v>87</v>
      </c>
      <c r="L13" s="166"/>
      <c r="M13" s="81">
        <f>'IRR Approved'!$Q$23</f>
        <v>200000000</v>
      </c>
      <c r="N13" s="87"/>
      <c r="O13" s="235"/>
      <c r="P13" s="235"/>
      <c r="Q13" s="235"/>
      <c r="R13" s="109"/>
      <c r="S13" s="84"/>
    </row>
    <row r="14" spans="2:19" x14ac:dyDescent="0.35">
      <c r="B14" s="89"/>
      <c r="C14" s="84"/>
      <c r="D14" s="87"/>
      <c r="E14" s="160" t="s">
        <v>72</v>
      </c>
      <c r="F14" s="160"/>
      <c r="G14" s="160"/>
      <c r="H14" s="109">
        <v>0</v>
      </c>
      <c r="I14" s="84"/>
      <c r="J14" s="89"/>
      <c r="K14" s="166" t="s">
        <v>88</v>
      </c>
      <c r="L14" s="166"/>
      <c r="M14" s="104">
        <f>'IRR Approved'!$Q$24+'IRR Approved'!$Q$25+'IRR Approved'!$Q$26</f>
        <v>72500000</v>
      </c>
      <c r="N14" s="87"/>
      <c r="O14" s="115"/>
      <c r="P14" s="115"/>
      <c r="Q14" s="115"/>
      <c r="R14" s="109"/>
      <c r="S14" s="84"/>
    </row>
    <row r="15" spans="2:19" ht="4.25" customHeight="1" thickBot="1" x14ac:dyDescent="0.4">
      <c r="B15" s="89"/>
      <c r="C15" s="84"/>
      <c r="D15" s="87"/>
      <c r="J15" s="89"/>
      <c r="N15" s="87"/>
      <c r="O15" s="168"/>
      <c r="P15" s="168"/>
      <c r="Q15" s="168"/>
      <c r="R15" s="109"/>
      <c r="S15" s="84"/>
    </row>
    <row r="16" spans="2:19" x14ac:dyDescent="0.35">
      <c r="B16" s="89"/>
      <c r="C16" s="84"/>
      <c r="D16" s="87"/>
      <c r="E16" s="240" t="s">
        <v>68</v>
      </c>
      <c r="F16" s="240"/>
      <c r="G16" s="240"/>
      <c r="H16" s="240"/>
      <c r="I16" s="240"/>
      <c r="J16" s="110"/>
      <c r="K16" s="236" t="s">
        <v>171</v>
      </c>
      <c r="L16" s="237"/>
      <c r="M16" s="198">
        <f>'IRR Approved'!$F$43</f>
        <v>-0.23049292987294845</v>
      </c>
      <c r="N16" s="87"/>
      <c r="O16" s="235"/>
      <c r="P16" s="235"/>
      <c r="Q16" s="235"/>
      <c r="R16" s="109"/>
      <c r="S16" s="84"/>
    </row>
    <row r="17" spans="2:19" x14ac:dyDescent="0.35">
      <c r="B17" s="89"/>
      <c r="C17" s="84"/>
      <c r="D17" s="87"/>
      <c r="E17" s="168"/>
      <c r="F17" s="168"/>
      <c r="G17" s="168"/>
      <c r="H17" s="109"/>
      <c r="I17" s="84"/>
      <c r="J17" s="111"/>
      <c r="K17" s="238" t="s">
        <v>172</v>
      </c>
      <c r="L17" s="239"/>
      <c r="M17" s="118">
        <f>'IRR Approved'!F44</f>
        <v>-739041172.11214304</v>
      </c>
      <c r="N17" s="87"/>
      <c r="O17" s="167"/>
      <c r="P17" s="167"/>
      <c r="Q17" s="167"/>
      <c r="R17" s="167"/>
      <c r="S17" s="167"/>
    </row>
    <row r="18" spans="2:19" x14ac:dyDescent="0.35">
      <c r="B18" s="89"/>
      <c r="C18" s="84"/>
      <c r="D18" s="87"/>
      <c r="J18" s="111"/>
      <c r="K18" s="238" t="s">
        <v>26</v>
      </c>
      <c r="L18" s="239"/>
      <c r="M18" s="90">
        <f>'IRR Approved'!$F$45</f>
        <v>0.63666666666666671</v>
      </c>
      <c r="N18" s="87"/>
      <c r="R18" s="82" t="s">
        <v>49</v>
      </c>
    </row>
    <row r="19" spans="2:19" ht="16" thickBot="1" x14ac:dyDescent="0.4">
      <c r="B19" s="89"/>
      <c r="C19" s="84"/>
      <c r="D19" s="87"/>
      <c r="J19" s="111"/>
      <c r="K19" s="242" t="s">
        <v>77</v>
      </c>
      <c r="L19" s="243"/>
      <c r="M19" s="91">
        <f>'IRR Approved'!$F$46</f>
        <v>0</v>
      </c>
      <c r="N19" s="87"/>
      <c r="Q19" s="82" t="s">
        <v>49</v>
      </c>
    </row>
    <row r="20" spans="2:19" ht="3" customHeight="1" thickBot="1" x14ac:dyDescent="0.4">
      <c r="B20" s="92"/>
      <c r="C20" s="93"/>
      <c r="D20" s="94"/>
      <c r="E20" s="93"/>
      <c r="F20" s="93" t="s">
        <v>49</v>
      </c>
      <c r="G20" s="93"/>
      <c r="H20" s="93"/>
      <c r="I20" s="93"/>
      <c r="J20" s="89"/>
      <c r="K20" s="114"/>
      <c r="L20" s="97"/>
      <c r="M20" s="97"/>
      <c r="N20" s="87"/>
    </row>
    <row r="21" spans="2:19" x14ac:dyDescent="0.35">
      <c r="B21" s="112" t="s">
        <v>83</v>
      </c>
      <c r="C21" s="113"/>
      <c r="D21" s="113"/>
      <c r="E21" s="113"/>
      <c r="F21" s="113"/>
      <c r="G21" s="113"/>
      <c r="H21" s="113"/>
      <c r="I21" s="113"/>
      <c r="J21" s="113"/>
      <c r="K21" s="113"/>
      <c r="L21" s="241" t="s">
        <v>79</v>
      </c>
      <c r="M21" s="241"/>
      <c r="N21" s="105"/>
    </row>
    <row r="22" spans="2:19" x14ac:dyDescent="0.35">
      <c r="B22" s="89" t="s">
        <v>80</v>
      </c>
      <c r="C22" s="84"/>
      <c r="D22" s="202" t="s">
        <v>194</v>
      </c>
      <c r="E22" s="202"/>
      <c r="F22" s="202"/>
      <c r="G22" s="202"/>
      <c r="H22" s="84"/>
      <c r="I22" s="84"/>
      <c r="J22" s="84"/>
      <c r="K22" s="84"/>
      <c r="L22" s="232" t="s">
        <v>86</v>
      </c>
      <c r="M22" s="233"/>
      <c r="N22" s="87"/>
    </row>
    <row r="23" spans="2:19" x14ac:dyDescent="0.35">
      <c r="B23" s="89"/>
      <c r="C23" s="84"/>
      <c r="D23" s="82" t="s">
        <v>205</v>
      </c>
      <c r="E23" s="202"/>
      <c r="F23" s="202"/>
      <c r="G23" s="202"/>
      <c r="H23" s="84"/>
      <c r="I23" s="84"/>
      <c r="J23" s="84"/>
      <c r="K23" s="84"/>
      <c r="L23" s="84"/>
      <c r="M23" s="84"/>
      <c r="N23" s="87"/>
    </row>
    <row r="24" spans="2:19" x14ac:dyDescent="0.35">
      <c r="B24" s="89"/>
      <c r="C24" s="84"/>
      <c r="D24" s="202" t="s">
        <v>195</v>
      </c>
      <c r="E24" s="202"/>
      <c r="F24" s="202"/>
      <c r="G24" s="202"/>
      <c r="H24" s="84"/>
      <c r="I24" s="84"/>
      <c r="J24" s="84"/>
      <c r="K24" s="84"/>
      <c r="L24" s="84"/>
      <c r="M24" s="84"/>
      <c r="N24" s="87"/>
    </row>
    <row r="25" spans="2:19" x14ac:dyDescent="0.35">
      <c r="B25" s="89"/>
      <c r="C25" s="84"/>
      <c r="D25" s="202" t="s">
        <v>206</v>
      </c>
      <c r="E25" s="84"/>
      <c r="F25" s="84"/>
      <c r="G25" s="84"/>
      <c r="H25" s="84"/>
      <c r="I25" s="84"/>
      <c r="J25" s="84"/>
      <c r="K25" s="84"/>
      <c r="L25" s="84"/>
      <c r="M25" s="84"/>
      <c r="N25" s="87"/>
    </row>
    <row r="26" spans="2:19" ht="16" thickBot="1" x14ac:dyDescent="0.4">
      <c r="B26" s="92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4"/>
    </row>
    <row r="27" spans="2:19" x14ac:dyDescent="0.35">
      <c r="B27" s="1" t="s">
        <v>81</v>
      </c>
    </row>
    <row r="28" spans="2:19" x14ac:dyDescent="0.35">
      <c r="B28" s="199"/>
      <c r="C28" s="199"/>
      <c r="D28" s="199"/>
      <c r="E28" s="199"/>
      <c r="F28" s="199"/>
      <c r="G28" s="199"/>
      <c r="H28" s="199"/>
      <c r="I28" s="199"/>
      <c r="J28" s="199"/>
      <c r="K28" s="199"/>
      <c r="L28" s="199"/>
      <c r="M28" s="199"/>
      <c r="N28" s="199"/>
    </row>
    <row r="29" spans="2:19" x14ac:dyDescent="0.35"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</row>
    <row r="30" spans="2:19" x14ac:dyDescent="0.35">
      <c r="B30" s="199"/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</row>
    <row r="31" spans="2:19" x14ac:dyDescent="0.35">
      <c r="B31" s="199"/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</row>
    <row r="32" spans="2:19" x14ac:dyDescent="0.35">
      <c r="B32" s="199"/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</row>
    <row r="33" spans="2:14" x14ac:dyDescent="0.35">
      <c r="B33" s="199"/>
      <c r="C33" s="199"/>
      <c r="D33" s="199"/>
      <c r="E33" s="199"/>
      <c r="F33" s="199"/>
      <c r="G33" s="199"/>
      <c r="H33" s="199"/>
      <c r="I33" s="199"/>
      <c r="J33" s="199"/>
      <c r="K33" s="199"/>
      <c r="L33" s="199"/>
      <c r="M33" s="199"/>
      <c r="N33" s="199"/>
    </row>
    <row r="34" spans="2:14" x14ac:dyDescent="0.35">
      <c r="B34" s="199"/>
      <c r="C34" s="199"/>
      <c r="D34" s="199"/>
      <c r="E34" s="199"/>
      <c r="F34" s="199"/>
      <c r="G34" s="199"/>
      <c r="H34" s="199"/>
      <c r="I34" s="199"/>
      <c r="J34" s="199"/>
      <c r="K34" s="199"/>
      <c r="L34" s="199"/>
      <c r="M34" s="199"/>
      <c r="N34" s="199"/>
    </row>
  </sheetData>
  <mergeCells count="26">
    <mergeCell ref="L22:M22"/>
    <mergeCell ref="B9:C9"/>
    <mergeCell ref="O16:Q16"/>
    <mergeCell ref="K16:L16"/>
    <mergeCell ref="K18:L18"/>
    <mergeCell ref="E9:G9"/>
    <mergeCell ref="O11:S11"/>
    <mergeCell ref="O12:Q12"/>
    <mergeCell ref="L21:M21"/>
    <mergeCell ref="O13:Q13"/>
    <mergeCell ref="K19:L19"/>
    <mergeCell ref="E16:I16"/>
    <mergeCell ref="H9:I10"/>
    <mergeCell ref="K17:L17"/>
    <mergeCell ref="B5:D5"/>
    <mergeCell ref="E5:I5"/>
    <mergeCell ref="J5:N5"/>
    <mergeCell ref="B6:C6"/>
    <mergeCell ref="E6:I6"/>
    <mergeCell ref="K6:L6"/>
    <mergeCell ref="B7:C7"/>
    <mergeCell ref="E7:G7"/>
    <mergeCell ref="K8:L8"/>
    <mergeCell ref="E8:G8"/>
    <mergeCell ref="B8:C8"/>
    <mergeCell ref="K7:L7"/>
  </mergeCells>
  <pageMargins left="0.55000000000000004" right="0.4" top="0.38" bottom="0.48" header="0.39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B1:AA86"/>
  <sheetViews>
    <sheetView showGridLines="0" tabSelected="1" topLeftCell="A13" zoomScale="90" zoomScaleNormal="90" workbookViewId="0">
      <selection activeCell="G11" sqref="G11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2.33203125" customWidth="1"/>
    <col min="5" max="5" width="11.1640625" customWidth="1"/>
    <col min="6" max="6" width="16.6640625" customWidth="1"/>
    <col min="7" max="7" width="17.58203125" style="2" customWidth="1"/>
    <col min="8" max="8" width="17.6640625" customWidth="1"/>
    <col min="9" max="9" width="15.58203125" bestFit="1" customWidth="1"/>
    <col min="10" max="10" width="15.1640625" bestFit="1" customWidth="1"/>
    <col min="11" max="11" width="13.6640625" bestFit="1" customWidth="1"/>
    <col min="12" max="16" width="13.6640625" hidden="1" customWidth="1"/>
    <col min="17" max="17" width="15.83203125" style="1" customWidth="1"/>
    <col min="18" max="18" width="12.6640625" bestFit="1" customWidth="1"/>
    <col min="19" max="22" width="15" bestFit="1" customWidth="1"/>
    <col min="23" max="23" width="15.58203125" bestFit="1" customWidth="1"/>
    <col min="24" max="24" width="11.58203125" bestFit="1" customWidth="1"/>
  </cols>
  <sheetData>
    <row r="1" spans="2:26" s="1" customFormat="1" ht="26" x14ac:dyDescent="0.35">
      <c r="B1" s="1" t="s">
        <v>135</v>
      </c>
      <c r="C1" s="201" t="s">
        <v>174</v>
      </c>
      <c r="G1" s="158"/>
      <c r="J1" s="83"/>
      <c r="K1" s="83"/>
      <c r="L1" s="83"/>
      <c r="M1" s="83"/>
      <c r="N1" s="83"/>
      <c r="O1" s="83"/>
      <c r="P1" s="83"/>
      <c r="Q1" s="163" t="str">
        <f>Summary!$D$6</f>
        <v xml:space="preserve">Gading Icon </v>
      </c>
    </row>
    <row r="2" spans="2:26" x14ac:dyDescent="0.35">
      <c r="B2" s="34" t="s">
        <v>84</v>
      </c>
      <c r="I2" s="135"/>
    </row>
    <row r="3" spans="2:26" x14ac:dyDescent="0.35">
      <c r="C3" t="s">
        <v>0</v>
      </c>
      <c r="F3" s="4">
        <v>0.02</v>
      </c>
      <c r="I3" s="33"/>
      <c r="Q3" s="144"/>
      <c r="R3" s="3"/>
      <c r="S3" s="3"/>
    </row>
    <row r="4" spans="2:26" x14ac:dyDescent="0.35">
      <c r="C4" t="s">
        <v>39</v>
      </c>
      <c r="F4" s="4">
        <v>0.1</v>
      </c>
      <c r="I4" s="33"/>
      <c r="K4" t="s">
        <v>132</v>
      </c>
      <c r="Q4" s="144"/>
      <c r="R4" s="3"/>
      <c r="S4" s="3"/>
    </row>
    <row r="5" spans="2:26" x14ac:dyDescent="0.35">
      <c r="C5" t="s">
        <v>1</v>
      </c>
      <c r="F5" s="4">
        <v>0.05</v>
      </c>
      <c r="G5" s="2" t="s">
        <v>2</v>
      </c>
      <c r="I5" s="33"/>
    </row>
    <row r="6" spans="2:26" x14ac:dyDescent="0.35">
      <c r="C6" t="s">
        <v>3</v>
      </c>
      <c r="F6" s="5">
        <v>0</v>
      </c>
      <c r="G6" s="2" t="s">
        <v>2</v>
      </c>
    </row>
    <row r="7" spans="2:26" x14ac:dyDescent="0.35">
      <c r="C7" t="s">
        <v>85</v>
      </c>
      <c r="F7" s="4">
        <v>0.1</v>
      </c>
    </row>
    <row r="8" spans="2:26" ht="4.25" customHeight="1" thickBot="1" x14ac:dyDescent="0.4"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3"/>
      <c r="U8" s="42"/>
      <c r="V8" s="42"/>
      <c r="W8" s="42"/>
      <c r="X8" s="42"/>
      <c r="Y8" s="42"/>
    </row>
    <row r="9" spans="2:26" s="1" customFormat="1" x14ac:dyDescent="0.35">
      <c r="G9" s="162" t="s">
        <v>34</v>
      </c>
      <c r="H9" s="162" t="s">
        <v>35</v>
      </c>
      <c r="I9" s="162" t="s">
        <v>36</v>
      </c>
      <c r="J9" s="162" t="s">
        <v>37</v>
      </c>
      <c r="K9" s="162" t="s">
        <v>38</v>
      </c>
      <c r="L9" s="169" t="s">
        <v>164</v>
      </c>
      <c r="M9" s="169" t="s">
        <v>165</v>
      </c>
      <c r="N9" s="169" t="s">
        <v>166</v>
      </c>
      <c r="O9" s="169" t="s">
        <v>167</v>
      </c>
      <c r="P9" s="169" t="s">
        <v>168</v>
      </c>
      <c r="Q9" s="143" t="s">
        <v>11</v>
      </c>
      <c r="R9" s="42"/>
      <c r="S9" s="42"/>
      <c r="T9" s="133"/>
      <c r="U9" s="42"/>
      <c r="V9" s="42"/>
      <c r="W9" s="42"/>
      <c r="X9" s="42"/>
      <c r="Y9" s="42"/>
    </row>
    <row r="10" spans="2:26" x14ac:dyDescent="0.35">
      <c r="B10" s="1" t="s">
        <v>46</v>
      </c>
      <c r="G10"/>
      <c r="Q10" s="145"/>
      <c r="R10" s="42"/>
      <c r="S10" s="42"/>
      <c r="T10" s="43"/>
      <c r="U10" s="42"/>
      <c r="V10" s="42"/>
      <c r="W10" s="42"/>
      <c r="X10" s="42"/>
      <c r="Y10" s="42"/>
    </row>
    <row r="11" spans="2:26" s="70" customFormat="1" x14ac:dyDescent="0.35">
      <c r="B11" s="73" t="s">
        <v>47</v>
      </c>
      <c r="E11" s="70" t="s">
        <v>136</v>
      </c>
      <c r="F11" s="220"/>
      <c r="G11" s="221">
        <v>1068486975.1833335</v>
      </c>
      <c r="H11" s="142"/>
      <c r="I11" s="142"/>
      <c r="J11" s="142"/>
      <c r="K11" s="142"/>
      <c r="L11" s="142"/>
      <c r="M11" s="142"/>
      <c r="N11" s="142"/>
      <c r="O11" s="142"/>
      <c r="P11" s="142"/>
      <c r="Q11" s="146">
        <f>SUM(G11:K11)</f>
        <v>1068486975.1833335</v>
      </c>
      <c r="R11" s="71"/>
      <c r="S11" s="71"/>
      <c r="T11" s="72"/>
      <c r="U11" s="71"/>
      <c r="V11" s="71"/>
      <c r="W11" s="71"/>
      <c r="X11" s="71"/>
      <c r="Y11" s="71"/>
    </row>
    <row r="12" spans="2:26" ht="5.4" customHeight="1" x14ac:dyDescent="0.35">
      <c r="F12" s="10"/>
      <c r="Q12" s="145"/>
      <c r="T12" s="41"/>
      <c r="U12" s="41"/>
      <c r="V12" s="41"/>
      <c r="W12" s="41"/>
      <c r="X12" s="41"/>
      <c r="Y12" s="41"/>
      <c r="Z12" s="41"/>
    </row>
    <row r="13" spans="2:26" ht="16" thickBot="1" x14ac:dyDescent="0.4">
      <c r="B13" s="11" t="s">
        <v>10</v>
      </c>
      <c r="C13" s="6"/>
      <c r="D13" s="6"/>
      <c r="E13" s="6"/>
      <c r="F13" s="6"/>
      <c r="G13" s="12">
        <v>2024</v>
      </c>
      <c r="H13" s="7">
        <f>G13+1</f>
        <v>2025</v>
      </c>
      <c r="I13" s="7">
        <f t="shared" ref="I13" si="0">H13+1</f>
        <v>2026</v>
      </c>
      <c r="J13" s="7">
        <f t="shared" ref="J13" si="1">I13+1</f>
        <v>2027</v>
      </c>
      <c r="K13" s="7">
        <f>J13+1</f>
        <v>2028</v>
      </c>
      <c r="L13" s="7">
        <f t="shared" ref="L13:P13" si="2">K13+1</f>
        <v>2029</v>
      </c>
      <c r="M13" s="7">
        <f t="shared" si="2"/>
        <v>2030</v>
      </c>
      <c r="N13" s="7">
        <f t="shared" si="2"/>
        <v>2031</v>
      </c>
      <c r="O13" s="7">
        <f t="shared" si="2"/>
        <v>2032</v>
      </c>
      <c r="P13" s="7">
        <f t="shared" si="2"/>
        <v>2033</v>
      </c>
      <c r="Q13" s="137" t="s">
        <v>11</v>
      </c>
      <c r="R13" s="56"/>
      <c r="S13" s="56"/>
      <c r="T13" s="56"/>
      <c r="U13" s="56"/>
      <c r="V13" s="56"/>
      <c r="W13" s="56"/>
      <c r="X13" s="41"/>
      <c r="Y13" s="41"/>
      <c r="Z13" s="41"/>
    </row>
    <row r="14" spans="2:26" x14ac:dyDescent="0.35">
      <c r="B14" t="s">
        <v>12</v>
      </c>
      <c r="G14" s="8">
        <v>12</v>
      </c>
      <c r="H14" s="8">
        <v>12</v>
      </c>
      <c r="I14" s="8">
        <v>12</v>
      </c>
      <c r="J14" s="8">
        <v>12</v>
      </c>
      <c r="K14" s="8">
        <v>12</v>
      </c>
      <c r="L14" s="8">
        <v>12</v>
      </c>
      <c r="M14" s="8">
        <v>12</v>
      </c>
      <c r="N14" s="8">
        <v>12</v>
      </c>
      <c r="O14" s="8">
        <v>12</v>
      </c>
      <c r="P14" s="8">
        <v>12</v>
      </c>
      <c r="Q14" s="148"/>
    </row>
    <row r="15" spans="2:26" x14ac:dyDescent="0.35">
      <c r="B15" s="134" t="s">
        <v>131</v>
      </c>
      <c r="Q15" s="148"/>
    </row>
    <row r="16" spans="2:26" ht="2.4" customHeight="1" x14ac:dyDescent="0.35">
      <c r="Q16" s="148"/>
    </row>
    <row r="17" spans="2:24" ht="11.4" customHeight="1" x14ac:dyDescent="0.35">
      <c r="B17" s="1" t="s">
        <v>4</v>
      </c>
      <c r="E17" s="17"/>
      <c r="G17" s="18"/>
      <c r="H17" s="17"/>
      <c r="I17" s="19"/>
      <c r="J17" s="19"/>
      <c r="K17" s="19"/>
      <c r="L17" s="19"/>
      <c r="M17" s="19"/>
      <c r="N17" s="19"/>
      <c r="O17" s="19"/>
      <c r="P17" s="19"/>
      <c r="Q17" s="148"/>
    </row>
    <row r="18" spans="2:24" x14ac:dyDescent="0.35">
      <c r="C18" t="s">
        <v>33</v>
      </c>
      <c r="G18" s="13">
        <v>150000000</v>
      </c>
      <c r="H18" s="13">
        <f>G18</f>
        <v>150000000</v>
      </c>
      <c r="I18" s="13">
        <f>H18</f>
        <v>150000000</v>
      </c>
      <c r="J18" s="68">
        <f>I18</f>
        <v>150000000</v>
      </c>
      <c r="K18" s="68">
        <f>J18</f>
        <v>150000000</v>
      </c>
      <c r="L18" s="68"/>
      <c r="M18" s="68"/>
      <c r="N18" s="68"/>
      <c r="O18" s="68"/>
      <c r="P18" s="68"/>
      <c r="Q18" s="149">
        <f>SUM($G18:P18)</f>
        <v>750000000</v>
      </c>
      <c r="R18" s="13"/>
      <c r="S18" s="13"/>
      <c r="T18" s="13"/>
      <c r="U18" s="13"/>
      <c r="V18" s="13"/>
      <c r="W18" s="14"/>
    </row>
    <row r="19" spans="2:24" ht="3.65" customHeight="1" x14ac:dyDescent="0.35"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49">
        <f>SUM($G19:K19)</f>
        <v>0</v>
      </c>
      <c r="R19" s="45"/>
      <c r="S19" s="45"/>
      <c r="T19" s="45"/>
      <c r="U19" s="45"/>
      <c r="V19" s="45"/>
      <c r="W19" s="46"/>
      <c r="X19" s="47"/>
    </row>
    <row r="20" spans="2:24" x14ac:dyDescent="0.35">
      <c r="B20" s="65" t="s">
        <v>13</v>
      </c>
      <c r="C20" s="65"/>
      <c r="D20" s="65"/>
      <c r="E20" s="246"/>
      <c r="F20" s="247"/>
      <c r="G20" s="66">
        <f t="shared" ref="G20:Q20" si="3">SUM(G18:G19)</f>
        <v>150000000</v>
      </c>
      <c r="H20" s="66">
        <f t="shared" si="3"/>
        <v>150000000</v>
      </c>
      <c r="I20" s="66">
        <f t="shared" si="3"/>
        <v>150000000</v>
      </c>
      <c r="J20" s="66">
        <f t="shared" si="3"/>
        <v>150000000</v>
      </c>
      <c r="K20" s="66">
        <f t="shared" si="3"/>
        <v>150000000</v>
      </c>
      <c r="L20" s="66">
        <f t="shared" si="3"/>
        <v>0</v>
      </c>
      <c r="M20" s="66">
        <f t="shared" si="3"/>
        <v>0</v>
      </c>
      <c r="N20" s="66">
        <f t="shared" si="3"/>
        <v>0</v>
      </c>
      <c r="O20" s="66">
        <f t="shared" si="3"/>
        <v>0</v>
      </c>
      <c r="P20" s="66">
        <f t="shared" si="3"/>
        <v>0</v>
      </c>
      <c r="Q20" s="138">
        <f t="shared" si="3"/>
        <v>750000000</v>
      </c>
      <c r="R20" s="45">
        <f>SUM(G20:K20)-Q20</f>
        <v>0</v>
      </c>
      <c r="S20" s="45"/>
      <c r="T20" s="45"/>
      <c r="U20" s="45"/>
      <c r="V20" s="45"/>
      <c r="W20" s="45"/>
      <c r="X20" s="47"/>
    </row>
    <row r="21" spans="2:24" ht="4.25" customHeight="1" x14ac:dyDescent="0.35">
      <c r="Q21" s="148"/>
      <c r="R21" s="47"/>
      <c r="S21" s="47"/>
      <c r="T21" s="47"/>
      <c r="U21" s="47"/>
      <c r="V21" s="47"/>
      <c r="W21" s="47"/>
      <c r="X21" s="47"/>
    </row>
    <row r="22" spans="2:24" x14ac:dyDescent="0.35">
      <c r="B22" s="1" t="s">
        <v>14</v>
      </c>
      <c r="E22" s="17"/>
      <c r="F22" s="17"/>
      <c r="G22" s="18"/>
      <c r="H22" s="17"/>
      <c r="I22" s="19"/>
      <c r="J22" s="19"/>
      <c r="K22" s="19"/>
      <c r="L22" s="19"/>
      <c r="M22" s="19"/>
      <c r="N22" s="19"/>
      <c r="O22" s="19"/>
      <c r="P22" s="19"/>
      <c r="Q22" s="150"/>
      <c r="R22" s="48"/>
      <c r="S22" s="48"/>
      <c r="T22" s="48"/>
      <c r="U22" s="48"/>
      <c r="V22" s="48"/>
      <c r="W22" s="47"/>
      <c r="X22" s="47"/>
    </row>
    <row r="23" spans="2:24" x14ac:dyDescent="0.35">
      <c r="C23" t="s">
        <v>40</v>
      </c>
      <c r="G23" s="13">
        <v>40000000</v>
      </c>
      <c r="H23" s="13">
        <f>G23</f>
        <v>40000000</v>
      </c>
      <c r="I23" s="13">
        <f t="shared" ref="I23:J23" si="4">H23</f>
        <v>40000000</v>
      </c>
      <c r="J23" s="13">
        <f t="shared" si="4"/>
        <v>40000000</v>
      </c>
      <c r="K23" s="13">
        <f>J23</f>
        <v>40000000</v>
      </c>
      <c r="L23" s="13"/>
      <c r="M23" s="13"/>
      <c r="N23" s="13"/>
      <c r="O23" s="13"/>
      <c r="P23" s="13"/>
      <c r="Q23" s="149">
        <f>SUM($G23:P23)</f>
        <v>200000000</v>
      </c>
      <c r="R23" s="45"/>
      <c r="S23" s="45"/>
      <c r="T23" s="45"/>
      <c r="U23" s="45"/>
      <c r="V23" s="45"/>
      <c r="W23" s="46"/>
      <c r="X23" s="47"/>
    </row>
    <row r="24" spans="2:24" x14ac:dyDescent="0.35">
      <c r="C24" t="s">
        <v>15</v>
      </c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49">
        <f>SUM($G24:K24)</f>
        <v>0</v>
      </c>
      <c r="R24" s="45"/>
      <c r="S24" s="45"/>
      <c r="T24" s="45"/>
      <c r="U24" s="45"/>
      <c r="V24" s="45"/>
      <c r="W24" s="46"/>
      <c r="X24" s="47"/>
    </row>
    <row r="25" spans="2:24" x14ac:dyDescent="0.35">
      <c r="C25" t="s">
        <v>129</v>
      </c>
      <c r="G25" s="99">
        <v>7000000</v>
      </c>
      <c r="H25" s="99">
        <f>G25</f>
        <v>7000000</v>
      </c>
      <c r="I25" s="99">
        <f t="shared" ref="I25:K25" si="5">H25</f>
        <v>7000000</v>
      </c>
      <c r="J25" s="99">
        <f t="shared" si="5"/>
        <v>7000000</v>
      </c>
      <c r="K25" s="99">
        <f t="shared" si="5"/>
        <v>7000000</v>
      </c>
      <c r="L25" s="99"/>
      <c r="M25" s="99"/>
      <c r="N25" s="99"/>
      <c r="O25" s="99"/>
      <c r="P25" s="99"/>
      <c r="Q25" s="149">
        <f>SUM($G25:P25)</f>
        <v>35000000</v>
      </c>
      <c r="R25" s="45"/>
      <c r="S25" s="45"/>
      <c r="T25" s="45"/>
      <c r="U25" s="45"/>
      <c r="V25" s="45"/>
      <c r="W25" s="46"/>
      <c r="X25" s="47"/>
    </row>
    <row r="26" spans="2:24" x14ac:dyDescent="0.35">
      <c r="B26" s="15"/>
      <c r="C26" s="15" t="s">
        <v>130</v>
      </c>
      <c r="D26" s="15"/>
      <c r="E26" s="15"/>
      <c r="F26" s="131"/>
      <c r="G26" s="20">
        <f>$F$5*G20</f>
        <v>7500000</v>
      </c>
      <c r="H26" s="20">
        <f t="shared" ref="H26:K26" si="6">$F$5*H20</f>
        <v>7500000</v>
      </c>
      <c r="I26" s="20">
        <f t="shared" si="6"/>
        <v>7500000</v>
      </c>
      <c r="J26" s="20">
        <f t="shared" si="6"/>
        <v>7500000</v>
      </c>
      <c r="K26" s="20">
        <f t="shared" si="6"/>
        <v>7500000</v>
      </c>
      <c r="L26" s="20">
        <f t="shared" ref="L26:P26" si="7">$F$5*L20</f>
        <v>0</v>
      </c>
      <c r="M26" s="20">
        <f t="shared" si="7"/>
        <v>0</v>
      </c>
      <c r="N26" s="20">
        <f t="shared" si="7"/>
        <v>0</v>
      </c>
      <c r="O26" s="20">
        <f t="shared" si="7"/>
        <v>0</v>
      </c>
      <c r="P26" s="20">
        <f t="shared" si="7"/>
        <v>0</v>
      </c>
      <c r="Q26" s="149">
        <f>SUM($G26:P26)</f>
        <v>37500000</v>
      </c>
      <c r="R26" s="49"/>
      <c r="S26" s="49"/>
      <c r="T26" s="49"/>
      <c r="U26" s="49"/>
      <c r="V26" s="49"/>
      <c r="W26" s="46"/>
      <c r="X26" s="47"/>
    </row>
    <row r="27" spans="2:24" s="1" customFormat="1" x14ac:dyDescent="0.35">
      <c r="B27" s="65" t="s">
        <v>16</v>
      </c>
      <c r="C27" s="65"/>
      <c r="D27" s="65"/>
      <c r="E27" s="65"/>
      <c r="F27" s="65"/>
      <c r="G27" s="66">
        <f>SUM(G23:G26)</f>
        <v>54500000</v>
      </c>
      <c r="H27" s="66">
        <f>SUM(H23:H26)</f>
        <v>54500000</v>
      </c>
      <c r="I27" s="66">
        <f t="shared" ref="I27:K27" si="8">SUM(I23:I26)</f>
        <v>54500000</v>
      </c>
      <c r="J27" s="66">
        <f t="shared" si="8"/>
        <v>54500000</v>
      </c>
      <c r="K27" s="66">
        <f t="shared" si="8"/>
        <v>54500000</v>
      </c>
      <c r="L27" s="66">
        <f t="shared" ref="L27:P27" si="9">SUM(L23:L26)</f>
        <v>0</v>
      </c>
      <c r="M27" s="66">
        <f t="shared" si="9"/>
        <v>0</v>
      </c>
      <c r="N27" s="66">
        <f t="shared" si="9"/>
        <v>0</v>
      </c>
      <c r="O27" s="66">
        <f t="shared" si="9"/>
        <v>0</v>
      </c>
      <c r="P27" s="66">
        <f t="shared" si="9"/>
        <v>0</v>
      </c>
      <c r="Q27" s="139">
        <f>SUM(Q23:Q26)</f>
        <v>272500000</v>
      </c>
      <c r="R27" s="45">
        <f>SUM(G27:K27)-Q27</f>
        <v>0</v>
      </c>
      <c r="S27" s="50"/>
      <c r="T27" s="50"/>
      <c r="U27" s="50"/>
      <c r="V27" s="50"/>
      <c r="W27" s="50"/>
      <c r="X27" s="51"/>
    </row>
    <row r="28" spans="2:24" s="1" customFormat="1" x14ac:dyDescent="0.35">
      <c r="B28" s="1" t="s">
        <v>17</v>
      </c>
      <c r="G28" s="21">
        <f>G20-G27</f>
        <v>95500000</v>
      </c>
      <c r="H28" s="21">
        <f>H20-H27</f>
        <v>95500000</v>
      </c>
      <c r="I28" s="21">
        <f t="shared" ref="I28:K28" si="10">I20-I27</f>
        <v>95500000</v>
      </c>
      <c r="J28" s="21">
        <f t="shared" si="10"/>
        <v>95500000</v>
      </c>
      <c r="K28" s="21">
        <f t="shared" si="10"/>
        <v>95500000</v>
      </c>
      <c r="L28" s="21">
        <f t="shared" ref="L28:P28" si="11">L20-L27</f>
        <v>0</v>
      </c>
      <c r="M28" s="21">
        <f t="shared" si="11"/>
        <v>0</v>
      </c>
      <c r="N28" s="21">
        <f t="shared" si="11"/>
        <v>0</v>
      </c>
      <c r="O28" s="21">
        <f t="shared" si="11"/>
        <v>0</v>
      </c>
      <c r="P28" s="21">
        <f t="shared" si="11"/>
        <v>0</v>
      </c>
      <c r="Q28" s="140">
        <f>Q20-Q27</f>
        <v>477500000</v>
      </c>
      <c r="R28" s="45">
        <f>SUM(G28:K28)-Q28</f>
        <v>0</v>
      </c>
      <c r="S28" s="50"/>
      <c r="T28" s="50"/>
      <c r="U28" s="50"/>
      <c r="V28" s="50"/>
      <c r="W28" s="50"/>
      <c r="X28" s="51"/>
    </row>
    <row r="29" spans="2:24" s="1" customFormat="1" x14ac:dyDescent="0.35">
      <c r="B29" s="22" t="s">
        <v>18</v>
      </c>
      <c r="C29" s="23"/>
      <c r="D29" s="23"/>
      <c r="E29" s="23"/>
      <c r="F29" s="23"/>
      <c r="G29" s="24"/>
      <c r="H29" s="24">
        <f>H28/H20</f>
        <v>0.63666666666666671</v>
      </c>
      <c r="I29" s="24">
        <f t="shared" ref="I29:P29" si="12">I28/I20</f>
        <v>0.63666666666666671</v>
      </c>
      <c r="J29" s="24">
        <f t="shared" si="12"/>
        <v>0.63666666666666671</v>
      </c>
      <c r="K29" s="24">
        <f t="shared" si="12"/>
        <v>0.63666666666666671</v>
      </c>
      <c r="L29" s="24" t="e">
        <f t="shared" si="12"/>
        <v>#DIV/0!</v>
      </c>
      <c r="M29" s="24" t="e">
        <f t="shared" si="12"/>
        <v>#DIV/0!</v>
      </c>
      <c r="N29" s="24" t="e">
        <f t="shared" si="12"/>
        <v>#DIV/0!</v>
      </c>
      <c r="O29" s="24" t="e">
        <f t="shared" si="12"/>
        <v>#DIV/0!</v>
      </c>
      <c r="P29" s="24" t="e">
        <f t="shared" si="12"/>
        <v>#DIV/0!</v>
      </c>
      <c r="Q29" s="141">
        <f>Q28/Q20</f>
        <v>0.63666666666666671</v>
      </c>
      <c r="R29" s="52"/>
      <c r="S29" s="52"/>
      <c r="T29" s="52"/>
      <c r="U29" s="52"/>
      <c r="V29" s="52"/>
      <c r="W29" s="52"/>
      <c r="X29" s="51"/>
    </row>
    <row r="30" spans="2:24" ht="3" customHeight="1" x14ac:dyDescent="0.35">
      <c r="Q30" s="148"/>
      <c r="R30" s="47"/>
      <c r="S30" s="47"/>
      <c r="T30" s="47"/>
      <c r="U30" s="47"/>
      <c r="V30" s="47"/>
      <c r="W30" s="47"/>
      <c r="X30" s="47"/>
    </row>
    <row r="31" spans="2:24" x14ac:dyDescent="0.35">
      <c r="B31" s="15" t="s">
        <v>19</v>
      </c>
      <c r="C31" s="15"/>
      <c r="D31" s="15"/>
      <c r="E31" s="15"/>
      <c r="F31" s="15"/>
      <c r="G31" s="16">
        <f>G50</f>
        <v>213697395.03666669</v>
      </c>
      <c r="H31" s="16">
        <f>H60</f>
        <v>213697395.03666669</v>
      </c>
      <c r="I31" s="16">
        <f>I60</f>
        <v>213697395.03666669</v>
      </c>
      <c r="J31" s="16">
        <f>J60</f>
        <v>213697395.03666669</v>
      </c>
      <c r="K31" s="16">
        <f>K60</f>
        <v>213697395.03666669</v>
      </c>
      <c r="L31" s="16"/>
      <c r="M31" s="16"/>
      <c r="N31" s="16"/>
      <c r="O31" s="16"/>
      <c r="P31" s="16"/>
      <c r="Q31" s="147">
        <f>SUM($G31:P31)</f>
        <v>1068486975.1833334</v>
      </c>
      <c r="R31" s="45"/>
      <c r="S31" s="45"/>
      <c r="T31" s="45"/>
      <c r="U31" s="45"/>
      <c r="V31" s="45"/>
      <c r="W31" s="45"/>
      <c r="X31" s="47"/>
    </row>
    <row r="32" spans="2:24" x14ac:dyDescent="0.35">
      <c r="B32" s="25" t="s">
        <v>20</v>
      </c>
      <c r="G32" s="26">
        <f>G28-G31</f>
        <v>-118197395.03666669</v>
      </c>
      <c r="H32" s="26">
        <f>H28-H31</f>
        <v>-118197395.03666669</v>
      </c>
      <c r="I32" s="26">
        <f t="shared" ref="I32:K32" si="13">I28-I31</f>
        <v>-118197395.03666669</v>
      </c>
      <c r="J32" s="26">
        <f t="shared" si="13"/>
        <v>-118197395.03666669</v>
      </c>
      <c r="K32" s="26">
        <f t="shared" si="13"/>
        <v>-118197395.03666669</v>
      </c>
      <c r="L32" s="26">
        <f t="shared" ref="L32:P32" si="14">L28-L31</f>
        <v>0</v>
      </c>
      <c r="M32" s="26">
        <f t="shared" si="14"/>
        <v>0</v>
      </c>
      <c r="N32" s="26">
        <f t="shared" si="14"/>
        <v>0</v>
      </c>
      <c r="O32" s="26">
        <f t="shared" si="14"/>
        <v>0</v>
      </c>
      <c r="P32" s="26">
        <f t="shared" si="14"/>
        <v>0</v>
      </c>
      <c r="Q32" s="151">
        <f>Q28-Q31</f>
        <v>-590986975.1833334</v>
      </c>
      <c r="R32" s="45">
        <f>SUM(G32:K32)-Q32</f>
        <v>0</v>
      </c>
      <c r="S32" s="53"/>
      <c r="T32" s="53"/>
      <c r="U32" s="53"/>
      <c r="V32" s="53"/>
      <c r="W32" s="53"/>
      <c r="X32" s="47"/>
    </row>
    <row r="33" spans="2:24" x14ac:dyDescent="0.35">
      <c r="B33" s="15" t="s">
        <v>31</v>
      </c>
      <c r="C33" s="15"/>
      <c r="D33" s="15"/>
      <c r="E33" s="15"/>
      <c r="F33" s="15"/>
      <c r="G33" s="16">
        <f>PARAMETER!H10</f>
        <v>28574748.4278</v>
      </c>
      <c r="H33" s="16">
        <f>PARAMETER!I10</f>
        <v>4970372.9249999998</v>
      </c>
      <c r="I33" s="16">
        <f>PARAMETER!J10</f>
        <v>3313581.95</v>
      </c>
      <c r="J33" s="16">
        <f>T71</f>
        <v>0</v>
      </c>
      <c r="K33" s="16">
        <f>U71</f>
        <v>0</v>
      </c>
      <c r="L33" s="16">
        <f t="shared" ref="L33:P33" si="15">V71</f>
        <v>0</v>
      </c>
      <c r="M33" s="16">
        <f t="shared" si="15"/>
        <v>0</v>
      </c>
      <c r="N33" s="16">
        <f t="shared" si="15"/>
        <v>0</v>
      </c>
      <c r="O33" s="16">
        <f t="shared" si="15"/>
        <v>0</v>
      </c>
      <c r="P33" s="16">
        <f t="shared" si="15"/>
        <v>0</v>
      </c>
      <c r="Q33" s="147">
        <f>SUM($G33:K33)</f>
        <v>36858703.3028</v>
      </c>
      <c r="R33" s="45"/>
      <c r="S33" s="45"/>
      <c r="T33" s="45"/>
      <c r="U33" s="45"/>
      <c r="V33" s="45"/>
      <c r="W33" s="45"/>
      <c r="X33" s="47"/>
    </row>
    <row r="34" spans="2:24" x14ac:dyDescent="0.35">
      <c r="B34" s="25" t="s">
        <v>32</v>
      </c>
      <c r="G34" s="215">
        <f>G32-G33</f>
        <v>-146772143.46446669</v>
      </c>
      <c r="H34" s="215">
        <f t="shared" ref="H34:K34" si="16">H32-H33</f>
        <v>-123167767.96166669</v>
      </c>
      <c r="I34" s="215">
        <f t="shared" si="16"/>
        <v>-121510976.98666669</v>
      </c>
      <c r="J34" s="215">
        <f t="shared" si="16"/>
        <v>-118197395.03666669</v>
      </c>
      <c r="K34" s="215">
        <f t="shared" si="16"/>
        <v>-118197395.03666669</v>
      </c>
      <c r="L34" s="215">
        <f t="shared" ref="L34:P34" si="17">L32-L33</f>
        <v>0</v>
      </c>
      <c r="M34" s="215">
        <f t="shared" si="17"/>
        <v>0</v>
      </c>
      <c r="N34" s="215">
        <f t="shared" si="17"/>
        <v>0</v>
      </c>
      <c r="O34" s="215">
        <f t="shared" si="17"/>
        <v>0</v>
      </c>
      <c r="P34" s="215">
        <f t="shared" si="17"/>
        <v>0</v>
      </c>
      <c r="Q34" s="216">
        <f>SUM($G34:P34)</f>
        <v>-627845678.48613346</v>
      </c>
      <c r="R34" s="45">
        <f>SUM(G34:K34)-Q34</f>
        <v>0</v>
      </c>
      <c r="S34" s="53"/>
      <c r="T34" s="53"/>
      <c r="U34" s="53"/>
      <c r="V34" s="53"/>
      <c r="W34" s="53"/>
      <c r="X34" s="47"/>
    </row>
    <row r="35" spans="2:24" x14ac:dyDescent="0.35">
      <c r="B35" s="15" t="s">
        <v>21</v>
      </c>
      <c r="C35" s="15"/>
      <c r="D35" s="15"/>
      <c r="E35" s="15"/>
      <c r="F35" s="15"/>
      <c r="G35" s="67">
        <f>IF(G34&lt;0,0,G34*$F$3)</f>
        <v>0</v>
      </c>
      <c r="H35" s="67">
        <f t="shared" ref="H35:K35" si="18">IF(H34&lt;0,0,H34*$F$3)</f>
        <v>0</v>
      </c>
      <c r="I35" s="67">
        <f>IF(I34&lt;0,0,I34*$F$3)</f>
        <v>0</v>
      </c>
      <c r="J35" s="67">
        <f t="shared" si="18"/>
        <v>0</v>
      </c>
      <c r="K35" s="67">
        <f t="shared" si="18"/>
        <v>0</v>
      </c>
      <c r="L35" s="67"/>
      <c r="M35" s="67"/>
      <c r="N35" s="67"/>
      <c r="O35" s="67"/>
      <c r="P35" s="67"/>
      <c r="Q35" s="149">
        <f>SUM($G35:K35)</f>
        <v>0</v>
      </c>
      <c r="R35" s="55"/>
      <c r="S35" s="55"/>
      <c r="T35" s="55"/>
      <c r="U35" s="55"/>
      <c r="V35" s="55"/>
      <c r="W35" s="54"/>
      <c r="X35" s="47"/>
    </row>
    <row r="36" spans="2:24" ht="16" thickBot="1" x14ac:dyDescent="0.4">
      <c r="B36" s="28" t="s">
        <v>48</v>
      </c>
      <c r="C36" s="28"/>
      <c r="D36" s="28"/>
      <c r="E36" s="28"/>
      <c r="F36" s="28"/>
      <c r="G36" s="29">
        <f>G34-G35</f>
        <v>-146772143.46446669</v>
      </c>
      <c r="H36" s="29">
        <f t="shared" ref="H36:J36" si="19">H34-H35</f>
        <v>-123167767.96166669</v>
      </c>
      <c r="I36" s="29">
        <f t="shared" si="19"/>
        <v>-121510976.98666669</v>
      </c>
      <c r="J36" s="29">
        <f t="shared" si="19"/>
        <v>-118197395.03666669</v>
      </c>
      <c r="K36" s="29">
        <f>K34-K35</f>
        <v>-118197395.03666669</v>
      </c>
      <c r="L36" s="29">
        <f t="shared" ref="L36:P36" si="20">L34-L35</f>
        <v>0</v>
      </c>
      <c r="M36" s="29">
        <f t="shared" si="20"/>
        <v>0</v>
      </c>
      <c r="N36" s="29">
        <f t="shared" si="20"/>
        <v>0</v>
      </c>
      <c r="O36" s="29">
        <f t="shared" si="20"/>
        <v>0</v>
      </c>
      <c r="P36" s="29">
        <f t="shared" si="20"/>
        <v>0</v>
      </c>
      <c r="Q36" s="164">
        <f>Q34-Q35</f>
        <v>-627845678.48613346</v>
      </c>
      <c r="R36" s="45">
        <f>SUM(G36:K36)-Q36</f>
        <v>0</v>
      </c>
      <c r="S36" s="53"/>
      <c r="T36" s="53"/>
      <c r="U36" s="53"/>
      <c r="V36" s="53"/>
      <c r="W36" s="53"/>
      <c r="X36" s="47"/>
    </row>
    <row r="37" spans="2:24" ht="3" customHeight="1" x14ac:dyDescent="0.35">
      <c r="Q37" s="148"/>
      <c r="R37" s="47"/>
      <c r="S37" s="47"/>
      <c r="T37" s="47"/>
      <c r="U37" s="47"/>
      <c r="V37" s="47"/>
      <c r="W37" s="47"/>
      <c r="X37" s="47"/>
    </row>
    <row r="38" spans="2:24" x14ac:dyDescent="0.35">
      <c r="B38" s="15" t="s">
        <v>22</v>
      </c>
      <c r="C38" s="15"/>
      <c r="D38" s="15"/>
      <c r="E38" s="15"/>
      <c r="F38" s="30">
        <f>-G11</f>
        <v>-1068486975.1833335</v>
      </c>
      <c r="G38" s="30">
        <v>0</v>
      </c>
      <c r="H38" s="30">
        <v>0</v>
      </c>
      <c r="I38" s="30">
        <v>0</v>
      </c>
      <c r="J38" s="30">
        <v>0</v>
      </c>
      <c r="K38" s="30">
        <v>0</v>
      </c>
      <c r="L38" s="30"/>
      <c r="M38" s="30"/>
      <c r="N38" s="30"/>
      <c r="O38" s="30"/>
      <c r="P38" s="30"/>
      <c r="Q38" s="152">
        <f>SUM($G$38:K38)</f>
        <v>0</v>
      </c>
      <c r="R38" s="54"/>
      <c r="S38" s="54"/>
      <c r="T38" s="54"/>
      <c r="U38" s="54"/>
      <c r="V38" s="54"/>
      <c r="W38" s="54"/>
      <c r="X38" s="47"/>
    </row>
    <row r="39" spans="2:24" x14ac:dyDescent="0.35">
      <c r="B39" t="s">
        <v>23</v>
      </c>
      <c r="F39" s="27">
        <f>F38</f>
        <v>-1068486975.1833335</v>
      </c>
      <c r="G39" s="27">
        <f t="shared" ref="G39:K39" si="21">G38+G36+G31</f>
        <v>66925251.5722</v>
      </c>
      <c r="H39" s="27">
        <f t="shared" si="21"/>
        <v>90529627.075000003</v>
      </c>
      <c r="I39" s="27">
        <f t="shared" si="21"/>
        <v>92186418.049999997</v>
      </c>
      <c r="J39" s="27">
        <f t="shared" si="21"/>
        <v>95500000</v>
      </c>
      <c r="K39" s="27">
        <f t="shared" si="21"/>
        <v>95500000</v>
      </c>
      <c r="L39" s="27">
        <f t="shared" ref="L39:P39" si="22">L38+L36+L31</f>
        <v>0</v>
      </c>
      <c r="M39" s="27">
        <f t="shared" si="22"/>
        <v>0</v>
      </c>
      <c r="N39" s="27">
        <f t="shared" si="22"/>
        <v>0</v>
      </c>
      <c r="O39" s="27">
        <f t="shared" si="22"/>
        <v>0</v>
      </c>
      <c r="P39" s="27">
        <f t="shared" si="22"/>
        <v>0</v>
      </c>
      <c r="Q39" s="153">
        <f>SUM($F$39:P39)</f>
        <v>-627845678.48613358</v>
      </c>
      <c r="R39" s="54"/>
      <c r="S39" s="54"/>
      <c r="T39" s="54"/>
      <c r="U39" s="54"/>
      <c r="V39" s="54"/>
      <c r="W39" s="54"/>
      <c r="X39" s="47"/>
    </row>
    <row r="40" spans="2:24" x14ac:dyDescent="0.35">
      <c r="B40" t="s">
        <v>24</v>
      </c>
      <c r="F40" s="27">
        <f>E40+F39</f>
        <v>-1068486975.1833335</v>
      </c>
      <c r="G40" s="27">
        <f>F40+G39</f>
        <v>-1001561723.6111336</v>
      </c>
      <c r="H40" s="27">
        <f>G40+H39</f>
        <v>-911032096.53613353</v>
      </c>
      <c r="I40" s="27">
        <f t="shared" ref="I40:J40" si="23">H40+I39</f>
        <v>-818845678.48613358</v>
      </c>
      <c r="J40" s="27">
        <f t="shared" si="23"/>
        <v>-723345678.48613358</v>
      </c>
      <c r="K40" s="27">
        <f>J40+K39</f>
        <v>-627845678.48613358</v>
      </c>
      <c r="L40" s="27"/>
      <c r="M40" s="27"/>
      <c r="N40" s="27"/>
      <c r="O40" s="27"/>
      <c r="P40" s="27"/>
      <c r="Q40" s="153"/>
      <c r="R40" s="54"/>
      <c r="S40" s="54"/>
      <c r="T40" s="54"/>
      <c r="U40" s="54"/>
      <c r="V40" s="54"/>
      <c r="W40" s="54"/>
      <c r="X40" s="47"/>
    </row>
    <row r="41" spans="2:24" x14ac:dyDescent="0.35">
      <c r="B41" t="s">
        <v>25</v>
      </c>
      <c r="F41" s="27"/>
      <c r="G41" s="31">
        <f>IF(AND(F40&lt;0,G40&gt;0),H48-(G40/G39),0)</f>
        <v>0</v>
      </c>
      <c r="H41" s="31">
        <f>IF(AND(G40&lt;0,H40&gt;0),I48-(H40/H39),0)</f>
        <v>0</v>
      </c>
      <c r="I41" s="31">
        <f>IF(AND(H40&lt;0,I40&gt;0),J48-(I40/I39),0)</f>
        <v>0</v>
      </c>
      <c r="J41" s="31">
        <f>IF(AND(I40&lt;0,J40&gt;0),K48-(J40/J39),0)</f>
        <v>0</v>
      </c>
      <c r="K41" s="75">
        <f>IF(AND(J40&lt;0,K40&gt;0),#REF!-(K40/K39),0)</f>
        <v>0</v>
      </c>
      <c r="L41" s="75"/>
      <c r="M41" s="75"/>
      <c r="N41" s="75"/>
      <c r="O41" s="75"/>
      <c r="P41" s="75"/>
      <c r="Q41" s="154"/>
      <c r="R41" s="31"/>
      <c r="S41" s="31"/>
      <c r="T41" s="31"/>
      <c r="U41" s="31"/>
      <c r="V41" s="31"/>
      <c r="W41" s="31"/>
    </row>
    <row r="42" spans="2:24" s="77" customFormat="1" ht="3.65" customHeight="1" x14ac:dyDescent="0.35">
      <c r="G42" s="78"/>
      <c r="Q42" s="155"/>
    </row>
    <row r="43" spans="2:24" x14ac:dyDescent="0.35">
      <c r="B43" s="57" t="s">
        <v>198</v>
      </c>
      <c r="C43" s="58"/>
      <c r="D43" s="58"/>
      <c r="E43" s="58"/>
      <c r="F43" s="197">
        <f>IRR(F39:P39)</f>
        <v>-0.23049292987294845</v>
      </c>
      <c r="Q43" s="145"/>
    </row>
    <row r="44" spans="2:24" x14ac:dyDescent="0.35">
      <c r="B44" s="59" t="s">
        <v>172</v>
      </c>
      <c r="C44" s="60"/>
      <c r="D44" s="60"/>
      <c r="E44" s="60"/>
      <c r="F44" s="117">
        <f>NPV(F4,G39:P39)+F39</f>
        <v>-739041172.11214304</v>
      </c>
      <c r="H44" s="74"/>
      <c r="I44" s="14"/>
      <c r="Q44" s="156"/>
    </row>
    <row r="45" spans="2:24" x14ac:dyDescent="0.35">
      <c r="B45" s="59" t="s">
        <v>26</v>
      </c>
      <c r="C45" s="60"/>
      <c r="D45" s="60"/>
      <c r="E45" s="60"/>
      <c r="F45" s="61">
        <f>Q29</f>
        <v>0.63666666666666671</v>
      </c>
      <c r="H45" s="68"/>
      <c r="Q45" s="156"/>
    </row>
    <row r="46" spans="2:24" x14ac:dyDescent="0.35">
      <c r="B46" s="62" t="s">
        <v>27</v>
      </c>
      <c r="C46" s="63"/>
      <c r="D46" s="63"/>
      <c r="E46" s="63"/>
      <c r="F46" s="64">
        <f>SUM(G41:K41)</f>
        <v>0</v>
      </c>
      <c r="Q46" s="156"/>
    </row>
    <row r="47" spans="2:24" ht="3.65" customHeight="1" x14ac:dyDescent="0.35">
      <c r="F47" s="32"/>
      <c r="G47" s="32"/>
      <c r="H47" s="2"/>
      <c r="Q47" s="156"/>
    </row>
    <row r="48" spans="2:24" ht="16.25" customHeight="1" x14ac:dyDescent="0.35">
      <c r="G48"/>
      <c r="H48" s="8">
        <v>1</v>
      </c>
      <c r="I48" s="33">
        <v>2</v>
      </c>
      <c r="J48" s="8">
        <v>3</v>
      </c>
      <c r="K48" s="33">
        <v>4</v>
      </c>
      <c r="L48" s="33"/>
      <c r="M48" s="33"/>
      <c r="N48" s="33"/>
      <c r="O48" s="33"/>
      <c r="P48" s="33"/>
      <c r="Q48" s="145"/>
      <c r="R48" s="33"/>
      <c r="S48" s="8"/>
      <c r="T48" s="33"/>
      <c r="U48" s="8"/>
      <c r="V48" s="33"/>
      <c r="W48" s="8"/>
    </row>
    <row r="49" spans="2:27" ht="16" thickBot="1" x14ac:dyDescent="0.4">
      <c r="B49" s="34" t="s">
        <v>28</v>
      </c>
      <c r="E49" s="35" t="s">
        <v>29</v>
      </c>
      <c r="G49" s="35">
        <f t="shared" ref="G49:P49" si="24">G13</f>
        <v>2024</v>
      </c>
      <c r="H49" s="35">
        <f t="shared" si="24"/>
        <v>2025</v>
      </c>
      <c r="I49" s="35">
        <f t="shared" si="24"/>
        <v>2026</v>
      </c>
      <c r="J49" s="35">
        <f t="shared" si="24"/>
        <v>2027</v>
      </c>
      <c r="K49" s="35">
        <f t="shared" si="24"/>
        <v>2028</v>
      </c>
      <c r="L49" s="35">
        <f t="shared" si="24"/>
        <v>2029</v>
      </c>
      <c r="M49" s="35">
        <f t="shared" si="24"/>
        <v>2030</v>
      </c>
      <c r="N49" s="35">
        <f t="shared" si="24"/>
        <v>2031</v>
      </c>
      <c r="O49" s="35">
        <f t="shared" si="24"/>
        <v>2032</v>
      </c>
      <c r="P49" s="35">
        <f t="shared" si="24"/>
        <v>2033</v>
      </c>
      <c r="Q49" s="137" t="s">
        <v>11</v>
      </c>
      <c r="R49" s="35"/>
      <c r="S49" s="35"/>
      <c r="T49" s="35"/>
      <c r="U49" s="35"/>
      <c r="V49" s="35"/>
      <c r="W49" s="35"/>
      <c r="X49" s="35"/>
    </row>
    <row r="50" spans="2:27" x14ac:dyDescent="0.35">
      <c r="D50" t="s">
        <v>5</v>
      </c>
      <c r="E50">
        <v>5</v>
      </c>
      <c r="G50" s="69">
        <f>G11/E50</f>
        <v>213697395.03666669</v>
      </c>
      <c r="H50" s="69">
        <f>(G$11)/$E50</f>
        <v>213697395.03666669</v>
      </c>
      <c r="I50" s="36">
        <f>H50</f>
        <v>213697395.03666669</v>
      </c>
      <c r="J50" s="36">
        <f t="shared" ref="J50" si="25">I50</f>
        <v>213697395.03666669</v>
      </c>
      <c r="K50" s="36">
        <f>J50</f>
        <v>213697395.03666669</v>
      </c>
      <c r="L50" s="36"/>
      <c r="M50" s="36"/>
      <c r="N50" s="36"/>
      <c r="O50" s="36"/>
      <c r="P50" s="36"/>
      <c r="Q50" s="149">
        <f>SUM(G50:P50)</f>
        <v>1068486975.1833334</v>
      </c>
      <c r="R50" s="36"/>
      <c r="S50" s="36"/>
      <c r="T50" s="36"/>
      <c r="U50" s="36"/>
      <c r="V50" s="36"/>
      <c r="W50" s="36"/>
      <c r="X50" s="37"/>
    </row>
    <row r="51" spans="2:27" hidden="1" x14ac:dyDescent="0.35">
      <c r="D51" t="s">
        <v>6</v>
      </c>
      <c r="E51">
        <v>4</v>
      </c>
      <c r="G51"/>
      <c r="H51" s="2"/>
      <c r="I51" s="69"/>
      <c r="J51" s="36"/>
      <c r="K51" s="36"/>
      <c r="L51" s="36"/>
      <c r="M51" s="36"/>
      <c r="N51" s="36"/>
      <c r="O51" s="36"/>
      <c r="P51" s="36"/>
      <c r="Q51" s="149">
        <f>SUM($G51:K51)</f>
        <v>0</v>
      </c>
      <c r="R51" s="36"/>
      <c r="S51" s="36"/>
      <c r="T51" s="36"/>
      <c r="U51" s="36"/>
      <c r="V51" s="36"/>
      <c r="W51" s="36"/>
      <c r="X51" s="37"/>
    </row>
    <row r="52" spans="2:27" hidden="1" x14ac:dyDescent="0.35">
      <c r="D52" t="s">
        <v>7</v>
      </c>
      <c r="E52">
        <v>3</v>
      </c>
      <c r="G52"/>
      <c r="H52" s="2"/>
      <c r="J52" s="69"/>
      <c r="K52" s="36"/>
      <c r="L52" s="36"/>
      <c r="M52" s="36"/>
      <c r="N52" s="36"/>
      <c r="O52" s="36"/>
      <c r="P52" s="36"/>
      <c r="Q52" s="149">
        <f>SUM($G52:K52)</f>
        <v>0</v>
      </c>
      <c r="R52" s="36"/>
      <c r="S52" s="36"/>
      <c r="T52" s="36"/>
      <c r="U52" s="36"/>
      <c r="V52" s="36"/>
      <c r="W52" s="36"/>
      <c r="X52" s="37"/>
    </row>
    <row r="53" spans="2:27" hidden="1" x14ac:dyDescent="0.35">
      <c r="D53" t="s">
        <v>8</v>
      </c>
      <c r="E53">
        <v>2</v>
      </c>
      <c r="G53"/>
      <c r="H53" s="2"/>
      <c r="K53" s="69"/>
      <c r="L53" s="69"/>
      <c r="M53" s="69"/>
      <c r="N53" s="69"/>
      <c r="O53" s="69"/>
      <c r="P53" s="69"/>
      <c r="Q53" s="149">
        <f>SUM($G53:K53)</f>
        <v>0</v>
      </c>
      <c r="R53" s="36"/>
      <c r="S53" s="36"/>
      <c r="T53" s="36"/>
      <c r="U53" s="36"/>
      <c r="V53" s="36"/>
      <c r="W53" s="36"/>
      <c r="X53" s="37"/>
    </row>
    <row r="54" spans="2:27" hidden="1" x14ac:dyDescent="0.35">
      <c r="D54" t="s">
        <v>9</v>
      </c>
      <c r="E54">
        <v>1</v>
      </c>
      <c r="G54"/>
      <c r="H54" s="2"/>
      <c r="Q54" s="149">
        <f>SUM($G54:K54)</f>
        <v>0</v>
      </c>
      <c r="R54" s="36"/>
      <c r="S54" s="36"/>
      <c r="T54" s="36"/>
      <c r="U54" s="36"/>
      <c r="V54" s="36"/>
      <c r="W54" s="36"/>
      <c r="X54" s="37"/>
    </row>
    <row r="55" spans="2:27" hidden="1" x14ac:dyDescent="0.35">
      <c r="D55" t="s">
        <v>41</v>
      </c>
      <c r="E55">
        <v>5</v>
      </c>
      <c r="G55"/>
      <c r="H55" s="2"/>
      <c r="Q55" s="149">
        <f>SUM($G55:K55)</f>
        <v>0</v>
      </c>
      <c r="R55" s="36"/>
      <c r="S55" s="36"/>
      <c r="T55" s="36"/>
      <c r="U55" s="36"/>
      <c r="V55" s="36"/>
      <c r="W55" s="36"/>
      <c r="X55" s="37"/>
    </row>
    <row r="56" spans="2:27" hidden="1" x14ac:dyDescent="0.35">
      <c r="D56" t="s">
        <v>42</v>
      </c>
      <c r="E56">
        <v>4</v>
      </c>
      <c r="G56"/>
      <c r="H56" s="2"/>
      <c r="Q56" s="149">
        <f>SUM($G56:K56)</f>
        <v>0</v>
      </c>
      <c r="R56" s="36"/>
      <c r="S56" s="36"/>
      <c r="T56" s="36"/>
      <c r="U56" s="36"/>
      <c r="V56" s="36"/>
      <c r="W56" s="36"/>
      <c r="X56" s="37"/>
    </row>
    <row r="57" spans="2:27" hidden="1" x14ac:dyDescent="0.35">
      <c r="D57" t="s">
        <v>43</v>
      </c>
      <c r="E57">
        <v>3</v>
      </c>
      <c r="G57"/>
      <c r="H57" s="2"/>
      <c r="Q57" s="149">
        <f>SUM($G57:K57)</f>
        <v>0</v>
      </c>
      <c r="R57" s="36"/>
      <c r="S57" s="36"/>
      <c r="T57" s="36"/>
      <c r="U57" s="36"/>
      <c r="V57" s="36"/>
      <c r="W57" s="36"/>
      <c r="X57" s="37"/>
    </row>
    <row r="58" spans="2:27" hidden="1" x14ac:dyDescent="0.35">
      <c r="D58" t="s">
        <v>44</v>
      </c>
      <c r="E58">
        <v>2</v>
      </c>
      <c r="G58"/>
      <c r="H58" s="2"/>
      <c r="Q58" s="149">
        <f>SUM($G58:K58)</f>
        <v>0</v>
      </c>
      <c r="R58" s="36"/>
      <c r="S58" s="36"/>
      <c r="T58" s="36"/>
      <c r="U58" s="36"/>
      <c r="V58" s="36"/>
      <c r="W58" s="36"/>
      <c r="X58" s="37"/>
    </row>
    <row r="59" spans="2:27" hidden="1" x14ac:dyDescent="0.35">
      <c r="D59" t="s">
        <v>45</v>
      </c>
      <c r="E59">
        <v>1</v>
      </c>
      <c r="G59"/>
      <c r="H59" s="2"/>
      <c r="K59" s="36"/>
      <c r="L59" s="36"/>
      <c r="M59" s="36"/>
      <c r="N59" s="36"/>
      <c r="O59" s="36"/>
      <c r="P59" s="36"/>
      <c r="Q59" s="149">
        <f>SUM($G59:K59)</f>
        <v>0</v>
      </c>
      <c r="R59" s="36"/>
      <c r="S59" s="36"/>
      <c r="T59" s="36"/>
      <c r="U59" s="36"/>
      <c r="V59" s="36"/>
      <c r="W59" s="36"/>
      <c r="X59" s="37"/>
    </row>
    <row r="60" spans="2:27" ht="16" thickBot="1" x14ac:dyDescent="0.4">
      <c r="B60" s="38" t="s">
        <v>30</v>
      </c>
      <c r="C60" s="39"/>
      <c r="D60" s="39"/>
      <c r="E60" s="39"/>
      <c r="F60" s="39"/>
      <c r="G60" s="40">
        <f>SUM(G50:G59)</f>
        <v>213697395.03666669</v>
      </c>
      <c r="H60" s="40">
        <f>SUM(H50:H59)</f>
        <v>213697395.03666669</v>
      </c>
      <c r="I60" s="40">
        <f t="shared" ref="I60:P60" si="26">SUM(I50:I59)</f>
        <v>213697395.03666669</v>
      </c>
      <c r="J60" s="40">
        <f t="shared" si="26"/>
        <v>213697395.03666669</v>
      </c>
      <c r="K60" s="40">
        <f t="shared" si="26"/>
        <v>213697395.03666669</v>
      </c>
      <c r="L60" s="40">
        <f t="shared" si="26"/>
        <v>0</v>
      </c>
      <c r="M60" s="40">
        <f t="shared" si="26"/>
        <v>0</v>
      </c>
      <c r="N60" s="40">
        <f t="shared" si="26"/>
        <v>0</v>
      </c>
      <c r="O60" s="40">
        <f t="shared" si="26"/>
        <v>0</v>
      </c>
      <c r="P60" s="40">
        <f t="shared" si="26"/>
        <v>0</v>
      </c>
      <c r="Q60" s="136">
        <f>SUM(Q50:Q59)</f>
        <v>1068486975.1833334</v>
      </c>
      <c r="R60" s="44"/>
      <c r="S60" s="44"/>
      <c r="T60" s="44"/>
      <c r="U60" s="44"/>
      <c r="V60" s="44"/>
      <c r="W60" s="44"/>
      <c r="X60" s="44"/>
      <c r="Y60" s="41"/>
      <c r="Z60" s="41"/>
      <c r="AA60" s="41"/>
    </row>
    <row r="61" spans="2:27" ht="16.5" thickTop="1" thickBot="1" x14ac:dyDescent="0.4">
      <c r="G61"/>
      <c r="H61" s="2"/>
      <c r="Q61" s="157"/>
      <c r="X61" s="14"/>
    </row>
    <row r="63" spans="2:27" x14ac:dyDescent="0.35">
      <c r="F63" t="s">
        <v>49</v>
      </c>
    </row>
    <row r="64" spans="2:27" x14ac:dyDescent="0.35">
      <c r="E64" s="170"/>
      <c r="F64">
        <v>5</v>
      </c>
      <c r="G64" s="171">
        <v>2019</v>
      </c>
      <c r="H64" s="171">
        <v>2020</v>
      </c>
      <c r="I64" s="171">
        <v>2021</v>
      </c>
      <c r="J64" s="171">
        <v>2022</v>
      </c>
      <c r="K64" s="171">
        <v>2023</v>
      </c>
      <c r="L64" s="171"/>
      <c r="M64" s="171"/>
      <c r="N64" s="171"/>
      <c r="O64" s="171"/>
      <c r="P64" s="171"/>
      <c r="Q64" s="171">
        <v>2024</v>
      </c>
      <c r="R64" s="171">
        <v>2025</v>
      </c>
      <c r="S64" s="171">
        <v>2026</v>
      </c>
      <c r="T64" s="171"/>
      <c r="U64" s="171"/>
      <c r="V64" s="171"/>
      <c r="W64" s="171"/>
      <c r="X64" s="171"/>
      <c r="Y64" s="171"/>
      <c r="Z64" s="171"/>
    </row>
    <row r="65" spans="5:26" x14ac:dyDescent="0.35">
      <c r="E65" s="170">
        <v>2019</v>
      </c>
      <c r="F65" t="s">
        <v>50</v>
      </c>
      <c r="G65" s="176">
        <v>2029079355.28</v>
      </c>
      <c r="H65" s="172">
        <f>G65-G66</f>
        <v>1623263484.224</v>
      </c>
      <c r="I65" s="172">
        <f>H65-G66</f>
        <v>1217447613.168</v>
      </c>
      <c r="J65" s="172">
        <f>I65-G66</f>
        <v>811631742.11199999</v>
      </c>
      <c r="K65" s="172">
        <f>J65-G66</f>
        <v>405815871.05599999</v>
      </c>
      <c r="L65" s="172"/>
      <c r="M65" s="172"/>
      <c r="N65" s="172"/>
      <c r="O65" s="172"/>
      <c r="P65" s="172"/>
      <c r="Q65" s="172">
        <f>$F$2-$B$4</f>
        <v>0</v>
      </c>
      <c r="R65" s="172">
        <f>$G$2-$B$4</f>
        <v>0</v>
      </c>
      <c r="S65" s="172"/>
      <c r="T65" s="172"/>
      <c r="U65" s="172"/>
      <c r="V65" s="171"/>
      <c r="W65" s="171"/>
      <c r="X65" s="171"/>
      <c r="Y65" s="171"/>
      <c r="Z65" s="171"/>
    </row>
    <row r="66" spans="5:26" x14ac:dyDescent="0.35">
      <c r="E66" s="170"/>
      <c r="F66" t="s">
        <v>51</v>
      </c>
      <c r="G66" s="173">
        <f>G65/$F$64</f>
        <v>405815871.05599999</v>
      </c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1"/>
      <c r="W66" s="171"/>
      <c r="X66" s="171"/>
      <c r="Y66" s="171"/>
      <c r="Z66" s="171"/>
    </row>
    <row r="67" spans="5:26" x14ac:dyDescent="0.35">
      <c r="E67" s="170"/>
      <c r="F67" t="s">
        <v>52</v>
      </c>
      <c r="G67" s="173">
        <f>((G65*$F$4)*6)/12</f>
        <v>101453967.764</v>
      </c>
      <c r="H67" s="172">
        <f>AVERAGE(G65:H65)*$F$4</f>
        <v>182617141.9752</v>
      </c>
      <c r="I67" s="172">
        <f>AVERAGE(H65:I65)*$F$4</f>
        <v>142035554.86960003</v>
      </c>
      <c r="J67" s="172">
        <f>AVERAGE(I65:J65)*$F$4</f>
        <v>101453967.764</v>
      </c>
      <c r="K67" s="172">
        <f>AVERAGE(J65:K65)*$F$4</f>
        <v>60872380.658399999</v>
      </c>
      <c r="L67" s="172"/>
      <c r="M67" s="172"/>
      <c r="N67" s="172"/>
      <c r="O67" s="172"/>
      <c r="P67" s="172"/>
      <c r="Q67" s="172">
        <f>AVERAGE(K65:Q65)*$F$4</f>
        <v>20290793.5528</v>
      </c>
      <c r="R67" s="172">
        <f>AVERAGE(Q65:R65)*10%</f>
        <v>0</v>
      </c>
      <c r="S67" s="172"/>
      <c r="T67" s="172"/>
      <c r="U67" s="172"/>
      <c r="V67" s="171"/>
      <c r="W67" s="171"/>
      <c r="X67" s="171"/>
      <c r="Y67" s="171"/>
      <c r="Z67" s="171"/>
    </row>
    <row r="68" spans="5:26" x14ac:dyDescent="0.35">
      <c r="E68" s="170">
        <v>2021</v>
      </c>
      <c r="F68" t="s">
        <v>50</v>
      </c>
      <c r="G68" s="171"/>
      <c r="H68" s="175"/>
      <c r="I68" s="172">
        <v>165679098</v>
      </c>
      <c r="J68" s="172">
        <f>I68-I69</f>
        <v>132543278.40000001</v>
      </c>
      <c r="K68" s="172">
        <f>J68-I69</f>
        <v>99407458.800000012</v>
      </c>
      <c r="L68" s="172"/>
      <c r="M68" s="172"/>
      <c r="N68" s="172"/>
      <c r="O68" s="172"/>
      <c r="P68" s="172"/>
      <c r="Q68" s="172">
        <f>K68-I69</f>
        <v>66271639.20000001</v>
      </c>
      <c r="R68" s="172">
        <f>Q68-I69</f>
        <v>33135819.600000009</v>
      </c>
      <c r="S68" s="172">
        <f>R68-I69</f>
        <v>0</v>
      </c>
      <c r="T68" s="172"/>
      <c r="U68" s="172"/>
      <c r="V68" s="172"/>
      <c r="W68" s="172"/>
      <c r="X68" s="171"/>
      <c r="Y68" s="171"/>
      <c r="Z68" s="171"/>
    </row>
    <row r="69" spans="5:26" x14ac:dyDescent="0.35">
      <c r="E69" s="170"/>
      <c r="F69" t="s">
        <v>51</v>
      </c>
      <c r="G69" s="171"/>
      <c r="H69" s="175"/>
      <c r="I69" s="173">
        <f>I68/F64</f>
        <v>33135819.600000001</v>
      </c>
      <c r="J69" s="174"/>
      <c r="K69" s="174"/>
      <c r="L69" s="174"/>
      <c r="M69" s="174"/>
      <c r="N69" s="174"/>
      <c r="O69" s="174"/>
      <c r="P69" s="174"/>
      <c r="Q69" s="174"/>
      <c r="R69" s="174"/>
      <c r="S69" s="174"/>
      <c r="T69" s="174"/>
      <c r="U69" s="174"/>
      <c r="V69" s="174"/>
      <c r="W69" s="174"/>
      <c r="X69" s="171"/>
      <c r="Y69" s="171"/>
      <c r="Z69" s="171"/>
    </row>
    <row r="70" spans="5:26" x14ac:dyDescent="0.35">
      <c r="E70" s="170"/>
      <c r="F70" t="s">
        <v>52</v>
      </c>
      <c r="G70" s="171"/>
      <c r="H70" s="173"/>
      <c r="I70" s="173">
        <f>((I68*$F$4)*6)/12</f>
        <v>8283954.9000000013</v>
      </c>
      <c r="J70" s="172">
        <f t="shared" ref="J70:T70" si="27">AVERAGE(I68:J68)*$F$4</f>
        <v>14911118.82</v>
      </c>
      <c r="K70" s="172">
        <f>AVERAGE(J68:K68)*$F$4</f>
        <v>11597536.860000001</v>
      </c>
      <c r="L70" s="172"/>
      <c r="M70" s="172"/>
      <c r="N70" s="172"/>
      <c r="O70" s="172"/>
      <c r="P70" s="172"/>
      <c r="Q70" s="172">
        <f>AVERAGE(K68:Q68)*$F$4</f>
        <v>8283954.9000000022</v>
      </c>
      <c r="R70" s="172">
        <f t="shared" si="27"/>
        <v>4970372.9400000004</v>
      </c>
      <c r="S70" s="172">
        <f t="shared" si="27"/>
        <v>1656790.9800000004</v>
      </c>
      <c r="T70" s="172">
        <f t="shared" si="27"/>
        <v>0</v>
      </c>
      <c r="U70" s="172"/>
      <c r="V70" s="172"/>
      <c r="W70" s="172"/>
      <c r="X70" s="171"/>
      <c r="Y70" s="171"/>
      <c r="Z70" s="171"/>
    </row>
    <row r="71" spans="5:26" x14ac:dyDescent="0.35">
      <c r="E71" s="170"/>
      <c r="F71" t="s">
        <v>141</v>
      </c>
      <c r="G71" s="171"/>
      <c r="H71" s="173"/>
      <c r="I71" s="14"/>
      <c r="J71" s="172"/>
      <c r="K71" s="172"/>
      <c r="L71" s="172"/>
      <c r="M71" s="172"/>
      <c r="N71" s="172"/>
      <c r="O71" s="172"/>
      <c r="P71" s="172"/>
      <c r="Q71" s="172">
        <f>Q70+Q67</f>
        <v>28574748.452800002</v>
      </c>
      <c r="R71" s="172">
        <f>R70+R67</f>
        <v>4970372.9400000004</v>
      </c>
      <c r="S71" s="172">
        <f>S70+S67</f>
        <v>1656790.9800000004</v>
      </c>
      <c r="T71" s="172">
        <f>T70+T67</f>
        <v>0</v>
      </c>
      <c r="U71" s="172"/>
      <c r="V71" s="172"/>
      <c r="W71" s="172"/>
      <c r="X71" s="171"/>
      <c r="Y71" s="171"/>
      <c r="Z71" s="171"/>
    </row>
    <row r="72" spans="5:26" x14ac:dyDescent="0.35">
      <c r="E72" s="170"/>
      <c r="G72" s="171"/>
      <c r="H72" s="173"/>
      <c r="I72" s="175"/>
      <c r="J72" s="172"/>
      <c r="K72" s="172"/>
      <c r="L72" s="172"/>
      <c r="M72" s="172"/>
      <c r="N72" s="172"/>
      <c r="O72" s="172"/>
      <c r="P72" s="172"/>
      <c r="Q72" s="172"/>
      <c r="R72" s="172"/>
      <c r="S72" s="172"/>
      <c r="T72" s="172"/>
      <c r="U72" s="172"/>
      <c r="V72" s="172"/>
      <c r="W72" s="172"/>
      <c r="X72" s="171"/>
      <c r="Y72" s="171"/>
      <c r="Z72" s="171"/>
    </row>
    <row r="73" spans="5:26" x14ac:dyDescent="0.35">
      <c r="E73" s="170"/>
      <c r="G73" s="171"/>
      <c r="H73" s="173"/>
      <c r="I73" s="173"/>
      <c r="J73" s="172"/>
      <c r="K73" s="172"/>
      <c r="L73" s="172"/>
      <c r="M73" s="172"/>
      <c r="N73" s="172"/>
      <c r="O73" s="172"/>
      <c r="P73" s="172"/>
      <c r="Q73" s="172"/>
      <c r="R73" s="172"/>
      <c r="S73" s="172"/>
      <c r="T73" s="172"/>
      <c r="U73" s="172"/>
      <c r="V73" s="172"/>
      <c r="W73" s="172"/>
      <c r="X73" s="171"/>
      <c r="Y73" s="171"/>
      <c r="Z73" s="171"/>
    </row>
    <row r="74" spans="5:26" x14ac:dyDescent="0.35">
      <c r="G74" s="13"/>
    </row>
    <row r="75" spans="5:26" x14ac:dyDescent="0.35">
      <c r="G75" s="13"/>
      <c r="H75" s="14"/>
      <c r="I75" s="14"/>
      <c r="J75" s="14"/>
      <c r="K75" s="14"/>
      <c r="L75" s="14"/>
      <c r="M75" s="14"/>
      <c r="N75" s="14"/>
      <c r="O75" s="14"/>
      <c r="P75" s="14"/>
    </row>
    <row r="76" spans="5:26" x14ac:dyDescent="0.35">
      <c r="F76" s="77"/>
      <c r="G76" s="79"/>
      <c r="H76" s="80"/>
      <c r="I76" s="80"/>
      <c r="J76" s="80">
        <v>694444444</v>
      </c>
      <c r="K76" s="80"/>
      <c r="L76" s="80"/>
      <c r="M76" s="80"/>
      <c r="N76" s="80"/>
      <c r="O76" s="80"/>
      <c r="P76" s="80"/>
    </row>
    <row r="77" spans="5:26" x14ac:dyDescent="0.35">
      <c r="J77" s="81">
        <v>200000000</v>
      </c>
    </row>
    <row r="79" spans="5:26" x14ac:dyDescent="0.35">
      <c r="G79" s="13"/>
      <c r="J79" s="14">
        <f>J76-J77</f>
        <v>494444444</v>
      </c>
    </row>
    <row r="81" spans="7:16" x14ac:dyDescent="0.35">
      <c r="G81" s="68"/>
      <c r="H81" s="68"/>
      <c r="I81" s="68"/>
      <c r="J81" s="196">
        <f>J77/J76</f>
        <v>0.28800000018431998</v>
      </c>
      <c r="K81" s="68"/>
      <c r="L81" s="68"/>
      <c r="M81" s="68"/>
      <c r="N81" s="68"/>
      <c r="O81" s="68"/>
      <c r="P81" s="68"/>
    </row>
    <row r="82" spans="7:16" x14ac:dyDescent="0.35">
      <c r="J82" s="81">
        <v>138888889</v>
      </c>
    </row>
    <row r="83" spans="7:16" x14ac:dyDescent="0.35">
      <c r="J83" s="81">
        <v>40000000</v>
      </c>
    </row>
    <row r="84" spans="7:16" x14ac:dyDescent="0.35">
      <c r="J84" s="81"/>
    </row>
    <row r="85" spans="7:16" x14ac:dyDescent="0.35">
      <c r="J85" s="14">
        <f>J82-J83</f>
        <v>98888889</v>
      </c>
    </row>
    <row r="86" spans="7:16" x14ac:dyDescent="0.35">
      <c r="J86">
        <f>J85/J82</f>
        <v>0.7120000002304</v>
      </c>
    </row>
  </sheetData>
  <mergeCells count="1">
    <mergeCell ref="E20:F20"/>
  </mergeCells>
  <phoneticPr fontId="28" type="noConversion"/>
  <conditionalFormatting sqref="G67:U67">
    <cfRule type="cellIs" dxfId="19" priority="17" operator="lessThan">
      <formula>0</formula>
    </cfRule>
  </conditionalFormatting>
  <conditionalFormatting sqref="S72:W72 U73:W73 U70:W71">
    <cfRule type="cellIs" dxfId="18" priority="16" operator="lessThan">
      <formula>0</formula>
    </cfRule>
  </conditionalFormatting>
  <conditionalFormatting sqref="H70:H73">
    <cfRule type="cellIs" dxfId="17" priority="15" operator="lessThan">
      <formula>0</formula>
    </cfRule>
  </conditionalFormatting>
  <conditionalFormatting sqref="I71">
    <cfRule type="cellIs" dxfId="16" priority="14" operator="lessThan">
      <formula>0</formula>
    </cfRule>
  </conditionalFormatting>
  <conditionalFormatting sqref="J72">
    <cfRule type="cellIs" dxfId="15" priority="13" operator="lessThan">
      <formula>0</formula>
    </cfRule>
  </conditionalFormatting>
  <conditionalFormatting sqref="K72:P72">
    <cfRule type="cellIs" dxfId="14" priority="12" operator="lessThan">
      <formula>0</formula>
    </cfRule>
  </conditionalFormatting>
  <conditionalFormatting sqref="Q72">
    <cfRule type="cellIs" dxfId="13" priority="11" operator="lessThan">
      <formula>0</formula>
    </cfRule>
  </conditionalFormatting>
  <conditionalFormatting sqref="R72">
    <cfRule type="cellIs" dxfId="12" priority="10" operator="lessThan">
      <formula>0</formula>
    </cfRule>
  </conditionalFormatting>
  <conditionalFormatting sqref="I73">
    <cfRule type="cellIs" dxfId="11" priority="9" operator="lessThan">
      <formula>0</formula>
    </cfRule>
  </conditionalFormatting>
  <conditionalFormatting sqref="J73">
    <cfRule type="cellIs" dxfId="10" priority="8" operator="lessThan">
      <formula>0</formula>
    </cfRule>
  </conditionalFormatting>
  <conditionalFormatting sqref="K73:P73">
    <cfRule type="cellIs" dxfId="9" priority="7" operator="lessThan">
      <formula>0</formula>
    </cfRule>
  </conditionalFormatting>
  <conditionalFormatting sqref="Q73">
    <cfRule type="cellIs" dxfId="8" priority="6" operator="lessThan">
      <formula>0</formula>
    </cfRule>
  </conditionalFormatting>
  <conditionalFormatting sqref="R73">
    <cfRule type="cellIs" dxfId="7" priority="5" operator="lessThan">
      <formula>0</formula>
    </cfRule>
  </conditionalFormatting>
  <conditionalFormatting sqref="S73">
    <cfRule type="cellIs" dxfId="6" priority="4" operator="lessThan">
      <formula>0</formula>
    </cfRule>
  </conditionalFormatting>
  <conditionalFormatting sqref="T73">
    <cfRule type="cellIs" dxfId="5" priority="3" operator="lessThan">
      <formula>0</formula>
    </cfRule>
  </conditionalFormatting>
  <conditionalFormatting sqref="I70:S70">
    <cfRule type="cellIs" dxfId="4" priority="2" operator="lessThan">
      <formula>0</formula>
    </cfRule>
  </conditionalFormatting>
  <conditionalFormatting sqref="T70">
    <cfRule type="cellIs" dxfId="3" priority="1" operator="lessThan">
      <formula>0</formula>
    </cfRule>
  </conditionalFormatting>
  <printOptions horizontalCentered="1" verticalCentered="1"/>
  <pageMargins left="0" right="0" top="0" bottom="0" header="0.31496062992125984" footer="0.31496062992125984"/>
  <pageSetup paperSize="9"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A1:T60"/>
  <sheetViews>
    <sheetView workbookViewId="0">
      <selection activeCell="G11" sqref="G11"/>
    </sheetView>
  </sheetViews>
  <sheetFormatPr defaultRowHeight="15.5" x14ac:dyDescent="0.35"/>
  <cols>
    <col min="1" max="1" width="13.5" bestFit="1" customWidth="1"/>
    <col min="2" max="2" width="15.6640625" bestFit="1" customWidth="1"/>
    <col min="3" max="4" width="13.6640625" bestFit="1" customWidth="1"/>
    <col min="5" max="5" width="14" customWidth="1"/>
    <col min="6" max="9" width="12.08203125" bestFit="1" customWidth="1"/>
    <col min="10" max="11" width="13.6640625" bestFit="1" customWidth="1"/>
  </cols>
  <sheetData>
    <row r="1" spans="1:20" x14ac:dyDescent="0.35">
      <c r="A1" s="177" t="s">
        <v>142</v>
      </c>
    </row>
    <row r="2" spans="1:20" x14ac:dyDescent="0.35">
      <c r="A2" s="178" t="s">
        <v>143</v>
      </c>
      <c r="B2" s="179">
        <v>5</v>
      </c>
      <c r="C2" s="119">
        <v>2019</v>
      </c>
      <c r="D2" s="119">
        <f>C2+1</f>
        <v>2020</v>
      </c>
      <c r="E2" s="119">
        <f t="shared" ref="E2:M2" si="0">D2+1</f>
        <v>2021</v>
      </c>
      <c r="F2" s="119">
        <f t="shared" si="0"/>
        <v>2022</v>
      </c>
      <c r="G2" s="119">
        <f t="shared" si="0"/>
        <v>2023</v>
      </c>
      <c r="H2" s="119">
        <f t="shared" si="0"/>
        <v>2024</v>
      </c>
      <c r="I2" s="119">
        <f t="shared" si="0"/>
        <v>2025</v>
      </c>
      <c r="J2" s="119">
        <f t="shared" si="0"/>
        <v>2026</v>
      </c>
      <c r="K2" s="119">
        <f t="shared" si="0"/>
        <v>2027</v>
      </c>
      <c r="L2" s="119">
        <f t="shared" si="0"/>
        <v>2028</v>
      </c>
      <c r="M2" s="119">
        <f t="shared" si="0"/>
        <v>2029</v>
      </c>
    </row>
    <row r="3" spans="1:20" x14ac:dyDescent="0.35">
      <c r="A3" s="180">
        <v>2019</v>
      </c>
      <c r="B3" t="s">
        <v>50</v>
      </c>
      <c r="C3" s="181">
        <v>2029079355.28</v>
      </c>
      <c r="D3" s="14">
        <f>C3-$C$4</f>
        <v>1623263484.224</v>
      </c>
      <c r="E3" s="14">
        <f t="shared" ref="E3:H3" si="1">D3-$C$4</f>
        <v>1217447613.168</v>
      </c>
      <c r="F3" s="14">
        <f t="shared" si="1"/>
        <v>811631742.11199999</v>
      </c>
      <c r="G3" s="14">
        <f t="shared" si="1"/>
        <v>405815871.05599999</v>
      </c>
      <c r="H3" s="14">
        <f t="shared" si="1"/>
        <v>0</v>
      </c>
      <c r="I3" s="14"/>
      <c r="J3" s="14"/>
      <c r="K3" s="14"/>
      <c r="N3">
        <v>2013</v>
      </c>
      <c r="O3" s="181">
        <v>1726670811.6800001</v>
      </c>
      <c r="P3" s="14"/>
      <c r="Q3" s="14"/>
      <c r="R3" s="14"/>
      <c r="S3" s="14"/>
    </row>
    <row r="4" spans="1:20" x14ac:dyDescent="0.35">
      <c r="A4" s="174"/>
      <c r="B4" t="s">
        <v>51</v>
      </c>
      <c r="C4" s="181">
        <f>C3/B2</f>
        <v>405815871.05599999</v>
      </c>
      <c r="D4" s="181"/>
      <c r="E4" s="181"/>
      <c r="N4">
        <v>2014</v>
      </c>
      <c r="O4" s="181">
        <v>422342499</v>
      </c>
    </row>
    <row r="5" spans="1:20" x14ac:dyDescent="0.35">
      <c r="A5" s="174"/>
      <c r="B5" t="s">
        <v>52</v>
      </c>
      <c r="C5" s="181">
        <f>(($C$3*'IRR Approved'!F4*6)/12)</f>
        <v>101453967.764</v>
      </c>
      <c r="D5" s="14">
        <f>AVERAGE(C3:D3)*'IRR Approved'!$F$4</f>
        <v>182617141.9752</v>
      </c>
      <c r="E5" s="14">
        <f>AVERAGE(D3:E3)*'IRR Approved'!$F$4</f>
        <v>142035554.86960003</v>
      </c>
      <c r="F5" s="14">
        <f>AVERAGE(E3:F3)*'IRR Approved'!$F$4</f>
        <v>101453967.764</v>
      </c>
      <c r="G5" s="14">
        <f>AVERAGE(F3:G3)*'IRR Approved'!$F$4</f>
        <v>60872380.658399999</v>
      </c>
      <c r="H5" s="14">
        <f>AVERAGE(G3:H3)*'IRR Approved'!$F$4</f>
        <v>20290793.5528</v>
      </c>
      <c r="I5" s="14"/>
      <c r="J5" s="14"/>
      <c r="K5" s="14"/>
      <c r="N5">
        <v>2016</v>
      </c>
      <c r="O5" s="181">
        <v>10773000</v>
      </c>
      <c r="P5" s="14"/>
      <c r="Q5" s="14"/>
      <c r="R5" s="14"/>
      <c r="S5" s="14"/>
      <c r="T5" s="14"/>
    </row>
    <row r="6" spans="1:20" x14ac:dyDescent="0.35">
      <c r="A6" s="180">
        <v>2021</v>
      </c>
      <c r="B6" t="s">
        <v>50</v>
      </c>
      <c r="C6" s="181"/>
      <c r="E6" s="14">
        <v>165679097.5</v>
      </c>
      <c r="F6" s="14">
        <f>E6-E7</f>
        <v>132543278</v>
      </c>
      <c r="G6" s="14">
        <f>F6-E7</f>
        <v>99407458.5</v>
      </c>
      <c r="H6" s="14">
        <f>G6-E7</f>
        <v>66271639</v>
      </c>
      <c r="I6" s="14">
        <f>H6-E7</f>
        <v>33135819.5</v>
      </c>
      <c r="J6" s="14"/>
      <c r="K6" s="14"/>
      <c r="N6">
        <v>2017</v>
      </c>
      <c r="O6" s="181">
        <v>102210600</v>
      </c>
    </row>
    <row r="7" spans="1:20" x14ac:dyDescent="0.35">
      <c r="A7" s="174"/>
      <c r="B7" t="s">
        <v>51</v>
      </c>
      <c r="C7" s="181"/>
      <c r="E7" s="14">
        <f>E6/B2</f>
        <v>33135819.5</v>
      </c>
      <c r="F7" s="14"/>
      <c r="G7" s="14"/>
      <c r="H7" s="14"/>
      <c r="I7" s="14"/>
      <c r="J7" s="14"/>
      <c r="K7" s="14"/>
    </row>
    <row r="8" spans="1:20" x14ac:dyDescent="0.35">
      <c r="A8" s="174"/>
      <c r="B8" t="s">
        <v>52</v>
      </c>
      <c r="C8" s="181"/>
      <c r="E8" s="181">
        <f>((E6*'IRR Approved'!F4*6)/12)</f>
        <v>8283954.875</v>
      </c>
      <c r="F8" s="14">
        <f>AVERAGE(E6:F6)*'IRR Approved'!$F$4</f>
        <v>14911118.775</v>
      </c>
      <c r="G8" s="14">
        <f>AVERAGE(F6:G6)*'IRR Approved'!$F$4</f>
        <v>11597536.825000001</v>
      </c>
      <c r="H8" s="14">
        <f>AVERAGE(G6:H6)*'IRR Approved'!$F$4</f>
        <v>8283954.875</v>
      </c>
      <c r="I8" s="14">
        <f>AVERAGE(H6:I6)*'IRR Approved'!$F$4</f>
        <v>4970372.9249999998</v>
      </c>
      <c r="J8" s="14">
        <f>AVERAGE(I6:J6)*'IRR Approved'!$F$4</f>
        <v>3313581.95</v>
      </c>
      <c r="K8" s="14"/>
    </row>
    <row r="9" spans="1:20" x14ac:dyDescent="0.35">
      <c r="C9" s="181"/>
      <c r="D9" s="14"/>
      <c r="E9" s="14"/>
      <c r="F9" s="14"/>
      <c r="G9" s="14"/>
      <c r="H9" s="14"/>
      <c r="I9" s="14"/>
      <c r="J9" s="14"/>
      <c r="K9" s="14"/>
    </row>
    <row r="10" spans="1:20" x14ac:dyDescent="0.35">
      <c r="A10" s="178"/>
      <c r="B10" s="182" t="s">
        <v>144</v>
      </c>
      <c r="C10" s="183">
        <f>C8+C5</f>
        <v>101453967.764</v>
      </c>
      <c r="D10" s="183">
        <f t="shared" ref="D10:M10" si="2">D8+D5</f>
        <v>182617141.9752</v>
      </c>
      <c r="E10" s="183">
        <f t="shared" si="2"/>
        <v>150319509.74460003</v>
      </c>
      <c r="F10" s="183">
        <f t="shared" si="2"/>
        <v>116365086.539</v>
      </c>
      <c r="G10" s="183">
        <f t="shared" si="2"/>
        <v>72469917.483400002</v>
      </c>
      <c r="H10" s="183">
        <f t="shared" si="2"/>
        <v>28574748.4278</v>
      </c>
      <c r="I10" s="183">
        <f t="shared" si="2"/>
        <v>4970372.9249999998</v>
      </c>
      <c r="J10" s="183">
        <f t="shared" si="2"/>
        <v>3313581.95</v>
      </c>
      <c r="K10" s="183">
        <f t="shared" si="2"/>
        <v>0</v>
      </c>
      <c r="L10" s="183">
        <f t="shared" si="2"/>
        <v>0</v>
      </c>
      <c r="M10" s="183">
        <f t="shared" si="2"/>
        <v>0</v>
      </c>
    </row>
    <row r="11" spans="1:20" x14ac:dyDescent="0.35">
      <c r="B11" s="181"/>
      <c r="C11" s="14"/>
      <c r="D11" s="14"/>
      <c r="E11" s="14"/>
      <c r="F11" s="14"/>
      <c r="G11" s="14"/>
      <c r="H11" s="14"/>
      <c r="I11" s="14"/>
      <c r="J11" s="14"/>
      <c r="K11" s="14"/>
    </row>
    <row r="14" spans="1:20" s="132" customFormat="1" x14ac:dyDescent="0.35"/>
    <row r="16" spans="1:20" x14ac:dyDescent="0.35">
      <c r="A16" t="s">
        <v>1</v>
      </c>
      <c r="B16" s="81">
        <v>50000000</v>
      </c>
      <c r="C16" s="14">
        <f>B16+C17</f>
        <v>51000000</v>
      </c>
      <c r="D16" s="14">
        <f>C16+D18</f>
        <v>52020000</v>
      </c>
      <c r="E16" s="14">
        <f t="shared" ref="E16:K16" si="3">D16+E18</f>
        <v>53060400</v>
      </c>
      <c r="F16" s="14">
        <f t="shared" si="3"/>
        <v>54121608</v>
      </c>
      <c r="G16" s="14">
        <f t="shared" si="3"/>
        <v>55204040.159999996</v>
      </c>
      <c r="H16" s="14">
        <f t="shared" si="3"/>
        <v>56308120.963199995</v>
      </c>
      <c r="I16" s="14">
        <f t="shared" si="3"/>
        <v>57434283.382463992</v>
      </c>
      <c r="J16" s="14">
        <f t="shared" si="3"/>
        <v>58582969.050113268</v>
      </c>
      <c r="K16" s="14">
        <f t="shared" si="3"/>
        <v>59754628.43111553</v>
      </c>
    </row>
    <row r="17" spans="1:11" x14ac:dyDescent="0.35">
      <c r="A17" s="76">
        <v>0.02</v>
      </c>
      <c r="C17" s="14">
        <f>C18</f>
        <v>1000000</v>
      </c>
      <c r="D17" s="14">
        <f>C17+D18</f>
        <v>2020000</v>
      </c>
      <c r="E17" s="14">
        <f t="shared" ref="E17:K17" si="4">D17+E18</f>
        <v>3060400</v>
      </c>
      <c r="F17" s="14">
        <f t="shared" si="4"/>
        <v>4121608</v>
      </c>
      <c r="G17" s="14">
        <f t="shared" si="4"/>
        <v>5204040.16</v>
      </c>
      <c r="H17" s="14">
        <f t="shared" si="4"/>
        <v>6308120.9632000001</v>
      </c>
      <c r="I17" s="14">
        <f t="shared" si="4"/>
        <v>7434283.382464</v>
      </c>
      <c r="J17" s="14">
        <f t="shared" si="4"/>
        <v>8582969.0501132794</v>
      </c>
      <c r="K17" s="14">
        <f t="shared" si="4"/>
        <v>9754628.4311155453</v>
      </c>
    </row>
    <row r="18" spans="1:11" x14ac:dyDescent="0.35">
      <c r="C18" s="14">
        <f>B16*$A$17</f>
        <v>1000000</v>
      </c>
      <c r="D18" s="14">
        <f>C16*$A$17</f>
        <v>1020000</v>
      </c>
      <c r="E18" s="14">
        <f t="shared" ref="E18:K18" si="5">D16*$A$17</f>
        <v>1040400</v>
      </c>
      <c r="F18" s="14">
        <f t="shared" si="5"/>
        <v>1061208</v>
      </c>
      <c r="G18" s="14">
        <f t="shared" si="5"/>
        <v>1082432.1599999999</v>
      </c>
      <c r="H18" s="14">
        <f t="shared" si="5"/>
        <v>1104080.8032</v>
      </c>
      <c r="I18" s="14">
        <f t="shared" si="5"/>
        <v>1126162.4192639999</v>
      </c>
      <c r="J18" s="14">
        <f t="shared" si="5"/>
        <v>1148685.6676492798</v>
      </c>
      <c r="K18" s="14">
        <f t="shared" si="5"/>
        <v>1171659.3810022655</v>
      </c>
    </row>
    <row r="19" spans="1:11" x14ac:dyDescent="0.35">
      <c r="F19" s="81"/>
    </row>
    <row r="21" spans="1:11" s="132" customFormat="1" x14ac:dyDescent="0.35"/>
    <row r="23" spans="1:11" x14ac:dyDescent="0.35">
      <c r="F23" s="119" t="s">
        <v>90</v>
      </c>
      <c r="G23" s="119" t="s">
        <v>91</v>
      </c>
      <c r="H23" s="119" t="s">
        <v>92</v>
      </c>
      <c r="I23" s="120" t="s">
        <v>93</v>
      </c>
      <c r="J23" s="248" t="s">
        <v>94</v>
      </c>
      <c r="K23" s="248" t="s">
        <v>95</v>
      </c>
    </row>
    <row r="24" spans="1:11" x14ac:dyDescent="0.35">
      <c r="E24" s="121" t="s">
        <v>96</v>
      </c>
      <c r="F24" s="122">
        <v>1</v>
      </c>
      <c r="G24" s="123">
        <v>1</v>
      </c>
      <c r="H24" s="123">
        <v>1</v>
      </c>
      <c r="I24" s="124">
        <v>266</v>
      </c>
      <c r="J24" s="248"/>
      <c r="K24" s="248"/>
    </row>
    <row r="25" spans="1:11" x14ac:dyDescent="0.35">
      <c r="B25" s="249" t="s">
        <v>97</v>
      </c>
      <c r="C25" s="125" t="s">
        <v>98</v>
      </c>
      <c r="D25" s="126">
        <f>C36</f>
        <v>3000000</v>
      </c>
      <c r="E25" s="125" t="s">
        <v>90</v>
      </c>
      <c r="F25" s="119">
        <f>F24</f>
        <v>1</v>
      </c>
      <c r="G25" s="119"/>
      <c r="H25" s="119"/>
      <c r="I25" s="120"/>
      <c r="J25" s="127">
        <f>F25*D25</f>
        <v>3000000</v>
      </c>
    </row>
    <row r="26" spans="1:11" x14ac:dyDescent="0.35">
      <c r="B26" s="250"/>
      <c r="C26" s="125" t="s">
        <v>99</v>
      </c>
      <c r="D26" s="128">
        <v>600000</v>
      </c>
      <c r="E26" s="125" t="s">
        <v>90</v>
      </c>
      <c r="F26" s="119">
        <f>F24</f>
        <v>1</v>
      </c>
      <c r="G26" s="119"/>
      <c r="H26" s="119"/>
      <c r="I26" s="120">
        <f>IF($I$16&lt;=120,2,IF($I$16&gt;220,4,3))</f>
        <v>4</v>
      </c>
      <c r="J26" s="128">
        <f>D26*F26</f>
        <v>600000</v>
      </c>
    </row>
    <row r="27" spans="1:11" x14ac:dyDescent="0.35">
      <c r="B27" s="251"/>
      <c r="C27" s="125" t="s">
        <v>97</v>
      </c>
      <c r="D27" s="128">
        <v>200000</v>
      </c>
      <c r="E27" s="125" t="s">
        <v>100</v>
      </c>
      <c r="F27" s="119"/>
      <c r="G27" s="119">
        <f>G24</f>
        <v>1</v>
      </c>
      <c r="H27" s="119"/>
      <c r="I27" s="120"/>
      <c r="J27" s="128">
        <f>G27*D27</f>
        <v>200000</v>
      </c>
    </row>
    <row r="28" spans="1:11" x14ac:dyDescent="0.35">
      <c r="B28" s="125" t="s">
        <v>101</v>
      </c>
      <c r="C28" s="125" t="s">
        <v>101</v>
      </c>
      <c r="D28" s="128">
        <v>450000</v>
      </c>
      <c r="E28" s="125" t="s">
        <v>92</v>
      </c>
      <c r="F28" s="119">
        <f>F24</f>
        <v>1</v>
      </c>
      <c r="G28" s="119"/>
      <c r="H28" s="119">
        <f>H24</f>
        <v>1</v>
      </c>
      <c r="I28" s="120">
        <f t="shared" ref="I28:I29" si="6">IF($I$16&lt;=120,2,IF($I$16&gt;220,4,3))</f>
        <v>4</v>
      </c>
      <c r="J28" s="128">
        <f>H28*D28*I28</f>
        <v>1800000</v>
      </c>
    </row>
    <row r="29" spans="1:11" x14ac:dyDescent="0.35">
      <c r="B29" s="125" t="s">
        <v>102</v>
      </c>
      <c r="C29" s="125" t="s">
        <v>102</v>
      </c>
      <c r="D29" s="128">
        <v>120000</v>
      </c>
      <c r="E29" s="125" t="s">
        <v>90</v>
      </c>
      <c r="F29" s="119">
        <f>F24</f>
        <v>1</v>
      </c>
      <c r="G29" s="119"/>
      <c r="H29" s="119"/>
      <c r="I29" s="120">
        <f t="shared" si="6"/>
        <v>4</v>
      </c>
      <c r="J29" s="128">
        <f>I29*D29*F29</f>
        <v>480000</v>
      </c>
    </row>
    <row r="30" spans="1:11" x14ac:dyDescent="0.35">
      <c r="J30" s="129">
        <f>SUM(J25:J29)</f>
        <v>6080000</v>
      </c>
      <c r="K30" s="130">
        <f>J30*2</f>
        <v>12160000</v>
      </c>
    </row>
    <row r="32" spans="1:11" s="132" customFormat="1" x14ac:dyDescent="0.35"/>
    <row r="33" spans="1:11" x14ac:dyDescent="0.35">
      <c r="K33" s="14"/>
    </row>
    <row r="34" spans="1:11" x14ac:dyDescent="0.35">
      <c r="B34" s="119" t="s">
        <v>103</v>
      </c>
      <c r="C34" s="119" t="s">
        <v>98</v>
      </c>
      <c r="E34" s="125" t="s">
        <v>104</v>
      </c>
      <c r="K34" s="37"/>
    </row>
    <row r="35" spans="1:11" x14ac:dyDescent="0.35">
      <c r="A35" t="s">
        <v>105</v>
      </c>
      <c r="B35" s="81">
        <v>16800000</v>
      </c>
      <c r="C35" s="81">
        <v>4000000</v>
      </c>
      <c r="D35" s="14"/>
      <c r="E35" t="s">
        <v>106</v>
      </c>
      <c r="K35" s="14"/>
    </row>
    <row r="36" spans="1:11" x14ac:dyDescent="0.35">
      <c r="A36" t="s">
        <v>107</v>
      </c>
      <c r="B36" s="81"/>
      <c r="C36" s="81">
        <v>3000000</v>
      </c>
      <c r="E36" t="s">
        <v>108</v>
      </c>
      <c r="I36" s="81">
        <v>10000000</v>
      </c>
    </row>
    <row r="37" spans="1:11" x14ac:dyDescent="0.35">
      <c r="A37" t="s">
        <v>109</v>
      </c>
      <c r="B37" s="81">
        <v>15600000</v>
      </c>
      <c r="C37" s="81">
        <v>2500000</v>
      </c>
      <c r="D37" s="14"/>
      <c r="E37" t="s">
        <v>108</v>
      </c>
      <c r="H37" t="s">
        <v>110</v>
      </c>
      <c r="I37" s="81">
        <v>12000000</v>
      </c>
    </row>
    <row r="38" spans="1:11" x14ac:dyDescent="0.35">
      <c r="A38" t="s">
        <v>111</v>
      </c>
      <c r="B38" s="81">
        <v>15000000</v>
      </c>
      <c r="C38" s="81">
        <v>2000000</v>
      </c>
      <c r="D38" s="14"/>
      <c r="E38" t="s">
        <v>108</v>
      </c>
      <c r="H38" t="s">
        <v>112</v>
      </c>
      <c r="I38" s="81">
        <v>14000000</v>
      </c>
    </row>
    <row r="39" spans="1:11" x14ac:dyDescent="0.35">
      <c r="A39" t="s">
        <v>113</v>
      </c>
      <c r="B39" s="81">
        <v>15000000</v>
      </c>
      <c r="C39" s="81">
        <v>1850000</v>
      </c>
      <c r="D39" s="14"/>
      <c r="E39" t="s">
        <v>108</v>
      </c>
      <c r="H39" t="s">
        <v>114</v>
      </c>
      <c r="I39" s="81">
        <v>14000000</v>
      </c>
    </row>
    <row r="40" spans="1:11" x14ac:dyDescent="0.35">
      <c r="A40" t="s">
        <v>115</v>
      </c>
      <c r="B40" s="81">
        <v>12000000</v>
      </c>
      <c r="C40" s="81">
        <v>1200000</v>
      </c>
      <c r="D40" s="14"/>
      <c r="E40" t="s">
        <v>108</v>
      </c>
      <c r="H40" t="s">
        <v>105</v>
      </c>
      <c r="I40" s="81">
        <v>17000000</v>
      </c>
    </row>
    <row r="41" spans="1:11" x14ac:dyDescent="0.35">
      <c r="A41" t="s">
        <v>116</v>
      </c>
      <c r="B41" s="81">
        <v>16800000</v>
      </c>
      <c r="C41" s="81">
        <v>2000000</v>
      </c>
      <c r="D41" s="14"/>
      <c r="E41" t="s">
        <v>108</v>
      </c>
      <c r="H41" t="s">
        <v>116</v>
      </c>
      <c r="I41" s="81">
        <v>14000000</v>
      </c>
    </row>
    <row r="42" spans="1:11" x14ac:dyDescent="0.35">
      <c r="A42" t="s">
        <v>117</v>
      </c>
      <c r="B42" s="81">
        <v>15720000</v>
      </c>
      <c r="C42" s="81">
        <v>3500000</v>
      </c>
      <c r="D42" s="14"/>
    </row>
    <row r="43" spans="1:11" x14ac:dyDescent="0.35">
      <c r="A43" t="s">
        <v>118</v>
      </c>
      <c r="C43" s="81">
        <v>2800000</v>
      </c>
      <c r="D43" s="14"/>
    </row>
    <row r="44" spans="1:11" x14ac:dyDescent="0.35">
      <c r="A44" t="s">
        <v>119</v>
      </c>
      <c r="B44">
        <v>0</v>
      </c>
      <c r="C44" s="81">
        <v>0</v>
      </c>
      <c r="D44" t="s">
        <v>120</v>
      </c>
    </row>
    <row r="46" spans="1:11" x14ac:dyDescent="0.35">
      <c r="B46" s="119" t="s">
        <v>121</v>
      </c>
      <c r="C46" s="119"/>
    </row>
    <row r="47" spans="1:11" x14ac:dyDescent="0.35">
      <c r="B47" s="81">
        <v>7000000</v>
      </c>
      <c r="D47" s="14">
        <f>B47/12</f>
        <v>583333.33333333337</v>
      </c>
    </row>
    <row r="48" spans="1:11" x14ac:dyDescent="0.35">
      <c r="B48" s="81"/>
      <c r="D48" s="14"/>
    </row>
    <row r="50" spans="1:3" s="132" customFormat="1" x14ac:dyDescent="0.35"/>
    <row r="52" spans="1:3" x14ac:dyDescent="0.35">
      <c r="A52" s="125" t="s">
        <v>122</v>
      </c>
      <c r="B52" s="14"/>
    </row>
    <row r="53" spans="1:3" x14ac:dyDescent="0.35">
      <c r="A53" t="s">
        <v>123</v>
      </c>
    </row>
    <row r="54" spans="1:3" x14ac:dyDescent="0.35">
      <c r="A54" t="s">
        <v>124</v>
      </c>
      <c r="B54" s="81">
        <v>36000000</v>
      </c>
    </row>
    <row r="55" spans="1:3" x14ac:dyDescent="0.35">
      <c r="A55" t="s">
        <v>125</v>
      </c>
      <c r="B55" s="81">
        <v>42000000</v>
      </c>
    </row>
    <row r="56" spans="1:3" x14ac:dyDescent="0.35">
      <c r="A56" t="s">
        <v>126</v>
      </c>
      <c r="B56" s="81">
        <v>48000000</v>
      </c>
      <c r="C56" s="14">
        <f>B56/12</f>
        <v>4000000</v>
      </c>
    </row>
    <row r="58" spans="1:3" x14ac:dyDescent="0.35">
      <c r="A58" t="s">
        <v>127</v>
      </c>
    </row>
    <row r="59" spans="1:3" x14ac:dyDescent="0.35">
      <c r="A59" t="s">
        <v>128</v>
      </c>
      <c r="B59" s="81">
        <v>75000000</v>
      </c>
    </row>
    <row r="60" spans="1:3" x14ac:dyDescent="0.35">
      <c r="A60" t="s">
        <v>126</v>
      </c>
      <c r="B60" s="81">
        <v>95000000</v>
      </c>
    </row>
  </sheetData>
  <mergeCells count="3">
    <mergeCell ref="J23:J24"/>
    <mergeCell ref="K23:K24"/>
    <mergeCell ref="B25:B27"/>
  </mergeCells>
  <phoneticPr fontId="28" type="noConversion"/>
  <conditionalFormatting sqref="C5:K5 C6:C8 E6:K8">
    <cfRule type="cellIs" dxfId="2" priority="5" operator="lessThan">
      <formula>0</formula>
    </cfRule>
  </conditionalFormatting>
  <conditionalFormatting sqref="B11:K11 C9:K9 O5:S5 C10:M10">
    <cfRule type="cellIs" dxfId="1" priority="4" operator="lessThan">
      <formula>0</formula>
    </cfRule>
  </conditionalFormatting>
  <conditionalFormatting sqref="T5">
    <cfRule type="cellIs" dxfId="0" priority="3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01FA5-ABB4-45D8-9E76-741BFDE3795B}">
  <sheetPr>
    <pageSetUpPr fitToPage="1"/>
  </sheetPr>
  <dimension ref="A1:D18"/>
  <sheetViews>
    <sheetView workbookViewId="0">
      <selection sqref="A1:D18"/>
    </sheetView>
  </sheetViews>
  <sheetFormatPr defaultColWidth="8.83203125" defaultRowHeight="14.5" x14ac:dyDescent="0.35"/>
  <cols>
    <col min="1" max="1" width="4.58203125" style="186" customWidth="1"/>
    <col min="2" max="2" width="21.4140625" style="186" bestFit="1" customWidth="1"/>
    <col min="3" max="3" width="36.08203125" style="186" customWidth="1"/>
    <col min="4" max="4" width="35.08203125" style="186" customWidth="1"/>
    <col min="5" max="5" width="9.5" style="186" bestFit="1" customWidth="1"/>
    <col min="6" max="16384" width="8.83203125" style="186"/>
  </cols>
  <sheetData>
    <row r="1" spans="1:4" ht="21" x14ac:dyDescent="0.5">
      <c r="A1" s="184"/>
      <c r="B1" s="184"/>
      <c r="C1" s="185" t="s">
        <v>145</v>
      </c>
      <c r="D1" s="184"/>
    </row>
    <row r="2" spans="1:4" x14ac:dyDescent="0.35">
      <c r="A2" s="184"/>
      <c r="B2" s="184"/>
      <c r="C2" s="184"/>
      <c r="D2" s="184"/>
    </row>
    <row r="3" spans="1:4" x14ac:dyDescent="0.35">
      <c r="A3" s="187" t="s">
        <v>146</v>
      </c>
      <c r="B3" s="187"/>
      <c r="C3" s="187" t="s">
        <v>175</v>
      </c>
      <c r="D3" s="184"/>
    </row>
    <row r="4" spans="1:4" x14ac:dyDescent="0.35">
      <c r="A4" s="187" t="s">
        <v>147</v>
      </c>
      <c r="B4" s="187"/>
      <c r="C4" s="187" t="s">
        <v>176</v>
      </c>
      <c r="D4" s="184"/>
    </row>
    <row r="5" spans="1:4" x14ac:dyDescent="0.35">
      <c r="A5" s="187" t="s">
        <v>148</v>
      </c>
      <c r="B5" s="187"/>
      <c r="C5" s="187" t="s">
        <v>177</v>
      </c>
      <c r="D5" s="184"/>
    </row>
    <row r="6" spans="1:4" x14ac:dyDescent="0.35">
      <c r="A6" s="187" t="s">
        <v>149</v>
      </c>
      <c r="B6" s="187"/>
      <c r="C6" s="187" t="s">
        <v>178</v>
      </c>
      <c r="D6" s="184"/>
    </row>
    <row r="7" spans="1:4" x14ac:dyDescent="0.35">
      <c r="A7" s="187" t="s">
        <v>150</v>
      </c>
      <c r="B7" s="187"/>
      <c r="C7" s="187" t="s">
        <v>179</v>
      </c>
      <c r="D7" s="184"/>
    </row>
    <row r="8" spans="1:4" x14ac:dyDescent="0.35">
      <c r="A8" s="184"/>
      <c r="B8" s="184"/>
      <c r="C8" s="184"/>
      <c r="D8" s="184"/>
    </row>
    <row r="9" spans="1:4" x14ac:dyDescent="0.35">
      <c r="A9" s="254" t="s">
        <v>151</v>
      </c>
      <c r="B9" s="255" t="s">
        <v>152</v>
      </c>
      <c r="C9" s="255" t="s">
        <v>153</v>
      </c>
      <c r="D9" s="255" t="s">
        <v>133</v>
      </c>
    </row>
    <row r="10" spans="1:4" x14ac:dyDescent="0.35">
      <c r="A10" s="254"/>
      <c r="B10" s="256"/>
      <c r="C10" s="256"/>
      <c r="D10" s="256"/>
    </row>
    <row r="11" spans="1:4" x14ac:dyDescent="0.35">
      <c r="A11" s="188" t="s">
        <v>154</v>
      </c>
      <c r="B11" s="189" t="s">
        <v>155</v>
      </c>
      <c r="C11" s="190" t="s">
        <v>67</v>
      </c>
      <c r="D11" s="189" t="s">
        <v>67</v>
      </c>
    </row>
    <row r="12" spans="1:4" x14ac:dyDescent="0.35">
      <c r="A12" s="188" t="s">
        <v>156</v>
      </c>
      <c r="B12" s="189" t="s">
        <v>157</v>
      </c>
      <c r="C12" s="191" t="s">
        <v>181</v>
      </c>
      <c r="D12" s="191" t="s">
        <v>181</v>
      </c>
    </row>
    <row r="13" spans="1:4" x14ac:dyDescent="0.35">
      <c r="A13" s="188" t="s">
        <v>158</v>
      </c>
      <c r="B13" s="189" t="s">
        <v>159</v>
      </c>
      <c r="C13" s="222" t="s">
        <v>201</v>
      </c>
      <c r="D13" s="189"/>
    </row>
    <row r="14" spans="1:4" x14ac:dyDescent="0.35">
      <c r="A14" s="194"/>
      <c r="B14" s="189"/>
      <c r="C14" s="190" t="s">
        <v>200</v>
      </c>
      <c r="D14" s="189" t="s">
        <v>199</v>
      </c>
    </row>
    <row r="15" spans="1:4" ht="15.5" x14ac:dyDescent="0.35">
      <c r="A15" s="257">
        <v>4</v>
      </c>
      <c r="B15" s="189" t="s">
        <v>160</v>
      </c>
      <c r="C15" s="192">
        <v>694444444</v>
      </c>
      <c r="D15" s="193">
        <v>80000000</v>
      </c>
    </row>
    <row r="16" spans="1:4" ht="15.5" x14ac:dyDescent="0.35">
      <c r="A16" s="258"/>
      <c r="B16" s="189" t="s">
        <v>202</v>
      </c>
      <c r="C16" s="192">
        <f>C15/3044*365</f>
        <v>83269455.341655716</v>
      </c>
      <c r="D16" s="193">
        <v>40000000</v>
      </c>
    </row>
    <row r="17" spans="1:4" x14ac:dyDescent="0.35">
      <c r="A17" s="194">
        <v>5</v>
      </c>
      <c r="B17" s="195" t="s">
        <v>161</v>
      </c>
      <c r="C17" s="190" t="s">
        <v>180</v>
      </c>
      <c r="D17" s="189" t="s">
        <v>180</v>
      </c>
    </row>
    <row r="18" spans="1:4" x14ac:dyDescent="0.35">
      <c r="A18" s="188" t="s">
        <v>162</v>
      </c>
      <c r="B18" s="189" t="s">
        <v>163</v>
      </c>
      <c r="C18" s="252" t="s">
        <v>203</v>
      </c>
      <c r="D18" s="253"/>
    </row>
  </sheetData>
  <mergeCells count="6">
    <mergeCell ref="C18:D18"/>
    <mergeCell ref="A9:A10"/>
    <mergeCell ref="B9:B10"/>
    <mergeCell ref="C9:C10"/>
    <mergeCell ref="D9:D10"/>
    <mergeCell ref="A15:A16"/>
  </mergeCells>
  <pageMargins left="0.16" right="0.21" top="0.75" bottom="0.75" header="0.3" footer="0.3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877A0-ECD6-4B8E-925F-44CB46183EAB}">
  <sheetPr>
    <pageSetUpPr fitToPage="1"/>
  </sheetPr>
  <dimension ref="A2:M20"/>
  <sheetViews>
    <sheetView workbookViewId="0">
      <selection activeCell="A2" sqref="A2:F2"/>
    </sheetView>
  </sheetViews>
  <sheetFormatPr defaultColWidth="8.83203125" defaultRowHeight="14.5" x14ac:dyDescent="0.35"/>
  <cols>
    <col min="1" max="1" width="24.4140625" style="203" customWidth="1"/>
    <col min="2" max="2" width="11.58203125" style="203" customWidth="1"/>
    <col min="3" max="3" width="12.58203125" style="203" customWidth="1"/>
    <col min="4" max="4" width="8" style="203" customWidth="1"/>
    <col min="5" max="5" width="14.5" style="203" bestFit="1" customWidth="1"/>
    <col min="6" max="6" width="12.9140625" style="203" bestFit="1" customWidth="1"/>
    <col min="7" max="16384" width="8.83203125" style="203"/>
  </cols>
  <sheetData>
    <row r="2" spans="1:13" x14ac:dyDescent="0.35">
      <c r="A2" s="259" t="s">
        <v>193</v>
      </c>
      <c r="B2" s="259"/>
      <c r="C2" s="259"/>
      <c r="D2" s="259"/>
      <c r="E2" s="259"/>
      <c r="F2" s="259"/>
      <c r="G2" s="184"/>
      <c r="H2" s="184"/>
      <c r="I2" s="184"/>
      <c r="J2" s="184"/>
      <c r="K2" s="184"/>
      <c r="L2" s="184"/>
      <c r="M2" s="184"/>
    </row>
    <row r="3" spans="1:13" x14ac:dyDescent="0.35">
      <c r="A3" s="204" t="s">
        <v>182</v>
      </c>
      <c r="B3" s="204" t="s">
        <v>183</v>
      </c>
      <c r="C3" s="204" t="s">
        <v>184</v>
      </c>
      <c r="D3" s="205"/>
      <c r="G3" s="184"/>
      <c r="H3" s="184"/>
      <c r="I3" s="184"/>
      <c r="J3" s="184"/>
      <c r="K3" s="184"/>
      <c r="L3" s="184"/>
      <c r="M3" s="184"/>
    </row>
    <row r="4" spans="1:13" x14ac:dyDescent="0.35">
      <c r="A4" s="189" t="s">
        <v>185</v>
      </c>
      <c r="B4" s="206">
        <v>43733</v>
      </c>
      <c r="C4" s="206">
        <v>45559</v>
      </c>
      <c r="D4" s="207"/>
      <c r="E4" s="208"/>
      <c r="F4" s="208"/>
      <c r="G4" s="184"/>
      <c r="H4" s="184"/>
      <c r="I4" s="184"/>
      <c r="J4" s="184"/>
      <c r="K4" s="184"/>
      <c r="L4" s="184"/>
      <c r="M4" s="184"/>
    </row>
    <row r="5" spans="1:13" x14ac:dyDescent="0.35">
      <c r="A5" s="189" t="s">
        <v>186</v>
      </c>
      <c r="B5" s="206">
        <v>45346</v>
      </c>
      <c r="C5" s="206">
        <v>46076</v>
      </c>
      <c r="D5" s="207"/>
      <c r="G5" s="184"/>
      <c r="H5" s="184"/>
      <c r="I5" s="184"/>
      <c r="J5" s="184"/>
      <c r="K5" s="184"/>
      <c r="L5" s="184"/>
      <c r="M5" s="184"/>
    </row>
    <row r="6" spans="1:13" x14ac:dyDescent="0.35">
      <c r="A6" s="184"/>
      <c r="G6" s="184"/>
      <c r="H6" s="184"/>
      <c r="I6" s="184"/>
      <c r="J6" s="184"/>
      <c r="K6" s="184"/>
      <c r="L6" s="184"/>
      <c r="M6" s="184"/>
    </row>
    <row r="7" spans="1:13" x14ac:dyDescent="0.35">
      <c r="A7" s="184"/>
      <c r="B7" s="204" t="s">
        <v>183</v>
      </c>
      <c r="C7" s="204" t="s">
        <v>184</v>
      </c>
      <c r="D7" s="204" t="s">
        <v>187</v>
      </c>
      <c r="E7" s="207"/>
      <c r="F7" s="207"/>
      <c r="G7" s="184"/>
      <c r="H7" s="184"/>
      <c r="I7" s="184"/>
      <c r="J7" s="184"/>
      <c r="K7" s="184"/>
      <c r="L7" s="184"/>
      <c r="M7" s="184"/>
    </row>
    <row r="8" spans="1:13" hidden="1" x14ac:dyDescent="0.35">
      <c r="A8" s="184" t="s">
        <v>188</v>
      </c>
      <c r="B8" s="184"/>
      <c r="C8" s="184"/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idden="1" x14ac:dyDescent="0.35">
      <c r="A9" s="184" t="s">
        <v>185</v>
      </c>
      <c r="B9" s="209">
        <v>45346</v>
      </c>
      <c r="C9" s="209">
        <v>45559</v>
      </c>
      <c r="D9" s="210">
        <f t="shared" ref="D9:D11" si="0">C9-B9</f>
        <v>213</v>
      </c>
      <c r="E9" s="211">
        <v>150000000</v>
      </c>
      <c r="F9" s="212">
        <f>E9*D9/365</f>
        <v>87534246.575342461</v>
      </c>
      <c r="G9" s="184"/>
      <c r="H9" s="184"/>
      <c r="I9" s="184"/>
      <c r="J9" s="184"/>
      <c r="K9" s="184"/>
      <c r="L9" s="184"/>
      <c r="M9" s="184"/>
    </row>
    <row r="10" spans="1:13" hidden="1" x14ac:dyDescent="0.35">
      <c r="A10" s="184" t="s">
        <v>189</v>
      </c>
      <c r="B10" s="209">
        <v>45346</v>
      </c>
      <c r="C10" s="209">
        <v>47172</v>
      </c>
      <c r="D10" s="210">
        <f t="shared" si="0"/>
        <v>1826</v>
      </c>
      <c r="E10" s="211">
        <f>275000000/5</f>
        <v>55000000</v>
      </c>
      <c r="F10" s="212">
        <f>-E10/365*D10</f>
        <v>-275150684.93150681</v>
      </c>
      <c r="G10" s="184"/>
      <c r="H10" s="184"/>
      <c r="I10" s="184"/>
      <c r="J10" s="184"/>
      <c r="K10" s="184"/>
      <c r="L10" s="184"/>
      <c r="M10" s="184"/>
    </row>
    <row r="11" spans="1:13" hidden="1" x14ac:dyDescent="0.35">
      <c r="A11" s="184" t="s">
        <v>190</v>
      </c>
      <c r="B11" s="209">
        <v>45346</v>
      </c>
      <c r="C11" s="209">
        <v>45559</v>
      </c>
      <c r="D11" s="210">
        <f t="shared" si="0"/>
        <v>213</v>
      </c>
      <c r="E11" s="211">
        <v>7000000</v>
      </c>
      <c r="F11" s="212">
        <f>-E11/365*D11</f>
        <v>-4084931.506849315</v>
      </c>
      <c r="G11" s="184"/>
      <c r="H11" s="184"/>
      <c r="I11" s="184"/>
      <c r="J11" s="184"/>
      <c r="K11" s="184"/>
      <c r="L11" s="184"/>
      <c r="M11" s="184"/>
    </row>
    <row r="12" spans="1:13" hidden="1" x14ac:dyDescent="0.35">
      <c r="A12" s="184" t="s">
        <v>191</v>
      </c>
      <c r="B12" s="184"/>
      <c r="C12" s="184"/>
      <c r="D12" s="184"/>
      <c r="E12" s="213">
        <v>100000000</v>
      </c>
      <c r="F12" s="214"/>
      <c r="G12" s="184"/>
      <c r="H12" s="184"/>
      <c r="I12" s="184"/>
      <c r="J12" s="184"/>
      <c r="K12" s="184"/>
      <c r="L12" s="184"/>
      <c r="M12" s="184"/>
    </row>
    <row r="13" spans="1:13" hidden="1" x14ac:dyDescent="0.35">
      <c r="A13" s="184" t="s">
        <v>192</v>
      </c>
      <c r="B13" s="184"/>
      <c r="C13" s="184"/>
      <c r="D13" s="184"/>
      <c r="E13" s="184"/>
      <c r="F13" s="212">
        <f>SUM(F9:F12)</f>
        <v>-191701369.86301365</v>
      </c>
      <c r="G13" s="184"/>
      <c r="H13" s="184"/>
      <c r="I13" s="184"/>
      <c r="J13" s="184"/>
      <c r="K13" s="184"/>
      <c r="L13" s="184"/>
      <c r="M13" s="184"/>
    </row>
    <row r="15" spans="1:13" x14ac:dyDescent="0.35">
      <c r="A15" s="184" t="s">
        <v>204</v>
      </c>
      <c r="B15" s="184"/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x14ac:dyDescent="0.35">
      <c r="A16" s="184" t="s">
        <v>185</v>
      </c>
      <c r="B16" s="209">
        <v>45346</v>
      </c>
      <c r="C16" s="209">
        <v>45559</v>
      </c>
      <c r="D16" s="210">
        <f t="shared" ref="D16:D18" si="1">C16-B16</f>
        <v>213</v>
      </c>
      <c r="E16" s="211">
        <v>150000000</v>
      </c>
      <c r="F16" s="212">
        <f>E16*D16/365</f>
        <v>87534246.575342461</v>
      </c>
      <c r="G16" s="184"/>
      <c r="H16" s="184"/>
      <c r="I16" s="184"/>
      <c r="J16" s="184"/>
      <c r="K16" s="184"/>
      <c r="L16" s="184"/>
      <c r="M16" s="184"/>
    </row>
    <row r="17" spans="1:13" x14ac:dyDescent="0.35">
      <c r="A17" s="184" t="s">
        <v>189</v>
      </c>
      <c r="B17" s="209">
        <v>45346</v>
      </c>
      <c r="C17" s="209">
        <v>46076</v>
      </c>
      <c r="D17" s="210">
        <f t="shared" si="1"/>
        <v>730</v>
      </c>
      <c r="E17" s="211">
        <v>40000000</v>
      </c>
      <c r="F17" s="212">
        <f>-E17/365*D17</f>
        <v>-80000000</v>
      </c>
      <c r="G17" s="184"/>
      <c r="H17" s="184"/>
      <c r="I17" s="184"/>
      <c r="J17" s="184"/>
      <c r="K17" s="184"/>
      <c r="L17" s="184"/>
      <c r="M17" s="184"/>
    </row>
    <row r="18" spans="1:13" x14ac:dyDescent="0.35">
      <c r="A18" s="184" t="s">
        <v>190</v>
      </c>
      <c r="B18" s="209">
        <v>45346</v>
      </c>
      <c r="C18" s="209">
        <v>45559</v>
      </c>
      <c r="D18" s="210">
        <f t="shared" si="1"/>
        <v>213</v>
      </c>
      <c r="E18" s="211">
        <v>7000000</v>
      </c>
      <c r="F18" s="212">
        <f>-E18/365*D18</f>
        <v>-4084931.506849315</v>
      </c>
      <c r="G18" s="184"/>
      <c r="H18" s="184"/>
      <c r="I18" s="184"/>
      <c r="J18" s="184"/>
      <c r="K18" s="184"/>
      <c r="L18" s="184"/>
      <c r="M18" s="184"/>
    </row>
    <row r="19" spans="1:13" x14ac:dyDescent="0.35">
      <c r="A19" s="184" t="s">
        <v>191</v>
      </c>
      <c r="B19" s="184"/>
      <c r="C19" s="184"/>
      <c r="D19" s="184"/>
      <c r="E19" s="213">
        <v>100000000</v>
      </c>
      <c r="F19" s="214"/>
      <c r="G19" s="184"/>
      <c r="H19" s="184"/>
      <c r="I19" s="184"/>
      <c r="J19" s="184"/>
      <c r="K19" s="184"/>
      <c r="L19" s="184"/>
      <c r="M19" s="184"/>
    </row>
    <row r="20" spans="1:13" x14ac:dyDescent="0.35">
      <c r="A20" s="184" t="s">
        <v>192</v>
      </c>
      <c r="B20" s="184"/>
      <c r="C20" s="184"/>
      <c r="D20" s="184"/>
      <c r="E20" s="184"/>
      <c r="F20" s="212">
        <f>SUM(F16:F19)</f>
        <v>3449315.0684931464</v>
      </c>
      <c r="G20" s="184"/>
      <c r="H20" s="184"/>
      <c r="I20" s="184"/>
      <c r="J20" s="184"/>
      <c r="K20" s="184"/>
      <c r="L20" s="184"/>
      <c r="M20" s="184"/>
    </row>
  </sheetData>
  <mergeCells count="1">
    <mergeCell ref="A2:F2"/>
  </mergeCells>
  <pageMargins left="0.36" right="0.23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 Approved</vt:lpstr>
      <vt:lpstr>PARAMETER</vt:lpstr>
      <vt:lpstr>SummaryBR</vt:lpstr>
      <vt:lpstr>Analisa</vt:lpstr>
      <vt:lpstr>Analisa!Print_Area</vt:lpstr>
      <vt:lpstr>'IRR Approved'!Print_Area</vt:lpstr>
      <vt:lpstr>Summary!Print_Area</vt:lpstr>
      <vt:lpstr>SummaryBR!Print_Area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2024-04-25T04:03:13Z</cp:lastPrinted>
  <dcterms:created xsi:type="dcterms:W3CDTF">2020-06-08T08:40:20Z</dcterms:created>
  <dcterms:modified xsi:type="dcterms:W3CDTF">2024-04-30T07:42:13Z</dcterms:modified>
</cp:coreProperties>
</file>