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BUDGET\IRR\IBC\IBC Confirm\IRR Harris Gading\"/>
    </mc:Choice>
  </mc:AlternateContent>
  <xr:revisionPtr revIDLastSave="0" documentId="13_ncr:1_{F38E6CA3-A43C-4C5D-9F55-94CF8B67EF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mmary" sheetId="4" r:id="rId1"/>
    <sheet name="IRR" sheetId="1" r:id="rId2"/>
    <sheet name="Parameter Interest" sheetId="2" r:id="rId3"/>
    <sheet name="Book Value" sheetId="8" r:id="rId4"/>
    <sheet name="Summary BR" sheetId="9" r:id="rId5"/>
    <sheet name="Analisa" sheetId="10" r:id="rId6"/>
  </sheets>
  <externalReferences>
    <externalReference r:id="rId7"/>
    <externalReference r:id="rId8"/>
    <externalReference r:id="rId9"/>
  </externalReferences>
  <definedNames>
    <definedName name="jk" localSheetId="5">#REF!</definedName>
    <definedName name="jk" localSheetId="4">#REF!</definedName>
    <definedName name="jk">#REF!</definedName>
    <definedName name="_xlnm.Print_Area" localSheetId="5">Analisa!$A$2:$F$14</definedName>
    <definedName name="_xlnm.Print_Area" localSheetId="1">IRR!$A$1:$L$51</definedName>
    <definedName name="_xlnm.Print_Area" localSheetId="0">Summary!$B$1:$N$34</definedName>
    <definedName name="_xlnm.Print_Area" localSheetId="4">'Summary BR'!$A$1:$D$18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4" l="1"/>
  <c r="M12" i="4" l="1"/>
  <c r="E24" i="10"/>
  <c r="C16" i="2"/>
  <c r="L14" i="2"/>
  <c r="I11" i="2"/>
  <c r="I10" i="2"/>
  <c r="D8" i="2"/>
  <c r="D16" i="2" s="1"/>
  <c r="C5" i="2" l="1"/>
  <c r="L13" i="2"/>
  <c r="M12" i="2" s="1"/>
  <c r="J9" i="2"/>
  <c r="D7" i="2"/>
  <c r="E6" i="2" s="1"/>
  <c r="C4" i="2"/>
  <c r="D3" i="2" s="1"/>
  <c r="D2" i="2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M14" i="2" l="1"/>
  <c r="J11" i="2"/>
  <c r="J16" i="2" s="1"/>
  <c r="N12" i="2"/>
  <c r="E8" i="2"/>
  <c r="E16" i="2" s="1"/>
  <c r="F6" i="2"/>
  <c r="K9" i="2"/>
  <c r="D5" i="2"/>
  <c r="E3" i="2"/>
  <c r="O12" i="2"/>
  <c r="O14" i="2" l="1"/>
  <c r="O16" i="2" s="1"/>
  <c r="I30" i="1" s="1"/>
  <c r="N14" i="2"/>
  <c r="F8" i="2"/>
  <c r="F16" i="2" s="1"/>
  <c r="K11" i="2"/>
  <c r="K16" i="2" s="1"/>
  <c r="F3" i="2"/>
  <c r="F5" i="2" s="1"/>
  <c r="G6" i="2"/>
  <c r="E5" i="2"/>
  <c r="L9" i="2"/>
  <c r="P12" i="2"/>
  <c r="P14" i="2" l="1"/>
  <c r="P16" i="2" s="1"/>
  <c r="J30" i="1" s="1"/>
  <c r="L11" i="2"/>
  <c r="L16" i="2" s="1"/>
  <c r="G8" i="2"/>
  <c r="G16" i="2" s="1"/>
  <c r="Q12" i="2"/>
  <c r="Q14" i="2" s="1"/>
  <c r="Q16" i="2" s="1"/>
  <c r="K30" i="1" s="1"/>
  <c r="M9" i="2"/>
  <c r="M11" i="2" s="1"/>
  <c r="M16" i="2" s="1"/>
  <c r="G30" i="1" s="1"/>
  <c r="H6" i="2"/>
  <c r="I8" i="2" s="1"/>
  <c r="I16" i="2" s="1"/>
  <c r="G3" i="2"/>
  <c r="G5" i="2" s="1"/>
  <c r="H8" i="2" l="1"/>
  <c r="H16" i="2" s="1"/>
  <c r="H3" i="2"/>
  <c r="N9" i="2"/>
  <c r="N11" i="2" s="1"/>
  <c r="N16" i="2" s="1"/>
  <c r="H30" i="1" s="1"/>
  <c r="I3" i="2" l="1"/>
  <c r="H5" i="2"/>
  <c r="J3" i="2" l="1"/>
  <c r="J5" i="2" s="1"/>
  <c r="I5" i="2"/>
  <c r="G10" i="1" l="1"/>
  <c r="G22" i="1"/>
  <c r="D9" i="10"/>
  <c r="F9" i="10" s="1"/>
  <c r="D11" i="10"/>
  <c r="F11" i="10" s="1"/>
  <c r="D10" i="10"/>
  <c r="F10" i="10" l="1"/>
  <c r="F13" i="10" s="1"/>
  <c r="D5" i="8" l="1"/>
  <c r="D8" i="8" s="1"/>
  <c r="E5" i="8"/>
  <c r="E8" i="8" s="1"/>
  <c r="F5" i="8"/>
  <c r="F8" i="8" s="1"/>
  <c r="E6" i="8"/>
  <c r="E9" i="8" s="1"/>
  <c r="D9" i="8"/>
  <c r="F9" i="8"/>
  <c r="H22" i="1" l="1"/>
  <c r="I22" i="1"/>
  <c r="J22" i="1"/>
  <c r="K22" i="1"/>
  <c r="L16" i="1" l="1"/>
  <c r="L20" i="1"/>
  <c r="M13" i="4" s="1"/>
  <c r="L21" i="1"/>
  <c r="C6" i="8" l="1"/>
  <c r="C9" i="8" s="1"/>
  <c r="C5" i="8"/>
  <c r="C8" i="8" s="1"/>
  <c r="B5" i="8"/>
  <c r="B8" i="8" s="1"/>
  <c r="H17" i="1" l="1"/>
  <c r="G17" i="1"/>
  <c r="G23" i="1" s="1"/>
  <c r="I17" i="1" l="1"/>
  <c r="K17" i="1" l="1"/>
  <c r="J17" i="1"/>
  <c r="G24" i="1" l="1"/>
  <c r="I35" i="2"/>
  <c r="J35" i="2" s="1"/>
  <c r="F35" i="2"/>
  <c r="I34" i="2"/>
  <c r="H34" i="2"/>
  <c r="F34" i="2"/>
  <c r="G33" i="2"/>
  <c r="J33" i="2" s="1"/>
  <c r="I32" i="2"/>
  <c r="F32" i="2"/>
  <c r="J32" i="2" s="1"/>
  <c r="F31" i="2"/>
  <c r="D31" i="2"/>
  <c r="I30" i="2"/>
  <c r="J34" i="2" l="1"/>
  <c r="J31" i="2"/>
  <c r="J36" i="2" s="1"/>
  <c r="K36" i="2" s="1"/>
  <c r="G46" i="1"/>
  <c r="L22" i="1"/>
  <c r="H23" i="1" l="1"/>
  <c r="H24" i="1" s="1"/>
  <c r="I23" i="1" l="1"/>
  <c r="I24" i="1" s="1"/>
  <c r="J23" i="1" l="1"/>
  <c r="J24" i="1" s="1"/>
  <c r="K23" i="1" l="1"/>
  <c r="K24" i="1" s="1"/>
  <c r="L17" i="1"/>
  <c r="M11" i="4" s="1"/>
  <c r="G51" i="1" l="1"/>
  <c r="G28" i="1" s="1"/>
  <c r="H46" i="1"/>
  <c r="H51" i="1" s="1"/>
  <c r="H28" i="1" s="1"/>
  <c r="H45" i="1"/>
  <c r="I45" i="1"/>
  <c r="J45" i="1"/>
  <c r="K45" i="1"/>
  <c r="I46" i="1" l="1"/>
  <c r="H25" i="1" l="1"/>
  <c r="J46" i="1"/>
  <c r="I51" i="1"/>
  <c r="I28" i="1" s="1"/>
  <c r="J25" i="1"/>
  <c r="I25" i="1"/>
  <c r="K25" i="1" l="1"/>
  <c r="K26" i="1" s="1"/>
  <c r="K46" i="1"/>
  <c r="K51" i="1" s="1"/>
  <c r="K28" i="1" s="1"/>
  <c r="J51" i="1"/>
  <c r="J28" i="1" s="1"/>
  <c r="J29" i="1" s="1"/>
  <c r="I26" i="1"/>
  <c r="I29" i="1"/>
  <c r="H26" i="1"/>
  <c r="H29" i="1"/>
  <c r="J26" i="1"/>
  <c r="K29" i="1" l="1"/>
  <c r="K31" i="1" s="1"/>
  <c r="B19" i="2"/>
  <c r="B22" i="2" s="1"/>
  <c r="L23" i="1"/>
  <c r="L24" i="1" l="1"/>
  <c r="L25" i="1" s="1"/>
  <c r="L26" i="1" s="1"/>
  <c r="M14" i="4"/>
  <c r="B21" i="2" l="1"/>
  <c r="F42" i="1" l="1"/>
  <c r="C19" i="2"/>
  <c r="F35" i="1"/>
  <c r="F36" i="1" s="1"/>
  <c r="C22" i="2" l="1"/>
  <c r="D19" i="2"/>
  <c r="H31" i="1" l="1"/>
  <c r="D22" i="2"/>
  <c r="E19" i="2"/>
  <c r="F19" i="2" s="1"/>
  <c r="H32" i="1" l="1"/>
  <c r="H33" i="1" s="1"/>
  <c r="H36" i="1" s="1"/>
  <c r="I31" i="1"/>
  <c r="E22" i="2"/>
  <c r="J31" i="1" s="1"/>
  <c r="F37" i="1"/>
  <c r="J32" i="1" l="1"/>
  <c r="J33" i="1" s="1"/>
  <c r="J36" i="1" s="1"/>
  <c r="I32" i="1"/>
  <c r="I33" i="1" s="1"/>
  <c r="I36" i="1" s="1"/>
  <c r="F22" i="2"/>
  <c r="G19" i="2"/>
  <c r="G22" i="2" s="1"/>
  <c r="M18" i="4"/>
  <c r="G25" i="1"/>
  <c r="G26" i="1" l="1"/>
  <c r="G29" i="1"/>
  <c r="G31" i="1" s="1"/>
  <c r="K32" i="1"/>
  <c r="L30" i="1"/>
  <c r="H19" i="2"/>
  <c r="G45" i="1"/>
  <c r="K33" i="1" l="1"/>
  <c r="K36" i="1" s="1"/>
  <c r="G32" i="1"/>
  <c r="L31" i="1"/>
  <c r="I19" i="2"/>
  <c r="H22" i="2"/>
  <c r="G33" i="1" l="1"/>
  <c r="G36" i="1" s="1"/>
  <c r="L32" i="1"/>
  <c r="L33" i="1" s="1"/>
  <c r="L36" i="1"/>
  <c r="J19" i="2"/>
  <c r="I22" i="2"/>
  <c r="L28" i="1"/>
  <c r="F40" i="1" l="1"/>
  <c r="F41" i="1"/>
  <c r="L29" i="1"/>
  <c r="G37" i="1"/>
  <c r="K19" i="2"/>
  <c r="K22" i="2" s="1"/>
  <c r="J22" i="2"/>
  <c r="M16" i="4" l="1"/>
  <c r="H37" i="1"/>
  <c r="G38" i="1"/>
  <c r="M17" i="4"/>
  <c r="I37" i="1" l="1"/>
  <c r="I38" i="1" s="1"/>
  <c r="H38" i="1"/>
  <c r="J37" i="1" l="1"/>
  <c r="K37" i="1" s="1"/>
  <c r="K38" i="1" s="1"/>
  <c r="J38" i="1" l="1"/>
  <c r="F43" i="1" s="1"/>
  <c r="M19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30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<sst xmlns="http://schemas.openxmlformats.org/spreadsheetml/2006/main" count="257" uniqueCount="197">
  <si>
    <t>Assumption: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</si>
  <si>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</si>
  <si>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</si>
  <si>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</si>
  <si>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</si>
  <si>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</si>
  <si>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</si>
  <si>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</si>
  <si>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</si>
  <si>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</si>
  <si>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</si>
  <si>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</si>
  <si>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</si>
  <si>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</si>
  <si>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</si>
  <si>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</si>
  <si>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</si>
  <si>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</si>
  <si>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</si>
  <si>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</si>
  <si>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</si>
  <si>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</si>
  <si>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</si>
  <si>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</si>
  <si>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</si>
  <si>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</si>
  <si>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</si>
  <si>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</si>
  <si>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</si>
  <si>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</si>
  <si>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</si>
  <si>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</si>
  <si>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</si>
  <si>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</si>
  <si>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</si>
  <si>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</si>
  <si>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XL</t>
  </si>
  <si>
    <t>Y1</t>
  </si>
  <si>
    <t>Interest Rate</t>
  </si>
  <si>
    <t>Maintenance</t>
  </si>
  <si>
    <t>Year 6</t>
  </si>
  <si>
    <t>Year 7</t>
  </si>
  <si>
    <t>Year 8</t>
  </si>
  <si>
    <t>Year 9</t>
  </si>
  <si>
    <t>Year 10</t>
  </si>
  <si>
    <t>Net Income</t>
  </si>
  <si>
    <t>loan</t>
  </si>
  <si>
    <t>Period  (thn)</t>
  </si>
  <si>
    <t>Installment/thn</t>
  </si>
  <si>
    <t>Interest</t>
  </si>
  <si>
    <t>DAS</t>
  </si>
  <si>
    <t>BTS</t>
  </si>
  <si>
    <t>Erosion Price</t>
  </si>
  <si>
    <t xml:space="preserve"> 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</si>
  <si>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</si>
  <si>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</si>
  <si>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</si>
  <si>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</si>
  <si>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</si>
  <si>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</si>
  <si>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</si>
  <si>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</si>
  <si>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</si>
  <si>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</si>
  <si>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</si>
  <si>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</si>
  <si>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</si>
  <si>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Antena Asset</t>
  </si>
  <si>
    <t>Interest rate /year</t>
  </si>
  <si>
    <t>Area building</t>
  </si>
  <si>
    <t>Jumlah Pole Makro</t>
  </si>
  <si>
    <t>Kurs 1USD</t>
  </si>
  <si>
    <t>Type of building</t>
  </si>
  <si>
    <t>OPENET</t>
  </si>
  <si>
    <t>Status</t>
  </si>
  <si>
    <t>Cable FO (Core)</t>
  </si>
  <si>
    <t>Total floor</t>
  </si>
  <si>
    <t>Cable FO (meter)</t>
  </si>
  <si>
    <t>Total Revenue</t>
  </si>
  <si>
    <t>No of building tower</t>
  </si>
  <si>
    <t>Drop Wire (meter)</t>
  </si>
  <si>
    <t>OTHERS</t>
  </si>
  <si>
    <t>Payback (year)</t>
  </si>
  <si>
    <t>Prepared by</t>
  </si>
  <si>
    <t>Approved  by</t>
  </si>
  <si>
    <t>Target Achieve by Commercial:</t>
  </si>
  <si>
    <t>Renewal</t>
  </si>
  <si>
    <t>TOTAL CAPEX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</si>
  <si>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</si>
  <si>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</si>
  <si>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</si>
  <si>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</si>
  <si>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</si>
  <si>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</si>
  <si>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</si>
  <si>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</si>
  <si>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</si>
  <si>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</si>
  <si>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</si>
  <si>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</si>
  <si>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</si>
  <si>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</si>
  <si>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</si>
  <si>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</si>
  <si>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</si>
  <si>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</si>
  <si>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</si>
  <si>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</si>
  <si>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</si>
  <si>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</si>
  <si>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</si>
  <si>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</si>
  <si>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</si>
  <si>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</si>
  <si>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</si>
  <si>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</si>
  <si>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</si>
  <si>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</si>
  <si>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</si>
  <si>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</si>
  <si>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DKI Jakarta</t>
  </si>
  <si>
    <t xml:space="preserve">: </t>
  </si>
  <si>
    <t>No: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</si>
  <si>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</si>
  <si>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</si>
  <si>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</si>
  <si>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</si>
  <si>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</si>
  <si>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</si>
  <si>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</si>
  <si>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Hotel harris K Gading</t>
  </si>
  <si>
    <t>Jl. Boulevard Kelapa Gading blok M</t>
  </si>
  <si>
    <t>Jakarta Utara</t>
  </si>
  <si>
    <t>0001/IRR/IBC/I/2024</t>
  </si>
  <si>
    <t>HARRIS KELAPA GADING</t>
  </si>
  <si>
    <t>Sewa BM</t>
  </si>
  <si>
    <t>Citra K.</t>
  </si>
  <si>
    <t>SUMMARY REVIEW</t>
  </si>
  <si>
    <t xml:space="preserve">Nama Site                          </t>
  </si>
  <si>
    <t>: H. Harris Kelapa Gading</t>
  </si>
  <si>
    <t xml:space="preserve">Nama Pemilik      </t>
  </si>
  <si>
    <t>: PT. Jejaring Ultra Prima</t>
  </si>
  <si>
    <t xml:space="preserve">Alamat Pemilik      </t>
  </si>
  <si>
    <t>: Jl. Boulevard Kelapa Gading, Blok M</t>
  </si>
  <si>
    <t xml:space="preserve">Telp                                            </t>
  </si>
  <si>
    <t xml:space="preserve">Obyek Sewa            </t>
  </si>
  <si>
    <t>: Area roof top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</si>
  <si>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</si>
  <si>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</si>
  <si>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</si>
  <si>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</si>
  <si>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</si>
  <si>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</si>
  <si>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</si>
  <si>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Omni 61, RBS 40 m2</t>
  </si>
  <si>
    <t>3.</t>
  </si>
  <si>
    <t>Periode Sewa</t>
  </si>
  <si>
    <t>01 Jan 2019 s/d 31 Des 2023 (5 tahun)</t>
  </si>
  <si>
    <t>Harga Sewa / Masa Sewa</t>
  </si>
  <si>
    <t>Rp.                                                       135.000.000</t>
  </si>
  <si>
    <t>Harga Sewa / Tahun</t>
  </si>
  <si>
    <t>Rp.                                                         27.000.000</t>
  </si>
  <si>
    <t>Operator Join</t>
  </si>
  <si>
    <t>XL (06/11/2019 s/d 05/11/2024)</t>
  </si>
  <si>
    <t>6.</t>
  </si>
  <si>
    <t>Kenaikan/ Penurunan Harga</t>
  </si>
  <si>
    <t xml:space="preserve">Periode </t>
  </si>
  <si>
    <t>Start</t>
  </si>
  <si>
    <t>End</t>
  </si>
  <si>
    <t>Rev XL</t>
  </si>
  <si>
    <t>Days</t>
  </si>
  <si>
    <t xml:space="preserve">Sewa BM </t>
  </si>
  <si>
    <t xml:space="preserve">OM </t>
  </si>
  <si>
    <t>Antisipasi Add Capex and Pole</t>
  </si>
  <si>
    <t>Profit</t>
  </si>
  <si>
    <t>SITE Harris Kelapa Gading</t>
  </si>
  <si>
    <t>Total CoGS Rent</t>
  </si>
  <si>
    <t>Total CoGS Others</t>
  </si>
  <si>
    <t>BV Harris Kelapa Gading 31Des23</t>
  </si>
  <si>
    <t>HOTEL HARRIS KELAPA GADING</t>
  </si>
  <si>
    <t>PERHITUNGAN INTEREST EXPENSE based CAPEX</t>
  </si>
  <si>
    <t>Capex tahun</t>
  </si>
  <si>
    <t>Interest Exp</t>
  </si>
  <si>
    <t>Operator join</t>
  </si>
  <si>
    <t>Rev.Change</t>
  </si>
  <si>
    <t>-</t>
  </si>
  <si>
    <t>2024 XL</t>
  </si>
  <si>
    <t>01 Jan 2024 s/d 05 Nov 2024 (11bln 4 hari)</t>
  </si>
  <si>
    <t>Mengalami Penurunan  (-7,22%)</t>
  </si>
  <si>
    <t>Worse &gt;&gt; Jika Sewa BM diperpanjang sampai i periode  XL berakhir, maka:</t>
  </si>
  <si>
    <t>: Sewa BM diperpanjang hanya sampai Periode XL habis (5Nov24)</t>
  </si>
  <si>
    <t>: IPnL dibuat sampai 5 thn karena nilai Capex (depresiasi) masih besar</t>
  </si>
  <si>
    <t>: Tanpa Depresiasi Site dalam kondisi Profit (Rev 150juta/th , Exp 41,5jt/th)</t>
  </si>
  <si>
    <t>Rp.                         150.000.000</t>
  </si>
  <si>
    <t>Rp.                                       150.000.000</t>
  </si>
  <si>
    <t>Total Capex BV 31Des23</t>
  </si>
  <si>
    <t>Capex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</si>
</sst>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0.0%"/>
    <numFmt numFmtId="170" formatCode="[$-C09]dd\-mmm\-yy;@"/>
    <numFmt numFmtId="171" formatCode="#,###&quot;/thn&quot;"/>
    <numFmt numFmtId="172" formatCode="#,###&quot;/pole&quot;"/>
  </numFmts>
  <fonts count="3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202124"/>
      <name val="Arial"/>
      <family val="2"/>
    </font>
    <font>
      <sz val="12"/>
      <color rgb="FF00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43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0" fontId="20" fillId="0" borderId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7" fillId="0" borderId="0"/>
    <xf numFmtId="43" fontId="3" fillId="0" borderId="0" applyFont="0" applyFill="0" applyBorder="0" applyAlignment="0" applyProtection="0"/>
    <xf numFmtId="0" fontId="20" fillId="0" borderId="0"/>
    <xf numFmtId="0" fontId="2" fillId="0" borderId="0"/>
    <xf numFmtId="0" fontId="20" fillId="0" borderId="0"/>
    <xf numFmtId="41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2" fontId="20" fillId="0" borderId="0" applyFont="0" applyFill="0" applyBorder="0" applyAlignment="0" applyProtection="0"/>
    <xf numFmtId="0" fontId="20" fillId="0" borderId="0"/>
    <xf numFmtId="0" fontId="1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1">
    <xf numFmtId="0" fontId="0" fillId="0" borderId="0" xfId="0"/>
    <xf numFmtId="0" fontId="8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9" fillId="0" borderId="0" xfId="2" applyNumberFormat="1" applyFont="1"/>
    <xf numFmtId="10" fontId="9" fillId="0" borderId="0" xfId="2" applyNumberFormat="1" applyFont="1"/>
    <xf numFmtId="0" fontId="0" fillId="0" borderId="1" xfId="0" applyBorder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9" fillId="0" borderId="0" xfId="0" applyNumberFormat="1" applyFont="1" applyBorder="1"/>
    <xf numFmtId="0" fontId="8" fillId="0" borderId="1" xfId="0" applyFont="1" applyBorder="1"/>
    <xf numFmtId="164" fontId="0" fillId="0" borderId="0" xfId="0" applyNumberFormat="1" applyAlignment="1">
      <alignment vertic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14" fillId="0" borderId="0" xfId="0" applyFont="1"/>
    <xf numFmtId="0" fontId="14" fillId="0" borderId="0" xfId="0" applyFont="1" applyAlignment="1">
      <alignment vertical="center"/>
    </xf>
    <xf numFmtId="164" fontId="0" fillId="0" borderId="2" xfId="2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0" fontId="15" fillId="0" borderId="0" xfId="0" applyFont="1"/>
    <xf numFmtId="0" fontId="16" fillId="0" borderId="0" xfId="0" applyFont="1"/>
    <xf numFmtId="9" fontId="15" fillId="0" borderId="0" xfId="3" applyFont="1" applyAlignment="1">
      <alignment vertical="center"/>
    </xf>
    <xf numFmtId="0" fontId="0" fillId="0" borderId="0" xfId="0" applyFill="1" applyBorder="1"/>
    <xf numFmtId="38" fontId="10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3" fillId="0" borderId="0" xfId="1" applyNumberFormat="1" applyFont="1"/>
    <xf numFmtId="0" fontId="0" fillId="0" borderId="0" xfId="0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8" fillId="0" borderId="4" xfId="0" applyFont="1" applyBorder="1"/>
    <xf numFmtId="0" fontId="0" fillId="0" borderId="4" xfId="0" applyBorder="1"/>
    <xf numFmtId="166" fontId="8" fillId="0" borderId="4" xfId="0" applyNumberFormat="1" applyFont="1" applyBorder="1" applyAlignment="1">
      <alignment vertical="center"/>
    </xf>
    <xf numFmtId="0" fontId="0" fillId="0" borderId="0" xfId="0" applyBorder="1"/>
    <xf numFmtId="164" fontId="12" fillId="0" borderId="0" xfId="0" applyNumberFormat="1" applyFont="1" applyBorder="1"/>
    <xf numFmtId="164" fontId="11" fillId="0" borderId="0" xfId="0" applyNumberFormat="1" applyFont="1" applyBorder="1"/>
    <xf numFmtId="166" fontId="8" fillId="0" borderId="0" xfId="0" applyNumberFormat="1" applyFont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164" fontId="0" fillId="3" borderId="0" xfId="0" applyNumberFormat="1" applyFill="1" applyBorder="1"/>
    <xf numFmtId="0" fontId="0" fillId="3" borderId="0" xfId="0" applyFill="1" applyBorder="1"/>
    <xf numFmtId="43" fontId="14" fillId="3" borderId="0" xfId="1" applyFont="1" applyFill="1" applyBorder="1"/>
    <xf numFmtId="164" fontId="0" fillId="3" borderId="0" xfId="2" applyFont="1" applyFill="1" applyBorder="1" applyAlignment="1">
      <alignment vertical="center"/>
    </xf>
    <xf numFmtId="164" fontId="8" fillId="3" borderId="0" xfId="0" applyNumberFormat="1" applyFont="1" applyFill="1" applyBorder="1" applyAlignment="1">
      <alignment vertical="center"/>
    </xf>
    <xf numFmtId="0" fontId="8" fillId="3" borderId="0" xfId="0" applyFont="1" applyFill="1" applyBorder="1"/>
    <xf numFmtId="9" fontId="15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164" fontId="0" fillId="3" borderId="0" xfId="2" applyFont="1" applyFill="1" applyBorder="1"/>
    <xf numFmtId="0" fontId="8" fillId="0" borderId="0" xfId="0" applyFont="1" applyBorder="1" applyAlignment="1">
      <alignment horizontal="center"/>
    </xf>
    <xf numFmtId="0" fontId="18" fillId="0" borderId="6" xfId="0" applyFont="1" applyBorder="1"/>
    <xf numFmtId="0" fontId="18" fillId="0" borderId="3" xfId="0" applyFont="1" applyBorder="1"/>
    <xf numFmtId="0" fontId="18" fillId="0" borderId="8" xfId="0" applyFont="1" applyBorder="1"/>
    <xf numFmtId="0" fontId="18" fillId="0" borderId="0" xfId="0" applyFont="1" applyBorder="1"/>
    <xf numFmtId="9" fontId="18" fillId="0" borderId="9" xfId="3" applyFont="1" applyBorder="1"/>
    <xf numFmtId="0" fontId="18" fillId="0" borderId="10" xfId="0" applyFont="1" applyBorder="1"/>
    <xf numFmtId="0" fontId="18" fillId="0" borderId="2" xfId="0" applyFont="1" applyBorder="1"/>
    <xf numFmtId="167" fontId="18" fillId="0" borderId="11" xfId="1" applyNumberFormat="1" applyFont="1" applyBorder="1"/>
    <xf numFmtId="0" fontId="8" fillId="0" borderId="12" xfId="0" applyFont="1" applyBorder="1"/>
    <xf numFmtId="164" fontId="8" fillId="0" borderId="12" xfId="0" applyNumberFormat="1" applyFont="1" applyBorder="1" applyAlignment="1">
      <alignment vertical="center"/>
    </xf>
    <xf numFmtId="166" fontId="7" fillId="0" borderId="0" xfId="17" applyNumberFormat="1" applyFont="1"/>
    <xf numFmtId="164" fontId="7" fillId="0" borderId="0" xfId="2" applyFont="1" applyFill="1"/>
    <xf numFmtId="0" fontId="18" fillId="4" borderId="1" xfId="0" applyFont="1" applyFill="1" applyBorder="1" applyAlignment="1">
      <alignment horizontal="center"/>
    </xf>
    <xf numFmtId="0" fontId="10" fillId="4" borderId="0" xfId="0" applyFont="1" applyFill="1"/>
    <xf numFmtId="164" fontId="10" fillId="4" borderId="0" xfId="0" applyNumberFormat="1" applyFont="1" applyFill="1" applyAlignment="1">
      <alignment vertical="center"/>
    </xf>
    <xf numFmtId="164" fontId="18" fillId="4" borderId="12" xfId="0" applyNumberFormat="1" applyFont="1" applyFill="1" applyBorder="1" applyAlignment="1">
      <alignment vertical="center"/>
    </xf>
    <xf numFmtId="43" fontId="19" fillId="4" borderId="0" xfId="1" applyFont="1" applyFill="1"/>
    <xf numFmtId="164" fontId="10" fillId="4" borderId="0" xfId="0" applyNumberFormat="1" applyFont="1" applyFill="1" applyBorder="1" applyAlignment="1">
      <alignment vertical="center"/>
    </xf>
    <xf numFmtId="9" fontId="15" fillId="4" borderId="0" xfId="3" applyFont="1" applyFill="1" applyAlignment="1">
      <alignment vertical="center"/>
    </xf>
    <xf numFmtId="164" fontId="10" fillId="4" borderId="2" xfId="0" applyNumberFormat="1" applyFont="1" applyFill="1" applyBorder="1" applyAlignment="1">
      <alignment vertical="center"/>
    </xf>
    <xf numFmtId="38" fontId="0" fillId="4" borderId="0" xfId="0" applyNumberFormat="1" applyFill="1" applyAlignment="1">
      <alignment vertical="center"/>
    </xf>
    <xf numFmtId="38" fontId="0" fillId="4" borderId="5" xfId="0" applyNumberFormat="1" applyFill="1" applyBorder="1" applyAlignment="1">
      <alignment vertical="center"/>
    </xf>
    <xf numFmtId="43" fontId="0" fillId="4" borderId="2" xfId="1" applyFont="1" applyFill="1" applyBorder="1"/>
    <xf numFmtId="38" fontId="0" fillId="4" borderId="0" xfId="0" applyNumberFormat="1" applyFill="1"/>
    <xf numFmtId="166" fontId="13" fillId="4" borderId="0" xfId="1" applyNumberFormat="1" applyFont="1" applyFill="1"/>
    <xf numFmtId="0" fontId="10" fillId="0" borderId="0" xfId="0" applyFont="1"/>
    <xf numFmtId="164" fontId="18" fillId="0" borderId="4" xfId="0" applyNumberFormat="1" applyFont="1" applyBorder="1"/>
    <xf numFmtId="164" fontId="18" fillId="0" borderId="0" xfId="0" applyNumberFormat="1" applyFont="1" applyBorder="1"/>
    <xf numFmtId="164" fontId="21" fillId="0" borderId="0" xfId="0" applyNumberFormat="1" applyFont="1" applyBorder="1"/>
    <xf numFmtId="164" fontId="8" fillId="4" borderId="12" xfId="0" applyNumberFormat="1" applyFont="1" applyFill="1" applyBorder="1" applyAlignment="1">
      <alignment vertical="center"/>
    </xf>
    <xf numFmtId="164" fontId="18" fillId="0" borderId="0" xfId="0" applyNumberFormat="1" applyFont="1" applyFill="1" applyBorder="1"/>
    <xf numFmtId="164" fontId="12" fillId="0" borderId="0" xfId="0" applyNumberFormat="1" applyFont="1" applyFill="1" applyBorder="1"/>
    <xf numFmtId="164" fontId="18" fillId="0" borderId="0" xfId="0" applyNumberFormat="1" applyFont="1"/>
    <xf numFmtId="0" fontId="18" fillId="0" borderId="0" xfId="0" applyFont="1"/>
    <xf numFmtId="164" fontId="0" fillId="0" borderId="0" xfId="2" applyFont="1"/>
    <xf numFmtId="164" fontId="0" fillId="4" borderId="0" xfId="2" applyFont="1" applyFill="1" applyBorder="1"/>
    <xf numFmtId="0" fontId="0" fillId="0" borderId="0" xfId="0" applyFont="1" applyBorder="1"/>
    <xf numFmtId="0" fontId="0" fillId="0" borderId="0" xfId="0" applyFont="1"/>
    <xf numFmtId="0" fontId="22" fillId="0" borderId="0" xfId="0" applyFont="1" applyBorder="1"/>
    <xf numFmtId="0" fontId="8" fillId="0" borderId="0" xfId="0" applyFont="1" applyBorder="1"/>
    <xf numFmtId="0" fontId="22" fillId="0" borderId="0" xfId="0" applyFont="1" applyBorder="1" applyAlignment="1"/>
    <xf numFmtId="14" fontId="22" fillId="0" borderId="0" xfId="0" applyNumberFormat="1" applyFont="1" applyBorder="1" applyAlignment="1"/>
    <xf numFmtId="0" fontId="23" fillId="0" borderId="0" xfId="0" applyFont="1"/>
    <xf numFmtId="0" fontId="0" fillId="0" borderId="18" xfId="0" applyFont="1" applyBorder="1"/>
    <xf numFmtId="0" fontId="8" fillId="0" borderId="16" xfId="0" applyFont="1" applyBorder="1" applyAlignment="1">
      <alignment horizontal="left"/>
    </xf>
    <xf numFmtId="164" fontId="0" fillId="0" borderId="0" xfId="2" applyFont="1" applyBorder="1"/>
    <xf numFmtId="166" fontId="0" fillId="0" borderId="0" xfId="18" applyNumberFormat="1" applyFont="1" applyFill="1" applyBorder="1" applyAlignment="1" applyProtection="1">
      <alignment horizontal="right"/>
      <protection locked="0"/>
    </xf>
    <xf numFmtId="0" fontId="0" fillId="0" borderId="19" xfId="0" applyFont="1" applyBorder="1"/>
    <xf numFmtId="164" fontId="0" fillId="0" borderId="0" xfId="2" applyFont="1" applyFill="1" applyBorder="1"/>
    <xf numFmtId="0" fontId="0" fillId="0" borderId="20" xfId="0" applyFont="1" applyBorder="1"/>
    <xf numFmtId="9" fontId="0" fillId="0" borderId="0" xfId="2" applyNumberFormat="1" applyFont="1" applyBorder="1"/>
    <xf numFmtId="0" fontId="0" fillId="0" borderId="19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166" fontId="0" fillId="0" borderId="0" xfId="18" applyNumberFormat="1" applyFont="1" applyFill="1" applyBorder="1" applyAlignment="1" applyProtection="1">
      <alignment horizontal="center"/>
      <protection locked="0"/>
    </xf>
    <xf numFmtId="0" fontId="0" fillId="0" borderId="19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8" fillId="0" borderId="19" xfId="0" applyFont="1" applyBorder="1" applyAlignment="1">
      <alignment horizontal="left"/>
    </xf>
    <xf numFmtId="166" fontId="0" fillId="0" borderId="0" xfId="18" applyNumberFormat="1" applyFont="1" applyBorder="1"/>
    <xf numFmtId="0" fontId="0" fillId="0" borderId="19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8" fillId="0" borderId="21" xfId="0" applyFont="1" applyBorder="1" applyAlignment="1">
      <alignment horizontal="left"/>
    </xf>
    <xf numFmtId="0" fontId="0" fillId="0" borderId="21" xfId="0" applyFont="1" applyBorder="1"/>
    <xf numFmtId="9" fontId="8" fillId="0" borderId="20" xfId="2" applyNumberFormat="1" applyFont="1" applyBorder="1"/>
    <xf numFmtId="168" fontId="8" fillId="0" borderId="23" xfId="2" applyNumberFormat="1" applyFont="1" applyBorder="1" applyAlignment="1">
      <alignment horizontal="right"/>
    </xf>
    <xf numFmtId="0" fontId="0" fillId="0" borderId="22" xfId="0" applyFont="1" applyBorder="1"/>
    <xf numFmtId="0" fontId="0" fillId="0" borderId="1" xfId="0" applyFont="1" applyBorder="1"/>
    <xf numFmtId="0" fontId="0" fillId="0" borderId="23" xfId="0" applyFont="1" applyBorder="1"/>
    <xf numFmtId="0" fontId="0" fillId="0" borderId="14" xfId="0" applyFont="1" applyBorder="1" applyAlignment="1">
      <alignment horizontal="left" indent="1"/>
    </xf>
    <xf numFmtId="0" fontId="8" fillId="0" borderId="16" xfId="0" applyFont="1" applyBorder="1"/>
    <xf numFmtId="0" fontId="0" fillId="0" borderId="17" xfId="0" applyFont="1" applyBorder="1"/>
    <xf numFmtId="0" fontId="24" fillId="0" borderId="0" xfId="0" applyFont="1"/>
    <xf numFmtId="0" fontId="0" fillId="0" borderId="0" xfId="0" applyFont="1" applyBorder="1" applyAlignment="1">
      <alignment horizontal="left" vertical="justify" wrapText="1"/>
    </xf>
    <xf numFmtId="0" fontId="0" fillId="0" borderId="0" xfId="2" applyNumberFormat="1" applyFont="1" applyBorder="1" applyAlignment="1">
      <alignment horizontal="left"/>
    </xf>
    <xf numFmtId="164" fontId="18" fillId="4" borderId="0" xfId="2" applyFont="1" applyFill="1" applyAlignment="1">
      <alignment vertical="center"/>
    </xf>
    <xf numFmtId="164" fontId="25" fillId="0" borderId="0" xfId="2" applyFont="1" applyBorder="1"/>
    <xf numFmtId="166" fontId="0" fillId="0" borderId="0" xfId="0" applyNumberFormat="1" applyFill="1" applyAlignment="1">
      <alignment vertical="center"/>
    </xf>
    <xf numFmtId="9" fontId="18" fillId="0" borderId="0" xfId="0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5" borderId="24" xfId="0" applyFill="1" applyBorder="1"/>
    <xf numFmtId="0" fontId="0" fillId="5" borderId="0" xfId="0" applyFill="1" applyAlignment="1">
      <alignment horizontal="center"/>
    </xf>
    <xf numFmtId="0" fontId="0" fillId="5" borderId="24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0" borderId="24" xfId="0" applyBorder="1"/>
    <xf numFmtId="166" fontId="0" fillId="6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8" applyNumberFormat="1" applyFont="1" applyBorder="1"/>
    <xf numFmtId="166" fontId="0" fillId="0" borderId="24" xfId="0" applyNumberFormat="1" applyBorder="1"/>
    <xf numFmtId="166" fontId="0" fillId="7" borderId="24" xfId="18" applyNumberFormat="1" applyFont="1" applyFill="1" applyBorder="1"/>
    <xf numFmtId="164" fontId="0" fillId="0" borderId="0" xfId="0" applyNumberFormat="1" applyFont="1" applyAlignment="1">
      <alignment vertical="center"/>
    </xf>
    <xf numFmtId="9" fontId="0" fillId="0" borderId="0" xfId="0" applyNumberFormat="1"/>
    <xf numFmtId="0" fontId="0" fillId="0" borderId="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38" fontId="18" fillId="0" borderId="9" xfId="0" applyNumberFormat="1" applyFont="1" applyBorder="1"/>
    <xf numFmtId="38" fontId="8" fillId="0" borderId="20" xfId="2" applyNumberFormat="1" applyFont="1" applyBorder="1" applyAlignment="1">
      <alignment horizontal="right"/>
    </xf>
    <xf numFmtId="9" fontId="0" fillId="0" borderId="0" xfId="3" applyFont="1"/>
    <xf numFmtId="0" fontId="20" fillId="0" borderId="0" xfId="19"/>
    <xf numFmtId="0" fontId="30" fillId="0" borderId="0" xfId="19" applyFont="1" applyAlignment="1">
      <alignment horizontal="center"/>
    </xf>
    <xf numFmtId="0" fontId="31" fillId="0" borderId="0" xfId="19" applyFont="1" applyAlignment="1">
      <alignment horizontal="left" vertical="top"/>
    </xf>
    <xf numFmtId="0" fontId="31" fillId="0" borderId="0" xfId="19" applyFont="1"/>
    <xf numFmtId="0" fontId="20" fillId="0" borderId="24" xfId="19" applyBorder="1" applyAlignment="1">
      <alignment horizontal="center" vertical="center"/>
    </xf>
    <xf numFmtId="0" fontId="20" fillId="0" borderId="24" xfId="19" applyBorder="1"/>
    <xf numFmtId="0" fontId="0" fillId="0" borderId="0" xfId="19" applyFont="1" applyAlignment="1">
      <alignment wrapText="1"/>
    </xf>
    <xf numFmtId="0" fontId="0" fillId="0" borderId="24" xfId="19" applyFont="1" applyBorder="1"/>
    <xf numFmtId="42" fontId="0" fillId="0" borderId="24" xfId="24" applyFont="1" applyBorder="1" applyAlignment="1">
      <alignment horizontal="left"/>
    </xf>
    <xf numFmtId="0" fontId="0" fillId="0" borderId="0" xfId="19" applyFont="1"/>
    <xf numFmtId="0" fontId="8" fillId="0" borderId="0" xfId="25" applyFont="1"/>
    <xf numFmtId="0" fontId="1" fillId="0" borderId="0" xfId="26"/>
    <xf numFmtId="0" fontId="20" fillId="0" borderId="24" xfId="19" applyBorder="1" applyAlignment="1">
      <alignment horizontal="center"/>
    </xf>
    <xf numFmtId="0" fontId="20" fillId="0" borderId="0" xfId="19" applyAlignment="1">
      <alignment horizontal="center"/>
    </xf>
    <xf numFmtId="170" fontId="20" fillId="0" borderId="24" xfId="19" applyNumberFormat="1" applyBorder="1" applyAlignment="1">
      <alignment horizontal="center"/>
    </xf>
    <xf numFmtId="170" fontId="20" fillId="0" borderId="0" xfId="19" applyNumberFormat="1"/>
    <xf numFmtId="0" fontId="29" fillId="0" borderId="0" xfId="21" applyFont="1" applyAlignment="1">
      <alignment horizontal="center"/>
    </xf>
    <xf numFmtId="170" fontId="20" fillId="0" borderId="0" xfId="19" applyNumberFormat="1" applyAlignment="1">
      <alignment horizontal="center"/>
    </xf>
    <xf numFmtId="41" fontId="20" fillId="0" borderId="0" xfId="27" applyFont="1" applyBorder="1"/>
    <xf numFmtId="171" fontId="20" fillId="0" borderId="0" xfId="28" applyNumberFormat="1" applyFont="1"/>
    <xf numFmtId="41" fontId="20" fillId="0" borderId="0" xfId="19" applyNumberFormat="1"/>
    <xf numFmtId="172" fontId="20" fillId="0" borderId="0" xfId="29" applyNumberFormat="1" applyFont="1"/>
    <xf numFmtId="164" fontId="20" fillId="0" borderId="2" xfId="28" applyFont="1" applyBorder="1"/>
    <xf numFmtId="169" fontId="18" fillId="0" borderId="7" xfId="3" applyNumberFormat="1" applyFont="1" applyBorder="1"/>
    <xf numFmtId="169" fontId="18" fillId="0" borderId="18" xfId="3" applyNumberFormat="1" applyFont="1" applyBorder="1"/>
    <xf numFmtId="0" fontId="0" fillId="0" borderId="19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8" fillId="0" borderId="19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7" fillId="0" borderId="0" xfId="17"/>
    <xf numFmtId="0" fontId="34" fillId="0" borderId="0" xfId="0" applyFont="1" applyAlignment="1">
      <alignment horizontal="right"/>
    </xf>
    <xf numFmtId="0" fontId="8" fillId="0" borderId="19" xfId="0" applyFont="1" applyFill="1" applyBorder="1" applyAlignment="1" applyProtection="1">
      <alignment horizontal="left" indent="1"/>
    </xf>
    <xf numFmtId="0" fontId="8" fillId="0" borderId="0" xfId="0" applyFont="1" applyFill="1" applyBorder="1" applyAlignment="1" applyProtection="1">
      <alignment horizontal="left" indent="1"/>
    </xf>
    <xf numFmtId="0" fontId="8" fillId="0" borderId="22" xfId="0" applyFont="1" applyFill="1" applyBorder="1" applyAlignment="1" applyProtection="1">
      <alignment horizontal="left" indent="1"/>
    </xf>
    <xf numFmtId="0" fontId="8" fillId="0" borderId="1" xfId="0" applyFont="1" applyFill="1" applyBorder="1" applyAlignment="1" applyProtection="1">
      <alignment horizontal="left" indent="1"/>
    </xf>
    <xf numFmtId="0" fontId="8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9" xfId="0" quotePrefix="1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8" fillId="0" borderId="19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8" fillId="0" borderId="16" xfId="0" applyFont="1" applyFill="1" applyBorder="1" applyAlignment="1" applyProtection="1">
      <alignment horizontal="left" indent="1"/>
    </xf>
    <xf numFmtId="0" fontId="8" fillId="0" borderId="17" xfId="0" applyFont="1" applyFill="1" applyBorder="1" applyAlignment="1" applyProtection="1">
      <alignment horizontal="left" indent="1"/>
    </xf>
    <xf numFmtId="0" fontId="0" fillId="0" borderId="19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19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2" fillId="0" borderId="13" xfId="0" applyFont="1" applyBorder="1" applyAlignment="1">
      <alignment horizontal="center"/>
    </xf>
    <xf numFmtId="0" fontId="22" fillId="0" borderId="14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8" fillId="0" borderId="16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18" xfId="0" applyFont="1" applyBorder="1" applyAlignment="1">
      <alignment horizontal="left"/>
    </xf>
    <xf numFmtId="164" fontId="8" fillId="0" borderId="12" xfId="0" applyNumberFormat="1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9" fontId="0" fillId="0" borderId="25" xfId="19" applyNumberFormat="1" applyFont="1" applyBorder="1" applyAlignment="1">
      <alignment horizontal="center" wrapText="1"/>
    </xf>
    <xf numFmtId="0" fontId="20" fillId="0" borderId="29" xfId="19" applyBorder="1" applyAlignment="1">
      <alignment horizontal="center" wrapText="1"/>
    </xf>
    <xf numFmtId="0" fontId="32" fillId="8" borderId="24" xfId="19" applyFont="1" applyFill="1" applyBorder="1" applyAlignment="1">
      <alignment horizontal="center" vertical="center"/>
    </xf>
    <xf numFmtId="0" fontId="33" fillId="8" borderId="26" xfId="19" applyFont="1" applyFill="1" applyBorder="1" applyAlignment="1">
      <alignment horizontal="center" vertical="center"/>
    </xf>
    <xf numFmtId="0" fontId="33" fillId="8" borderId="28" xfId="19" applyFont="1" applyFill="1" applyBorder="1" applyAlignment="1">
      <alignment horizontal="center" vertical="center"/>
    </xf>
    <xf numFmtId="0" fontId="20" fillId="0" borderId="26" xfId="19" applyBorder="1" applyAlignment="1">
      <alignment horizontal="center" vertical="center"/>
    </xf>
    <xf numFmtId="0" fontId="20" fillId="0" borderId="28" xfId="19" applyBorder="1" applyAlignment="1">
      <alignment horizontal="center" vertical="center"/>
    </xf>
    <xf numFmtId="0" fontId="20" fillId="0" borderId="24" xfId="19" applyBorder="1" applyAlignment="1">
      <alignment horizontal="center"/>
    </xf>
    <xf numFmtId="0" fontId="29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41" fontId="0" fillId="0" borderId="0" xfId="27" applyFon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27" applyFont="1" applyBorder="1"/>
    <xf numFmtId="0" fontId="28" fillId="0" borderId="0" xfId="0" applyFont="1" applyAlignment="1">
      <alignment horizontal="right" vertical="center"/>
    </xf>
    <xf numFmtId="0" fontId="8" fillId="0" borderId="17" xfId="0" applyFont="1" applyBorder="1" applyAlignment="1">
      <alignment horizontal="center"/>
    </xf>
  </cellXfs>
  <cellStyles count="31">
    <cellStyle name="Comma" xfId="1" builtinId="3"/>
    <cellStyle name="Comma [0]" xfId="2" builtinId="6"/>
    <cellStyle name="Comma [0] 2" xfId="9" xr:uid="{00000000-0005-0000-0000-000002000000}"/>
    <cellStyle name="Comma [0] 3" xfId="22" xr:uid="{00000000-0005-0000-0000-000003000000}"/>
    <cellStyle name="Comma [0] 3 2" xfId="28" xr:uid="{325CDDF2-0290-4458-ADD7-40EFB672CF94}"/>
    <cellStyle name="Comma [0] 3 2 2" xfId="23" xr:uid="{00000000-0005-0000-0000-000004000000}"/>
    <cellStyle name="Comma [0] 3 3" xfId="29" xr:uid="{2C63ECAF-5913-40CB-87BA-039DB8098A29}"/>
    <cellStyle name="Comma [0] 4" xfId="27" xr:uid="{0C7859D9-0090-4A29-9F8B-B276A48397E2}"/>
    <cellStyle name="Comma 2" xfId="7" xr:uid="{00000000-0005-0000-0000-000005000000}"/>
    <cellStyle name="Comma 3" xfId="10" xr:uid="{00000000-0005-0000-0000-000006000000}"/>
    <cellStyle name="Comma 3 2" xfId="11" xr:uid="{00000000-0005-0000-0000-000007000000}"/>
    <cellStyle name="Comma 4" xfId="12" xr:uid="{00000000-0005-0000-0000-000008000000}"/>
    <cellStyle name="Comma 5 2" xfId="18" xr:uid="{00000000-0005-0000-0000-000009000000}"/>
    <cellStyle name="Currency [0] 2" xfId="24" xr:uid="{00000000-0005-0000-0000-00000A000000}"/>
    <cellStyle name="Normal" xfId="0" builtinId="0"/>
    <cellStyle name="Normal 2" xfId="5" xr:uid="{00000000-0005-0000-0000-00000C000000}"/>
    <cellStyle name="Normal 2 2" xfId="6" xr:uid="{00000000-0005-0000-0000-00000D000000}"/>
    <cellStyle name="Normal 2 2 2 2 3" xfId="17" xr:uid="{00000000-0005-0000-0000-00000E000000}"/>
    <cellStyle name="Normal 3" xfId="13" xr:uid="{00000000-0005-0000-0000-00000F000000}"/>
    <cellStyle name="Normal 3 2" xfId="14" xr:uid="{00000000-0005-0000-0000-000010000000}"/>
    <cellStyle name="Normal 4" xfId="25" xr:uid="{00000000-0005-0000-0000-000011000000}"/>
    <cellStyle name="Normal 5" xfId="20" xr:uid="{00000000-0005-0000-0000-000012000000}"/>
    <cellStyle name="Normal 6" xfId="26" xr:uid="{5EB2104D-41D9-40E9-A4F1-A03B1EFA1DE9}"/>
    <cellStyle name="Normal 7" xfId="19" xr:uid="{00000000-0005-0000-0000-000013000000}"/>
    <cellStyle name="Normal 7 3" xfId="21" xr:uid="{00000000-0005-0000-0000-000014000000}"/>
    <cellStyle name="Percent" xfId="3" builtinId="5"/>
    <cellStyle name="Percent 2" xfId="8" xr:uid="{00000000-0005-0000-0000-000016000000}"/>
    <cellStyle name="Percent 2 2" xfId="4" xr:uid="{00000000-0005-0000-0000-000017000000}"/>
    <cellStyle name="Percent 3" xfId="15" xr:uid="{00000000-0005-0000-0000-000018000000}"/>
    <cellStyle name="Percent 3 2" xfId="16" xr:uid="{00000000-0005-0000-0000-000019000000}"/>
    <cellStyle name="Percent 4" xfId="30" xr:uid="{A909B81D-9C9B-4736-A326-7E35D413508D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C4461E3-F6B3-45E3-9DFF-D37A43C25A60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65316</xdr:colOff>
      <xdr:row>28</xdr:row>
      <xdr:rowOff>52726</xdr:rowOff>
    </xdr:from>
    <xdr:to>
      <xdr:col>12</xdr:col>
      <xdr:colOff>1099457</xdr:colOff>
      <xdr:row>28</xdr:row>
      <xdr:rowOff>174172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BAAB0F60-CCC1-438E-BFA0-B888CB0C1060}"/>
            </a:ext>
          </a:extLst>
        </xdr:cNvPr>
        <xdr:cNvGrpSpPr/>
      </xdr:nvGrpSpPr>
      <xdr:grpSpPr>
        <a:xfrm>
          <a:off x="381002" y="5506469"/>
          <a:ext cx="8610598" cy="121446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9A905793-8254-4DA1-A821-D90E82A6420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100FEBBB-3051-4D32-B3C1-EDDBFE6B231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120E38D0-E693-4AB7-BD26-455B1767A984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F3C296A0-2105-4F0E-8D11-227A32E6C593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CAEC3C08-23E9-4790-8C9A-39275EB4DF00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CE9687CF-0525-4D6D-8EC7-45A8EB8E656F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87947</xdr:colOff>
      <xdr:row>33</xdr:row>
      <xdr:rowOff>152400</xdr:rowOff>
    </xdr:from>
    <xdr:to>
      <xdr:col>12</xdr:col>
      <xdr:colOff>1164771</xdr:colOff>
      <xdr:row>35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AD739028-FAED-404F-B449-3579A125A038}"/>
            </a:ext>
          </a:extLst>
        </xdr:cNvPr>
        <xdr:cNvGrpSpPr/>
      </xdr:nvGrpSpPr>
      <xdr:grpSpPr>
        <a:xfrm>
          <a:off x="403633" y="6585857"/>
          <a:ext cx="8653281" cy="318860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59235FC3-79C7-45F6-9361-2CFED95999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609B91BF-AACA-46AA-8F47-13F71A7FC8FA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41B37312-04FE-44C6-9B14-21805B820886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EC799CC0-CAEF-49C8-A6B7-79FD8A34448C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BB26D8F0-00D4-42E5-A347-7A930F835C52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DD6D59B8-CBE2-42A7-8A28-68D48EEE367C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BUDGET/IRR/IBC/IBC%20Confirm/IRR%20Seasons%20City/PnL%20Apt.%20Seasons%20City%2029Ja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Book Value"/>
      <sheetName val="Analisa"/>
      <sheetName val="Summary B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5"/>
  <sheetViews>
    <sheetView showGridLines="0" tabSelected="1" zoomScale="70" zoomScaleNormal="70" workbookViewId="0">
      <selection activeCell="N34" sqref="B1:N34"/>
    </sheetView>
  </sheetViews>
  <sheetFormatPr defaultColWidth="8.69921875" defaultRowHeight="15.6" x14ac:dyDescent="0.3"/>
  <cols>
    <col min="1" max="1" width="4.19921875" style="90" customWidth="1"/>
    <col min="2" max="2" width="3" style="90" customWidth="1"/>
    <col min="3" max="3" width="16.69921875" style="90" customWidth="1"/>
    <col min="4" max="4" width="20.69921875" style="90" customWidth="1"/>
    <col min="5" max="5" width="4.19921875" style="90" customWidth="1"/>
    <col min="6" max="6" width="4.8984375" style="90" customWidth="1"/>
    <col min="7" max="7" width="10.69921875" style="90" customWidth="1"/>
    <col min="8" max="8" width="8.3984375" style="90" customWidth="1"/>
    <col min="9" max="9" width="5.19921875" style="90" customWidth="1"/>
    <col min="10" max="10" width="2.09765625" style="90" customWidth="1"/>
    <col min="11" max="11" width="5.09765625" style="90" customWidth="1"/>
    <col min="12" max="12" width="18.3984375" style="90" bestFit="1" customWidth="1"/>
    <col min="13" max="13" width="16.5" style="90" customWidth="1"/>
    <col min="14" max="14" width="2.09765625" style="90" customWidth="1"/>
    <col min="15" max="15" width="3.69921875" style="90" customWidth="1"/>
    <col min="16" max="16384" width="8.69921875" style="90"/>
  </cols>
  <sheetData>
    <row r="1" spans="2:14" ht="18" customHeight="1" x14ac:dyDescent="0.3">
      <c r="B1" s="89"/>
      <c r="C1" t="s">
        <v>122</v>
      </c>
      <c r="D1" t="s">
        <v>133</v>
      </c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4" ht="25.8" x14ac:dyDescent="0.5">
      <c r="B2" s="89"/>
      <c r="C2" s="91" t="s">
        <v>54</v>
      </c>
      <c r="D2" s="92" t="s">
        <v>55</v>
      </c>
      <c r="E2" s="89"/>
      <c r="F2" s="89"/>
      <c r="G2" s="89"/>
      <c r="H2" s="89"/>
      <c r="M2" s="180" t="s">
        <v>179</v>
      </c>
    </row>
    <row r="3" spans="2:14" ht="18" x14ac:dyDescent="0.35">
      <c r="B3" s="89"/>
      <c r="C3" s="91" t="s">
        <v>57</v>
      </c>
      <c r="D3" s="92" t="s">
        <v>86</v>
      </c>
      <c r="E3" s="89"/>
      <c r="F3" s="89"/>
      <c r="G3" s="89"/>
      <c r="H3" s="89"/>
      <c r="J3" s="93" t="s">
        <v>56</v>
      </c>
      <c r="K3" s="93"/>
      <c r="L3" s="93"/>
      <c r="M3" s="94">
        <v>45298</v>
      </c>
      <c r="N3" s="89"/>
    </row>
    <row r="4" spans="2:14" ht="1.2" customHeight="1" thickBot="1" x14ac:dyDescent="0.35">
      <c r="B4" s="89"/>
      <c r="C4" s="92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4" s="95" customFormat="1" ht="18.600000000000001" thickBot="1" x14ac:dyDescent="0.4">
      <c r="B5" s="199" t="s">
        <v>58</v>
      </c>
      <c r="C5" s="200"/>
      <c r="D5" s="201"/>
      <c r="E5" s="199" t="s">
        <v>59</v>
      </c>
      <c r="F5" s="200"/>
      <c r="G5" s="200"/>
      <c r="H5" s="200"/>
      <c r="I5" s="200"/>
      <c r="J5" s="199" t="s">
        <v>60</v>
      </c>
      <c r="K5" s="200"/>
      <c r="L5" s="200"/>
      <c r="M5" s="200"/>
      <c r="N5" s="201"/>
    </row>
    <row r="6" spans="2:14" x14ac:dyDescent="0.3">
      <c r="B6" s="202" t="s">
        <v>61</v>
      </c>
      <c r="C6" s="203"/>
      <c r="D6" s="122" t="s">
        <v>130</v>
      </c>
      <c r="E6" s="204" t="s">
        <v>62</v>
      </c>
      <c r="F6" s="205"/>
      <c r="G6" s="205"/>
      <c r="H6" s="205"/>
      <c r="I6" s="206"/>
      <c r="J6" s="97"/>
      <c r="K6" s="203" t="s">
        <v>196</v>
      </c>
      <c r="L6" s="203"/>
      <c r="M6" s="98">
        <v>263456535</v>
      </c>
      <c r="N6" s="96"/>
    </row>
    <row r="7" spans="2:14" x14ac:dyDescent="0.3">
      <c r="B7" s="174"/>
      <c r="C7" s="175"/>
      <c r="D7" s="89"/>
      <c r="E7" s="176"/>
      <c r="F7" s="177"/>
      <c r="G7" s="177"/>
      <c r="H7" s="177"/>
      <c r="I7" s="178"/>
      <c r="J7" s="176"/>
      <c r="K7" s="196" t="s">
        <v>63</v>
      </c>
      <c r="L7" s="196"/>
      <c r="M7" s="98">
        <f>M6/H8</f>
        <v>4318959.590163934</v>
      </c>
      <c r="N7" s="102"/>
    </row>
    <row r="8" spans="2:14" ht="17.399999999999999" customHeight="1" x14ac:dyDescent="0.3">
      <c r="B8" s="197" t="s">
        <v>64</v>
      </c>
      <c r="C8" s="198"/>
      <c r="D8" s="124" t="s">
        <v>131</v>
      </c>
      <c r="E8" s="195" t="s">
        <v>65</v>
      </c>
      <c r="F8" s="196"/>
      <c r="G8" s="196"/>
      <c r="H8" s="99">
        <v>61</v>
      </c>
      <c r="I8" s="102"/>
      <c r="J8" s="100"/>
      <c r="K8" s="196" t="s">
        <v>66</v>
      </c>
      <c r="L8" s="196"/>
      <c r="M8" s="101">
        <v>5</v>
      </c>
      <c r="N8" s="102"/>
    </row>
    <row r="9" spans="2:14" x14ac:dyDescent="0.3">
      <c r="B9" s="197"/>
      <c r="C9" s="198"/>
      <c r="D9" s="123" t="s">
        <v>120</v>
      </c>
      <c r="E9" s="195" t="s">
        <v>67</v>
      </c>
      <c r="F9" s="196"/>
      <c r="G9" s="196"/>
      <c r="H9" s="99">
        <v>61</v>
      </c>
      <c r="I9" s="102"/>
      <c r="J9" s="100"/>
      <c r="K9" s="196" t="s">
        <v>68</v>
      </c>
      <c r="L9" s="196"/>
      <c r="M9" s="103">
        <v>0.1</v>
      </c>
      <c r="N9" s="102"/>
    </row>
    <row r="10" spans="2:14" x14ac:dyDescent="0.3">
      <c r="B10" s="104" t="s">
        <v>69</v>
      </c>
      <c r="C10" s="105"/>
      <c r="D10" s="89" t="s">
        <v>132</v>
      </c>
      <c r="E10" s="195" t="s">
        <v>70</v>
      </c>
      <c r="F10" s="196"/>
      <c r="G10" s="196"/>
      <c r="H10" s="106">
        <v>2</v>
      </c>
      <c r="I10" s="102"/>
      <c r="J10" s="100"/>
      <c r="K10" s="196" t="s">
        <v>71</v>
      </c>
      <c r="L10" s="196"/>
      <c r="M10" s="98">
        <v>0</v>
      </c>
      <c r="N10" s="102"/>
    </row>
    <row r="11" spans="2:14" x14ac:dyDescent="0.3">
      <c r="B11" s="107" t="s">
        <v>72</v>
      </c>
      <c r="C11" s="108"/>
      <c r="D11" s="89" t="s">
        <v>99</v>
      </c>
      <c r="E11" s="190" t="s">
        <v>73</v>
      </c>
      <c r="F11" s="191"/>
      <c r="G11" s="191"/>
      <c r="H11" s="191"/>
      <c r="I11" s="192"/>
      <c r="J11" s="109"/>
      <c r="K11" s="189" t="s">
        <v>78</v>
      </c>
      <c r="L11" s="189"/>
      <c r="M11" s="98">
        <f>IRR!L17</f>
        <v>750000000</v>
      </c>
      <c r="N11" s="102"/>
    </row>
    <row r="12" spans="2:14" x14ac:dyDescent="0.3">
      <c r="B12" s="107" t="s">
        <v>74</v>
      </c>
      <c r="C12" s="108"/>
      <c r="D12" s="89" t="s">
        <v>86</v>
      </c>
      <c r="E12" s="187" t="s">
        <v>75</v>
      </c>
      <c r="F12" s="188"/>
      <c r="G12" s="188"/>
      <c r="H12" s="110">
        <v>0</v>
      </c>
      <c r="I12" s="102"/>
      <c r="J12" s="100"/>
      <c r="K12" s="189" t="s">
        <v>195</v>
      </c>
      <c r="L12" s="189"/>
      <c r="M12" s="98">
        <f>IRR!G10</f>
        <v>297636929.4375</v>
      </c>
      <c r="N12" s="102"/>
    </row>
    <row r="13" spans="2:14" x14ac:dyDescent="0.3">
      <c r="B13" s="111" t="s">
        <v>76</v>
      </c>
      <c r="C13" s="112"/>
      <c r="D13" s="125">
        <v>18</v>
      </c>
      <c r="E13" s="187" t="s">
        <v>77</v>
      </c>
      <c r="F13" s="188"/>
      <c r="G13" s="188"/>
      <c r="H13" s="110">
        <v>0</v>
      </c>
      <c r="I13" s="102"/>
      <c r="J13" s="100"/>
      <c r="K13" s="189" t="s">
        <v>176</v>
      </c>
      <c r="L13" s="189"/>
      <c r="M13" s="98">
        <f>IRR!L20</f>
        <v>135000000</v>
      </c>
      <c r="N13" s="102"/>
    </row>
    <row r="14" spans="2:14" x14ac:dyDescent="0.3">
      <c r="B14" s="111" t="s">
        <v>79</v>
      </c>
      <c r="C14" s="112"/>
      <c r="D14" s="125">
        <v>1</v>
      </c>
      <c r="E14" s="187" t="s">
        <v>80</v>
      </c>
      <c r="F14" s="188"/>
      <c r="G14" s="188"/>
      <c r="H14" s="110">
        <v>0</v>
      </c>
      <c r="I14" s="102"/>
      <c r="J14" s="100"/>
      <c r="K14" s="189" t="s">
        <v>177</v>
      </c>
      <c r="L14" s="189"/>
      <c r="M14" s="98">
        <f>IRR!L21+IRR!L22+IRR!L23</f>
        <v>72500000</v>
      </c>
      <c r="N14" s="102"/>
    </row>
    <row r="15" spans="2:14" ht="16.2" thickBot="1" x14ac:dyDescent="0.35">
      <c r="B15" s="111"/>
      <c r="C15" s="144"/>
      <c r="D15" s="125"/>
      <c r="E15" s="190" t="s">
        <v>81</v>
      </c>
      <c r="F15" s="191"/>
      <c r="G15" s="191"/>
      <c r="H15" s="191"/>
      <c r="I15" s="192"/>
      <c r="J15" s="100"/>
      <c r="K15" s="145"/>
      <c r="L15" s="145"/>
      <c r="M15" s="89"/>
      <c r="N15" s="102"/>
    </row>
    <row r="16" spans="2:14" x14ac:dyDescent="0.3">
      <c r="B16" s="100"/>
      <c r="C16" s="89"/>
      <c r="D16" s="89"/>
      <c r="E16" s="100"/>
      <c r="J16" s="113"/>
      <c r="K16" s="193" t="s">
        <v>27</v>
      </c>
      <c r="L16" s="194"/>
      <c r="M16" s="173">
        <f>IRR!F40</f>
        <v>0.15516170896364478</v>
      </c>
      <c r="N16" s="114"/>
    </row>
    <row r="17" spans="2:18" x14ac:dyDescent="0.3">
      <c r="B17" s="100"/>
      <c r="C17" s="89"/>
      <c r="D17" s="89"/>
      <c r="E17" s="100"/>
      <c r="F17" s="89"/>
      <c r="G17" s="89"/>
      <c r="H17" s="89"/>
      <c r="I17" s="102"/>
      <c r="J17" s="114"/>
      <c r="K17" s="181" t="s">
        <v>28</v>
      </c>
      <c r="L17" s="182"/>
      <c r="M17" s="147">
        <f>IRR!F41</f>
        <v>55722716.540489852</v>
      </c>
      <c r="N17" s="114"/>
    </row>
    <row r="18" spans="2:18" x14ac:dyDescent="0.3">
      <c r="B18" s="100"/>
      <c r="C18" s="89"/>
      <c r="D18" s="89"/>
      <c r="E18" s="100"/>
      <c r="F18" s="89"/>
      <c r="G18" s="89"/>
      <c r="H18" s="89"/>
      <c r="I18" s="102"/>
      <c r="J18" s="114"/>
      <c r="K18" s="181" t="s">
        <v>29</v>
      </c>
      <c r="L18" s="182"/>
      <c r="M18" s="115">
        <f>IRR!F42</f>
        <v>0.72333333333333338</v>
      </c>
      <c r="N18" s="114"/>
      <c r="Q18" s="148"/>
      <c r="R18" s="90" t="s">
        <v>53</v>
      </c>
    </row>
    <row r="19" spans="2:18" ht="16.2" thickBot="1" x14ac:dyDescent="0.35">
      <c r="B19" s="100"/>
      <c r="C19" s="89"/>
      <c r="D19" s="89"/>
      <c r="E19" s="100"/>
      <c r="F19" s="89"/>
      <c r="G19" s="89"/>
      <c r="H19" s="89"/>
      <c r="I19" s="102"/>
      <c r="J19" s="114"/>
      <c r="K19" s="183" t="s">
        <v>82</v>
      </c>
      <c r="L19" s="184"/>
      <c r="M19" s="116">
        <f>IRR!F43</f>
        <v>3.4929351975865961</v>
      </c>
      <c r="N19" s="114"/>
      <c r="Q19" s="90" t="s">
        <v>53</v>
      </c>
    </row>
    <row r="20" spans="2:18" ht="16.2" thickBot="1" x14ac:dyDescent="0.35">
      <c r="B20" s="117"/>
      <c r="C20" s="118"/>
      <c r="D20" s="118"/>
      <c r="E20" s="117"/>
      <c r="F20" s="118" t="s">
        <v>53</v>
      </c>
      <c r="G20" s="118"/>
      <c r="H20" s="118"/>
      <c r="I20" s="119"/>
      <c r="J20" s="100"/>
      <c r="K20" s="120"/>
      <c r="L20" s="108"/>
      <c r="M20" s="108"/>
      <c r="N20" s="102"/>
    </row>
    <row r="21" spans="2:18" x14ac:dyDescent="0.3">
      <c r="B21" s="121" t="s">
        <v>85</v>
      </c>
      <c r="C21" s="122"/>
      <c r="D21" s="122"/>
      <c r="E21" s="122"/>
      <c r="F21" s="122"/>
      <c r="G21" s="122"/>
      <c r="H21" s="122"/>
      <c r="I21" s="122"/>
      <c r="J21" s="122"/>
      <c r="L21" s="230" t="s">
        <v>83</v>
      </c>
      <c r="M21" s="230"/>
      <c r="N21" s="96"/>
    </row>
    <row r="22" spans="2:18" x14ac:dyDescent="0.3">
      <c r="B22" s="100"/>
      <c r="C22" s="89"/>
      <c r="D22" s="89" t="s">
        <v>190</v>
      </c>
      <c r="E22" s="89"/>
      <c r="F22" s="89"/>
      <c r="G22" s="89"/>
      <c r="H22" s="89"/>
      <c r="I22" s="89"/>
      <c r="J22" s="89"/>
      <c r="K22" s="89"/>
      <c r="L22" s="185" t="s">
        <v>136</v>
      </c>
      <c r="M22" s="186"/>
      <c r="N22" s="102"/>
    </row>
    <row r="23" spans="2:18" x14ac:dyDescent="0.3">
      <c r="B23" s="100"/>
      <c r="C23" s="89"/>
      <c r="D23" s="89" t="s">
        <v>191</v>
      </c>
      <c r="E23" s="89"/>
      <c r="F23" s="89"/>
      <c r="G23" s="89"/>
      <c r="H23" s="89"/>
      <c r="I23" s="89"/>
      <c r="J23" s="89"/>
      <c r="K23" s="89"/>
      <c r="L23" s="89"/>
      <c r="M23" s="89"/>
      <c r="N23" s="102"/>
    </row>
    <row r="24" spans="2:18" x14ac:dyDescent="0.3">
      <c r="B24" s="100"/>
      <c r="C24" s="89"/>
      <c r="D24" s="89" t="s">
        <v>192</v>
      </c>
      <c r="E24" s="89"/>
      <c r="F24" s="89"/>
      <c r="G24" s="89"/>
      <c r="H24" s="89"/>
      <c r="I24" s="89"/>
      <c r="J24" s="89"/>
      <c r="K24" s="89"/>
      <c r="L24" s="89"/>
      <c r="M24" s="89"/>
      <c r="N24" s="102"/>
    </row>
    <row r="25" spans="2:18" x14ac:dyDescent="0.3">
      <c r="B25" s="100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102"/>
    </row>
    <row r="26" spans="2:18" ht="16.2" thickBot="1" x14ac:dyDescent="0.35"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9"/>
    </row>
    <row r="27" spans="2:18" ht="3" customHeight="1" x14ac:dyDescent="0.3"/>
    <row r="28" spans="2:18" x14ac:dyDescent="0.3">
      <c r="B28" s="1" t="s">
        <v>84</v>
      </c>
    </row>
    <row r="29" spans="2:18" x14ac:dyDescent="0.3">
      <c r="B29" s="179"/>
      <c r="C29" s="179"/>
      <c r="D29" s="179"/>
      <c r="E29" s="179"/>
      <c r="F29" s="179"/>
      <c r="G29" s="179"/>
      <c r="H29" s="179"/>
      <c r="I29" s="179"/>
      <c r="J29" s="179"/>
      <c r="K29" s="179"/>
      <c r="L29" s="179"/>
      <c r="M29" s="179"/>
    </row>
    <row r="30" spans="2:18" x14ac:dyDescent="0.3">
      <c r="B30" s="179"/>
      <c r="C30" s="179"/>
      <c r="D30" s="179"/>
      <c r="E30" s="179"/>
      <c r="F30" s="179"/>
      <c r="G30" s="179"/>
      <c r="H30" s="179"/>
      <c r="I30" s="179"/>
      <c r="J30" s="179"/>
      <c r="K30" s="179"/>
      <c r="L30" s="179"/>
      <c r="M30" s="179"/>
    </row>
    <row r="31" spans="2:18" x14ac:dyDescent="0.3"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</row>
    <row r="32" spans="2:18" x14ac:dyDescent="0.3">
      <c r="B32" s="179"/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79"/>
    </row>
    <row r="33" spans="2:13" x14ac:dyDescent="0.3"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79"/>
    </row>
    <row r="34" spans="2:13" x14ac:dyDescent="0.3">
      <c r="B34" s="179"/>
      <c r="C34" s="179"/>
      <c r="D34" s="179"/>
      <c r="E34" s="179"/>
      <c r="F34" s="179"/>
      <c r="G34" s="179"/>
      <c r="H34" s="179"/>
      <c r="I34" s="179"/>
      <c r="J34" s="179"/>
      <c r="K34" s="179"/>
      <c r="L34" s="179"/>
      <c r="M34" s="179"/>
    </row>
    <row r="35" spans="2:13" x14ac:dyDescent="0.3">
      <c r="B35" s="179"/>
      <c r="C35" s="179"/>
      <c r="D35" s="179"/>
      <c r="E35" s="179"/>
      <c r="F35" s="179"/>
      <c r="G35" s="179"/>
      <c r="H35" s="179"/>
      <c r="I35" s="179"/>
      <c r="J35" s="179"/>
      <c r="K35" s="179"/>
      <c r="L35" s="179"/>
      <c r="M35" s="179"/>
    </row>
  </sheetData>
  <mergeCells count="30">
    <mergeCell ref="K7:L7"/>
    <mergeCell ref="B5:D5"/>
    <mergeCell ref="E5:I5"/>
    <mergeCell ref="J5:N5"/>
    <mergeCell ref="B6:C6"/>
    <mergeCell ref="E6:I6"/>
    <mergeCell ref="K6:L6"/>
    <mergeCell ref="B8:C8"/>
    <mergeCell ref="E8:G8"/>
    <mergeCell ref="K8:L8"/>
    <mergeCell ref="B9:C9"/>
    <mergeCell ref="E9:G9"/>
    <mergeCell ref="K9:L9"/>
    <mergeCell ref="E10:G10"/>
    <mergeCell ref="K10:L10"/>
    <mergeCell ref="E11:I11"/>
    <mergeCell ref="K12:L12"/>
    <mergeCell ref="E12:G12"/>
    <mergeCell ref="K18:L18"/>
    <mergeCell ref="K19:L19"/>
    <mergeCell ref="L22:M22"/>
    <mergeCell ref="E13:G13"/>
    <mergeCell ref="K11:L11"/>
    <mergeCell ref="E14:G14"/>
    <mergeCell ref="E15:I15"/>
    <mergeCell ref="K16:L16"/>
    <mergeCell ref="K17:L17"/>
    <mergeCell ref="K13:L13"/>
    <mergeCell ref="K14:L14"/>
    <mergeCell ref="L21:M21"/>
  </mergeCells>
  <pageMargins left="0.7" right="0.7" top="0.31" bottom="0.37" header="0.3" footer="0.3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52"/>
  <sheetViews>
    <sheetView showGridLines="0" zoomScaleNormal="100" workbookViewId="0">
      <selection activeCell="C40" sqref="C40"/>
    </sheetView>
  </sheetViews>
  <sheetFormatPr defaultColWidth="10.59765625" defaultRowHeight="15.6" x14ac:dyDescent="0.3"/>
  <cols>
    <col min="1" max="1" width="3.59765625" customWidth="1"/>
    <col min="2" max="2" width="4.59765625" customWidth="1"/>
    <col min="3" max="3" width="28.5" customWidth="1"/>
    <col min="4" max="4" width="7.19921875" bestFit="1" customWidth="1"/>
    <col min="5" max="5" width="6.19921875" customWidth="1"/>
    <col min="6" max="6" width="16.69921875" customWidth="1"/>
    <col min="7" max="11" width="17.59765625" style="2" customWidth="1"/>
    <col min="12" max="12" width="16.59765625" bestFit="1" customWidth="1"/>
    <col min="13" max="13" width="15.69921875" customWidth="1"/>
    <col min="14" max="17" width="15" bestFit="1" customWidth="1"/>
    <col min="18" max="18" width="15.59765625" bestFit="1" customWidth="1"/>
    <col min="19" max="19" width="11.69921875" bestFit="1" customWidth="1"/>
  </cols>
  <sheetData>
    <row r="1" spans="1:21" ht="23.4" x14ac:dyDescent="0.3">
      <c r="B1" t="s">
        <v>122</v>
      </c>
      <c r="C1" t="s">
        <v>133</v>
      </c>
      <c r="L1" s="229" t="s">
        <v>134</v>
      </c>
    </row>
    <row r="2" spans="1:21" x14ac:dyDescent="0.3">
      <c r="A2" s="1" t="s">
        <v>0</v>
      </c>
    </row>
    <row r="3" spans="1:21" x14ac:dyDescent="0.3">
      <c r="B3" t="s">
        <v>1</v>
      </c>
      <c r="F3" s="4">
        <v>0.02</v>
      </c>
      <c r="L3" s="3"/>
      <c r="M3" s="3"/>
      <c r="N3" s="3"/>
    </row>
    <row r="4" spans="1:21" x14ac:dyDescent="0.3">
      <c r="B4" t="s">
        <v>38</v>
      </c>
      <c r="F4" s="4">
        <v>0.1</v>
      </c>
      <c r="J4" s="2" t="s">
        <v>183</v>
      </c>
      <c r="K4" s="2" t="s">
        <v>184</v>
      </c>
      <c r="L4" s="3"/>
      <c r="M4" s="3"/>
      <c r="N4" s="3"/>
    </row>
    <row r="5" spans="1:21" x14ac:dyDescent="0.3">
      <c r="B5" t="s">
        <v>2</v>
      </c>
      <c r="F5" s="4">
        <v>0.05</v>
      </c>
      <c r="G5" s="2" t="s">
        <v>3</v>
      </c>
      <c r="J5" s="2" t="s">
        <v>186</v>
      </c>
    </row>
    <row r="6" spans="1:21" x14ac:dyDescent="0.3">
      <c r="B6" t="s">
        <v>4</v>
      </c>
      <c r="F6" s="5">
        <v>0</v>
      </c>
      <c r="G6" s="2" t="s">
        <v>3</v>
      </c>
    </row>
    <row r="7" spans="1:21" x14ac:dyDescent="0.3">
      <c r="B7" t="s">
        <v>52</v>
      </c>
      <c r="F7" s="5">
        <v>0.15</v>
      </c>
      <c r="K7" s="2" t="s">
        <v>185</v>
      </c>
    </row>
    <row r="8" spans="1:21" ht="12.6" customHeight="1" x14ac:dyDescent="0.3">
      <c r="G8" s="29" t="s">
        <v>37</v>
      </c>
      <c r="H8" s="29"/>
      <c r="I8" s="29"/>
      <c r="J8" s="29"/>
      <c r="K8" s="29"/>
      <c r="L8" s="22"/>
      <c r="M8" s="38"/>
      <c r="N8" s="38"/>
      <c r="O8" s="39"/>
      <c r="P8" s="38"/>
      <c r="Q8" s="38"/>
      <c r="R8" s="38"/>
      <c r="S8" s="38"/>
      <c r="T8" s="38"/>
    </row>
    <row r="9" spans="1:21" ht="2.4" customHeight="1" x14ac:dyDescent="0.3">
      <c r="G9"/>
      <c r="H9"/>
      <c r="I9"/>
      <c r="J9"/>
      <c r="K9"/>
      <c r="L9" s="22"/>
      <c r="M9" s="38"/>
      <c r="N9" s="38"/>
      <c r="O9" s="39"/>
      <c r="P9" s="38"/>
      <c r="Q9" s="38"/>
      <c r="R9" s="38"/>
      <c r="S9" s="38"/>
      <c r="T9" s="38"/>
    </row>
    <row r="10" spans="1:21" s="78" customFormat="1" ht="16.2" thickBot="1" x14ac:dyDescent="0.35">
      <c r="A10" s="86" t="s">
        <v>87</v>
      </c>
      <c r="F10" s="85" t="s">
        <v>50</v>
      </c>
      <c r="G10" s="79">
        <f>'Book Value'!E13</f>
        <v>297636929.4375</v>
      </c>
      <c r="H10" s="80"/>
      <c r="I10" s="80"/>
      <c r="J10" s="80"/>
      <c r="K10" s="80"/>
      <c r="L10" s="83"/>
      <c r="M10" s="80"/>
      <c r="N10" s="80"/>
      <c r="O10" s="81"/>
      <c r="P10" s="80"/>
      <c r="Q10" s="80"/>
      <c r="R10" s="80"/>
      <c r="S10" s="80"/>
      <c r="T10" s="80"/>
    </row>
    <row r="11" spans="1:21" ht="16.8" thickTop="1" thickBot="1" x14ac:dyDescent="0.35">
      <c r="F11" s="38" t="s">
        <v>51</v>
      </c>
      <c r="G11" s="79">
        <v>0</v>
      </c>
      <c r="H11" s="80"/>
      <c r="I11" s="129"/>
      <c r="J11" s="80"/>
      <c r="K11" s="80"/>
      <c r="L11" s="84"/>
      <c r="M11" s="38"/>
      <c r="N11" s="38"/>
      <c r="O11" s="39"/>
      <c r="P11" s="38"/>
      <c r="Q11" s="38"/>
      <c r="R11" s="38"/>
      <c r="S11" s="38"/>
      <c r="T11" s="38"/>
    </row>
    <row r="12" spans="1:21" ht="4.8" customHeight="1" thickTop="1" x14ac:dyDescent="0.3">
      <c r="F12" s="9"/>
      <c r="L12" s="22"/>
      <c r="O12" s="37"/>
      <c r="P12" s="37"/>
      <c r="Q12" s="37"/>
      <c r="R12" s="37"/>
      <c r="S12" s="37"/>
      <c r="T12" s="37"/>
      <c r="U12" s="37"/>
    </row>
    <row r="13" spans="1:21" ht="16.2" thickBot="1" x14ac:dyDescent="0.35">
      <c r="A13" s="10" t="s">
        <v>11</v>
      </c>
      <c r="B13" s="6"/>
      <c r="C13" s="6"/>
      <c r="D13" s="6"/>
      <c r="E13" s="6"/>
      <c r="F13" s="6"/>
      <c r="G13" s="7">
        <v>2024</v>
      </c>
      <c r="H13" s="7">
        <v>2025</v>
      </c>
      <c r="I13" s="7">
        <v>2026</v>
      </c>
      <c r="J13" s="7">
        <v>2027</v>
      </c>
      <c r="K13" s="7">
        <v>2028</v>
      </c>
      <c r="L13" s="65" t="s">
        <v>12</v>
      </c>
      <c r="M13" s="52"/>
      <c r="N13" s="52"/>
      <c r="O13" s="52"/>
      <c r="P13" s="52"/>
      <c r="Q13" s="52"/>
      <c r="R13" s="52"/>
      <c r="S13" s="37"/>
      <c r="T13" s="37"/>
      <c r="U13" s="37"/>
    </row>
    <row r="14" spans="1:21" x14ac:dyDescent="0.3">
      <c r="A14" t="s">
        <v>13</v>
      </c>
      <c r="G14" s="8">
        <v>12</v>
      </c>
      <c r="H14" s="8">
        <v>12</v>
      </c>
      <c r="I14" s="8">
        <v>12</v>
      </c>
      <c r="J14" s="8">
        <v>12</v>
      </c>
      <c r="K14" s="8">
        <v>12</v>
      </c>
      <c r="L14" s="66"/>
    </row>
    <row r="15" spans="1:21" x14ac:dyDescent="0.3">
      <c r="A15" s="1" t="s">
        <v>5</v>
      </c>
      <c r="D15" s="15"/>
      <c r="G15" s="16"/>
      <c r="H15" s="16"/>
      <c r="I15" s="16"/>
      <c r="J15" s="16"/>
      <c r="K15" s="16"/>
      <c r="L15" s="66"/>
    </row>
    <row r="16" spans="1:21" x14ac:dyDescent="0.3">
      <c r="B16" t="s">
        <v>36</v>
      </c>
      <c r="G16" s="127">
        <v>150000000</v>
      </c>
      <c r="H16" s="127">
        <v>150000000</v>
      </c>
      <c r="I16" s="127">
        <v>150000000</v>
      </c>
      <c r="J16" s="127">
        <v>150000000</v>
      </c>
      <c r="K16" s="127">
        <v>150000000</v>
      </c>
      <c r="L16" s="67">
        <f>SUM(G16:K16)</f>
        <v>750000000</v>
      </c>
      <c r="M16" s="11"/>
      <c r="N16" s="11"/>
      <c r="O16" s="11"/>
      <c r="P16" s="11"/>
      <c r="Q16" s="11"/>
      <c r="R16" s="12"/>
    </row>
    <row r="17" spans="1:19" x14ac:dyDescent="0.3">
      <c r="A17" s="61" t="s">
        <v>14</v>
      </c>
      <c r="B17" s="61"/>
      <c r="C17" s="61"/>
      <c r="D17" s="207"/>
      <c r="E17" s="208"/>
      <c r="F17" s="208"/>
      <c r="G17" s="62">
        <f>SUM(G16:G16)</f>
        <v>150000000</v>
      </c>
      <c r="H17" s="62">
        <f>SUM(H16:H16)</f>
        <v>150000000</v>
      </c>
      <c r="I17" s="62">
        <f>SUM(I16:I16)</f>
        <v>150000000</v>
      </c>
      <c r="J17" s="62">
        <f>SUM(J16:J16)</f>
        <v>150000000</v>
      </c>
      <c r="K17" s="62">
        <f>SUM(K16:K16)</f>
        <v>150000000</v>
      </c>
      <c r="L17" s="68">
        <f>SUM(L16:L16)</f>
        <v>750000000</v>
      </c>
      <c r="M17" s="41"/>
      <c r="N17" s="41"/>
      <c r="O17" s="41"/>
      <c r="P17" s="41"/>
      <c r="Q17" s="41"/>
      <c r="R17" s="41"/>
      <c r="S17" s="43"/>
    </row>
    <row r="18" spans="1:19" ht="3.6" customHeight="1" x14ac:dyDescent="0.3">
      <c r="L18" s="66"/>
      <c r="M18" s="43"/>
      <c r="N18" s="43"/>
      <c r="O18" s="43"/>
      <c r="P18" s="43"/>
      <c r="Q18" s="43"/>
      <c r="R18" s="43"/>
      <c r="S18" s="43"/>
    </row>
    <row r="19" spans="1:19" x14ac:dyDescent="0.3">
      <c r="A19" s="1" t="s">
        <v>15</v>
      </c>
      <c r="D19" s="15"/>
      <c r="E19" s="15"/>
      <c r="F19" s="15"/>
      <c r="G19" s="16"/>
      <c r="H19" s="16"/>
      <c r="I19" s="16"/>
      <c r="J19" s="16"/>
      <c r="K19" s="16"/>
      <c r="L19" s="69"/>
      <c r="M19" s="44"/>
      <c r="N19" s="44"/>
      <c r="O19" s="44"/>
      <c r="P19" s="44"/>
      <c r="Q19" s="44"/>
      <c r="R19" s="43"/>
      <c r="S19" s="43"/>
    </row>
    <row r="20" spans="1:19" x14ac:dyDescent="0.3">
      <c r="B20" t="s">
        <v>135</v>
      </c>
      <c r="D20" s="143"/>
      <c r="G20" s="142">
        <v>135000000</v>
      </c>
      <c r="H20" s="142"/>
      <c r="I20" s="142"/>
      <c r="J20" s="142"/>
      <c r="K20" s="142"/>
      <c r="L20" s="70">
        <f t="shared" ref="L20:L23" si="0">SUM(G20:K20)</f>
        <v>135000000</v>
      </c>
      <c r="M20" s="41"/>
      <c r="N20" s="41"/>
      <c r="O20" s="41"/>
      <c r="P20" s="41"/>
      <c r="Q20" s="41"/>
      <c r="R20" s="42"/>
      <c r="S20" s="43"/>
    </row>
    <row r="21" spans="1:19" x14ac:dyDescent="0.3">
      <c r="B21" t="s">
        <v>16</v>
      </c>
      <c r="G21" s="11"/>
      <c r="H21" s="11"/>
      <c r="I21" s="11"/>
      <c r="J21" s="11"/>
      <c r="K21" s="11"/>
      <c r="L21" s="70">
        <f t="shared" si="0"/>
        <v>0</v>
      </c>
      <c r="M21" s="41"/>
      <c r="N21" s="41"/>
      <c r="O21" s="41"/>
      <c r="P21" s="41"/>
      <c r="Q21" s="41"/>
      <c r="R21" s="42"/>
      <c r="S21" s="43"/>
    </row>
    <row r="22" spans="1:19" x14ac:dyDescent="0.3">
      <c r="B22" t="s">
        <v>39</v>
      </c>
      <c r="G22" s="11">
        <f>'Parameter Interest'!$B$53</f>
        <v>7000000</v>
      </c>
      <c r="H22" s="11">
        <f>'Parameter Interest'!$B$53</f>
        <v>7000000</v>
      </c>
      <c r="I22" s="11">
        <f>'Parameter Interest'!$B$53</f>
        <v>7000000</v>
      </c>
      <c r="J22" s="11">
        <f>'Parameter Interest'!$B$53</f>
        <v>7000000</v>
      </c>
      <c r="K22" s="11">
        <f>'Parameter Interest'!$B$53</f>
        <v>7000000</v>
      </c>
      <c r="L22" s="70">
        <f t="shared" si="0"/>
        <v>35000000</v>
      </c>
      <c r="M22" s="41"/>
      <c r="N22" s="41"/>
      <c r="O22" s="41"/>
      <c r="P22" s="41"/>
      <c r="Q22" s="41"/>
      <c r="R22" s="42"/>
      <c r="S22" s="43"/>
    </row>
    <row r="23" spans="1:19" x14ac:dyDescent="0.3">
      <c r="A23" s="13"/>
      <c r="B23" s="13" t="s">
        <v>2</v>
      </c>
      <c r="C23" s="13"/>
      <c r="D23" s="13"/>
      <c r="E23" s="13"/>
      <c r="F23" s="13"/>
      <c r="G23" s="17">
        <f>G17*$F$5</f>
        <v>7500000</v>
      </c>
      <c r="H23" s="17">
        <f>H17*$F$5</f>
        <v>7500000</v>
      </c>
      <c r="I23" s="17">
        <f>I17*$F$5</f>
        <v>7500000</v>
      </c>
      <c r="J23" s="17">
        <f>J17*$F$5</f>
        <v>7500000</v>
      </c>
      <c r="K23" s="17">
        <f>K17*$F$5</f>
        <v>7500000</v>
      </c>
      <c r="L23" s="70">
        <f t="shared" si="0"/>
        <v>37500000</v>
      </c>
      <c r="M23" s="45"/>
      <c r="N23" s="45"/>
      <c r="O23" s="45"/>
      <c r="P23" s="45"/>
      <c r="Q23" s="45"/>
      <c r="R23" s="42"/>
      <c r="S23" s="43"/>
    </row>
    <row r="24" spans="1:19" s="1" customFormat="1" x14ac:dyDescent="0.3">
      <c r="A24" s="61" t="s">
        <v>17</v>
      </c>
      <c r="B24" s="61"/>
      <c r="C24" s="61"/>
      <c r="D24" s="61"/>
      <c r="E24" s="61"/>
      <c r="F24" s="61"/>
      <c r="G24" s="62">
        <f>SUM(G20:G23)</f>
        <v>149500000</v>
      </c>
      <c r="H24" s="62">
        <f t="shared" ref="H24:K24" si="1">SUM(H20:H23)</f>
        <v>14500000</v>
      </c>
      <c r="I24" s="62">
        <f t="shared" si="1"/>
        <v>14500000</v>
      </c>
      <c r="J24" s="62">
        <f t="shared" si="1"/>
        <v>14500000</v>
      </c>
      <c r="K24" s="62">
        <f t="shared" si="1"/>
        <v>14500000</v>
      </c>
      <c r="L24" s="82">
        <f>SUM(L20:L23)</f>
        <v>207500000</v>
      </c>
      <c r="M24" s="46"/>
      <c r="N24" s="46"/>
      <c r="O24" s="46"/>
      <c r="P24" s="46"/>
      <c r="Q24" s="46"/>
      <c r="R24" s="46"/>
      <c r="S24" s="47"/>
    </row>
    <row r="25" spans="1:19" s="1" customFormat="1" x14ac:dyDescent="0.3">
      <c r="A25" s="1" t="s">
        <v>18</v>
      </c>
      <c r="G25" s="18">
        <f t="shared" ref="G25:K25" si="2">G17-G24</f>
        <v>500000</v>
      </c>
      <c r="H25" s="18">
        <f t="shared" si="2"/>
        <v>135500000</v>
      </c>
      <c r="I25" s="18">
        <f t="shared" si="2"/>
        <v>135500000</v>
      </c>
      <c r="J25" s="18">
        <f t="shared" si="2"/>
        <v>135500000</v>
      </c>
      <c r="K25" s="18">
        <f t="shared" si="2"/>
        <v>135500000</v>
      </c>
      <c r="L25" s="126">
        <f>L17-L24</f>
        <v>542500000</v>
      </c>
      <c r="M25" s="46"/>
      <c r="N25" s="46"/>
      <c r="O25" s="46"/>
      <c r="P25" s="46"/>
      <c r="Q25" s="46"/>
      <c r="R25" s="46"/>
      <c r="S25" s="47"/>
    </row>
    <row r="26" spans="1:19" s="1" customFormat="1" x14ac:dyDescent="0.3">
      <c r="A26" s="19" t="s">
        <v>19</v>
      </c>
      <c r="B26" s="20"/>
      <c r="C26" s="20"/>
      <c r="D26" s="20"/>
      <c r="E26" s="20"/>
      <c r="F26" s="20"/>
      <c r="G26" s="21">
        <f t="shared" ref="G26:K26" si="3">G25/G17</f>
        <v>3.3333333333333335E-3</v>
      </c>
      <c r="H26" s="21">
        <f t="shared" si="3"/>
        <v>0.90333333333333332</v>
      </c>
      <c r="I26" s="21">
        <f t="shared" si="3"/>
        <v>0.90333333333333332</v>
      </c>
      <c r="J26" s="21">
        <f t="shared" si="3"/>
        <v>0.90333333333333332</v>
      </c>
      <c r="K26" s="21">
        <f t="shared" si="3"/>
        <v>0.90333333333333332</v>
      </c>
      <c r="L26" s="71">
        <f>L25/L17</f>
        <v>0.72333333333333338</v>
      </c>
      <c r="M26" s="48"/>
      <c r="N26" s="48"/>
      <c r="O26" s="48"/>
      <c r="P26" s="48"/>
      <c r="Q26" s="48"/>
      <c r="R26" s="48"/>
      <c r="S26" s="47"/>
    </row>
    <row r="27" spans="1:19" x14ac:dyDescent="0.3">
      <c r="L27" s="66"/>
      <c r="M27" s="43"/>
      <c r="N27" s="43"/>
      <c r="O27" s="43"/>
      <c r="P27" s="43"/>
      <c r="Q27" s="43"/>
      <c r="R27" s="43"/>
      <c r="S27" s="43"/>
    </row>
    <row r="28" spans="1:19" x14ac:dyDescent="0.3">
      <c r="A28" s="13" t="s">
        <v>20</v>
      </c>
      <c r="B28" s="13"/>
      <c r="C28" s="13"/>
      <c r="D28" s="13"/>
      <c r="E28" s="13"/>
      <c r="F28" s="13"/>
      <c r="G28" s="14">
        <f>G51</f>
        <v>59527385.887500003</v>
      </c>
      <c r="H28" s="14">
        <f t="shared" ref="H28:K28" si="4">H51</f>
        <v>59527385.887500003</v>
      </c>
      <c r="I28" s="14">
        <f t="shared" si="4"/>
        <v>59527385.887500003</v>
      </c>
      <c r="J28" s="14">
        <f t="shared" si="4"/>
        <v>59527385.887500003</v>
      </c>
      <c r="K28" s="14">
        <f t="shared" si="4"/>
        <v>59527385.887500003</v>
      </c>
      <c r="L28" s="72">
        <f>SUM(G28:G28)</f>
        <v>59527385.887500003</v>
      </c>
      <c r="M28" s="41"/>
      <c r="N28" s="41"/>
      <c r="O28" s="41"/>
      <c r="P28" s="41"/>
      <c r="Q28" s="41"/>
      <c r="R28" s="41"/>
      <c r="S28" s="43"/>
    </row>
    <row r="29" spans="1:19" x14ac:dyDescent="0.3">
      <c r="A29" s="22" t="s">
        <v>21</v>
      </c>
      <c r="G29" s="23">
        <f>G25-G28</f>
        <v>-59027385.887500003</v>
      </c>
      <c r="H29" s="23">
        <f t="shared" ref="H29:K29" si="5">H25-H28</f>
        <v>75972614.112499997</v>
      </c>
      <c r="I29" s="23">
        <f t="shared" si="5"/>
        <v>75972614.112499997</v>
      </c>
      <c r="J29" s="23">
        <f t="shared" si="5"/>
        <v>75972614.112499997</v>
      </c>
      <c r="K29" s="23">
        <f t="shared" si="5"/>
        <v>75972614.112499997</v>
      </c>
      <c r="L29" s="73">
        <f>L25-L28</f>
        <v>482972614.11250001</v>
      </c>
      <c r="M29" s="49"/>
      <c r="N29" s="49"/>
      <c r="O29" s="49"/>
      <c r="P29" s="49"/>
      <c r="Q29" s="49"/>
      <c r="R29" s="49"/>
      <c r="S29" s="43"/>
    </row>
    <row r="30" spans="1:19" x14ac:dyDescent="0.3">
      <c r="A30" s="22" t="s">
        <v>34</v>
      </c>
      <c r="G30" s="64">
        <f>'Parameter Interest'!M16</f>
        <v>19878130.169999994</v>
      </c>
      <c r="H30" s="64">
        <f>'Parameter Interest'!N16</f>
        <v>10714467.389999999</v>
      </c>
      <c r="I30" s="64">
        <f>'Parameter Interest'!O16</f>
        <v>5110530</v>
      </c>
      <c r="J30" s="64">
        <f>'Parameter Interest'!P16</f>
        <v>3066318</v>
      </c>
      <c r="K30" s="64">
        <f>'Parameter Interest'!Q16</f>
        <v>1022106</v>
      </c>
      <c r="L30" s="88">
        <f>SUM(G30:G30)</f>
        <v>19878130.169999994</v>
      </c>
      <c r="M30" s="49"/>
      <c r="N30" s="49"/>
      <c r="O30" s="49"/>
      <c r="P30" s="49"/>
      <c r="Q30" s="49"/>
      <c r="R30" s="49"/>
      <c r="S30" s="43"/>
    </row>
    <row r="31" spans="1:19" x14ac:dyDescent="0.3">
      <c r="A31" s="22" t="s">
        <v>35</v>
      </c>
      <c r="G31" s="64">
        <f>G29-G30</f>
        <v>-78905516.057500005</v>
      </c>
      <c r="H31" s="64">
        <f>H29-H30</f>
        <v>65258146.722499996</v>
      </c>
      <c r="I31" s="64">
        <f>I29-I30</f>
        <v>70862084.112499997</v>
      </c>
      <c r="J31" s="64">
        <f>J29-J30</f>
        <v>72906296.112499997</v>
      </c>
      <c r="K31" s="64">
        <f>K29-K30</f>
        <v>74950508.112499997</v>
      </c>
      <c r="L31" s="88">
        <f>SUM(G31:K31)</f>
        <v>205071519.0025</v>
      </c>
      <c r="M31" s="49"/>
      <c r="N31" s="49"/>
      <c r="O31" s="49"/>
      <c r="P31" s="49"/>
      <c r="Q31" s="49"/>
      <c r="R31" s="49"/>
      <c r="S31" s="43"/>
    </row>
    <row r="32" spans="1:19" x14ac:dyDescent="0.3">
      <c r="A32" s="13" t="s">
        <v>22</v>
      </c>
      <c r="B32" s="13"/>
      <c r="C32" s="13"/>
      <c r="D32" s="13"/>
      <c r="E32" s="13"/>
      <c r="F32" s="13"/>
      <c r="G32" s="63">
        <f>IF(G31&lt;0,0,G31*$F$3)</f>
        <v>0</v>
      </c>
      <c r="H32" s="63">
        <f t="shared" ref="H32:K32" si="6">IF(H31&lt;0,0,H31*$F$3)</f>
        <v>1305162.9344500001</v>
      </c>
      <c r="I32" s="63">
        <f t="shared" si="6"/>
        <v>1417241.6822500001</v>
      </c>
      <c r="J32" s="63">
        <f t="shared" si="6"/>
        <v>1458125.9222500001</v>
      </c>
      <c r="K32" s="63">
        <f t="shared" si="6"/>
        <v>1499010.1622500001</v>
      </c>
      <c r="L32" s="88">
        <f>SUM(G32:K32)</f>
        <v>5679540.7012</v>
      </c>
      <c r="M32" s="51"/>
      <c r="N32" s="51"/>
      <c r="O32" s="51"/>
      <c r="P32" s="51"/>
      <c r="Q32" s="51"/>
      <c r="R32" s="50"/>
      <c r="S32" s="43"/>
    </row>
    <row r="33" spans="1:19" ht="16.2" thickBot="1" x14ac:dyDescent="0.35">
      <c r="A33" s="25" t="s">
        <v>45</v>
      </c>
      <c r="B33" s="25"/>
      <c r="C33" s="25"/>
      <c r="D33" s="25"/>
      <c r="E33" s="25"/>
      <c r="F33" s="25"/>
      <c r="G33" s="26">
        <f>G31-G32</f>
        <v>-78905516.057500005</v>
      </c>
      <c r="H33" s="26">
        <f t="shared" ref="H33:J33" si="7">H31-H32</f>
        <v>63952983.788049996</v>
      </c>
      <c r="I33" s="26">
        <f t="shared" si="7"/>
        <v>69444842.430250004</v>
      </c>
      <c r="J33" s="26">
        <f t="shared" si="7"/>
        <v>71448170.190249994</v>
      </c>
      <c r="K33" s="26">
        <f>K31-K32</f>
        <v>73451497.95025</v>
      </c>
      <c r="L33" s="74">
        <f>L31-L32</f>
        <v>199391978.30129999</v>
      </c>
      <c r="M33" s="49"/>
      <c r="N33" s="49"/>
      <c r="O33" s="49"/>
      <c r="P33" s="49"/>
      <c r="Q33" s="49"/>
      <c r="R33" s="49"/>
      <c r="S33" s="43"/>
    </row>
    <row r="34" spans="1:19" ht="3" customHeight="1" x14ac:dyDescent="0.3">
      <c r="L34" s="66"/>
      <c r="M34" s="43"/>
      <c r="N34" s="43"/>
      <c r="O34" s="43"/>
      <c r="P34" s="43"/>
      <c r="Q34" s="43"/>
      <c r="R34" s="43"/>
      <c r="S34" s="43"/>
    </row>
    <row r="35" spans="1:19" x14ac:dyDescent="0.3">
      <c r="A35" s="13" t="s">
        <v>23</v>
      </c>
      <c r="B35" s="13"/>
      <c r="C35" s="13"/>
      <c r="D35" s="13"/>
      <c r="E35" s="13"/>
      <c r="F35" s="27">
        <f>-G10</f>
        <v>-297636929.4375</v>
      </c>
      <c r="G35" s="27">
        <v>0</v>
      </c>
      <c r="H35" s="27">
        <v>0</v>
      </c>
      <c r="I35" s="27">
        <v>0</v>
      </c>
      <c r="J35" s="27">
        <v>0</v>
      </c>
      <c r="K35" s="27">
        <v>0</v>
      </c>
      <c r="L35" s="75"/>
      <c r="M35" s="50"/>
      <c r="N35" s="50"/>
      <c r="O35" s="50"/>
      <c r="P35" s="50"/>
      <c r="Q35" s="50"/>
      <c r="R35" s="50"/>
      <c r="S35" s="43"/>
    </row>
    <row r="36" spans="1:19" x14ac:dyDescent="0.3">
      <c r="A36" t="s">
        <v>24</v>
      </c>
      <c r="F36" s="24">
        <f>F35</f>
        <v>-297636929.4375</v>
      </c>
      <c r="G36" s="24">
        <f>G35+G33+G28</f>
        <v>-19378130.170000002</v>
      </c>
      <c r="H36" s="24">
        <f>H35+H33+H28</f>
        <v>123480369.67555</v>
      </c>
      <c r="I36" s="24">
        <f>I35+I33+I28</f>
        <v>128972228.31775001</v>
      </c>
      <c r="J36" s="24">
        <f>J35+J33+J28</f>
        <v>130975556.07775</v>
      </c>
      <c r="K36" s="24">
        <f>K35+K33+K28</f>
        <v>132978883.83775</v>
      </c>
      <c r="L36" s="76">
        <f>SUM(F36:K36)</f>
        <v>199391978.30129999</v>
      </c>
      <c r="M36" s="50"/>
      <c r="N36" s="50"/>
      <c r="O36" s="50"/>
      <c r="P36" s="50"/>
      <c r="Q36" s="50"/>
      <c r="R36" s="50"/>
      <c r="S36" s="43"/>
    </row>
    <row r="37" spans="1:19" x14ac:dyDescent="0.3">
      <c r="A37" t="s">
        <v>25</v>
      </c>
      <c r="F37" s="24">
        <f>F36</f>
        <v>-297636929.4375</v>
      </c>
      <c r="G37" s="24">
        <f>F37+G36</f>
        <v>-317015059.60750002</v>
      </c>
      <c r="H37" s="24">
        <f t="shared" ref="H37:K37" si="8">G37+H36</f>
        <v>-193534689.93195003</v>
      </c>
      <c r="I37" s="24">
        <f t="shared" si="8"/>
        <v>-64562461.614200026</v>
      </c>
      <c r="J37" s="24">
        <f t="shared" si="8"/>
        <v>66413094.463549972</v>
      </c>
      <c r="K37" s="24">
        <f t="shared" si="8"/>
        <v>199391978.30129999</v>
      </c>
      <c r="L37" s="76"/>
      <c r="M37" s="50"/>
      <c r="N37" s="50"/>
      <c r="O37" s="50"/>
      <c r="P37" s="50"/>
      <c r="Q37" s="50"/>
      <c r="R37" s="50"/>
      <c r="S37" s="43"/>
    </row>
    <row r="38" spans="1:19" x14ac:dyDescent="0.3">
      <c r="A38" t="s">
        <v>26</v>
      </c>
      <c r="F38" s="24"/>
      <c r="G38" s="28">
        <f>IF(AND(F37&lt;0,G37&gt;0),G44-(G37/G36),0)</f>
        <v>0</v>
      </c>
      <c r="H38" s="28">
        <f t="shared" ref="H38:K38" si="9">IF(AND(G37&lt;0,H37&gt;0),H44-(H37/H36),0)</f>
        <v>0</v>
      </c>
      <c r="I38" s="28">
        <f t="shared" si="9"/>
        <v>0</v>
      </c>
      <c r="J38" s="28">
        <f t="shared" si="9"/>
        <v>3.4929351975865961</v>
      </c>
      <c r="K38" s="28">
        <f t="shared" si="9"/>
        <v>0</v>
      </c>
      <c r="L38" s="77"/>
      <c r="M38" s="28"/>
      <c r="N38" s="28"/>
      <c r="O38" s="28"/>
      <c r="P38" s="28"/>
      <c r="Q38" s="28"/>
      <c r="R38" s="28"/>
    </row>
    <row r="39" spans="1:19" ht="7.8" customHeight="1" x14ac:dyDescent="0.3"/>
    <row r="40" spans="1:19" x14ac:dyDescent="0.3">
      <c r="A40" s="53" t="s">
        <v>27</v>
      </c>
      <c r="B40" s="54"/>
      <c r="C40" s="54"/>
      <c r="D40" s="54"/>
      <c r="E40" s="54"/>
      <c r="F40" s="172">
        <f>IRR(F36:K36)</f>
        <v>0.15516170896364478</v>
      </c>
    </row>
    <row r="41" spans="1:19" x14ac:dyDescent="0.3">
      <c r="A41" s="55" t="s">
        <v>28</v>
      </c>
      <c r="B41" s="56"/>
      <c r="C41" s="56"/>
      <c r="D41" s="56"/>
      <c r="E41" s="56"/>
      <c r="F41" s="146">
        <f>NPV(F4,G36:K36)+F36</f>
        <v>55722716.540489852</v>
      </c>
    </row>
    <row r="42" spans="1:19" x14ac:dyDescent="0.3">
      <c r="A42" s="55" t="s">
        <v>29</v>
      </c>
      <c r="B42" s="56"/>
      <c r="C42" s="56"/>
      <c r="D42" s="56"/>
      <c r="E42" s="56"/>
      <c r="F42" s="57">
        <f>L26</f>
        <v>0.72333333333333338</v>
      </c>
    </row>
    <row r="43" spans="1:19" x14ac:dyDescent="0.3">
      <c r="A43" s="58" t="s">
        <v>30</v>
      </c>
      <c r="B43" s="59"/>
      <c r="C43" s="59"/>
      <c r="D43" s="59"/>
      <c r="E43" s="59"/>
      <c r="F43" s="60">
        <f>SUM(F38:K38)</f>
        <v>3.4929351975865961</v>
      </c>
    </row>
    <row r="44" spans="1:19" x14ac:dyDescent="0.3">
      <c r="G44" s="8">
        <v>1</v>
      </c>
      <c r="H44" s="8">
        <v>2</v>
      </c>
      <c r="I44" s="8">
        <v>3</v>
      </c>
      <c r="J44" s="8">
        <v>4</v>
      </c>
      <c r="K44" s="8">
        <v>5</v>
      </c>
      <c r="L44" s="29"/>
      <c r="M44" s="8"/>
      <c r="N44" s="29"/>
      <c r="O44" s="8"/>
      <c r="P44" s="29"/>
      <c r="Q44" s="8"/>
    </row>
    <row r="45" spans="1:19" x14ac:dyDescent="0.3">
      <c r="A45" s="30" t="s">
        <v>31</v>
      </c>
      <c r="D45" s="31" t="s">
        <v>32</v>
      </c>
      <c r="G45" s="31">
        <f>G13</f>
        <v>2024</v>
      </c>
      <c r="H45" s="31">
        <f>H13</f>
        <v>2025</v>
      </c>
      <c r="I45" s="31">
        <f>I13</f>
        <v>2026</v>
      </c>
      <c r="J45" s="31">
        <f>J13</f>
        <v>2027</v>
      </c>
      <c r="K45" s="31">
        <f>K13</f>
        <v>2028</v>
      </c>
      <c r="L45" s="31"/>
      <c r="M45" s="31"/>
      <c r="N45" s="31"/>
      <c r="O45" s="31"/>
      <c r="P45" s="31"/>
      <c r="Q45" s="31"/>
      <c r="R45" s="31"/>
    </row>
    <row r="46" spans="1:19" x14ac:dyDescent="0.3">
      <c r="C46" t="s">
        <v>6</v>
      </c>
      <c r="D46">
        <v>5</v>
      </c>
      <c r="G46" s="128">
        <f>SUM(G10:G11)/$D46</f>
        <v>59527385.887500003</v>
      </c>
      <c r="H46" s="128">
        <f>G46</f>
        <v>59527385.887500003</v>
      </c>
      <c r="I46" s="128">
        <f t="shared" ref="I46:K46" si="10">H46</f>
        <v>59527385.887500003</v>
      </c>
      <c r="J46" s="128">
        <f t="shared" si="10"/>
        <v>59527385.887500003</v>
      </c>
      <c r="K46" s="128">
        <f t="shared" si="10"/>
        <v>59527385.887500003</v>
      </c>
      <c r="L46" s="32"/>
      <c r="M46" s="32"/>
      <c r="N46" s="32"/>
      <c r="O46" s="32"/>
      <c r="P46" s="32"/>
      <c r="Q46" s="32"/>
      <c r="R46" s="33"/>
    </row>
    <row r="47" spans="1:19" hidden="1" x14ac:dyDescent="0.3">
      <c r="C47" t="s">
        <v>7</v>
      </c>
      <c r="D47">
        <v>4</v>
      </c>
      <c r="G47" s="128"/>
      <c r="H47" s="128"/>
      <c r="I47" s="128"/>
      <c r="J47" s="128"/>
      <c r="K47" s="128"/>
      <c r="L47" s="32"/>
      <c r="M47" s="32"/>
      <c r="N47" s="32"/>
      <c r="O47" s="32"/>
      <c r="P47" s="32"/>
      <c r="Q47" s="32"/>
      <c r="R47" s="33"/>
    </row>
    <row r="48" spans="1:19" hidden="1" x14ac:dyDescent="0.3">
      <c r="C48" t="s">
        <v>8</v>
      </c>
      <c r="D48">
        <v>3</v>
      </c>
      <c r="G48" s="128"/>
      <c r="H48" s="128"/>
      <c r="I48" s="128"/>
      <c r="J48" s="128"/>
      <c r="K48" s="128"/>
      <c r="L48" s="32"/>
      <c r="M48" s="32"/>
      <c r="N48" s="32"/>
      <c r="O48" s="32"/>
      <c r="P48" s="32"/>
      <c r="Q48" s="32"/>
      <c r="R48" s="33"/>
    </row>
    <row r="49" spans="1:21" hidden="1" x14ac:dyDescent="0.3">
      <c r="C49" t="s">
        <v>9</v>
      </c>
      <c r="D49">
        <v>2</v>
      </c>
      <c r="G49" s="128"/>
      <c r="H49" s="128"/>
      <c r="I49" s="128"/>
      <c r="J49" s="128"/>
      <c r="K49" s="128"/>
      <c r="L49" s="32"/>
      <c r="M49" s="32"/>
      <c r="N49" s="32"/>
      <c r="O49" s="32"/>
      <c r="P49" s="32"/>
      <c r="Q49" s="32"/>
      <c r="R49" s="33"/>
    </row>
    <row r="50" spans="1:21" hidden="1" x14ac:dyDescent="0.3">
      <c r="C50" t="s">
        <v>10</v>
      </c>
      <c r="D50">
        <v>1</v>
      </c>
      <c r="G50" s="128"/>
      <c r="H50" s="128"/>
      <c r="I50" s="128"/>
      <c r="J50" s="128"/>
      <c r="K50" s="128"/>
      <c r="L50" s="32"/>
      <c r="M50" s="32"/>
      <c r="N50" s="32"/>
      <c r="O50" s="32"/>
      <c r="P50" s="32"/>
      <c r="Q50" s="32"/>
      <c r="R50" s="33"/>
    </row>
    <row r="51" spans="1:21" ht="16.2" thickBot="1" x14ac:dyDescent="0.35">
      <c r="A51" s="34" t="s">
        <v>33</v>
      </c>
      <c r="B51" s="35"/>
      <c r="C51" s="35"/>
      <c r="D51" s="35"/>
      <c r="E51" s="35"/>
      <c r="F51" s="35"/>
      <c r="G51" s="36">
        <f>SUM(G46:G46)</f>
        <v>59527385.887500003</v>
      </c>
      <c r="H51" s="36">
        <f t="shared" ref="H51:K51" si="11">SUM(H46:H46)</f>
        <v>59527385.887500003</v>
      </c>
      <c r="I51" s="36">
        <f t="shared" si="11"/>
        <v>59527385.887500003</v>
      </c>
      <c r="J51" s="36">
        <f t="shared" si="11"/>
        <v>59527385.887500003</v>
      </c>
      <c r="K51" s="36">
        <f t="shared" si="11"/>
        <v>59527385.887500003</v>
      </c>
      <c r="L51" s="40"/>
      <c r="M51" s="40"/>
      <c r="N51" s="40"/>
      <c r="O51" s="40"/>
      <c r="P51" s="40"/>
      <c r="Q51" s="40"/>
      <c r="R51" s="40"/>
      <c r="S51" s="37"/>
      <c r="T51" s="37"/>
      <c r="U51" s="37"/>
    </row>
    <row r="52" spans="1:21" ht="16.2" thickTop="1" x14ac:dyDescent="0.3">
      <c r="R52" s="12"/>
    </row>
  </sheetData>
  <mergeCells count="1">
    <mergeCell ref="D17:F17"/>
  </mergeCells>
  <pageMargins left="0.35" right="0.7" top="0.24" bottom="0.37" header="0.3" footer="0.3"/>
  <pageSetup paperSize="9" scale="73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64"/>
  <sheetViews>
    <sheetView showGridLines="0" topLeftCell="A13" zoomScale="85" zoomScaleNormal="85" workbookViewId="0">
      <selection activeCell="P21" sqref="P21"/>
    </sheetView>
  </sheetViews>
  <sheetFormatPr defaultRowHeight="15.6" x14ac:dyDescent="0.3"/>
  <cols>
    <col min="1" max="1" width="13.5" bestFit="1" customWidth="1"/>
    <col min="2" max="2" width="15.69921875" bestFit="1" customWidth="1"/>
    <col min="3" max="3" width="14.296875" bestFit="1" customWidth="1"/>
    <col min="4" max="4" width="13.69921875" bestFit="1" customWidth="1"/>
    <col min="5" max="5" width="16" customWidth="1"/>
    <col min="6" max="6" width="14.8984375" customWidth="1"/>
    <col min="7" max="7" width="12.09765625" bestFit="1" customWidth="1"/>
    <col min="8" max="8" width="13.5" customWidth="1"/>
    <col min="9" max="9" width="14.3984375" customWidth="1"/>
    <col min="10" max="11" width="13.69921875" bestFit="1" customWidth="1"/>
    <col min="12" max="12" width="12.69921875" bestFit="1" customWidth="1"/>
    <col min="13" max="16" width="11.59765625" bestFit="1" customWidth="1"/>
    <col min="17" max="17" width="10.59765625" bestFit="1" customWidth="1"/>
  </cols>
  <sheetData>
    <row r="1" spans="1:21" ht="14.4" x14ac:dyDescent="0.3">
      <c r="A1" s="221" t="s">
        <v>180</v>
      </c>
    </row>
    <row r="2" spans="1:21" ht="14.4" x14ac:dyDescent="0.3">
      <c r="A2" s="222" t="s">
        <v>181</v>
      </c>
      <c r="B2" s="223">
        <v>5</v>
      </c>
      <c r="C2" s="130">
        <v>2014</v>
      </c>
      <c r="D2" s="130">
        <f>C2+1</f>
        <v>2015</v>
      </c>
      <c r="E2" s="130">
        <f t="shared" ref="E2:K2" si="0">D2+1</f>
        <v>2016</v>
      </c>
      <c r="F2" s="130">
        <f t="shared" si="0"/>
        <v>2017</v>
      </c>
      <c r="G2" s="130">
        <f t="shared" si="0"/>
        <v>2018</v>
      </c>
      <c r="H2" s="130">
        <f t="shared" si="0"/>
        <v>2019</v>
      </c>
      <c r="I2" s="130">
        <f t="shared" si="0"/>
        <v>2020</v>
      </c>
      <c r="J2" s="130">
        <f t="shared" si="0"/>
        <v>2021</v>
      </c>
      <c r="K2" s="130">
        <f t="shared" si="0"/>
        <v>2022</v>
      </c>
      <c r="L2" s="130">
        <f t="shared" ref="L2" si="1">K2+1</f>
        <v>2023</v>
      </c>
      <c r="M2" s="130">
        <f t="shared" ref="M2" si="2">L2+1</f>
        <v>2024</v>
      </c>
      <c r="N2" s="130">
        <f t="shared" ref="N2" si="3">M2+1</f>
        <v>2025</v>
      </c>
      <c r="O2" s="130">
        <f t="shared" ref="O2" si="4">N2+1</f>
        <v>2026</v>
      </c>
      <c r="P2" s="130">
        <f t="shared" ref="P2" si="5">O2+1</f>
        <v>2027</v>
      </c>
      <c r="Q2" s="130">
        <f t="shared" ref="Q2" si="6">P2+1</f>
        <v>2028</v>
      </c>
    </row>
    <row r="3" spans="1:21" x14ac:dyDescent="0.3">
      <c r="A3" s="224">
        <v>2014</v>
      </c>
      <c r="B3" t="s">
        <v>46</v>
      </c>
      <c r="C3" s="225">
        <v>45943546</v>
      </c>
      <c r="D3" s="12">
        <f>C3-C4</f>
        <v>36754836.799999997</v>
      </c>
      <c r="E3" s="12">
        <f>D3-C4</f>
        <v>27566127.599999998</v>
      </c>
      <c r="F3" s="12">
        <f>E3-C4</f>
        <v>18377418.399999999</v>
      </c>
      <c r="G3" s="12">
        <f>F3-C4</f>
        <v>9188709.1999999993</v>
      </c>
      <c r="H3" s="12">
        <f>G3-C4</f>
        <v>0</v>
      </c>
      <c r="I3" s="12">
        <f>H3-$E$4</f>
        <v>0</v>
      </c>
      <c r="J3" s="12">
        <f>I3-$E$4</f>
        <v>0</v>
      </c>
      <c r="K3" s="12"/>
      <c r="P3" s="12"/>
      <c r="Q3" s="12"/>
      <c r="R3" s="12"/>
      <c r="S3" s="12"/>
      <c r="T3">
        <v>2013</v>
      </c>
      <c r="U3" s="225">
        <v>1726670811.6800001</v>
      </c>
    </row>
    <row r="4" spans="1:21" ht="14.4" x14ac:dyDescent="0.3">
      <c r="A4" s="226"/>
      <c r="B4" t="s">
        <v>48</v>
      </c>
      <c r="C4" s="225">
        <f>C3/B2</f>
        <v>9188709.1999999993</v>
      </c>
      <c r="D4" s="225"/>
      <c r="E4" s="225"/>
      <c r="T4">
        <v>2014</v>
      </c>
      <c r="U4" s="225">
        <v>422342499</v>
      </c>
    </row>
    <row r="5" spans="1:21" ht="14.4" x14ac:dyDescent="0.3">
      <c r="A5" s="226"/>
      <c r="B5" t="s">
        <v>49</v>
      </c>
      <c r="C5" s="225">
        <f>(($C$3*[3]IRR!$F$3)*6)/12</f>
        <v>2297177.3000000003</v>
      </c>
      <c r="D5" s="12">
        <f>AVERAGE(C3:D3)*[3]IRR!$F$3</f>
        <v>4134919.14</v>
      </c>
      <c r="E5" s="12">
        <f>AVERAGE(D3:E3)*[3]IRR!$F$3</f>
        <v>3216048.2199999997</v>
      </c>
      <c r="F5" s="12">
        <f>AVERAGE(E3:F3)*[3]IRR!$F$3</f>
        <v>2297177.3000000003</v>
      </c>
      <c r="G5" s="12">
        <f>AVERAGE(F3:G3)*[3]IRR!$F$3</f>
        <v>1378306.38</v>
      </c>
      <c r="H5" s="12">
        <f>AVERAGE(G3:H3)*[3]IRR!$F$3</f>
        <v>459435.45999999996</v>
      </c>
      <c r="I5" s="12">
        <f>AVERAGE($H$3:$I$3)*[2]IRR!$G$4</f>
        <v>0</v>
      </c>
      <c r="J5" s="12">
        <f>AVERAGE($I$3:$J$3)*[2]IRR!$G$4</f>
        <v>0</v>
      </c>
      <c r="K5" s="12"/>
      <c r="P5" s="12"/>
      <c r="Q5" s="12"/>
      <c r="R5" s="12"/>
      <c r="S5" s="12"/>
      <c r="T5">
        <v>2016</v>
      </c>
      <c r="U5" s="225">
        <v>10773000</v>
      </c>
    </row>
    <row r="6" spans="1:21" x14ac:dyDescent="0.3">
      <c r="A6" s="224">
        <v>2015</v>
      </c>
      <c r="B6" t="s">
        <v>46</v>
      </c>
      <c r="C6" s="225"/>
      <c r="D6" s="12">
        <v>47326021.57</v>
      </c>
      <c r="E6" s="12">
        <f>D6-D7</f>
        <v>37860817.255999997</v>
      </c>
      <c r="F6" s="12">
        <f>E6-D7</f>
        <v>28395612.941999998</v>
      </c>
      <c r="G6" s="12">
        <f>F6-D7</f>
        <v>18930408.627999999</v>
      </c>
      <c r="H6" s="12">
        <f>G6-D7</f>
        <v>9465204.3139999993</v>
      </c>
      <c r="I6" s="12"/>
      <c r="J6" s="12"/>
      <c r="K6" s="12"/>
      <c r="T6">
        <v>2017</v>
      </c>
      <c r="U6" s="225">
        <v>102210600</v>
      </c>
    </row>
    <row r="7" spans="1:21" ht="14.4" x14ac:dyDescent="0.3">
      <c r="A7" s="226"/>
      <c r="B7" t="s">
        <v>48</v>
      </c>
      <c r="C7" s="225"/>
      <c r="D7" s="12">
        <f>D6/B2</f>
        <v>9465204.3139999993</v>
      </c>
      <c r="E7" s="12"/>
      <c r="F7" s="12"/>
      <c r="G7" s="12"/>
      <c r="H7" s="12"/>
      <c r="I7" s="12"/>
      <c r="J7" s="12"/>
      <c r="K7" s="12"/>
    </row>
    <row r="8" spans="1:21" ht="14.4" x14ac:dyDescent="0.3">
      <c r="A8" s="226"/>
      <c r="B8" t="s">
        <v>49</v>
      </c>
      <c r="C8" s="225"/>
      <c r="D8" s="225">
        <f>((D6*IRR!F4*6)/12)</f>
        <v>2366301.0785000003</v>
      </c>
      <c r="E8" s="12">
        <f>AVERAGE(D6:E6)*IRR!F4</f>
        <v>4259341.9413000001</v>
      </c>
      <c r="F8" s="12">
        <f>AVERAGE(E6:F6)*IRR!$F$4</f>
        <v>3312821.5098999999</v>
      </c>
      <c r="G8" s="12">
        <f>AVERAGE(F6:G6)*IRR!$F$4</f>
        <v>2366301.0784999998</v>
      </c>
      <c r="H8" s="12">
        <f>AVERAGE(G6:H6)*IRR!$F$4</f>
        <v>1419780.6470999999</v>
      </c>
      <c r="I8" s="12">
        <f>AVERAGE(H6:I6)*IRR!$F$4</f>
        <v>946520.4314</v>
      </c>
      <c r="J8" s="12"/>
      <c r="K8" s="12"/>
    </row>
    <row r="9" spans="1:21" x14ac:dyDescent="0.3">
      <c r="A9" s="224">
        <v>2020</v>
      </c>
      <c r="B9" t="s">
        <v>46</v>
      </c>
      <c r="C9" s="225"/>
      <c r="D9" s="12"/>
      <c r="I9" s="12">
        <v>355972539</v>
      </c>
      <c r="J9" s="12">
        <f>I9-I10</f>
        <v>284778031.19999999</v>
      </c>
      <c r="K9" s="12">
        <f>J9-I10</f>
        <v>213583523.39999998</v>
      </c>
      <c r="L9" s="12">
        <f>K9-I10</f>
        <v>142389015.59999996</v>
      </c>
      <c r="M9" s="12">
        <f>L9-I10</f>
        <v>71194507.799999967</v>
      </c>
      <c r="N9" s="12">
        <f>M9-I10</f>
        <v>0</v>
      </c>
    </row>
    <row r="10" spans="1:21" ht="14.4" x14ac:dyDescent="0.3">
      <c r="A10" s="226"/>
      <c r="B10" t="s">
        <v>48</v>
      </c>
      <c r="C10" s="225"/>
      <c r="D10" s="12"/>
      <c r="I10" s="12">
        <f>I9/B2</f>
        <v>71194507.799999997</v>
      </c>
      <c r="J10" s="12"/>
      <c r="K10" s="12"/>
      <c r="L10" s="12"/>
      <c r="M10" s="12"/>
      <c r="N10" s="12"/>
    </row>
    <row r="11" spans="1:21" ht="14.4" x14ac:dyDescent="0.3">
      <c r="A11" s="226"/>
      <c r="B11" t="s">
        <v>49</v>
      </c>
      <c r="C11" s="225"/>
      <c r="D11" s="12"/>
      <c r="I11" s="225">
        <f>((I9*IRR!F4*6)/12)</f>
        <v>17798626.949999999</v>
      </c>
      <c r="J11" s="12">
        <f>AVERAGE(I9:J9)*IRR!$F$4</f>
        <v>32037528.510000005</v>
      </c>
      <c r="K11" s="12">
        <f>AVERAGE(J9:K9)*IRR!$F$4</f>
        <v>24918077.73</v>
      </c>
      <c r="L11" s="12">
        <f>AVERAGE(K9:L9)*IRR!$F$4</f>
        <v>17798626.949999999</v>
      </c>
      <c r="M11" s="12">
        <f>AVERAGE(L9:M9)*IRR!$F$4</f>
        <v>10679176.169999996</v>
      </c>
      <c r="N11" s="12">
        <f>AVERAGE(M9:N9)*IRR!$F$4</f>
        <v>3559725.3899999987</v>
      </c>
    </row>
    <row r="12" spans="1:21" ht="14.4" x14ac:dyDescent="0.3">
      <c r="A12" s="224">
        <v>2023</v>
      </c>
      <c r="B12" t="s">
        <v>46</v>
      </c>
      <c r="C12" s="225"/>
      <c r="D12" s="12"/>
      <c r="E12" s="12"/>
      <c r="F12" s="12"/>
      <c r="L12" s="12">
        <v>102210600</v>
      </c>
      <c r="M12" s="12">
        <f>L12-L13</f>
        <v>81768480</v>
      </c>
      <c r="N12" s="12">
        <f>M12-L13</f>
        <v>61326360</v>
      </c>
      <c r="O12" s="12">
        <f>N12-L13</f>
        <v>40884240</v>
      </c>
      <c r="P12" s="12">
        <f>O12-L13</f>
        <v>20442120</v>
      </c>
      <c r="Q12" s="12">
        <f>P12-L13</f>
        <v>0</v>
      </c>
    </row>
    <row r="13" spans="1:21" ht="14.4" x14ac:dyDescent="0.3">
      <c r="B13" t="s">
        <v>48</v>
      </c>
      <c r="C13" s="225"/>
      <c r="D13" s="12"/>
      <c r="E13" s="12"/>
      <c r="F13" s="12"/>
      <c r="L13" s="12">
        <f>L12/B2</f>
        <v>20442120</v>
      </c>
      <c r="M13" s="12"/>
      <c r="N13" s="12"/>
      <c r="O13" s="12"/>
      <c r="P13" s="12"/>
      <c r="Q13" s="12"/>
    </row>
    <row r="14" spans="1:21" ht="14.4" x14ac:dyDescent="0.3">
      <c r="B14" t="s">
        <v>49</v>
      </c>
      <c r="C14" s="225"/>
      <c r="D14" s="12"/>
      <c r="E14" s="225"/>
      <c r="F14" s="12"/>
      <c r="L14" s="225">
        <f>((L12*IRR!F4*6)/12)</f>
        <v>5110530</v>
      </c>
      <c r="M14" s="12">
        <f>AVERAGE(L12:M12)*IRR!$F$4</f>
        <v>9198954</v>
      </c>
      <c r="N14" s="12">
        <f>AVERAGE(M12:N12)*IRR!$F$4</f>
        <v>7154742</v>
      </c>
      <c r="O14" s="12">
        <f>AVERAGE(N12:O12)*IRR!$F$4</f>
        <v>5110530</v>
      </c>
      <c r="P14" s="12">
        <f>AVERAGE(O12:P12)*IRR!$F$4</f>
        <v>3066318</v>
      </c>
      <c r="Q14" s="12">
        <f>AVERAGE(P12:Q12)*IRR!$F$4</f>
        <v>1022106</v>
      </c>
    </row>
    <row r="15" spans="1:21" ht="14.4" x14ac:dyDescent="0.3">
      <c r="C15" s="225"/>
      <c r="D15" s="12"/>
      <c r="E15" s="12"/>
      <c r="F15" s="12"/>
      <c r="G15" s="12"/>
      <c r="H15" s="12"/>
      <c r="I15" s="12"/>
      <c r="J15" s="12"/>
      <c r="K15" s="12"/>
    </row>
    <row r="16" spans="1:21" ht="14.4" x14ac:dyDescent="0.3">
      <c r="A16" s="222"/>
      <c r="B16" s="227" t="s">
        <v>182</v>
      </c>
      <c r="C16" s="228">
        <f>C5+C8+C11+C14</f>
        <v>2297177.3000000003</v>
      </c>
      <c r="D16" s="228">
        <f t="shared" ref="D16:Q16" si="7">D5+D8+D11+D14</f>
        <v>6501220.2185000004</v>
      </c>
      <c r="E16" s="228">
        <f t="shared" si="7"/>
        <v>7475390.1612999998</v>
      </c>
      <c r="F16" s="228">
        <f t="shared" si="7"/>
        <v>5609998.8099000007</v>
      </c>
      <c r="G16" s="228">
        <f t="shared" si="7"/>
        <v>3744607.4584999997</v>
      </c>
      <c r="H16" s="228">
        <f t="shared" si="7"/>
        <v>1879216.1070999999</v>
      </c>
      <c r="I16" s="228">
        <f t="shared" si="7"/>
        <v>18745147.3814</v>
      </c>
      <c r="J16" s="228">
        <f t="shared" si="7"/>
        <v>32037528.510000005</v>
      </c>
      <c r="K16" s="228">
        <f t="shared" si="7"/>
        <v>24918077.73</v>
      </c>
      <c r="L16" s="228">
        <f t="shared" si="7"/>
        <v>22909156.949999999</v>
      </c>
      <c r="M16" s="228">
        <f t="shared" si="7"/>
        <v>19878130.169999994</v>
      </c>
      <c r="N16" s="228">
        <f t="shared" si="7"/>
        <v>10714467.389999999</v>
      </c>
      <c r="O16" s="228">
        <f t="shared" si="7"/>
        <v>5110530</v>
      </c>
      <c r="P16" s="228">
        <f t="shared" si="7"/>
        <v>3066318</v>
      </c>
      <c r="Q16" s="228">
        <f t="shared" si="7"/>
        <v>1022106</v>
      </c>
    </row>
    <row r="17" spans="1:11" ht="14.4" x14ac:dyDescent="0.3">
      <c r="B17" s="225"/>
      <c r="C17" s="12"/>
      <c r="D17" s="12"/>
      <c r="E17" s="12"/>
      <c r="F17" s="12"/>
      <c r="G17" s="12"/>
      <c r="H17" s="12"/>
      <c r="I17" s="12"/>
      <c r="J17" s="12"/>
      <c r="K17" s="12"/>
    </row>
    <row r="18" spans="1:11" x14ac:dyDescent="0.3">
      <c r="B18" t="s">
        <v>6</v>
      </c>
      <c r="C18" t="s">
        <v>7</v>
      </c>
      <c r="D18" t="s">
        <v>8</v>
      </c>
      <c r="E18" t="s">
        <v>9</v>
      </c>
      <c r="F18" t="s">
        <v>10</v>
      </c>
      <c r="G18" t="s">
        <v>40</v>
      </c>
      <c r="H18" t="s">
        <v>41</v>
      </c>
      <c r="I18" t="s">
        <v>42</v>
      </c>
      <c r="J18" t="s">
        <v>43</v>
      </c>
      <c r="K18" t="s">
        <v>44</v>
      </c>
    </row>
    <row r="19" spans="1:11" x14ac:dyDescent="0.3">
      <c r="A19" t="s">
        <v>46</v>
      </c>
      <c r="B19" s="87">
        <f>SUM(IRR!G10:G11)</f>
        <v>297636929.4375</v>
      </c>
      <c r="C19" s="12">
        <f>$B$19-$B$21</f>
        <v>238109543.55000001</v>
      </c>
      <c r="D19" s="12">
        <f>$C$19-$B$21</f>
        <v>178582157.66250002</v>
      </c>
      <c r="E19" s="12">
        <f>$D$19-$B$21</f>
        <v>119054771.77500002</v>
      </c>
      <c r="F19" s="12">
        <f>$E$19-$B$21</f>
        <v>59527385.887500018</v>
      </c>
      <c r="G19" s="12">
        <f>$F$19-$B$21</f>
        <v>0</v>
      </c>
      <c r="H19" s="12">
        <f>$G$19-$B$21</f>
        <v>-59527385.887500003</v>
      </c>
      <c r="I19" s="12">
        <f>$H$19-$B$21</f>
        <v>-119054771.77500001</v>
      </c>
      <c r="J19" s="12">
        <f>$I$19-$B$21</f>
        <v>-178582157.66250002</v>
      </c>
      <c r="K19" s="12">
        <f>$J$19-$B$21</f>
        <v>-238109543.55000001</v>
      </c>
    </row>
    <row r="20" spans="1:11" x14ac:dyDescent="0.3">
      <c r="A20" t="s">
        <v>47</v>
      </c>
      <c r="B20" s="87">
        <v>5</v>
      </c>
    </row>
    <row r="21" spans="1:11" x14ac:dyDescent="0.3">
      <c r="A21" t="s">
        <v>48</v>
      </c>
      <c r="B21" s="87">
        <f>$B$19/$B$20</f>
        <v>59527385.887500003</v>
      </c>
    </row>
    <row r="22" spans="1:11" x14ac:dyDescent="0.3">
      <c r="A22" t="s">
        <v>49</v>
      </c>
      <c r="B22" s="87">
        <f>(($B$19*IRR!F4*6)/12)</f>
        <v>14881846.471875003</v>
      </c>
      <c r="C22" s="12">
        <f>AVERAGE(B19:C19)*IRR!F4</f>
        <v>26787323.649375003</v>
      </c>
      <c r="D22" s="12">
        <f>AVERAGE(C19:D19)*IRR!F4</f>
        <v>20834585.060625002</v>
      </c>
      <c r="E22" s="12">
        <f>AVERAGE(D19:E19)*IRR!F4</f>
        <v>14881846.471875004</v>
      </c>
      <c r="F22" s="12">
        <f>AVERAGE(E19:F19)*IRR!F4</f>
        <v>8929107.8831250016</v>
      </c>
      <c r="G22" s="12">
        <f>AVERAGE(F19:G19)*IRR!F4</f>
        <v>2976369.294375001</v>
      </c>
      <c r="H22" s="12">
        <f>AVERAGE($G$19:$H$19)*[2]IRR!$G$4</f>
        <v>-2976369.2943750005</v>
      </c>
      <c r="I22" s="12">
        <f>AVERAGE($H$19:$I$19)*[2]IRR!$G$4</f>
        <v>-8929107.8831250016</v>
      </c>
      <c r="J22" s="12">
        <f>AVERAGE($I$19:$J$19)*[2]IRR!$G$4</f>
        <v>-14881846.471875001</v>
      </c>
      <c r="K22" s="12">
        <f>AVERAGE($J$19:$K$19)*[2]IRR!$G$4</f>
        <v>-20834585.060625002</v>
      </c>
    </row>
    <row r="29" spans="1:11" x14ac:dyDescent="0.3">
      <c r="F29" s="130" t="s">
        <v>88</v>
      </c>
      <c r="G29" s="130" t="s">
        <v>89</v>
      </c>
      <c r="H29" s="130" t="s">
        <v>90</v>
      </c>
      <c r="I29" s="131" t="s">
        <v>91</v>
      </c>
      <c r="J29" s="209" t="s">
        <v>92</v>
      </c>
      <c r="K29" s="209" t="s">
        <v>93</v>
      </c>
    </row>
    <row r="30" spans="1:11" x14ac:dyDescent="0.3">
      <c r="E30" s="132" t="s">
        <v>94</v>
      </c>
      <c r="F30" s="133">
        <v>1</v>
      </c>
      <c r="G30" s="134">
        <v>1</v>
      </c>
      <c r="H30" s="134">
        <v>1</v>
      </c>
      <c r="I30" s="135">
        <f>157+58</f>
        <v>215</v>
      </c>
      <c r="J30" s="209"/>
      <c r="K30" s="209"/>
    </row>
    <row r="31" spans="1:11" x14ac:dyDescent="0.3">
      <c r="B31" s="210" t="s">
        <v>95</v>
      </c>
      <c r="C31" s="136" t="s">
        <v>96</v>
      </c>
      <c r="D31" s="137">
        <f>C48</f>
        <v>3500000</v>
      </c>
      <c r="E31" s="136" t="s">
        <v>88</v>
      </c>
      <c r="F31" s="130">
        <f>F30</f>
        <v>1</v>
      </c>
      <c r="G31" s="130"/>
      <c r="H31" s="130"/>
      <c r="I31" s="131"/>
      <c r="J31" s="138">
        <f>F31*D31</f>
        <v>3500000</v>
      </c>
    </row>
    <row r="32" spans="1:11" x14ac:dyDescent="0.3">
      <c r="B32" s="211"/>
      <c r="C32" s="136" t="s">
        <v>97</v>
      </c>
      <c r="D32" s="139">
        <v>600000</v>
      </c>
      <c r="E32" s="136" t="s">
        <v>88</v>
      </c>
      <c r="F32" s="130">
        <f>F30</f>
        <v>1</v>
      </c>
      <c r="G32" s="130"/>
      <c r="H32" s="130"/>
      <c r="I32" s="131">
        <f>IF($I$27&lt;=120,2,IF($I$27&gt;220,4,3))</f>
        <v>2</v>
      </c>
      <c r="J32" s="139">
        <f>D32*F32</f>
        <v>600000</v>
      </c>
    </row>
    <row r="33" spans="1:11" x14ac:dyDescent="0.3">
      <c r="B33" s="212"/>
      <c r="C33" s="136" t="s">
        <v>95</v>
      </c>
      <c r="D33" s="139">
        <v>200000</v>
      </c>
      <c r="E33" s="136" t="s">
        <v>98</v>
      </c>
      <c r="F33" s="130"/>
      <c r="G33" s="130">
        <f>G30</f>
        <v>1</v>
      </c>
      <c r="H33" s="130"/>
      <c r="I33" s="131"/>
      <c r="J33" s="139">
        <f>G33*D33</f>
        <v>200000</v>
      </c>
    </row>
    <row r="34" spans="1:11" x14ac:dyDescent="0.3">
      <c r="B34" s="136" t="s">
        <v>99</v>
      </c>
      <c r="C34" s="136" t="s">
        <v>99</v>
      </c>
      <c r="D34" s="139">
        <v>450000</v>
      </c>
      <c r="E34" s="136" t="s">
        <v>90</v>
      </c>
      <c r="F34" s="130">
        <f>F30</f>
        <v>1</v>
      </c>
      <c r="G34" s="130"/>
      <c r="H34" s="130">
        <f>H30</f>
        <v>1</v>
      </c>
      <c r="I34" s="131">
        <f t="shared" ref="I34:I35" si="8">IF($I$27&lt;=120,2,IF($I$27&gt;220,4,3))</f>
        <v>2</v>
      </c>
      <c r="J34" s="139">
        <f>H34*D34*I34</f>
        <v>900000</v>
      </c>
    </row>
    <row r="35" spans="1:11" x14ac:dyDescent="0.3">
      <c r="B35" s="136" t="s">
        <v>100</v>
      </c>
      <c r="C35" s="136" t="s">
        <v>100</v>
      </c>
      <c r="D35" s="139">
        <v>120000</v>
      </c>
      <c r="E35" s="136" t="s">
        <v>88</v>
      </c>
      <c r="F35" s="130">
        <f>F30</f>
        <v>1</v>
      </c>
      <c r="G35" s="130"/>
      <c r="H35" s="130"/>
      <c r="I35" s="131">
        <f t="shared" si="8"/>
        <v>2</v>
      </c>
      <c r="J35" s="139">
        <f>I35*D35*F35</f>
        <v>240000</v>
      </c>
    </row>
    <row r="36" spans="1:11" x14ac:dyDescent="0.3">
      <c r="J36" s="140">
        <f>SUM(J31:J35)</f>
        <v>5440000</v>
      </c>
      <c r="K36" s="141">
        <f>J36*4</f>
        <v>21760000</v>
      </c>
    </row>
    <row r="39" spans="1:11" x14ac:dyDescent="0.3">
      <c r="K39" s="12"/>
    </row>
    <row r="40" spans="1:11" x14ac:dyDescent="0.3">
      <c r="B40" s="130" t="s">
        <v>101</v>
      </c>
      <c r="C40" s="130" t="s">
        <v>96</v>
      </c>
      <c r="E40" s="136" t="s">
        <v>102</v>
      </c>
      <c r="K40" s="33"/>
    </row>
    <row r="41" spans="1:11" x14ac:dyDescent="0.3">
      <c r="A41" t="s">
        <v>103</v>
      </c>
      <c r="B41" s="87">
        <v>16800000</v>
      </c>
      <c r="C41" s="87">
        <v>4000000</v>
      </c>
      <c r="E41" t="s">
        <v>104</v>
      </c>
      <c r="K41" s="12"/>
    </row>
    <row r="42" spans="1:11" x14ac:dyDescent="0.3">
      <c r="A42" t="s">
        <v>105</v>
      </c>
      <c r="B42" s="87"/>
      <c r="C42" s="87">
        <v>3000000</v>
      </c>
      <c r="E42" t="s">
        <v>106</v>
      </c>
      <c r="I42" s="87">
        <v>10000000</v>
      </c>
    </row>
    <row r="43" spans="1:11" x14ac:dyDescent="0.3">
      <c r="A43" t="s">
        <v>107</v>
      </c>
      <c r="B43" s="87">
        <v>15600000</v>
      </c>
      <c r="C43" s="87">
        <v>2500000</v>
      </c>
      <c r="E43" t="s">
        <v>106</v>
      </c>
      <c r="H43" t="s">
        <v>108</v>
      </c>
      <c r="I43" s="87">
        <v>12000000</v>
      </c>
    </row>
    <row r="44" spans="1:11" x14ac:dyDescent="0.3">
      <c r="A44" t="s">
        <v>109</v>
      </c>
      <c r="B44" s="87">
        <v>15000000</v>
      </c>
      <c r="C44" s="87">
        <v>2000000</v>
      </c>
      <c r="E44" t="s">
        <v>106</v>
      </c>
      <c r="H44" t="s">
        <v>110</v>
      </c>
      <c r="I44" s="87">
        <v>14000000</v>
      </c>
    </row>
    <row r="45" spans="1:11" x14ac:dyDescent="0.3">
      <c r="A45" t="s">
        <v>111</v>
      </c>
      <c r="B45" s="87">
        <v>15000000</v>
      </c>
      <c r="C45" s="87">
        <v>1850000</v>
      </c>
      <c r="E45" t="s">
        <v>106</v>
      </c>
      <c r="H45" t="s">
        <v>112</v>
      </c>
      <c r="I45" s="87">
        <v>14000000</v>
      </c>
    </row>
    <row r="46" spans="1:11" x14ac:dyDescent="0.3">
      <c r="A46" t="s">
        <v>113</v>
      </c>
      <c r="B46" s="87">
        <v>12000000</v>
      </c>
      <c r="C46" s="87">
        <v>1200000</v>
      </c>
      <c r="E46" t="s">
        <v>106</v>
      </c>
      <c r="H46" t="s">
        <v>103</v>
      </c>
      <c r="I46" s="87">
        <v>17000000</v>
      </c>
    </row>
    <row r="47" spans="1:11" x14ac:dyDescent="0.3">
      <c r="A47" t="s">
        <v>114</v>
      </c>
      <c r="B47" s="87">
        <v>16800000</v>
      </c>
      <c r="C47" s="87">
        <v>2000000</v>
      </c>
      <c r="E47" t="s">
        <v>106</v>
      </c>
      <c r="H47" t="s">
        <v>114</v>
      </c>
      <c r="I47" s="87">
        <v>14000000</v>
      </c>
    </row>
    <row r="48" spans="1:11" x14ac:dyDescent="0.3">
      <c r="A48" t="s">
        <v>115</v>
      </c>
      <c r="B48" s="87">
        <v>15720000</v>
      </c>
      <c r="C48" s="87">
        <v>3500000</v>
      </c>
    </row>
    <row r="49" spans="1:4" x14ac:dyDescent="0.3">
      <c r="A49" t="s">
        <v>116</v>
      </c>
      <c r="C49" s="87">
        <v>2800000</v>
      </c>
    </row>
    <row r="50" spans="1:4" x14ac:dyDescent="0.3">
      <c r="A50" t="s">
        <v>117</v>
      </c>
      <c r="B50">
        <v>0</v>
      </c>
      <c r="C50" s="87">
        <v>0</v>
      </c>
      <c r="D50" t="s">
        <v>118</v>
      </c>
    </row>
    <row r="52" spans="1:4" x14ac:dyDescent="0.3">
      <c r="B52" s="130" t="s">
        <v>119</v>
      </c>
      <c r="C52" s="130"/>
    </row>
    <row r="53" spans="1:4" x14ac:dyDescent="0.3">
      <c r="B53" s="87">
        <v>7000000</v>
      </c>
    </row>
    <row r="56" spans="1:4" x14ac:dyDescent="0.3">
      <c r="A56" s="136" t="s">
        <v>123</v>
      </c>
      <c r="B56" s="12"/>
    </row>
    <row r="57" spans="1:4" x14ac:dyDescent="0.3">
      <c r="A57" t="s">
        <v>124</v>
      </c>
    </row>
    <row r="58" spans="1:4" x14ac:dyDescent="0.3">
      <c r="A58" t="s">
        <v>125</v>
      </c>
      <c r="B58" s="87">
        <v>36000000</v>
      </c>
    </row>
    <row r="59" spans="1:4" x14ac:dyDescent="0.3">
      <c r="A59" t="s">
        <v>126</v>
      </c>
      <c r="B59" s="87">
        <v>42000000</v>
      </c>
    </row>
    <row r="60" spans="1:4" x14ac:dyDescent="0.3">
      <c r="A60" t="s">
        <v>127</v>
      </c>
      <c r="B60" s="87">
        <v>48000000</v>
      </c>
    </row>
    <row r="62" spans="1:4" x14ac:dyDescent="0.3">
      <c r="A62" t="s">
        <v>128</v>
      </c>
    </row>
    <row r="63" spans="1:4" x14ac:dyDescent="0.3">
      <c r="A63" t="s">
        <v>129</v>
      </c>
      <c r="B63" s="87">
        <v>75000000</v>
      </c>
    </row>
    <row r="64" spans="1:4" x14ac:dyDescent="0.3">
      <c r="A64" t="s">
        <v>127</v>
      </c>
      <c r="B64" s="87">
        <v>95000000</v>
      </c>
    </row>
  </sheetData>
  <mergeCells count="3">
    <mergeCell ref="J29:J30"/>
    <mergeCell ref="K29:K30"/>
    <mergeCell ref="B31:B33"/>
  </mergeCells>
  <conditionalFormatting sqref="B22:K22 P5:S5 U5">
    <cfRule type="cellIs" dxfId="3" priority="5" operator="lessThan">
      <formula>0</formula>
    </cfRule>
  </conditionalFormatting>
  <conditionalFormatting sqref="B17:K17 C15:K15 C9:D11 C5:K8 I9:N11 C16:Q16">
    <cfRule type="cellIs" dxfId="2" priority="4" operator="lessThan">
      <formula>0</formula>
    </cfRule>
  </conditionalFormatting>
  <conditionalFormatting sqref="C12:F14">
    <cfRule type="cellIs" dxfId="1" priority="2" operator="lessThan">
      <formula>0</formula>
    </cfRule>
  </conditionalFormatting>
  <conditionalFormatting sqref="L12:Q1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F87ED-C76A-4FEA-A018-09A7AD0B4321}">
  <dimension ref="A1:J13"/>
  <sheetViews>
    <sheetView workbookViewId="0">
      <selection activeCell="H9" sqref="H9"/>
    </sheetView>
  </sheetViews>
  <sheetFormatPr defaultRowHeight="15.6" x14ac:dyDescent="0.3"/>
  <cols>
    <col min="2" max="2" width="13.69921875" bestFit="1" customWidth="1"/>
    <col min="3" max="6" width="12.09765625" bestFit="1" customWidth="1"/>
  </cols>
  <sheetData>
    <row r="1" spans="1:10" x14ac:dyDescent="0.3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</row>
    <row r="2" spans="1:10" x14ac:dyDescent="0.3">
      <c r="A2" t="s">
        <v>50</v>
      </c>
      <c r="B2" s="87">
        <v>196197644</v>
      </c>
      <c r="C2" s="87">
        <v>27220085</v>
      </c>
      <c r="D2" s="87">
        <v>34770395</v>
      </c>
      <c r="E2" s="87">
        <v>4683385</v>
      </c>
      <c r="F2" s="87">
        <v>220443942</v>
      </c>
    </row>
    <row r="3" spans="1:10" x14ac:dyDescent="0.3">
      <c r="A3" t="s">
        <v>51</v>
      </c>
      <c r="B3" s="87">
        <v>24000000</v>
      </c>
      <c r="C3" s="87">
        <v>21486000</v>
      </c>
      <c r="D3" s="87">
        <v>4220580</v>
      </c>
    </row>
    <row r="5" spans="1:10" x14ac:dyDescent="0.3">
      <c r="A5" t="s">
        <v>50</v>
      </c>
      <c r="B5" s="87">
        <f>(B2/10)*(2023-B1)</f>
        <v>196197644</v>
      </c>
      <c r="C5" s="87">
        <f>(C2/10)*(2023-C1)</f>
        <v>24498076.5</v>
      </c>
      <c r="D5" s="87">
        <f t="shared" ref="D5:F5" si="0">(D2/10)*(2023-D1)</f>
        <v>27816316</v>
      </c>
      <c r="E5" s="87">
        <f t="shared" si="0"/>
        <v>3278369.5</v>
      </c>
      <c r="F5" s="87">
        <f t="shared" si="0"/>
        <v>132266365.19999999</v>
      </c>
    </row>
    <row r="6" spans="1:10" x14ac:dyDescent="0.3">
      <c r="A6" t="s">
        <v>51</v>
      </c>
      <c r="C6" s="87">
        <f>(C3/10)*(2023-C1)</f>
        <v>19337400</v>
      </c>
      <c r="E6" s="87">
        <f t="shared" ref="E6" si="1">(E3/10)*(2023-E1)</f>
        <v>0</v>
      </c>
    </row>
    <row r="8" spans="1:10" x14ac:dyDescent="0.3">
      <c r="A8" t="s">
        <v>50</v>
      </c>
      <c r="B8" s="12">
        <f>B2-B5</f>
        <v>0</v>
      </c>
      <c r="C8" s="12">
        <f>C2-C5</f>
        <v>2722008.5</v>
      </c>
      <c r="D8" s="12">
        <f t="shared" ref="D8:E8" si="2">D2-D5</f>
        <v>6954079</v>
      </c>
      <c r="E8" s="12">
        <f t="shared" si="2"/>
        <v>1405015.5</v>
      </c>
      <c r="F8" s="12">
        <f>F2-F5</f>
        <v>88177576.800000012</v>
      </c>
    </row>
    <row r="9" spans="1:10" x14ac:dyDescent="0.3">
      <c r="A9" t="s">
        <v>51</v>
      </c>
      <c r="C9" s="12">
        <f>C3-C6</f>
        <v>2148600</v>
      </c>
      <c r="D9" s="12">
        <f t="shared" ref="D9:F9" si="3">D3-D6</f>
        <v>4220580</v>
      </c>
      <c r="E9" s="12">
        <f t="shared" si="3"/>
        <v>0</v>
      </c>
      <c r="F9" s="12">
        <f t="shared" si="3"/>
        <v>0</v>
      </c>
    </row>
    <row r="13" spans="1:10" x14ac:dyDescent="0.3">
      <c r="B13" t="s">
        <v>178</v>
      </c>
      <c r="E13" s="87">
        <v>297636929.4375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9964D-3997-484D-9B9C-0C151D02B661}">
  <dimension ref="A1:D23"/>
  <sheetViews>
    <sheetView zoomScale="82" zoomScaleNormal="82" workbookViewId="0">
      <selection activeCell="D21" sqref="D21"/>
    </sheetView>
  </sheetViews>
  <sheetFormatPr defaultColWidth="8.19921875" defaultRowHeight="14.4" x14ac:dyDescent="0.3"/>
  <cols>
    <col min="1" max="1" width="5" style="149" customWidth="1"/>
    <col min="2" max="2" width="29.3984375" style="149" customWidth="1"/>
    <col min="3" max="3" width="41.3984375" style="149" customWidth="1"/>
    <col min="4" max="4" width="36.19921875" style="149" customWidth="1"/>
    <col min="5" max="16384" width="8.19921875" style="149"/>
  </cols>
  <sheetData>
    <row r="1" spans="1:4" ht="21" x14ac:dyDescent="0.4">
      <c r="C1" s="150" t="s">
        <v>137</v>
      </c>
    </row>
    <row r="3" spans="1:4" x14ac:dyDescent="0.3">
      <c r="A3" s="151" t="s">
        <v>138</v>
      </c>
      <c r="B3" s="151"/>
      <c r="C3" s="152" t="s">
        <v>139</v>
      </c>
    </row>
    <row r="4" spans="1:4" x14ac:dyDescent="0.3">
      <c r="A4" s="151" t="s">
        <v>140</v>
      </c>
      <c r="B4" s="151"/>
      <c r="C4" s="152" t="s">
        <v>141</v>
      </c>
    </row>
    <row r="5" spans="1:4" x14ac:dyDescent="0.3">
      <c r="A5" s="151" t="s">
        <v>142</v>
      </c>
      <c r="B5" s="151"/>
      <c r="C5" s="152" t="s">
        <v>143</v>
      </c>
    </row>
    <row r="6" spans="1:4" x14ac:dyDescent="0.3">
      <c r="A6" s="151" t="s">
        <v>144</v>
      </c>
      <c r="B6" s="151"/>
      <c r="C6" s="152" t="s">
        <v>121</v>
      </c>
    </row>
    <row r="7" spans="1:4" x14ac:dyDescent="0.3">
      <c r="A7" s="151" t="s">
        <v>145</v>
      </c>
      <c r="B7" s="151"/>
      <c r="C7" s="152" t="s">
        <v>146</v>
      </c>
    </row>
    <row r="9" spans="1:4" ht="15" customHeight="1" x14ac:dyDescent="0.3">
      <c r="A9" s="215" t="s">
        <v>147</v>
      </c>
      <c r="B9" s="216" t="s">
        <v>148</v>
      </c>
      <c r="C9" s="216" t="s">
        <v>149</v>
      </c>
      <c r="D9" s="216" t="s">
        <v>86</v>
      </c>
    </row>
    <row r="10" spans="1:4" ht="15" customHeight="1" x14ac:dyDescent="0.3">
      <c r="A10" s="215"/>
      <c r="B10" s="217"/>
      <c r="C10" s="217"/>
      <c r="D10" s="217"/>
    </row>
    <row r="11" spans="1:4" x14ac:dyDescent="0.3">
      <c r="A11" s="153" t="s">
        <v>150</v>
      </c>
      <c r="B11" s="154" t="s">
        <v>151</v>
      </c>
      <c r="C11" s="154" t="s">
        <v>62</v>
      </c>
      <c r="D11" s="154" t="s">
        <v>62</v>
      </c>
    </row>
    <row r="12" spans="1:4" ht="15.6" x14ac:dyDescent="0.3">
      <c r="A12" s="153" t="s">
        <v>152</v>
      </c>
      <c r="B12" s="154" t="s">
        <v>153</v>
      </c>
      <c r="C12" s="155" t="s">
        <v>154</v>
      </c>
      <c r="D12" s="155" t="s">
        <v>154</v>
      </c>
    </row>
    <row r="13" spans="1:4" ht="15.6" x14ac:dyDescent="0.3">
      <c r="A13" s="153" t="s">
        <v>155</v>
      </c>
      <c r="B13" s="154" t="s">
        <v>156</v>
      </c>
      <c r="C13" s="156" t="s">
        <v>157</v>
      </c>
      <c r="D13" s="156" t="s">
        <v>187</v>
      </c>
    </row>
    <row r="14" spans="1:4" ht="15.6" x14ac:dyDescent="0.3">
      <c r="A14" s="218">
        <v>4</v>
      </c>
      <c r="B14" s="156" t="s">
        <v>158</v>
      </c>
      <c r="C14" s="157" t="s">
        <v>159</v>
      </c>
      <c r="D14" s="157">
        <v>25050000</v>
      </c>
    </row>
    <row r="15" spans="1:4" ht="15.6" x14ac:dyDescent="0.3">
      <c r="A15" s="219"/>
      <c r="B15" s="154" t="s">
        <v>160</v>
      </c>
      <c r="C15" s="157" t="s">
        <v>161</v>
      </c>
      <c r="D15" s="157">
        <v>25050000</v>
      </c>
    </row>
    <row r="16" spans="1:4" ht="15.6" x14ac:dyDescent="0.3">
      <c r="A16" s="153">
        <v>5</v>
      </c>
      <c r="B16" s="154" t="s">
        <v>162</v>
      </c>
      <c r="C16" s="156" t="s">
        <v>163</v>
      </c>
      <c r="D16" s="156" t="s">
        <v>163</v>
      </c>
    </row>
    <row r="17" spans="1:4" ht="15.6" x14ac:dyDescent="0.3">
      <c r="A17" s="153"/>
      <c r="B17" s="154" t="s">
        <v>160</v>
      </c>
      <c r="C17" s="157" t="s">
        <v>194</v>
      </c>
      <c r="D17" s="157" t="s">
        <v>193</v>
      </c>
    </row>
    <row r="18" spans="1:4" x14ac:dyDescent="0.3">
      <c r="A18" s="153" t="s">
        <v>164</v>
      </c>
      <c r="B18" s="154" t="s">
        <v>165</v>
      </c>
      <c r="C18" s="213" t="s">
        <v>188</v>
      </c>
      <c r="D18" s="214"/>
    </row>
    <row r="20" spans="1:4" ht="15.6" x14ac:dyDescent="0.3">
      <c r="B20" s="158"/>
    </row>
    <row r="21" spans="1:4" ht="15.6" x14ac:dyDescent="0.3">
      <c r="B21" s="159"/>
      <c r="C21" s="159"/>
    </row>
    <row r="22" spans="1:4" ht="15.6" x14ac:dyDescent="0.3">
      <c r="B22" s="159"/>
      <c r="C22" s="159"/>
    </row>
    <row r="23" spans="1:4" ht="15.6" x14ac:dyDescent="0.3">
      <c r="B23" s="159"/>
      <c r="C23" s="159"/>
    </row>
  </sheetData>
  <mergeCells count="6">
    <mergeCell ref="C18:D18"/>
    <mergeCell ref="A9:A10"/>
    <mergeCell ref="B9:B10"/>
    <mergeCell ref="C9:C10"/>
    <mergeCell ref="D9:D10"/>
    <mergeCell ref="A14:A15"/>
  </mergeCells>
  <pageMargins left="0.17" right="0.16" top="0.74803149606299213" bottom="0.74803149606299213" header="0.31496062992125984" footer="0.31496062992125984"/>
  <pageSetup paperSize="9"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CDA15-94F6-471C-ABBD-9659927671DD}">
  <dimension ref="A2:M24"/>
  <sheetViews>
    <sheetView workbookViewId="0">
      <selection activeCell="F14" sqref="A2:F14"/>
    </sheetView>
  </sheetViews>
  <sheetFormatPr defaultRowHeight="14.4" x14ac:dyDescent="0.3"/>
  <cols>
    <col min="1" max="1" width="24.3984375" style="160" customWidth="1"/>
    <col min="2" max="2" width="11.59765625" style="160" customWidth="1"/>
    <col min="3" max="3" width="12.59765625" style="160" customWidth="1"/>
    <col min="4" max="4" width="8" style="160" customWidth="1"/>
    <col min="5" max="5" width="14.5" style="160" bestFit="1" customWidth="1"/>
    <col min="6" max="6" width="12.8984375" style="160" bestFit="1" customWidth="1"/>
    <col min="7" max="16384" width="8.796875" style="160"/>
  </cols>
  <sheetData>
    <row r="2" spans="1:13" x14ac:dyDescent="0.3">
      <c r="A2" s="220" t="s">
        <v>175</v>
      </c>
      <c r="B2" s="220"/>
      <c r="C2" s="220"/>
      <c r="D2" s="220"/>
      <c r="E2" s="220"/>
      <c r="F2" s="220"/>
      <c r="G2" s="149"/>
      <c r="H2" s="149"/>
      <c r="I2" s="149"/>
      <c r="J2" s="149"/>
      <c r="K2" s="149"/>
      <c r="L2" s="149"/>
      <c r="M2" s="149"/>
    </row>
    <row r="3" spans="1:13" x14ac:dyDescent="0.3">
      <c r="A3" s="161" t="s">
        <v>166</v>
      </c>
      <c r="B3" s="161" t="s">
        <v>167</v>
      </c>
      <c r="C3" s="161" t="s">
        <v>168</v>
      </c>
      <c r="D3" s="162"/>
      <c r="G3" s="149"/>
      <c r="H3" s="149"/>
      <c r="I3" s="149"/>
      <c r="J3" s="149"/>
      <c r="K3" s="149"/>
      <c r="L3" s="149"/>
      <c r="M3" s="149"/>
    </row>
    <row r="4" spans="1:13" x14ac:dyDescent="0.3">
      <c r="A4" s="154" t="s">
        <v>169</v>
      </c>
      <c r="B4" s="163">
        <v>43775</v>
      </c>
      <c r="C4" s="163">
        <v>45601</v>
      </c>
      <c r="D4" s="164"/>
      <c r="E4" s="165"/>
      <c r="F4" s="165"/>
      <c r="G4" s="149"/>
      <c r="H4" s="149"/>
      <c r="I4" s="149"/>
      <c r="J4" s="149"/>
      <c r="K4" s="149"/>
      <c r="L4" s="149"/>
      <c r="M4" s="149"/>
    </row>
    <row r="5" spans="1:13" x14ac:dyDescent="0.3">
      <c r="A5" s="154" t="s">
        <v>135</v>
      </c>
      <c r="B5" s="163">
        <v>45292</v>
      </c>
      <c r="C5" s="163">
        <v>45601</v>
      </c>
      <c r="D5" s="164"/>
      <c r="G5" s="149"/>
      <c r="H5" s="149"/>
      <c r="I5" s="149"/>
      <c r="J5" s="149"/>
      <c r="K5" s="149"/>
      <c r="L5" s="149"/>
      <c r="M5" s="149"/>
    </row>
    <row r="6" spans="1:13" x14ac:dyDescent="0.3">
      <c r="A6" s="149"/>
      <c r="G6" s="149"/>
      <c r="H6" s="149"/>
      <c r="I6" s="149"/>
      <c r="J6" s="149"/>
      <c r="K6" s="149"/>
      <c r="L6" s="149"/>
      <c r="M6" s="149"/>
    </row>
    <row r="7" spans="1:13" x14ac:dyDescent="0.3">
      <c r="A7" s="149"/>
      <c r="B7" s="161" t="s">
        <v>167</v>
      </c>
      <c r="C7" s="161" t="s">
        <v>168</v>
      </c>
      <c r="D7" s="161" t="s">
        <v>170</v>
      </c>
      <c r="E7" s="164"/>
      <c r="F7" s="164"/>
      <c r="G7" s="149"/>
      <c r="H7" s="149"/>
      <c r="I7" s="149"/>
      <c r="J7" s="149"/>
      <c r="K7" s="149"/>
      <c r="L7" s="149"/>
      <c r="M7" s="149"/>
    </row>
    <row r="8" spans="1:13" x14ac:dyDescent="0.3">
      <c r="A8" s="149" t="s">
        <v>189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</row>
    <row r="9" spans="1:13" x14ac:dyDescent="0.3">
      <c r="A9" s="149" t="s">
        <v>169</v>
      </c>
      <c r="B9" s="166">
        <v>45292</v>
      </c>
      <c r="C9" s="166">
        <v>45601</v>
      </c>
      <c r="D9" s="167">
        <f t="shared" ref="D9:D11" si="0">C9-B9</f>
        <v>309</v>
      </c>
      <c r="E9" s="168">
        <v>150000000</v>
      </c>
      <c r="F9" s="169">
        <f>E9/365*D9</f>
        <v>126986301.36986302</v>
      </c>
      <c r="G9" s="149"/>
      <c r="H9" s="149"/>
      <c r="I9" s="149"/>
      <c r="J9" s="149"/>
      <c r="K9" s="149"/>
      <c r="L9" s="149"/>
      <c r="M9" s="149"/>
    </row>
    <row r="10" spans="1:13" x14ac:dyDescent="0.3">
      <c r="A10" s="149" t="s">
        <v>171</v>
      </c>
      <c r="B10" s="166">
        <v>45292</v>
      </c>
      <c r="C10" s="166">
        <v>45601</v>
      </c>
      <c r="D10" s="167">
        <f t="shared" si="0"/>
        <v>309</v>
      </c>
      <c r="E10" s="168">
        <v>27000000</v>
      </c>
      <c r="F10" s="169">
        <f>-E10/365*D10</f>
        <v>-22857534.246575344</v>
      </c>
      <c r="G10" s="149"/>
      <c r="H10" s="149"/>
      <c r="I10" s="149"/>
      <c r="J10" s="149"/>
      <c r="K10" s="149"/>
      <c r="L10" s="149"/>
      <c r="M10" s="149"/>
    </row>
    <row r="11" spans="1:13" x14ac:dyDescent="0.3">
      <c r="A11" s="149" t="s">
        <v>172</v>
      </c>
      <c r="B11" s="166">
        <v>45292</v>
      </c>
      <c r="C11" s="166">
        <v>45601</v>
      </c>
      <c r="D11" s="167">
        <f t="shared" si="0"/>
        <v>309</v>
      </c>
      <c r="E11" s="168">
        <v>7000000</v>
      </c>
      <c r="F11" s="169">
        <f>-E11/365*D11</f>
        <v>-5926027.3972602738</v>
      </c>
      <c r="G11" s="149"/>
      <c r="H11" s="149"/>
      <c r="I11" s="149"/>
      <c r="J11" s="149"/>
      <c r="K11" s="149"/>
      <c r="L11" s="149"/>
      <c r="M11" s="149"/>
    </row>
    <row r="12" spans="1:13" x14ac:dyDescent="0.3">
      <c r="A12" s="149" t="s">
        <v>173</v>
      </c>
      <c r="B12" s="149"/>
      <c r="C12" s="149"/>
      <c r="D12" s="149"/>
      <c r="E12" s="170">
        <v>100000000</v>
      </c>
      <c r="F12" s="171"/>
      <c r="G12" s="149"/>
      <c r="H12" s="149"/>
      <c r="I12" s="149"/>
      <c r="J12" s="149"/>
      <c r="K12" s="149"/>
      <c r="L12" s="149"/>
      <c r="M12" s="149"/>
    </row>
    <row r="13" spans="1:13" x14ac:dyDescent="0.3">
      <c r="A13" s="149" t="s">
        <v>174</v>
      </c>
      <c r="B13" s="149"/>
      <c r="C13" s="149"/>
      <c r="D13" s="149"/>
      <c r="E13" s="149"/>
      <c r="F13" s="169">
        <f>SUM(F9:F12)</f>
        <v>98202739.726027399</v>
      </c>
      <c r="G13" s="149"/>
      <c r="H13" s="149"/>
      <c r="I13" s="149"/>
      <c r="J13" s="149"/>
      <c r="K13" s="149"/>
      <c r="L13" s="149"/>
      <c r="M13" s="149"/>
    </row>
    <row r="24" spans="5:5" x14ac:dyDescent="0.3">
      <c r="E24" s="160">
        <f>27000+14500</f>
        <v>41500</v>
      </c>
    </row>
  </sheetData>
  <mergeCells count="1">
    <mergeCell ref="A2:F2"/>
  </mergeCells>
  <pageMargins left="0.28000000000000003" right="0.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Summary</vt:lpstr>
      <vt:lpstr>IRR</vt:lpstr>
      <vt:lpstr>Parameter Interest</vt:lpstr>
      <vt:lpstr>Book Value</vt:lpstr>
      <vt:lpstr>Summary BR</vt:lpstr>
      <vt:lpstr>Analisa</vt:lpstr>
      <vt:lpstr>Analisa!Print_Area</vt:lpstr>
      <vt:lpstr>IRR!Print_Area</vt:lpstr>
      <vt:lpstr>Summary!Print_Area</vt:lpstr>
      <vt:lpstr>'Summary BR'!Print_Area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2024-04-08T08:20:45Z</cp:lastPrinted>
  <dcterms:created xsi:type="dcterms:W3CDTF">2020-06-08T08:40:20Z</dcterms:created>
  <dcterms:modified xsi:type="dcterms:W3CDTF">2024-04-08T08:22:40Z</dcterms:modified>
</cp:coreProperties>
</file>