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BUDGET\IRR\IRR XL 11 site\IRR Lombok Plaza\"/>
    </mc:Choice>
  </mc:AlternateContent>
  <xr:revisionPtr revIDLastSave="0" documentId="13_ncr:1_{2C5C2988-D2DC-442A-914B-E511A631DDC7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Summary" sheetId="6" r:id="rId1"/>
    <sheet name="IRR" sheetId="1" r:id="rId2"/>
    <sheet name="Summary (2)" sheetId="10" state="hidden" r:id="rId3"/>
    <sheet name="IRR (2)" sheetId="11" state="hidden" r:id="rId4"/>
    <sheet name="PARAMETER" sheetId="2" r:id="rId5"/>
    <sheet name="Summary BR" sheetId="8" r:id="rId6"/>
    <sheet name="Analisa" sheetId="9" r:id="rId7"/>
  </sheets>
  <externalReferences>
    <externalReference r:id="rId8"/>
    <externalReference r:id="rId9"/>
    <externalReference r:id="rId10"/>
  </externalReferences>
  <definedNames>
    <definedName name="jk" localSheetId="6">#REF!</definedName>
    <definedName name="jk">#REF!</definedName>
    <definedName name="_xlnm.Print_Area" localSheetId="6">Analisa!$A$2:$F$40</definedName>
    <definedName name="_xlnm.Print_Area" localSheetId="1">IRR!$B$1:$Q$55</definedName>
    <definedName name="_xlnm.Print_Area" localSheetId="3">'IRR (2)'!$A$2:$Q$55</definedName>
    <definedName name="_xlnm.Print_Area" localSheetId="0">Summary!$B$1:$N$34</definedName>
    <definedName name="_xlnm.Print_Area" localSheetId="2">'Summary (2)'!$A$2:$N$35</definedName>
    <definedName name="_xlnm.Print_Area" localSheetId="5">'Summary BR'!$A$1:$D$18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G21" i="1"/>
  <c r="S29" i="1"/>
  <c r="S22" i="1"/>
  <c r="I15" i="1"/>
  <c r="J15" i="1"/>
  <c r="K15" i="1" s="1"/>
  <c r="L15" i="1" s="1"/>
  <c r="M15" i="1" s="1"/>
  <c r="N15" i="1" s="1"/>
  <c r="O15" i="1" s="1"/>
  <c r="P15" i="1" s="1"/>
  <c r="D11" i="9"/>
  <c r="D14" i="9"/>
  <c r="D16" i="9"/>
  <c r="I22" i="1"/>
  <c r="J22" i="1" s="1"/>
  <c r="K22" i="1" s="1"/>
  <c r="L22" i="1" s="1"/>
  <c r="M22" i="1" s="1"/>
  <c r="N22" i="1" s="1"/>
  <c r="O22" i="1" s="1"/>
  <c r="P22" i="1" s="1"/>
  <c r="I23" i="1"/>
  <c r="K16" i="1"/>
  <c r="L16" i="1" s="1"/>
  <c r="M16" i="1" s="1"/>
  <c r="N16" i="1" s="1"/>
  <c r="O16" i="1" s="1"/>
  <c r="P16" i="1" s="1"/>
  <c r="J16" i="1"/>
  <c r="J23" i="1"/>
  <c r="K23" i="1" s="1"/>
  <c r="L23" i="1" s="1"/>
  <c r="M23" i="1" s="1"/>
  <c r="N23" i="1" s="1"/>
  <c r="O23" i="1" s="1"/>
  <c r="P23" i="1" s="1"/>
  <c r="I47" i="1"/>
  <c r="J47" i="1" s="1"/>
  <c r="K47" i="1" s="1"/>
  <c r="L47" i="1" s="1"/>
  <c r="M47" i="1" s="1"/>
  <c r="N47" i="1" s="1"/>
  <c r="O47" i="1" s="1"/>
  <c r="P47" i="1" s="1"/>
  <c r="H35" i="1"/>
  <c r="H23" i="1"/>
  <c r="K20" i="2"/>
  <c r="G23" i="1"/>
  <c r="H22" i="1"/>
  <c r="H46" i="1"/>
  <c r="D20" i="8" l="1"/>
  <c r="M13" i="10"/>
  <c r="M12" i="10"/>
  <c r="G55" i="11" l="1"/>
  <c r="I52" i="11"/>
  <c r="P52" i="11" s="1"/>
  <c r="H46" i="11"/>
  <c r="J46" i="11" s="1"/>
  <c r="K46" i="11" s="1"/>
  <c r="L46" i="11" s="1"/>
  <c r="H45" i="11"/>
  <c r="P44" i="11"/>
  <c r="O44" i="11"/>
  <c r="N44" i="11"/>
  <c r="M44" i="11"/>
  <c r="L44" i="11"/>
  <c r="K44" i="11"/>
  <c r="J44" i="11"/>
  <c r="I44" i="11"/>
  <c r="H44" i="11"/>
  <c r="G44" i="11"/>
  <c r="F37" i="11"/>
  <c r="F36" i="11"/>
  <c r="P35" i="11"/>
  <c r="O35" i="11"/>
  <c r="N35" i="11"/>
  <c r="M35" i="11"/>
  <c r="L35" i="11"/>
  <c r="K35" i="11"/>
  <c r="J35" i="11"/>
  <c r="I35" i="11"/>
  <c r="H35" i="11"/>
  <c r="G35" i="11"/>
  <c r="G28" i="11"/>
  <c r="L23" i="11"/>
  <c r="K23" i="11"/>
  <c r="J23" i="11"/>
  <c r="Q23" i="11" s="1"/>
  <c r="I23" i="11"/>
  <c r="H23" i="11"/>
  <c r="G23" i="11"/>
  <c r="H22" i="11"/>
  <c r="Q21" i="11"/>
  <c r="T20" i="11"/>
  <c r="T19" i="11"/>
  <c r="S19" i="11"/>
  <c r="T18" i="11"/>
  <c r="S18" i="11"/>
  <c r="S20" i="11" s="1"/>
  <c r="S22" i="11" s="1"/>
  <c r="H18" i="11"/>
  <c r="G18" i="11"/>
  <c r="Q16" i="11"/>
  <c r="H15" i="11"/>
  <c r="I15" i="11" s="1"/>
  <c r="M9" i="10"/>
  <c r="M7" i="10"/>
  <c r="E38" i="9"/>
  <c r="D38" i="9"/>
  <c r="E37" i="9"/>
  <c r="D37" i="9"/>
  <c r="F37" i="9" s="1"/>
  <c r="D36" i="9"/>
  <c r="F36" i="9" s="1"/>
  <c r="D35" i="9"/>
  <c r="F35" i="9" s="1"/>
  <c r="D34" i="9"/>
  <c r="F34" i="9" s="1"/>
  <c r="D33" i="9"/>
  <c r="F33" i="9" s="1"/>
  <c r="D32" i="9"/>
  <c r="F32" i="9" s="1"/>
  <c r="E27" i="9"/>
  <c r="D27" i="9"/>
  <c r="F27" i="9" s="1"/>
  <c r="E26" i="9"/>
  <c r="F26" i="9" s="1"/>
  <c r="D26" i="9"/>
  <c r="D25" i="9"/>
  <c r="F25" i="9" s="1"/>
  <c r="D24" i="9"/>
  <c r="F24" i="9" s="1"/>
  <c r="D23" i="9"/>
  <c r="F23" i="9" s="1"/>
  <c r="D22" i="9"/>
  <c r="F22" i="9" s="1"/>
  <c r="D21" i="9"/>
  <c r="F21" i="9" s="1"/>
  <c r="E16" i="9"/>
  <c r="E15" i="9"/>
  <c r="D12" i="9"/>
  <c r="F11" i="9"/>
  <c r="D13" i="9"/>
  <c r="F13" i="9" s="1"/>
  <c r="F14" i="9"/>
  <c r="D15" i="9"/>
  <c r="F15" i="9" s="1"/>
  <c r="D10" i="9"/>
  <c r="F10" i="9" s="1"/>
  <c r="H55" i="11" l="1"/>
  <c r="H28" i="11" s="1"/>
  <c r="J15" i="11"/>
  <c r="I18" i="11"/>
  <c r="S27" i="11"/>
  <c r="S23" i="11"/>
  <c r="S24" i="11" s="1"/>
  <c r="G24" i="11"/>
  <c r="G25" i="11" s="1"/>
  <c r="G26" i="11" s="1"/>
  <c r="G29" i="11" s="1"/>
  <c r="I45" i="11"/>
  <c r="H24" i="11"/>
  <c r="H25" i="11" s="1"/>
  <c r="H26" i="11" s="1"/>
  <c r="Q35" i="11"/>
  <c r="I46" i="11"/>
  <c r="I22" i="11"/>
  <c r="F38" i="9"/>
  <c r="F40" i="9" s="1"/>
  <c r="F29" i="9"/>
  <c r="F16" i="9"/>
  <c r="F12" i="9"/>
  <c r="H29" i="11" l="1"/>
  <c r="H27" i="11"/>
  <c r="I55" i="11"/>
  <c r="I28" i="11" s="1"/>
  <c r="J45" i="11"/>
  <c r="J18" i="11"/>
  <c r="K15" i="11"/>
  <c r="J22" i="11"/>
  <c r="I24" i="11"/>
  <c r="I25" i="11" s="1"/>
  <c r="I26" i="11" s="1"/>
  <c r="F18" i="9"/>
  <c r="I46" i="1"/>
  <c r="M7" i="6"/>
  <c r="Q16" i="1"/>
  <c r="I29" i="11" l="1"/>
  <c r="I27" i="11"/>
  <c r="K22" i="11"/>
  <c r="K18" i="11"/>
  <c r="L15" i="11"/>
  <c r="J24" i="11"/>
  <c r="J25" i="11" s="1"/>
  <c r="J26" i="11" s="1"/>
  <c r="J55" i="11"/>
  <c r="J28" i="11" s="1"/>
  <c r="K45" i="11"/>
  <c r="S20" i="1"/>
  <c r="G24" i="1"/>
  <c r="T20" i="1"/>
  <c r="S23" i="1"/>
  <c r="G35" i="1"/>
  <c r="J29" i="11" l="1"/>
  <c r="J27" i="11"/>
  <c r="K55" i="11"/>
  <c r="K28" i="11" s="1"/>
  <c r="L45" i="11"/>
  <c r="L22" i="11"/>
  <c r="L18" i="11"/>
  <c r="K24" i="11"/>
  <c r="L55" i="11" l="1"/>
  <c r="L28" i="11" s="1"/>
  <c r="M45" i="11"/>
  <c r="K25" i="11"/>
  <c r="K26" i="11" s="1"/>
  <c r="M18" i="11"/>
  <c r="L24" i="11"/>
  <c r="L25" i="11" s="1"/>
  <c r="L26" i="11" s="1"/>
  <c r="L27" i="11" l="1"/>
  <c r="L29" i="11"/>
  <c r="L31" i="11" s="1"/>
  <c r="M24" i="11"/>
  <c r="M25" i="11" s="1"/>
  <c r="M26" i="11" s="1"/>
  <c r="N18" i="11"/>
  <c r="K29" i="11"/>
  <c r="K27" i="11"/>
  <c r="M55" i="11"/>
  <c r="M28" i="11" s="1"/>
  <c r="N45" i="11"/>
  <c r="M27" i="11" l="1"/>
  <c r="M29" i="11"/>
  <c r="M31" i="11" s="1"/>
  <c r="N24" i="11"/>
  <c r="N25" i="11" s="1"/>
  <c r="N26" i="11" s="1"/>
  <c r="N55" i="11"/>
  <c r="N28" i="11" s="1"/>
  <c r="O45" i="11"/>
  <c r="O18" i="11"/>
  <c r="L32" i="11"/>
  <c r="L33" i="11" s="1"/>
  <c r="L36" i="11" s="1"/>
  <c r="N27" i="11" l="1"/>
  <c r="N29" i="11"/>
  <c r="N31" i="11" s="1"/>
  <c r="M32" i="11"/>
  <c r="M33" i="11" s="1"/>
  <c r="M36" i="11" s="1"/>
  <c r="O25" i="11"/>
  <c r="O26" i="11" s="1"/>
  <c r="O24" i="11"/>
  <c r="P18" i="11"/>
  <c r="Q15" i="11"/>
  <c r="O55" i="11"/>
  <c r="O28" i="11" s="1"/>
  <c r="P45" i="11"/>
  <c r="P55" i="11" s="1"/>
  <c r="P28" i="11" s="1"/>
  <c r="Q28" i="11" l="1"/>
  <c r="O27" i="11"/>
  <c r="O29" i="11"/>
  <c r="O31" i="11" s="1"/>
  <c r="N32" i="11"/>
  <c r="N33" i="11" s="1"/>
  <c r="N36" i="11" s="1"/>
  <c r="Q22" i="11"/>
  <c r="P24" i="11"/>
  <c r="Q24" i="11" s="1"/>
  <c r="M14" i="10" s="1"/>
  <c r="Q18" i="11"/>
  <c r="M11" i="10" s="1"/>
  <c r="P25" i="11" l="1"/>
  <c r="P26" i="11" s="1"/>
  <c r="O32" i="11"/>
  <c r="O33" i="11" s="1"/>
  <c r="O36" i="11" s="1"/>
  <c r="Q25" i="11"/>
  <c r="Q26" i="11" s="1"/>
  <c r="V25" i="11"/>
  <c r="Q27" i="11" l="1"/>
  <c r="F41" i="11" s="1"/>
  <c r="M17" i="10" s="1"/>
  <c r="Q29" i="11"/>
  <c r="P27" i="11"/>
  <c r="P29" i="11"/>
  <c r="P31" i="11" s="1"/>
  <c r="P32" i="11" l="1"/>
  <c r="P33" i="11" l="1"/>
  <c r="P36" i="11" s="1"/>
  <c r="H15" i="1" l="1"/>
  <c r="K35" i="1"/>
  <c r="L35" i="1"/>
  <c r="M35" i="1"/>
  <c r="N35" i="1"/>
  <c r="O35" i="1"/>
  <c r="P35" i="1"/>
  <c r="K44" i="1"/>
  <c r="L44" i="1"/>
  <c r="M44" i="1"/>
  <c r="N44" i="1"/>
  <c r="O44" i="1"/>
  <c r="P44" i="1"/>
  <c r="D12" i="2"/>
  <c r="T19" i="1" l="1"/>
  <c r="T18" i="1"/>
  <c r="S19" i="1"/>
  <c r="S18" i="1"/>
  <c r="S27" i="1" l="1"/>
  <c r="K18" i="1"/>
  <c r="K24" i="1" s="1"/>
  <c r="Q21" i="1"/>
  <c r="M13" i="6" s="1"/>
  <c r="S24" i="1" l="1"/>
  <c r="L18" i="1"/>
  <c r="L24" i="1" s="1"/>
  <c r="Q22" i="1"/>
  <c r="G18" i="1"/>
  <c r="M18" i="1" l="1"/>
  <c r="H18" i="1"/>
  <c r="H24" i="1" s="1"/>
  <c r="I18" i="1"/>
  <c r="I24" i="1" s="1"/>
  <c r="J18" i="1"/>
  <c r="J24" i="1" s="1"/>
  <c r="M24" i="1" l="1"/>
  <c r="N18" i="1"/>
  <c r="N24" i="1" s="1"/>
  <c r="J35" i="1"/>
  <c r="P18" i="1" l="1"/>
  <c r="P24" i="1" s="1"/>
  <c r="O18" i="1"/>
  <c r="O24" i="1" s="1"/>
  <c r="Q15" i="1"/>
  <c r="B2" i="2"/>
  <c r="Q18" i="1" l="1"/>
  <c r="M11" i="6" s="1"/>
  <c r="B5" i="2"/>
  <c r="G30" i="11" s="1"/>
  <c r="G31" i="11" s="1"/>
  <c r="B4" i="2"/>
  <c r="Q24" i="1"/>
  <c r="G55" i="1"/>
  <c r="G32" i="11" l="1"/>
  <c r="M12" i="6"/>
  <c r="I16" i="2"/>
  <c r="J16" i="2" s="1"/>
  <c r="F16" i="2"/>
  <c r="I15" i="2"/>
  <c r="H15" i="2"/>
  <c r="F15" i="2"/>
  <c r="G14" i="2"/>
  <c r="J14" i="2" s="1"/>
  <c r="I13" i="2"/>
  <c r="F13" i="2"/>
  <c r="J13" i="2" s="1"/>
  <c r="F12" i="2"/>
  <c r="G33" i="11" l="1"/>
  <c r="G36" i="11" s="1"/>
  <c r="J12" i="2"/>
  <c r="J17" i="2" s="1"/>
  <c r="K17" i="2" s="1"/>
  <c r="J15" i="2"/>
  <c r="G37" i="11" l="1"/>
  <c r="H25" i="1"/>
  <c r="I25" i="1"/>
  <c r="I26" i="1" s="1"/>
  <c r="I27" i="1" s="1"/>
  <c r="I35" i="1"/>
  <c r="G38" i="11" l="1"/>
  <c r="Q35" i="1"/>
  <c r="J25" i="1"/>
  <c r="J26" i="1" s="1"/>
  <c r="J27" i="1" s="1"/>
  <c r="G25" i="1"/>
  <c r="G26" i="1" s="1"/>
  <c r="G27" i="1" s="1"/>
  <c r="M9" i="6"/>
  <c r="K25" i="1" l="1"/>
  <c r="K26" i="1" s="1"/>
  <c r="C2" i="2"/>
  <c r="G30" i="1"/>
  <c r="K27" i="1" l="1"/>
  <c r="L25" i="1"/>
  <c r="L26" i="1" s="1"/>
  <c r="C5" i="2"/>
  <c r="D2" i="2"/>
  <c r="H30" i="1" l="1"/>
  <c r="H30" i="11"/>
  <c r="H31" i="11" s="1"/>
  <c r="L27" i="1"/>
  <c r="M25" i="1"/>
  <c r="M26" i="1" s="1"/>
  <c r="D5" i="2"/>
  <c r="E2" i="2"/>
  <c r="I30" i="1" l="1"/>
  <c r="I30" i="11"/>
  <c r="I31" i="11" s="1"/>
  <c r="I32" i="11" s="1"/>
  <c r="I33" i="11" s="1"/>
  <c r="I36" i="11" s="1"/>
  <c r="H32" i="11"/>
  <c r="M27" i="1"/>
  <c r="N25" i="1"/>
  <c r="N26" i="1" s="1"/>
  <c r="E5" i="2"/>
  <c r="F2" i="2"/>
  <c r="H33" i="11" l="1"/>
  <c r="H36" i="11" s="1"/>
  <c r="J30" i="1"/>
  <c r="J30" i="11"/>
  <c r="N27" i="1"/>
  <c r="O25" i="1"/>
  <c r="O26" i="1" s="1"/>
  <c r="F5" i="2"/>
  <c r="G2" i="2"/>
  <c r="G5" i="2" s="1"/>
  <c r="K30" i="1" l="1"/>
  <c r="K30" i="11"/>
  <c r="K31" i="11" s="1"/>
  <c r="K32" i="11" s="1"/>
  <c r="K33" i="11" s="1"/>
  <c r="K36" i="11" s="1"/>
  <c r="J31" i="11"/>
  <c r="H37" i="11"/>
  <c r="O27" i="1"/>
  <c r="P25" i="1"/>
  <c r="P26" i="1" s="1"/>
  <c r="Q23" i="1"/>
  <c r="M14" i="6" s="1"/>
  <c r="H2" i="2"/>
  <c r="H5" i="2" s="1"/>
  <c r="I37" i="11" l="1"/>
  <c r="H38" i="11"/>
  <c r="J32" i="11"/>
  <c r="Q31" i="11"/>
  <c r="Q30" i="11"/>
  <c r="Q25" i="1"/>
  <c r="V25" i="1"/>
  <c r="P27" i="1"/>
  <c r="I2" i="2"/>
  <c r="I5" i="2" s="1"/>
  <c r="J33" i="11" l="1"/>
  <c r="J36" i="11" s="1"/>
  <c r="Q32" i="11"/>
  <c r="Q33" i="11" s="1"/>
  <c r="Q36" i="11" s="1"/>
  <c r="I38" i="11"/>
  <c r="J37" i="11"/>
  <c r="J2" i="2"/>
  <c r="J5" i="2" s="1"/>
  <c r="J38" i="11" l="1"/>
  <c r="K37" i="11"/>
  <c r="L37" i="11" s="1"/>
  <c r="M37" i="11" s="1"/>
  <c r="N37" i="11" s="1"/>
  <c r="O37" i="11" s="1"/>
  <c r="P37" i="11" s="1"/>
  <c r="P38" i="11" s="1"/>
  <c r="F42" i="11" s="1"/>
  <c r="M18" i="10" s="1"/>
  <c r="F40" i="11"/>
  <c r="M16" i="10" s="1"/>
  <c r="F39" i="11"/>
  <c r="M15" i="10" s="1"/>
  <c r="K2" i="2"/>
  <c r="K5" i="2" s="1"/>
  <c r="J46" i="1" l="1"/>
  <c r="K46" i="1" s="1"/>
  <c r="L46" i="1" s="1"/>
  <c r="M46" i="1" s="1"/>
  <c r="N46" i="1" s="1"/>
  <c r="O46" i="1" s="1"/>
  <c r="P46" i="1" s="1"/>
  <c r="G28" i="1"/>
  <c r="H45" i="1" l="1"/>
  <c r="H55" i="1" s="1"/>
  <c r="I52" i="1"/>
  <c r="I55" i="1" l="1"/>
  <c r="I28" i="1" s="1"/>
  <c r="J55" i="1" l="1"/>
  <c r="J28" i="1" s="1"/>
  <c r="K55" i="1" l="1"/>
  <c r="K28" i="1" s="1"/>
  <c r="K29" i="1" s="1"/>
  <c r="K31" i="1" s="1"/>
  <c r="F36" i="1"/>
  <c r="P52" i="1"/>
  <c r="K32" i="1" l="1"/>
  <c r="K33" i="1" s="1"/>
  <c r="K36" i="1" s="1"/>
  <c r="L55" i="1"/>
  <c r="L28" i="1" s="1"/>
  <c r="L29" i="1" s="1"/>
  <c r="L31" i="1" s="1"/>
  <c r="H28" i="1"/>
  <c r="I44" i="1"/>
  <c r="J44" i="1"/>
  <c r="L32" i="1" l="1"/>
  <c r="L33" i="1" s="1"/>
  <c r="L36" i="1" s="1"/>
  <c r="M55" i="1"/>
  <c r="M28" i="1" s="1"/>
  <c r="M29" i="1" s="1"/>
  <c r="M31" i="1" s="1"/>
  <c r="H26" i="1"/>
  <c r="H27" i="1" s="1"/>
  <c r="F37" i="1"/>
  <c r="M32" i="1" l="1"/>
  <c r="M33" i="1" s="1"/>
  <c r="M36" i="1" s="1"/>
  <c r="N55" i="1"/>
  <c r="N28" i="1" s="1"/>
  <c r="N29" i="1" s="1"/>
  <c r="N31" i="1" s="1"/>
  <c r="H29" i="1"/>
  <c r="H31" i="1" s="1"/>
  <c r="I29" i="1"/>
  <c r="N32" i="1" l="1"/>
  <c r="N33" i="1" s="1"/>
  <c r="N36" i="1" s="1"/>
  <c r="P55" i="1"/>
  <c r="P28" i="1" s="1"/>
  <c r="P29" i="1" s="1"/>
  <c r="P31" i="1" s="1"/>
  <c r="O55" i="1"/>
  <c r="O28" i="1" s="1"/>
  <c r="O29" i="1" s="1"/>
  <c r="O31" i="1" s="1"/>
  <c r="H32" i="1"/>
  <c r="Q26" i="1"/>
  <c r="I31" i="1"/>
  <c r="G29" i="1"/>
  <c r="G31" i="1" s="1"/>
  <c r="J29" i="1"/>
  <c r="H44" i="1"/>
  <c r="G44" i="1"/>
  <c r="G32" i="1" l="1"/>
  <c r="G33" i="1" s="1"/>
  <c r="G36" i="1" s="1"/>
  <c r="H33" i="1"/>
  <c r="H36" i="1" s="1"/>
  <c r="Q27" i="1"/>
  <c r="F41" i="1" s="1"/>
  <c r="M17" i="6" s="1"/>
  <c r="P32" i="1"/>
  <c r="P33" i="1" s="1"/>
  <c r="P36" i="1" s="1"/>
  <c r="O32" i="1"/>
  <c r="O33" i="1" s="1"/>
  <c r="O36" i="1" s="1"/>
  <c r="I32" i="1"/>
  <c r="I33" i="1" s="1"/>
  <c r="I36" i="1" s="1"/>
  <c r="J31" i="1"/>
  <c r="Q31" i="1" s="1"/>
  <c r="G37" i="1" l="1"/>
  <c r="J32" i="1"/>
  <c r="J33" i="1" s="1"/>
  <c r="J36" i="1" s="1"/>
  <c r="F40" i="1" s="1"/>
  <c r="Q28" i="1"/>
  <c r="Q29" i="1" s="1"/>
  <c r="F39" i="1" l="1"/>
  <c r="Q32" i="1"/>
  <c r="Q33" i="1" s="1"/>
  <c r="Q36" i="1" s="1"/>
  <c r="G38" i="1"/>
  <c r="H37" i="1"/>
  <c r="H38" i="1" s="1"/>
  <c r="Q30" i="1"/>
  <c r="I37" i="1" l="1"/>
  <c r="J37" i="1" s="1"/>
  <c r="J38" i="1" l="1"/>
  <c r="K37" i="1"/>
  <c r="L37" i="1" s="1"/>
  <c r="M37" i="1" s="1"/>
  <c r="N37" i="1" s="1"/>
  <c r="O37" i="1" s="1"/>
  <c r="P37" i="1" s="1"/>
  <c r="I38" i="1"/>
  <c r="M16" i="6" l="1"/>
  <c r="M15" i="6"/>
  <c r="P38" i="1"/>
  <c r="F42" i="1" l="1"/>
  <c r="M1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1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<sst xmlns="http://schemas.openxmlformats.org/spreadsheetml/2006/main" count="473" uniqueCount="237">
  <si>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</si>
  <si>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</si>
  <si>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</si>
  <si>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</si>
  <si>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</si>
  <si>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</si>
  <si>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</si>
  <si>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</si>
  <si>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</si>
  <si>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</si>
  <si>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</si>
  <si>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</si>
  <si>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</si>
  <si>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</si>
  <si>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</si>
  <si>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</si>
  <si>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</si>
  <si>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</si>
  <si>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</si>
  <si>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</si>
  <si>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</si>
  <si>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</si>
  <si>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</si>
  <si>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</si>
  <si>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</si>
  <si>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</si>
  <si>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</si>
  <si>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</si>
  <si>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</si>
  <si>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</si>
  <si>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</si>
  <si>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</si>
  <si>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</si>
  <si>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</si>
  <si>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</si>
  <si>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</si>
  <si>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</si>
  <si>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</si>
  <si>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</si>
  <si>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</si>
  <si>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</si>
  <si>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</si>
  <si>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</si>
  <si>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</si>
  <si>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</si>
  <si>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</si>
  <si>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</si>
  <si>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</si>
  <si>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</si>
  <si>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</si>
  <si>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</si>
  <si>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</si>
  <si>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</si>
  <si>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</si>
  <si>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</si>
  <si>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</si>
  <si>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</si>
  <si>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</si>
  <si>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</si>
  <si>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</si>
  <si>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</si>
  <si>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</si>
  <si>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</si>
  <si>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</si>
  <si>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</si>
  <si>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</si>
  <si>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</si>
  <si>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</si>
  <si>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</si>
  <si>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</si>
  <si>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</si>
  <si>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</si>
  <si>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</si>
  <si>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</si>
  <si>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</si>
  <si>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</si>
  <si>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</si>
  <si>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</si>
  <si>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</si>
  <si>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</si>
  <si>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</si>
  <si>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BTS</t>
  </si>
  <si>
    <t>Revenue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</si>
  <si>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</si>
  <si>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</si>
  <si>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</si>
  <si>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</si>
  <si>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</si>
  <si>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</si>
  <si>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</si>
  <si>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</si>
  <si>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</si>
  <si>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</si>
  <si>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</si>
  <si>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</si>
  <si>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</si>
  <si>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</si>
  <si>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</si>
  <si>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</si>
  <si>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</si>
  <si>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</si>
  <si>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</si>
  <si>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</si>
  <si>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</si>
  <si>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</si>
  <si>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</si>
  <si>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</si>
  <si>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</si>
  <si>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</si>
  <si>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</si>
  <si>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</si>
  <si>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</si>
  <si>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</si>
  <si>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</si>
  <si>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</si>
  <si>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</si>
  <si>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</si>
  <si>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</si>
  <si>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</si>
  <si>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</si>
  <si>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</si>
  <si>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</si>
  <si>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</si>
  <si>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</si>
  <si>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</si>
  <si>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</si>
  <si>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</si>
  <si>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</si>
  <si>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</si>
  <si>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New</t>
  </si>
  <si>
    <t>Renewal</t>
  </si>
  <si>
    <t>Lease to BM</t>
  </si>
  <si>
    <t>TSEL</t>
  </si>
  <si>
    <t>Erosion</t>
  </si>
  <si>
    <t>Mall</t>
  </si>
  <si>
    <t>0024/03/IRR/IBC/XI/2023</t>
  </si>
  <si>
    <t>No.</t>
  </si>
  <si>
    <t>HOTEL LOMBOK PLAZA</t>
  </si>
  <si>
    <t>Alternatif DPP nya BM</t>
  </si>
  <si>
    <t>Y6</t>
  </si>
  <si>
    <t>Y7</t>
  </si>
  <si>
    <t>Y8</t>
  </si>
  <si>
    <t>Y9</t>
  </si>
  <si>
    <t>Y10</t>
  </si>
  <si>
    <t>2027</t>
  </si>
  <si>
    <t>2028</t>
  </si>
  <si>
    <t>2029</t>
  </si>
  <si>
    <t>2030</t>
  </si>
  <si>
    <t>2031</t>
  </si>
  <si>
    <t>2032</t>
  </si>
  <si>
    <t>2033</t>
  </si>
  <si>
    <t>4</t>
  </si>
  <si>
    <t>5</t>
  </si>
  <si>
    <t>6</t>
  </si>
  <si>
    <t>7</t>
  </si>
  <si>
    <t>8</t>
  </si>
  <si>
    <t>9</t>
  </si>
  <si>
    <t>10</t>
  </si>
  <si>
    <t>DPP</t>
  </si>
  <si>
    <t>PPN 11%</t>
  </si>
  <si>
    <t>PPh 10%</t>
  </si>
  <si>
    <t>Net</t>
  </si>
  <si>
    <t>Hotel Lombok Plaza</t>
  </si>
  <si>
    <t>Lombok</t>
  </si>
  <si>
    <t>DI HOLD SAMPAI ADA KEPASTIAN IOH MASUK di LOMBOK PLAZA, INFO DARI MARKETING BULAN DESEMBER 2023 ada INFO DARI ISAT</t>
  </si>
  <si>
    <t>Isat</t>
  </si>
  <si>
    <t>CME IOH JOIN Awal 2025</t>
  </si>
  <si>
    <t>0011/IRR/IBC/IV/2024</t>
  </si>
  <si>
    <t>Total Opex Sewa</t>
  </si>
  <si>
    <t>Total Opex Other</t>
  </si>
  <si>
    <t>Total Capex CME IOH</t>
  </si>
  <si>
    <t>Citra K</t>
  </si>
  <si>
    <t>Capex DAS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</si>
  <si>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</si>
  <si>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</si>
  <si>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</si>
  <si>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</si>
  <si>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>:  Jl. KH. Ahmad Dahlan Semarang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</si>
  <si>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</si>
  <si>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</si>
  <si>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</si>
  <si>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</si>
  <si>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</si>
  <si>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</si>
  <si>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</si>
  <si>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</si>
  <si>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</si>
  <si>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</si>
  <si>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</si>
  <si>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Harga Sewa</t>
  </si>
  <si>
    <t>Operator Join</t>
  </si>
  <si>
    <t>6.</t>
  </si>
  <si>
    <t>Kenaikan/ Penurunan Harga</t>
  </si>
  <si>
    <t>: HOTEL LOMBOK PLAZA</t>
  </si>
  <si>
    <t>: PT&gt; Pejanggik Cakra Buana</t>
  </si>
  <si>
    <t xml:space="preserve">:  </t>
  </si>
  <si>
    <t xml:space="preserve">83 Omni + Pole Antenna + RBS </t>
  </si>
  <si>
    <t xml:space="preserve">: 83 Omni + Pole Antenna + RBS </t>
  </si>
  <si>
    <t>1Jun2013 s/d 30Nov23</t>
  </si>
  <si>
    <t>30NOV2023 s/d 29OKT33</t>
  </si>
  <si>
    <t>777.777.777/10thn</t>
  </si>
  <si>
    <t>Telkomsel 1Jun2013-31Mei2023</t>
  </si>
  <si>
    <t>Telkomsel 14Mar2020 sd 13Mar2025</t>
  </si>
  <si>
    <t>Harga Tetap</t>
  </si>
  <si>
    <t xml:space="preserve">Periode </t>
  </si>
  <si>
    <t>Start</t>
  </si>
  <si>
    <t>End</t>
  </si>
  <si>
    <t>Rev Tsel</t>
  </si>
  <si>
    <t>Rev IOH</t>
  </si>
  <si>
    <t>Sewa BM</t>
  </si>
  <si>
    <t>Days</t>
  </si>
  <si>
    <t xml:space="preserve">Sewa BM </t>
  </si>
  <si>
    <t>Antisipasi Add Capex and Pole</t>
  </si>
  <si>
    <t>Profit</t>
  </si>
  <si>
    <t>SITE Hotel Lombok Plaza</t>
  </si>
  <si>
    <t>Worse &gt;&gt; Jika Sewa BM diperpanjang 10 tahun dan Operator sesuai periiode masing2, maka</t>
  </si>
  <si>
    <t>Listrik Tsel</t>
  </si>
  <si>
    <t>Listrik IOH</t>
  </si>
  <si>
    <t>OM Tsel</t>
  </si>
  <si>
    <t>OM IOH</t>
  </si>
  <si>
    <t>Conservative &gt;&gt; Jika Sewa BM diperpanjang Sampai End IOH dan Operator sesuai periiode masing2, maka</t>
  </si>
  <si>
    <t>Optimist &gt;&gt;  Jika Sewa BM diperpanjang 10 tahun dan Operator mengikuti, maka</t>
  </si>
  <si>
    <t>: Tsel dan IOH diharapkan sampai akhir periode BM</t>
  </si>
  <si>
    <t>Operator join</t>
  </si>
  <si>
    <t>Rev.Change</t>
  </si>
  <si>
    <t>2023 Tsel</t>
  </si>
  <si>
    <t>-</t>
  </si>
  <si>
    <t>2025 IOH</t>
  </si>
  <si>
    <t>: Tsel diharapkan sama dengan periode BM</t>
  </si>
  <si>
    <t>: PKS BM sampai End Period nya IOH</t>
  </si>
  <si>
    <t>: Tsel &amp; IOH dalam 10 thn sewa BM diperpanjang dengan harga eksisting</t>
  </si>
  <si>
    <t>Perpanjangan</t>
  </si>
  <si>
    <t>: PKS BM sampai 10 tahun, TOP BM th pertama dan kedua</t>
  </si>
  <si>
    <t>2025 Tsel</t>
  </si>
  <si>
    <t>2026 IOH</t>
  </si>
  <si>
    <t>IOH (Jan26- Des30)</t>
  </si>
  <si>
    <t>: IOH Diharapkan Join On Air thn 2025, Rev di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</si>
</sst>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 * #,##0_ ;_ * \-#,##0_ ;_ * &quot;-&quot;_ ;_ @_ "/>
    <numFmt numFmtId="170" formatCode="_(&quot;$&quot;* #,##0.00_);_(&quot;$&quot;* \(#,##0.00\);_(&quot;$&quot;* &quot;-&quot;??_);_(@_)"/>
    <numFmt numFmtId="171" formatCode="_([$Rp-421]* #,##0_);_([$Rp-421]* \(#,##0\);_([$Rp-421]* &quot;-&quot;??_);_(@_)"/>
    <numFmt numFmtId="172" formatCode="[$-C09]dd\-mmm\-yy;@"/>
    <numFmt numFmtId="173" formatCode="#,###&quot;/thn&quot;"/>
    <numFmt numFmtId="174" formatCode="#,###&quot;/pole&quot;"/>
  </numFmts>
  <fonts count="4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43" fontId="11" fillId="0" borderId="0" applyFont="0" applyFill="0" applyBorder="0" applyAlignment="0" applyProtection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0" fontId="25" fillId="0" borderId="0"/>
    <xf numFmtId="43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2" fillId="0" borderId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0" fillId="0" borderId="0"/>
    <xf numFmtId="0" fontId="30" fillId="0" borderId="0"/>
    <xf numFmtId="43" fontId="30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6" fillId="0" borderId="0"/>
    <xf numFmtId="0" fontId="31" fillId="0" borderId="0">
      <alignment vertical="center"/>
    </xf>
    <xf numFmtId="169" fontId="30" fillId="0" borderId="0" applyFont="0" applyFill="0" applyBorder="0" applyAlignment="0" applyProtection="0">
      <alignment vertical="center"/>
    </xf>
    <xf numFmtId="170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/>
    <xf numFmtId="0" fontId="30" fillId="0" borderId="0"/>
    <xf numFmtId="171" fontId="30" fillId="0" borderId="0"/>
    <xf numFmtId="170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  <xf numFmtId="42" fontId="25" fillId="0" borderId="0" applyFont="0" applyFill="0" applyBorder="0" applyAlignment="0" applyProtection="0"/>
    <xf numFmtId="0" fontId="25" fillId="0" borderId="0"/>
    <xf numFmtId="0" fontId="2" fillId="0" borderId="0"/>
    <xf numFmtId="0" fontId="25" fillId="0" borderId="0"/>
    <xf numFmtId="41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47">
    <xf numFmtId="0" fontId="0" fillId="0" borderId="0" xfId="0"/>
    <xf numFmtId="0" fontId="13" fillId="0" borderId="0" xfId="0" applyFont="1"/>
    <xf numFmtId="0" fontId="0" fillId="0" borderId="0" xfId="0" applyAlignment="1">
      <alignment vertical="center"/>
    </xf>
    <xf numFmtId="0" fontId="14" fillId="0" borderId="0" xfId="0" applyFont="1"/>
    <xf numFmtId="0" fontId="0" fillId="3" borderId="0" xfId="0" applyFill="1"/>
    <xf numFmtId="9" fontId="15" fillId="0" borderId="0" xfId="2" applyNumberFormat="1" applyFont="1"/>
    <xf numFmtId="10" fontId="15" fillId="0" borderId="0" xfId="2" applyNumberFormat="1" applyFont="1"/>
    <xf numFmtId="0" fontId="0" fillId="0" borderId="1" xfId="0" applyBorder="1"/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5" fillId="0" borderId="0" xfId="0" applyNumberFormat="1" applyFont="1" applyBorder="1"/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43" fontId="19" fillId="0" borderId="0" xfId="1" applyFont="1"/>
    <xf numFmtId="164" fontId="0" fillId="0" borderId="2" xfId="2" applyFont="1" applyBorder="1" applyAlignment="1">
      <alignment vertical="center"/>
    </xf>
    <xf numFmtId="164" fontId="13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6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8" fillId="0" borderId="0" xfId="1" applyNumberFormat="1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3" fillId="0" borderId="4" xfId="0" applyFont="1" applyBorder="1"/>
    <xf numFmtId="0" fontId="0" fillId="0" borderId="4" xfId="0" applyBorder="1"/>
    <xf numFmtId="166" fontId="13" fillId="0" borderId="4" xfId="0" applyNumberFormat="1" applyFont="1" applyBorder="1" applyAlignment="1">
      <alignment vertical="center"/>
    </xf>
    <xf numFmtId="0" fontId="0" fillId="0" borderId="0" xfId="0" applyBorder="1"/>
    <xf numFmtId="164" fontId="17" fillId="0" borderId="0" xfId="0" applyNumberFormat="1" applyFont="1" applyBorder="1"/>
    <xf numFmtId="166" fontId="13" fillId="0" borderId="0" xfId="0" applyNumberFormat="1" applyFont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164" fontId="0" fillId="3" borderId="0" xfId="0" applyNumberFormat="1" applyFill="1" applyBorder="1"/>
    <xf numFmtId="0" fontId="0" fillId="3" borderId="0" xfId="0" applyFill="1" applyBorder="1"/>
    <xf numFmtId="164" fontId="0" fillId="3" borderId="0" xfId="2" applyFont="1" applyFill="1" applyBorder="1" applyAlignment="1">
      <alignment vertic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164" fontId="0" fillId="3" borderId="0" xfId="2" applyFont="1" applyFill="1" applyBorder="1"/>
    <xf numFmtId="0" fontId="13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164" fontId="23" fillId="0" borderId="9" xfId="0" applyNumberFormat="1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7" fontId="23" fillId="0" borderId="11" xfId="1" applyNumberFormat="1" applyFont="1" applyBorder="1"/>
    <xf numFmtId="0" fontId="13" fillId="0" borderId="12" xfId="0" applyFont="1" applyBorder="1"/>
    <xf numFmtId="164" fontId="13" fillId="0" borderId="12" xfId="0" applyNumberFormat="1" applyFont="1" applyBorder="1" applyAlignment="1">
      <alignment vertical="center"/>
    </xf>
    <xf numFmtId="166" fontId="12" fillId="0" borderId="0" xfId="17" applyNumberFormat="1" applyFont="1"/>
    <xf numFmtId="164" fontId="0" fillId="0" borderId="0" xfId="2" applyFont="1" applyAlignment="1">
      <alignment vertical="center"/>
    </xf>
    <xf numFmtId="164" fontId="12" fillId="0" borderId="0" xfId="2" applyFont="1" applyFill="1"/>
    <xf numFmtId="166" fontId="0" fillId="4" borderId="0" xfId="0" applyNumberFormat="1" applyFill="1" applyAlignment="1">
      <alignment vertical="center"/>
    </xf>
    <xf numFmtId="0" fontId="23" fillId="5" borderId="1" xfId="0" applyFont="1" applyFill="1" applyBorder="1" applyAlignment="1">
      <alignment horizontal="center"/>
    </xf>
    <xf numFmtId="0" fontId="16" fillId="5" borderId="0" xfId="0" applyFont="1" applyFill="1"/>
    <xf numFmtId="164" fontId="23" fillId="5" borderId="12" xfId="0" applyNumberFormat="1" applyFont="1" applyFill="1" applyBorder="1" applyAlignment="1">
      <alignment vertical="center"/>
    </xf>
    <xf numFmtId="43" fontId="24" fillId="5" borderId="0" xfId="1" applyFont="1" applyFill="1"/>
    <xf numFmtId="164" fontId="16" fillId="5" borderId="0" xfId="0" applyNumberFormat="1" applyFont="1" applyFill="1" applyBorder="1" applyAlignment="1">
      <alignment vertical="center"/>
    </xf>
    <xf numFmtId="164" fontId="13" fillId="5" borderId="0" xfId="0" applyNumberFormat="1" applyFont="1" applyFill="1" applyAlignment="1">
      <alignment vertical="center"/>
    </xf>
    <xf numFmtId="9" fontId="20" fillId="5" borderId="0" xfId="3" applyFont="1" applyFill="1" applyAlignment="1">
      <alignment vertical="center"/>
    </xf>
    <xf numFmtId="164" fontId="16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164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38" fontId="0" fillId="5" borderId="0" xfId="0" applyNumberFormat="1" applyFill="1"/>
    <xf numFmtId="166" fontId="18" fillId="5" borderId="0" xfId="1" applyNumberFormat="1" applyFont="1" applyFill="1"/>
    <xf numFmtId="0" fontId="16" fillId="0" borderId="0" xfId="0" applyFont="1"/>
    <xf numFmtId="164" fontId="23" fillId="0" borderId="4" xfId="0" applyNumberFormat="1" applyFont="1" applyBorder="1"/>
    <xf numFmtId="164" fontId="23" fillId="0" borderId="0" xfId="0" applyNumberFormat="1" applyFont="1" applyBorder="1"/>
    <xf numFmtId="164" fontId="13" fillId="5" borderId="12" xfId="0" applyNumberFormat="1" applyFont="1" applyFill="1" applyBorder="1" applyAlignment="1">
      <alignment vertical="center"/>
    </xf>
    <xf numFmtId="164" fontId="23" fillId="0" borderId="0" xfId="0" applyNumberFormat="1" applyFont="1" applyFill="1" applyBorder="1"/>
    <xf numFmtId="164" fontId="23" fillId="0" borderId="0" xfId="0" applyNumberFormat="1" applyFont="1"/>
    <xf numFmtId="0" fontId="23" fillId="0" borderId="0" xfId="0" applyFont="1"/>
    <xf numFmtId="164" fontId="0" fillId="0" borderId="0" xfId="0" applyNumberFormat="1" applyAlignment="1">
      <alignment horizontal="right" vertical="center"/>
    </xf>
    <xf numFmtId="164" fontId="0" fillId="5" borderId="0" xfId="2" applyFont="1" applyFill="1" applyBorder="1"/>
    <xf numFmtId="9" fontId="23" fillId="0" borderId="7" xfId="0" applyNumberFormat="1" applyFont="1" applyBorder="1"/>
    <xf numFmtId="164" fontId="0" fillId="0" borderId="0" xfId="2" applyFont="1"/>
    <xf numFmtId="0" fontId="0" fillId="0" borderId="0" xfId="0" applyFont="1"/>
    <xf numFmtId="0" fontId="13" fillId="0" borderId="0" xfId="0" applyFont="1" applyBorder="1"/>
    <xf numFmtId="0" fontId="27" fillId="0" borderId="0" xfId="0" applyFont="1"/>
    <xf numFmtId="0" fontId="0" fillId="0" borderId="0" xfId="0" applyFont="1" applyBorder="1"/>
    <xf numFmtId="0" fontId="26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3" fillId="0" borderId="19" xfId="2" applyNumberFormat="1" applyFont="1" applyBorder="1"/>
    <xf numFmtId="9" fontId="13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164" fontId="0" fillId="0" borderId="0" xfId="0" quotePrefix="1" applyNumberFormat="1" applyAlignment="1">
      <alignment vertical="center"/>
    </xf>
    <xf numFmtId="0" fontId="13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165" fontId="0" fillId="0" borderId="0" xfId="0" applyNumberFormat="1"/>
    <xf numFmtId="0" fontId="13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3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6" fillId="0" borderId="0" xfId="0" applyFont="1" applyBorder="1" applyAlignment="1"/>
    <xf numFmtId="14" fontId="26" fillId="0" borderId="0" xfId="0" applyNumberFormat="1" applyFont="1" applyBorder="1" applyAlignment="1"/>
    <xf numFmtId="164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164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3" fillId="0" borderId="23" xfId="0" applyFont="1" applyBorder="1" applyAlignment="1">
      <alignment horizontal="left"/>
    </xf>
    <xf numFmtId="0" fontId="0" fillId="0" borderId="23" xfId="0" applyFont="1" applyBorder="1"/>
    <xf numFmtId="0" fontId="13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164" fontId="13" fillId="0" borderId="18" xfId="2" applyFont="1" applyBorder="1"/>
    <xf numFmtId="168" fontId="13" fillId="0" borderId="22" xfId="2" applyNumberFormat="1" applyFont="1" applyBorder="1"/>
    <xf numFmtId="164" fontId="16" fillId="0" borderId="0" xfId="2" applyFont="1" applyAlignment="1">
      <alignment vertical="center"/>
    </xf>
    <xf numFmtId="9" fontId="0" fillId="0" borderId="0" xfId="0" applyNumberFormat="1"/>
    <xf numFmtId="164" fontId="16" fillId="5" borderId="0" xfId="0" applyNumberFormat="1" applyFont="1" applyFill="1"/>
    <xf numFmtId="164" fontId="13" fillId="0" borderId="0" xfId="2" applyFont="1"/>
    <xf numFmtId="164" fontId="20" fillId="3" borderId="0" xfId="3" applyNumberFormat="1" applyFont="1" applyFill="1" applyBorder="1" applyAlignment="1">
      <alignment vertical="center"/>
    </xf>
    <xf numFmtId="0" fontId="0" fillId="0" borderId="0" xfId="0" quotePrefix="1" applyAlignment="1">
      <alignment horizontal="center" vertical="center"/>
    </xf>
    <xf numFmtId="0" fontId="0" fillId="0" borderId="0" xfId="0" quotePrefix="1" applyAlignment="1">
      <alignment horizontal="center"/>
    </xf>
    <xf numFmtId="0" fontId="32" fillId="0" borderId="0" xfId="0" applyFont="1" applyAlignment="1">
      <alignment horizontal="right"/>
    </xf>
    <xf numFmtId="38" fontId="0" fillId="3" borderId="2" xfId="0" applyNumberFormat="1" applyFill="1" applyBorder="1" applyAlignment="1">
      <alignment vertical="center"/>
    </xf>
    <xf numFmtId="164" fontId="13" fillId="3" borderId="2" xfId="0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164" fontId="0" fillId="3" borderId="0" xfId="0" applyNumberFormat="1" applyFill="1" applyBorder="1" applyAlignment="1">
      <alignment horizontal="right" vertical="center"/>
    </xf>
    <xf numFmtId="0" fontId="0" fillId="3" borderId="0" xfId="0" applyFill="1" applyBorder="1" applyAlignment="1">
      <alignment horizontal="right"/>
    </xf>
    <xf numFmtId="43" fontId="19" fillId="3" borderId="0" xfId="1" applyFont="1" applyFill="1" applyBorder="1" applyAlignment="1">
      <alignment horizontal="right"/>
    </xf>
    <xf numFmtId="0" fontId="33" fillId="0" borderId="0" xfId="0" applyFont="1"/>
    <xf numFmtId="0" fontId="13" fillId="0" borderId="0" xfId="0" applyFont="1" applyBorder="1" applyAlignment="1">
      <alignment horizontal="center"/>
    </xf>
    <xf numFmtId="0" fontId="0" fillId="0" borderId="0" xfId="0" applyFont="1" applyFill="1" applyBorder="1" applyAlignment="1" applyProtection="1">
      <alignment horizontal="left" indent="1"/>
    </xf>
    <xf numFmtId="0" fontId="13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164" fontId="0" fillId="3" borderId="0" xfId="0" applyNumberFormat="1" applyFill="1" applyBorder="1" applyAlignment="1">
      <alignment horizontal="center" vertical="center"/>
    </xf>
    <xf numFmtId="0" fontId="26" fillId="0" borderId="0" xfId="0" applyFont="1" applyBorder="1" applyAlignment="1">
      <alignment horizontal="right"/>
    </xf>
    <xf numFmtId="0" fontId="12" fillId="0" borderId="0" xfId="17"/>
    <xf numFmtId="164" fontId="35" fillId="0" borderId="0" xfId="0" applyNumberFormat="1" applyFont="1" applyAlignment="1">
      <alignment vertical="center"/>
    </xf>
    <xf numFmtId="0" fontId="4" fillId="0" borderId="0" xfId="34"/>
    <xf numFmtId="0" fontId="36" fillId="0" borderId="0" xfId="34" applyFont="1" applyAlignment="1">
      <alignment horizontal="center"/>
    </xf>
    <xf numFmtId="0" fontId="37" fillId="0" borderId="0" xfId="34" applyFont="1"/>
    <xf numFmtId="0" fontId="4" fillId="0" borderId="24" xfId="34" applyBorder="1"/>
    <xf numFmtId="0" fontId="4" fillId="0" borderId="25" xfId="34" applyBorder="1"/>
    <xf numFmtId="42" fontId="0" fillId="0" borderId="25" xfId="36" applyFont="1" applyBorder="1"/>
    <xf numFmtId="0" fontId="4" fillId="0" borderId="7" xfId="34" applyBorder="1"/>
    <xf numFmtId="0" fontId="4" fillId="0" borderId="9" xfId="34" applyBorder="1"/>
    <xf numFmtId="0" fontId="4" fillId="0" borderId="33" xfId="34" applyBorder="1" applyAlignment="1">
      <alignment horizontal="center" vertical="center"/>
    </xf>
    <xf numFmtId="0" fontId="4" fillId="0" borderId="35" xfId="34" applyBorder="1"/>
    <xf numFmtId="0" fontId="37" fillId="0" borderId="0" xfId="34" applyFont="1" applyBorder="1"/>
    <xf numFmtId="0" fontId="37" fillId="0" borderId="18" xfId="34" applyFont="1" applyBorder="1"/>
    <xf numFmtId="42" fontId="0" fillId="0" borderId="35" xfId="36" applyFont="1" applyBorder="1"/>
    <xf numFmtId="0" fontId="4" fillId="0" borderId="36" xfId="34" applyBorder="1" applyAlignment="1">
      <alignment horizontal="center" vertical="center"/>
    </xf>
    <xf numFmtId="0" fontId="4" fillId="0" borderId="38" xfId="34" applyBorder="1" applyAlignment="1">
      <alignment horizontal="center" vertical="center"/>
    </xf>
    <xf numFmtId="0" fontId="4" fillId="0" borderId="39" xfId="34" applyBorder="1" applyAlignment="1">
      <alignment horizontal="center" vertical="center"/>
    </xf>
    <xf numFmtId="0" fontId="4" fillId="0" borderId="40" xfId="34" applyBorder="1"/>
    <xf numFmtId="0" fontId="25" fillId="0" borderId="0" xfId="37"/>
    <xf numFmtId="0" fontId="2" fillId="0" borderId="0" xfId="38"/>
    <xf numFmtId="0" fontId="25" fillId="0" borderId="24" xfId="37" applyBorder="1" applyAlignment="1">
      <alignment horizontal="center"/>
    </xf>
    <xf numFmtId="0" fontId="25" fillId="0" borderId="0" xfId="37" applyAlignment="1">
      <alignment horizontal="center"/>
    </xf>
    <xf numFmtId="0" fontId="25" fillId="0" borderId="24" xfId="37" applyBorder="1"/>
    <xf numFmtId="172" fontId="25" fillId="0" borderId="24" xfId="37" applyNumberFormat="1" applyBorder="1" applyAlignment="1">
      <alignment horizontal="center"/>
    </xf>
    <xf numFmtId="172" fontId="25" fillId="0" borderId="0" xfId="37" applyNumberFormat="1"/>
    <xf numFmtId="0" fontId="34" fillId="0" borderId="0" xfId="39" applyFont="1" applyAlignment="1">
      <alignment horizontal="center"/>
    </xf>
    <xf numFmtId="172" fontId="25" fillId="0" borderId="0" xfId="37" applyNumberFormat="1" applyAlignment="1">
      <alignment horizontal="center"/>
    </xf>
    <xf numFmtId="41" fontId="25" fillId="0" borderId="0" xfId="40" applyFont="1" applyBorder="1"/>
    <xf numFmtId="173" fontId="25" fillId="0" borderId="0" xfId="41" applyNumberFormat="1" applyFont="1"/>
    <xf numFmtId="41" fontId="25" fillId="0" borderId="0" xfId="37" applyNumberFormat="1"/>
    <xf numFmtId="174" fontId="25" fillId="0" borderId="0" xfId="42" applyNumberFormat="1" applyFont="1"/>
    <xf numFmtId="164" fontId="25" fillId="0" borderId="2" xfId="41" applyFont="1" applyBorder="1"/>
    <xf numFmtId="164" fontId="25" fillId="0" borderId="0" xfId="2" applyFont="1"/>
    <xf numFmtId="172" fontId="25" fillId="0" borderId="0" xfId="37" applyNumberFormat="1" applyBorder="1" applyAlignment="1">
      <alignment horizontal="center"/>
    </xf>
    <xf numFmtId="0" fontId="0" fillId="0" borderId="0" xfId="0" applyFont="1" applyFill="1" applyBorder="1"/>
    <xf numFmtId="0" fontId="1" fillId="0" borderId="35" xfId="34" applyFont="1" applyBorder="1"/>
    <xf numFmtId="0" fontId="13" fillId="0" borderId="21" xfId="0" applyFont="1" applyFill="1" applyBorder="1" applyAlignment="1" applyProtection="1">
      <alignment horizontal="left" indent="1"/>
    </xf>
    <xf numFmtId="0" fontId="13" fillId="0" borderId="1" xfId="0" applyFont="1" applyFill="1" applyBorder="1" applyAlignment="1" applyProtection="1">
      <alignment horizontal="left" indent="1"/>
    </xf>
    <xf numFmtId="0" fontId="13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9" fillId="0" borderId="0" xfId="13" applyAlignment="1">
      <alignment horizontal="left" indent="1"/>
    </xf>
    <xf numFmtId="0" fontId="13" fillId="0" borderId="0" xfId="0" applyFont="1" applyBorder="1" applyAlignment="1">
      <alignment horizontal="left"/>
    </xf>
    <xf numFmtId="0" fontId="13" fillId="0" borderId="16" xfId="0" applyFont="1" applyFill="1" applyBorder="1" applyAlignment="1" applyProtection="1">
      <alignment horizontal="left" indent="1"/>
    </xf>
    <xf numFmtId="0" fontId="13" fillId="0" borderId="17" xfId="0" applyFont="1" applyFill="1" applyBorder="1" applyAlignment="1" applyProtection="1">
      <alignment horizontal="left" indent="1"/>
    </xf>
    <xf numFmtId="0" fontId="13" fillId="0" borderId="20" xfId="0" applyFont="1" applyFill="1" applyBorder="1" applyAlignment="1" applyProtection="1">
      <alignment horizontal="left" indent="1"/>
    </xf>
    <xf numFmtId="0" fontId="13" fillId="0" borderId="0" xfId="0" applyFont="1" applyFill="1" applyBorder="1" applyAlignment="1" applyProtection="1">
      <alignment horizontal="left" indent="1"/>
    </xf>
    <xf numFmtId="0" fontId="2" fillId="0" borderId="0" xfId="13" applyFont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3" fillId="0" borderId="17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13" fillId="0" borderId="17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164" fontId="13" fillId="0" borderId="12" xfId="0" applyNumberFormat="1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164" fontId="0" fillId="3" borderId="25" xfId="0" applyNumberFormat="1" applyFill="1" applyBorder="1" applyAlignment="1">
      <alignment horizontal="center" vertical="center"/>
    </xf>
    <xf numFmtId="164" fontId="0" fillId="3" borderId="29" xfId="0" applyNumberForma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41" xfId="34" applyFont="1" applyBorder="1" applyAlignment="1">
      <alignment horizontal="center" wrapText="1"/>
    </xf>
    <xf numFmtId="0" fontId="4" fillId="0" borderId="42" xfId="34" applyBorder="1" applyAlignment="1">
      <alignment horizontal="center" wrapText="1"/>
    </xf>
    <xf numFmtId="0" fontId="38" fillId="9" borderId="30" xfId="34" applyFont="1" applyFill="1" applyBorder="1" applyAlignment="1">
      <alignment horizontal="center" vertical="center"/>
    </xf>
    <xf numFmtId="0" fontId="38" fillId="9" borderId="33" xfId="34" applyFont="1" applyFill="1" applyBorder="1" applyAlignment="1">
      <alignment horizontal="center" vertical="center"/>
    </xf>
    <xf numFmtId="0" fontId="39" fillId="9" borderId="31" xfId="34" applyFont="1" applyFill="1" applyBorder="1" applyAlignment="1">
      <alignment horizontal="center" vertical="center"/>
    </xf>
    <xf numFmtId="0" fontId="39" fillId="9" borderId="28" xfId="34" applyFont="1" applyFill="1" applyBorder="1" applyAlignment="1">
      <alignment horizontal="center" vertical="center"/>
    </xf>
    <xf numFmtId="0" fontId="39" fillId="9" borderId="32" xfId="34" applyFont="1" applyFill="1" applyBorder="1" applyAlignment="1">
      <alignment horizontal="center" vertical="center"/>
    </xf>
    <xf numFmtId="0" fontId="39" fillId="9" borderId="34" xfId="34" applyFont="1" applyFill="1" applyBorder="1" applyAlignment="1">
      <alignment horizontal="center" vertical="center"/>
    </xf>
    <xf numFmtId="0" fontId="4" fillId="0" borderId="36" xfId="34" applyBorder="1" applyAlignment="1">
      <alignment horizontal="center" vertical="center"/>
    </xf>
    <xf numFmtId="0" fontId="4" fillId="0" borderId="37" xfId="34" applyBorder="1" applyAlignment="1">
      <alignment horizontal="center" vertical="center"/>
    </xf>
    <xf numFmtId="0" fontId="25" fillId="0" borderId="24" xfId="37" applyBorder="1" applyAlignment="1">
      <alignment horizontal="center"/>
    </xf>
  </cellXfs>
  <cellStyles count="44">
    <cellStyle name="=C:\WINNT35\SYSTEM32\COMMAND.COM" xfId="30" xr:uid="{00000000-0005-0000-0000-000000000000}"/>
    <cellStyle name="0,0_x000a__x000a_NA_x000a__x000a_" xfId="31" xr:uid="{00000000-0005-0000-0000-000001000000}"/>
    <cellStyle name="Comma" xfId="1" builtinId="3"/>
    <cellStyle name="Comma [0]" xfId="2" builtinId="6"/>
    <cellStyle name="Comma [0] 2" xfId="9" xr:uid="{00000000-0005-0000-0000-000004000000}"/>
    <cellStyle name="Comma [0] 3" xfId="26" xr:uid="{00000000-0005-0000-0000-000005000000}"/>
    <cellStyle name="Comma [0] 3 2" xfId="41" xr:uid="{6667C03E-F0CD-4464-B855-E3D8AFBCB480}"/>
    <cellStyle name="Comma [0] 3 3" xfId="42" xr:uid="{21F138FB-A82A-4909-9F56-F6C796BC479A}"/>
    <cellStyle name="Comma [0] 4" xfId="40" xr:uid="{15D44B6A-E2A9-4CC9-A51D-9F976EAC838F}"/>
    <cellStyle name="Comma 2" xfId="7" xr:uid="{00000000-0005-0000-0000-000006000000}"/>
    <cellStyle name="Comma 2 3" xfId="22" xr:uid="{00000000-0005-0000-0000-000007000000}"/>
    <cellStyle name="Comma 3" xfId="10" xr:uid="{00000000-0005-0000-0000-000008000000}"/>
    <cellStyle name="Comma 3 2" xfId="11" xr:uid="{00000000-0005-0000-0000-000009000000}"/>
    <cellStyle name="Comma 4" xfId="12" xr:uid="{00000000-0005-0000-0000-00000A000000}"/>
    <cellStyle name="Comma 4 3 2 5" xfId="35" xr:uid="{00000000-0005-0000-0000-00000B000000}"/>
    <cellStyle name="Comma 5" xfId="18" xr:uid="{00000000-0005-0000-0000-00000C000000}"/>
    <cellStyle name="Comma 5 2" xfId="19" xr:uid="{00000000-0005-0000-0000-00000D000000}"/>
    <cellStyle name="Currency [0] 2" xfId="23" xr:uid="{00000000-0005-0000-0000-00000E000000}"/>
    <cellStyle name="Currency [0] 2 2" xfId="36" xr:uid="{1ABF8775-076B-4680-A629-16C555B8A257}"/>
    <cellStyle name="Currency [0] 3" xfId="28" xr:uid="{00000000-0005-0000-0000-00000F000000}"/>
    <cellStyle name="Currency [0] 4" xfId="33" xr:uid="{00000000-0005-0000-0000-000010000000}"/>
    <cellStyle name="Currency 2" xfId="27" xr:uid="{00000000-0005-0000-0000-000011000000}"/>
    <cellStyle name="Currency 3" xfId="32" xr:uid="{00000000-0005-0000-0000-000012000000}"/>
    <cellStyle name="Normal" xfId="0" builtinId="0"/>
    <cellStyle name="Normal 2" xfId="5" xr:uid="{00000000-0005-0000-0000-000014000000}"/>
    <cellStyle name="Normal 2 2" xfId="6" xr:uid="{00000000-0005-0000-0000-000015000000}"/>
    <cellStyle name="Normal 2 2 2 2 3" xfId="17" xr:uid="{00000000-0005-0000-0000-000016000000}"/>
    <cellStyle name="Normal 2 7" xfId="20" xr:uid="{00000000-0005-0000-0000-000017000000}"/>
    <cellStyle name="Normal 3" xfId="13" xr:uid="{00000000-0005-0000-0000-000018000000}"/>
    <cellStyle name="Normal 3 2" xfId="14" xr:uid="{00000000-0005-0000-0000-000019000000}"/>
    <cellStyle name="Normal 3 3" xfId="21" xr:uid="{00000000-0005-0000-0000-00001A000000}"/>
    <cellStyle name="Normal 4" xfId="24" xr:uid="{00000000-0005-0000-0000-00001B000000}"/>
    <cellStyle name="Normal 5" xfId="25" xr:uid="{00000000-0005-0000-0000-00001C000000}"/>
    <cellStyle name="Normal 6" xfId="29" xr:uid="{00000000-0005-0000-0000-00001D000000}"/>
    <cellStyle name="Normal 7" xfId="34" xr:uid="{00000000-0005-0000-0000-00001E000000}"/>
    <cellStyle name="Normal 7 2" xfId="37" xr:uid="{BF90AFC6-D00C-4A75-9538-3056641CED3E}"/>
    <cellStyle name="Normal 7 3" xfId="39" xr:uid="{88096F4B-BB12-4A41-9040-90ECDD411DC4}"/>
    <cellStyle name="Normal 8" xfId="38" xr:uid="{075FC81A-5940-403E-81CE-0CD2406EE1B7}"/>
    <cellStyle name="Percent" xfId="3" builtinId="5"/>
    <cellStyle name="Percent 2" xfId="8" xr:uid="{00000000-0005-0000-0000-000020000000}"/>
    <cellStyle name="Percent 2 2" xfId="4" xr:uid="{00000000-0005-0000-0000-000021000000}"/>
    <cellStyle name="Percent 3" xfId="15" xr:uid="{00000000-0005-0000-0000-000022000000}"/>
    <cellStyle name="Percent 3 2" xfId="16" xr:uid="{00000000-0005-0000-0000-000023000000}"/>
    <cellStyle name="Percent 4" xfId="43" xr:uid="{BE9CAEC7-6D0F-482C-A94C-E89629452791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FCF8BF76-9896-438C-A2F6-8B7874274943}"/>
            </a:ext>
          </a:extLst>
        </xdr:cNvPr>
        <xdr:cNvGrpSpPr/>
      </xdr:nvGrpSpPr>
      <xdr:grpSpPr>
        <a:xfrm>
          <a:off x="616528" y="5243233"/>
          <a:ext cx="8842168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2B8CFAE6-33B0-448A-8904-BE5BA37D653B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0DEEC80B-7D87-4803-9521-44B2B7B74931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BDC8CFE0-B4B5-4ED8-AEF7-02194197D9F5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42B03161-7E08-4ABE-BF32-4AFA96CCA6D1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4CF92C5B-05E2-44E5-BD31-65CD86DE6037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117752F2-DD3A-4BC1-B8B4-94F02F458437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B870D625-470F-4EAF-9D9F-DA8F7096FCE4}"/>
            </a:ext>
          </a:extLst>
        </xdr:cNvPr>
        <xdr:cNvGrpSpPr/>
      </xdr:nvGrpSpPr>
      <xdr:grpSpPr>
        <a:xfrm>
          <a:off x="628274" y="6532760"/>
          <a:ext cx="9039716" cy="176014"/>
          <a:chOff x="722947" y="7327377"/>
          <a:chExt cx="10285884" cy="0"/>
        </a:xfrm>
      </xdr:grpSpPr>
      <xdr:cxnSp macro="">
        <xdr:nvCxnSpPr>
          <xdr:cNvPr id="25" name="Straight Connector 24">
            <a:extLst>
              <a:ext uri="{FF2B5EF4-FFF2-40B4-BE49-F238E27FC236}">
                <a16:creationId xmlns:a16="http://schemas.microsoft.com/office/drawing/2014/main" id="{9D2F6D91-CC96-480A-9522-B7B832AB2065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1615532B-AE53-40B5-894E-DD188D0ABC47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C4AE461F-41A0-4A7A-87D3-2E556EA9054A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2C50C6F7-C1F2-444A-A738-B1245BC82C30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EA6BA3D8-3261-49B7-9566-3B904EC610F4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5D5EAC96-8CFC-4CC6-ABF2-1BE27FFE0ADA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AE43F6CD-256B-4996-8830-33DC55E46FA2}"/>
            </a:ext>
          </a:extLst>
        </xdr:cNvPr>
        <xdr:cNvCxnSpPr/>
      </xdr:nvCxnSpPr>
      <xdr:spPr>
        <a:xfrm flipV="1">
          <a:off x="7463166" y="478852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3D0C8091-A9DF-41DC-8468-1FD25654A794}"/>
            </a:ext>
          </a:extLst>
        </xdr:cNvPr>
        <xdr:cNvGrpSpPr/>
      </xdr:nvGrpSpPr>
      <xdr:grpSpPr>
        <a:xfrm>
          <a:off x="620487" y="5169012"/>
          <a:ext cx="8850084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2E4E6725-DA57-4761-BF04-B262A5E8EBD6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3BFF6036-BD2B-4C59-B865-E2072EC6729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8F696D03-3638-4906-8CF1-C5B6EB596AF2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EE2F0482-56D5-4AF7-B4A4-D5357B431D20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74D1FE5-5FDA-4B44-9A09-ED294809C302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04C15287-87D1-4A70-8522-A11897B07FD5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6D0D08D-AC21-4297-A93A-AF59ECBF71B8}"/>
            </a:ext>
          </a:extLst>
        </xdr:cNvPr>
        <xdr:cNvGrpSpPr/>
      </xdr:nvGrpSpPr>
      <xdr:grpSpPr>
        <a:xfrm>
          <a:off x="632233" y="6428851"/>
          <a:ext cx="9049612" cy="171066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24E61B9-5171-4A64-A580-301E66777EB9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2A447B54-40B2-4A40-8E09-AA3B436DAF14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5E8B007A-AEAC-4123-975D-CFA3A40A660C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4CBD5C66-43E0-40A6-AA3D-F5B1E7543A9A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D3BE27C8-88CB-4B25-9A4A-26913305C55B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D5300A93-3053-4317-B21C-8C1EA3B2D89D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36"/>
  <sheetViews>
    <sheetView showGridLines="0" tabSelected="1" zoomScale="110" zoomScaleNormal="110" workbookViewId="0">
      <selection activeCell="D8" sqref="D8"/>
    </sheetView>
  </sheetViews>
  <sheetFormatPr defaultColWidth="8.59765625" defaultRowHeight="15.6" x14ac:dyDescent="0.3"/>
  <cols>
    <col min="1" max="1" width="4.09765625" style="93" customWidth="1"/>
    <col min="2" max="2" width="3" style="93" customWidth="1"/>
    <col min="3" max="3" width="16.59765625" style="93" customWidth="1"/>
    <col min="4" max="4" width="25.5" style="93" customWidth="1"/>
    <col min="5" max="5" width="4.19921875" style="93" customWidth="1"/>
    <col min="6" max="6" width="4.8984375" style="93" customWidth="1"/>
    <col min="7" max="7" width="10.59765625" style="93" customWidth="1"/>
    <col min="8" max="8" width="8.3984375" style="93" customWidth="1"/>
    <col min="9" max="9" width="5.3984375" style="93" customWidth="1"/>
    <col min="10" max="10" width="2.09765625" style="93" customWidth="1"/>
    <col min="11" max="11" width="5.09765625" style="93" customWidth="1"/>
    <col min="12" max="12" width="18.3984375" style="93" bestFit="1" customWidth="1"/>
    <col min="13" max="13" width="16.5" style="93" customWidth="1"/>
    <col min="14" max="14" width="2.09765625" style="93" customWidth="1"/>
    <col min="15" max="15" width="3.59765625" style="93" customWidth="1"/>
    <col min="16" max="16384" width="8.59765625" style="93"/>
  </cols>
  <sheetData>
    <row r="1" spans="2:14" ht="16.8" customHeight="1" x14ac:dyDescent="0.35">
      <c r="B1" s="96"/>
      <c r="C1" s="94" t="s">
        <v>136</v>
      </c>
      <c r="D1" s="94" t="s">
        <v>167</v>
      </c>
      <c r="E1" s="96"/>
      <c r="F1" s="96"/>
      <c r="G1" s="96"/>
      <c r="H1" s="96"/>
      <c r="I1" s="96"/>
      <c r="J1" s="96"/>
      <c r="K1" s="96"/>
      <c r="L1" s="96"/>
      <c r="M1" s="168" t="s">
        <v>137</v>
      </c>
      <c r="N1" s="96"/>
    </row>
    <row r="2" spans="2:14" ht="18" x14ac:dyDescent="0.35">
      <c r="B2" s="96"/>
      <c r="C2" s="97" t="s">
        <v>54</v>
      </c>
      <c r="D2" s="94" t="s">
        <v>85</v>
      </c>
      <c r="E2" s="96"/>
      <c r="F2" s="96"/>
      <c r="G2" s="96"/>
      <c r="H2" s="96"/>
      <c r="J2" s="120" t="s">
        <v>84</v>
      </c>
      <c r="K2" s="120"/>
      <c r="L2" s="120"/>
      <c r="M2" s="121">
        <v>45357</v>
      </c>
      <c r="N2" s="96"/>
    </row>
    <row r="3" spans="2:14" ht="18" x14ac:dyDescent="0.35">
      <c r="B3" s="96"/>
      <c r="C3" s="97" t="s">
        <v>55</v>
      </c>
      <c r="D3" s="94" t="s">
        <v>231</v>
      </c>
      <c r="E3" s="96"/>
      <c r="F3" s="96"/>
      <c r="G3" s="96"/>
      <c r="H3" s="96"/>
      <c r="M3" s="96"/>
      <c r="N3" s="96"/>
    </row>
    <row r="4" spans="2:14" ht="0.9" customHeight="1" thickBot="1" x14ac:dyDescent="0.35">
      <c r="B4" s="96"/>
      <c r="C4" s="94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</row>
    <row r="5" spans="2:14" s="95" customFormat="1" ht="18.600000000000001" thickBot="1" x14ac:dyDescent="0.4">
      <c r="B5" s="220" t="s">
        <v>56</v>
      </c>
      <c r="C5" s="221"/>
      <c r="D5" s="222"/>
      <c r="E5" s="220" t="s">
        <v>57</v>
      </c>
      <c r="F5" s="221"/>
      <c r="G5" s="221"/>
      <c r="H5" s="221"/>
      <c r="I5" s="221"/>
      <c r="J5" s="220" t="s">
        <v>58</v>
      </c>
      <c r="K5" s="221"/>
      <c r="L5" s="221"/>
      <c r="M5" s="221"/>
      <c r="N5" s="222"/>
    </row>
    <row r="6" spans="2:14" ht="16.2" thickBot="1" x14ac:dyDescent="0.35">
      <c r="B6" s="223" t="s">
        <v>59</v>
      </c>
      <c r="C6" s="218"/>
      <c r="D6" s="110" t="s">
        <v>162</v>
      </c>
      <c r="E6" s="224" t="s">
        <v>60</v>
      </c>
      <c r="F6" s="224"/>
      <c r="G6" s="224"/>
      <c r="H6" s="224"/>
      <c r="I6" s="224"/>
      <c r="J6" s="112"/>
      <c r="K6" s="218" t="s">
        <v>172</v>
      </c>
      <c r="L6" s="218"/>
      <c r="M6" s="122">
        <v>663272509.29999995</v>
      </c>
      <c r="N6" s="110"/>
    </row>
    <row r="7" spans="2:14" x14ac:dyDescent="0.3">
      <c r="B7" s="115"/>
      <c r="C7" s="164"/>
      <c r="D7" s="98"/>
      <c r="E7" s="163"/>
      <c r="F7" s="163"/>
      <c r="G7" s="163"/>
      <c r="H7" s="163"/>
      <c r="I7" s="163"/>
      <c r="J7" s="117"/>
      <c r="K7" s="218" t="s">
        <v>61</v>
      </c>
      <c r="L7" s="218"/>
      <c r="M7" s="122">
        <f>M6/H9</f>
        <v>7991235.0518072285</v>
      </c>
      <c r="N7" s="98"/>
    </row>
    <row r="8" spans="2:14" x14ac:dyDescent="0.3">
      <c r="B8" s="225" t="s">
        <v>62</v>
      </c>
      <c r="C8" s="226"/>
      <c r="D8" s="123" t="s">
        <v>163</v>
      </c>
      <c r="E8" s="227" t="s">
        <v>63</v>
      </c>
      <c r="F8" s="227"/>
      <c r="G8" s="227"/>
      <c r="H8" s="124">
        <v>83</v>
      </c>
      <c r="I8" s="96"/>
      <c r="J8" s="100"/>
      <c r="K8" s="227" t="s">
        <v>64</v>
      </c>
      <c r="L8" s="227"/>
      <c r="M8" s="125">
        <v>10</v>
      </c>
      <c r="N8" s="98"/>
    </row>
    <row r="9" spans="2:14" x14ac:dyDescent="0.3">
      <c r="B9" s="225"/>
      <c r="C9" s="226"/>
      <c r="D9" s="98"/>
      <c r="E9" s="227" t="s">
        <v>66</v>
      </c>
      <c r="F9" s="227"/>
      <c r="G9" s="227"/>
      <c r="H9" s="124">
        <v>83</v>
      </c>
      <c r="I9" s="96"/>
      <c r="J9" s="100"/>
      <c r="K9" s="227" t="s">
        <v>79</v>
      </c>
      <c r="L9" s="227"/>
      <c r="M9" s="126">
        <f>[2]IRR!F3</f>
        <v>0.1</v>
      </c>
      <c r="N9" s="98"/>
    </row>
    <row r="10" spans="2:14" x14ac:dyDescent="0.3">
      <c r="B10" s="113" t="s">
        <v>65</v>
      </c>
      <c r="C10" s="114"/>
      <c r="D10" s="98" t="s">
        <v>163</v>
      </c>
      <c r="E10" s="227" t="s">
        <v>68</v>
      </c>
      <c r="F10" s="227"/>
      <c r="G10" s="227"/>
      <c r="H10" s="127">
        <v>0</v>
      </c>
      <c r="I10" s="96"/>
      <c r="J10" s="100"/>
      <c r="K10" s="227" t="s">
        <v>69</v>
      </c>
      <c r="L10" s="227"/>
      <c r="M10" s="122">
        <v>0</v>
      </c>
      <c r="N10" s="98"/>
    </row>
    <row r="11" spans="2:14" x14ac:dyDescent="0.3">
      <c r="B11" s="115" t="s">
        <v>67</v>
      </c>
      <c r="C11" s="116"/>
      <c r="D11" s="98" t="s">
        <v>134</v>
      </c>
      <c r="E11" s="212" t="s">
        <v>71</v>
      </c>
      <c r="F11" s="212"/>
      <c r="G11" s="212"/>
      <c r="H11" s="212"/>
      <c r="I11" s="212"/>
      <c r="J11" s="117"/>
      <c r="K11" s="211" t="s">
        <v>76</v>
      </c>
      <c r="L11" s="211"/>
      <c r="M11" s="92">
        <f>IRR!Q18</f>
        <v>3078000000</v>
      </c>
      <c r="N11" s="98"/>
    </row>
    <row r="12" spans="2:14" x14ac:dyDescent="0.3">
      <c r="B12" s="115" t="s">
        <v>70</v>
      </c>
      <c r="C12" s="116"/>
      <c r="D12" s="98" t="s">
        <v>130</v>
      </c>
      <c r="E12" s="210" t="s">
        <v>73</v>
      </c>
      <c r="F12" s="210"/>
      <c r="G12" s="210"/>
      <c r="H12" s="128">
        <v>0</v>
      </c>
      <c r="I12" s="96"/>
      <c r="J12" s="100"/>
      <c r="K12" s="217" t="s">
        <v>170</v>
      </c>
      <c r="L12" s="211"/>
      <c r="M12" s="122">
        <f>SUM(IRR!G9:P10)</f>
        <v>185000000</v>
      </c>
      <c r="N12" s="98"/>
    </row>
    <row r="13" spans="2:14" x14ac:dyDescent="0.3">
      <c r="B13" s="118" t="s">
        <v>72</v>
      </c>
      <c r="C13" s="119"/>
      <c r="D13" s="99"/>
      <c r="E13" s="210" t="s">
        <v>75</v>
      </c>
      <c r="F13" s="210"/>
      <c r="G13" s="210"/>
      <c r="H13" s="128">
        <v>0</v>
      </c>
      <c r="I13" s="96"/>
      <c r="J13" s="100"/>
      <c r="K13" s="211" t="s">
        <v>168</v>
      </c>
      <c r="L13" s="211"/>
      <c r="M13" s="122">
        <f>IRR!Q21</f>
        <v>777777777</v>
      </c>
      <c r="N13" s="98"/>
    </row>
    <row r="14" spans="2:14" ht="16.2" thickBot="1" x14ac:dyDescent="0.35">
      <c r="B14" s="118" t="s">
        <v>74</v>
      </c>
      <c r="C14" s="119"/>
      <c r="D14" s="99">
        <v>1</v>
      </c>
      <c r="E14" s="210" t="s">
        <v>77</v>
      </c>
      <c r="F14" s="210"/>
      <c r="G14" s="210"/>
      <c r="H14" s="128">
        <v>0</v>
      </c>
      <c r="I14" s="96"/>
      <c r="J14" s="100"/>
      <c r="K14" s="211" t="s">
        <v>169</v>
      </c>
      <c r="L14" s="211"/>
      <c r="M14" s="122">
        <f>IRR!Q22+IRR!Q23+IRR!Q24</f>
        <v>1303500000</v>
      </c>
      <c r="N14" s="98"/>
    </row>
    <row r="15" spans="2:14" x14ac:dyDescent="0.3">
      <c r="B15" s="100"/>
      <c r="C15" s="96"/>
      <c r="D15" s="98"/>
      <c r="E15" s="212" t="s">
        <v>78</v>
      </c>
      <c r="F15" s="212"/>
      <c r="G15" s="212"/>
      <c r="H15" s="212"/>
      <c r="I15" s="212"/>
      <c r="J15" s="129"/>
      <c r="K15" s="213" t="s">
        <v>26</v>
      </c>
      <c r="L15" s="214"/>
      <c r="M15" s="101">
        <f>IRR!F39</f>
        <v>0.1653701870624622</v>
      </c>
      <c r="N15" s="98"/>
    </row>
    <row r="16" spans="2:14" x14ac:dyDescent="0.3">
      <c r="B16" s="100"/>
      <c r="C16" s="96"/>
      <c r="D16" s="98"/>
      <c r="E16" s="96"/>
      <c r="F16" s="96"/>
      <c r="G16" s="96"/>
      <c r="H16" s="96"/>
      <c r="I16" s="96"/>
      <c r="J16" s="130"/>
      <c r="K16" s="215" t="s">
        <v>27</v>
      </c>
      <c r="L16" s="216"/>
      <c r="M16" s="144">
        <f>IRR!F40</f>
        <v>189443986.92545798</v>
      </c>
      <c r="N16" s="98"/>
    </row>
    <row r="17" spans="2:18" x14ac:dyDescent="0.3">
      <c r="B17" s="100"/>
      <c r="C17" s="96"/>
      <c r="D17" s="98"/>
      <c r="E17" s="96"/>
      <c r="F17" s="96"/>
      <c r="G17" s="96"/>
      <c r="H17" s="96"/>
      <c r="I17" s="96"/>
      <c r="J17" s="130"/>
      <c r="K17" s="215" t="s">
        <v>28</v>
      </c>
      <c r="L17" s="216"/>
      <c r="M17" s="102">
        <f>IRR!F41</f>
        <v>0.32382138499025342</v>
      </c>
      <c r="N17" s="98"/>
      <c r="R17" s="93" t="s">
        <v>49</v>
      </c>
    </row>
    <row r="18" spans="2:18" ht="16.2" thickBot="1" x14ac:dyDescent="0.35">
      <c r="B18" s="100"/>
      <c r="C18" s="96"/>
      <c r="D18" s="98"/>
      <c r="E18" s="96"/>
      <c r="F18" s="96"/>
      <c r="G18" s="96"/>
      <c r="H18" s="96"/>
      <c r="I18" s="96"/>
      <c r="J18" s="130"/>
      <c r="K18" s="206" t="s">
        <v>80</v>
      </c>
      <c r="L18" s="207"/>
      <c r="M18" s="145">
        <f>IRR!F42</f>
        <v>6.0152542297877361</v>
      </c>
      <c r="N18" s="98"/>
      <c r="Q18" s="93" t="s">
        <v>49</v>
      </c>
    </row>
    <row r="19" spans="2:18" ht="16.2" thickBot="1" x14ac:dyDescent="0.35">
      <c r="B19" s="103"/>
      <c r="C19" s="104"/>
      <c r="D19" s="105"/>
      <c r="E19" s="104"/>
      <c r="F19" s="104" t="s">
        <v>49</v>
      </c>
      <c r="G19" s="104"/>
      <c r="H19" s="104"/>
      <c r="I19" s="104"/>
      <c r="J19" s="100"/>
      <c r="K19" s="106"/>
      <c r="L19" s="116"/>
      <c r="M19" s="116"/>
      <c r="N19" s="98"/>
    </row>
    <row r="20" spans="2:18" x14ac:dyDescent="0.3">
      <c r="B20" s="108" t="s">
        <v>83</v>
      </c>
      <c r="C20" s="109"/>
      <c r="D20" s="109"/>
      <c r="E20" s="109"/>
      <c r="F20" s="109"/>
      <c r="G20" s="109"/>
      <c r="H20" s="109"/>
      <c r="I20" s="109"/>
      <c r="J20" s="109"/>
      <c r="L20" s="219" t="s">
        <v>86</v>
      </c>
      <c r="M20" s="219"/>
      <c r="N20" s="110"/>
    </row>
    <row r="21" spans="2:18" x14ac:dyDescent="0.3">
      <c r="B21" s="100" t="s">
        <v>82</v>
      </c>
      <c r="C21" s="96"/>
      <c r="D21" s="96" t="s">
        <v>232</v>
      </c>
      <c r="E21" s="96"/>
      <c r="F21" s="96"/>
      <c r="G21" s="96"/>
      <c r="H21" s="96"/>
      <c r="I21" s="96"/>
      <c r="J21" s="96"/>
      <c r="K21" s="96"/>
      <c r="L21" s="208" t="s">
        <v>171</v>
      </c>
      <c r="M21" s="209"/>
      <c r="N21" s="98"/>
    </row>
    <row r="22" spans="2:18" x14ac:dyDescent="0.3">
      <c r="B22" s="100"/>
      <c r="C22" s="96"/>
      <c r="D22" s="96" t="s">
        <v>222</v>
      </c>
      <c r="E22" s="96"/>
      <c r="F22" s="96"/>
      <c r="G22" s="96"/>
      <c r="H22" s="96"/>
      <c r="I22" s="96"/>
      <c r="J22" s="96"/>
      <c r="K22" s="96"/>
      <c r="L22" s="96"/>
      <c r="M22" s="96"/>
      <c r="N22" s="98"/>
    </row>
    <row r="23" spans="2:18" x14ac:dyDescent="0.3">
      <c r="B23" s="100"/>
      <c r="C23" s="96"/>
      <c r="D23" s="96" t="s">
        <v>230</v>
      </c>
      <c r="E23" s="96"/>
      <c r="F23" s="96"/>
      <c r="G23" s="96"/>
      <c r="H23" s="96"/>
      <c r="I23" s="96"/>
      <c r="J23" s="96"/>
      <c r="K23" s="96"/>
      <c r="L23" s="96"/>
      <c r="M23" s="96"/>
      <c r="N23" s="98"/>
    </row>
    <row r="24" spans="2:18" x14ac:dyDescent="0.3">
      <c r="B24" s="100"/>
      <c r="C24" s="96"/>
      <c r="D24" s="204" t="s">
        <v>236</v>
      </c>
      <c r="E24" s="96"/>
      <c r="F24" s="96"/>
      <c r="G24" s="96"/>
      <c r="H24" s="96"/>
      <c r="I24" s="96"/>
      <c r="J24" s="96"/>
      <c r="K24" s="96"/>
      <c r="L24" s="96"/>
      <c r="M24" s="96"/>
      <c r="N24" s="98"/>
    </row>
    <row r="25" spans="2:18" ht="16.2" thickBot="1" x14ac:dyDescent="0.35">
      <c r="B25" s="103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5"/>
    </row>
    <row r="26" spans="2:18" ht="4.2" customHeight="1" x14ac:dyDescent="0.3"/>
    <row r="27" spans="2:18" x14ac:dyDescent="0.3">
      <c r="B27" s="1" t="s">
        <v>87</v>
      </c>
    </row>
    <row r="28" spans="2:18" x14ac:dyDescent="0.3">
      <c r="B28" s="169"/>
      <c r="C28" s="169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</row>
    <row r="29" spans="2:18" x14ac:dyDescent="0.3">
      <c r="B29" s="169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</row>
    <row r="30" spans="2:18" x14ac:dyDescent="0.3">
      <c r="B30" s="169"/>
      <c r="C30" s="169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</row>
    <row r="31" spans="2:18" x14ac:dyDescent="0.3">
      <c r="B31" s="169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</row>
    <row r="32" spans="2:18" x14ac:dyDescent="0.3">
      <c r="B32" s="169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</row>
    <row r="33" spans="2:14" x14ac:dyDescent="0.3">
      <c r="B33" s="169"/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69"/>
    </row>
    <row r="34" spans="2:14" x14ac:dyDescent="0.3">
      <c r="B34" s="169"/>
      <c r="C34" s="169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</row>
    <row r="36" spans="2:14" ht="28.8" x14ac:dyDescent="0.55000000000000004">
      <c r="C36" s="160" t="s">
        <v>164</v>
      </c>
    </row>
  </sheetData>
  <mergeCells count="30">
    <mergeCell ref="K7:L7"/>
    <mergeCell ref="K6:L6"/>
    <mergeCell ref="L20:M20"/>
    <mergeCell ref="B5:D5"/>
    <mergeCell ref="E5:I5"/>
    <mergeCell ref="J5:N5"/>
    <mergeCell ref="B6:C6"/>
    <mergeCell ref="E6:I6"/>
    <mergeCell ref="B8:C8"/>
    <mergeCell ref="E8:G8"/>
    <mergeCell ref="K8:L8"/>
    <mergeCell ref="B9:C9"/>
    <mergeCell ref="E9:G9"/>
    <mergeCell ref="K9:L9"/>
    <mergeCell ref="E10:G10"/>
    <mergeCell ref="K10:L10"/>
    <mergeCell ref="E11:I11"/>
    <mergeCell ref="K12:L12"/>
    <mergeCell ref="E12:G12"/>
    <mergeCell ref="K11:L11"/>
    <mergeCell ref="K17:L17"/>
    <mergeCell ref="K18:L18"/>
    <mergeCell ref="L21:M21"/>
    <mergeCell ref="E13:G13"/>
    <mergeCell ref="K13:L13"/>
    <mergeCell ref="E14:G14"/>
    <mergeCell ref="E15:I15"/>
    <mergeCell ref="K15:L15"/>
    <mergeCell ref="K16:L16"/>
    <mergeCell ref="K14:L14"/>
  </mergeCells>
  <pageMargins left="0.7" right="0.7" top="0.75" bottom="0.75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Z58"/>
  <sheetViews>
    <sheetView showGridLines="0" topLeftCell="D1" zoomScaleNormal="100" workbookViewId="0">
      <selection activeCell="P17" sqref="G15:P17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7.296875" customWidth="1"/>
    <col min="4" max="4" width="18.8984375" customWidth="1"/>
    <col min="5" max="5" width="3.19921875" customWidth="1"/>
    <col min="6" max="6" width="12.59765625" customWidth="1"/>
    <col min="7" max="7" width="13.59765625" style="2" customWidth="1"/>
    <col min="8" max="8" width="14.19921875" customWidth="1"/>
    <col min="9" max="9" width="13.5" customWidth="1"/>
    <col min="10" max="10" width="12.09765625" customWidth="1"/>
    <col min="11" max="12" width="12.296875" customWidth="1"/>
    <col min="13" max="13" width="12.3984375" customWidth="1"/>
    <col min="14" max="14" width="12.796875" customWidth="1"/>
    <col min="15" max="15" width="12.69921875" customWidth="1"/>
    <col min="16" max="16" width="12.3984375" customWidth="1"/>
    <col min="17" max="17" width="15" customWidth="1"/>
    <col min="18" max="18" width="15.8984375" customWidth="1"/>
    <col min="19" max="22" width="15" bestFit="1" customWidth="1"/>
    <col min="23" max="23" width="15.59765625" bestFit="1" customWidth="1"/>
    <col min="24" max="24" width="11.69921875" bestFit="1" customWidth="1"/>
  </cols>
  <sheetData>
    <row r="1" spans="2:26" ht="21" x14ac:dyDescent="0.4">
      <c r="B1" t="s">
        <v>136</v>
      </c>
      <c r="C1" t="s">
        <v>135</v>
      </c>
      <c r="P1" s="153" t="s">
        <v>137</v>
      </c>
    </row>
    <row r="2" spans="2:26" x14ac:dyDescent="0.3">
      <c r="B2" s="3" t="s">
        <v>0</v>
      </c>
      <c r="M2" t="s">
        <v>223</v>
      </c>
      <c r="N2" t="s">
        <v>224</v>
      </c>
    </row>
    <row r="3" spans="2:26" x14ac:dyDescent="0.3">
      <c r="C3" t="s">
        <v>1</v>
      </c>
      <c r="F3" s="5">
        <v>0.02</v>
      </c>
      <c r="M3" t="s">
        <v>233</v>
      </c>
      <c r="Q3" s="4"/>
      <c r="R3" s="4"/>
      <c r="S3" s="4"/>
    </row>
    <row r="4" spans="2:26" x14ac:dyDescent="0.3">
      <c r="C4" t="s">
        <v>40</v>
      </c>
      <c r="F4" s="5">
        <v>0.1</v>
      </c>
      <c r="M4" t="s">
        <v>234</v>
      </c>
      <c r="Q4" s="4"/>
      <c r="R4" s="4"/>
      <c r="S4" s="4"/>
    </row>
    <row r="5" spans="2:26" x14ac:dyDescent="0.3">
      <c r="C5" t="s">
        <v>2</v>
      </c>
      <c r="F5" s="5">
        <v>0.05</v>
      </c>
      <c r="G5" s="2" t="s">
        <v>3</v>
      </c>
      <c r="N5" t="s">
        <v>226</v>
      </c>
      <c r="S5" s="53"/>
      <c r="T5" s="53"/>
      <c r="U5" s="53"/>
      <c r="V5" s="53"/>
    </row>
    <row r="6" spans="2:26" x14ac:dyDescent="0.3">
      <c r="C6" t="s">
        <v>4</v>
      </c>
      <c r="F6" s="6">
        <v>0</v>
      </c>
      <c r="G6" s="2" t="s">
        <v>3</v>
      </c>
      <c r="N6" t="s">
        <v>226</v>
      </c>
    </row>
    <row r="7" spans="2:26" x14ac:dyDescent="0.3">
      <c r="C7" t="s">
        <v>133</v>
      </c>
      <c r="F7" s="5">
        <v>0.15</v>
      </c>
    </row>
    <row r="8" spans="2:26" x14ac:dyDescent="0.3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32" t="s">
        <v>139</v>
      </c>
      <c r="M8" s="32" t="s">
        <v>140</v>
      </c>
      <c r="N8" s="32" t="s">
        <v>141</v>
      </c>
      <c r="O8" s="32" t="s">
        <v>142</v>
      </c>
      <c r="P8" s="32" t="s">
        <v>143</v>
      </c>
      <c r="Q8" s="25"/>
      <c r="R8" s="41"/>
      <c r="W8" s="41"/>
      <c r="X8" s="41"/>
      <c r="Y8" s="41"/>
    </row>
    <row r="9" spans="2:26" s="82" customFormat="1" ht="16.2" thickBot="1" x14ac:dyDescent="0.35">
      <c r="B9" s="88" t="s">
        <v>47</v>
      </c>
      <c r="D9" s="82" t="s">
        <v>166</v>
      </c>
      <c r="F9" s="87"/>
      <c r="G9" s="83"/>
      <c r="H9" s="83">
        <v>185000000</v>
      </c>
      <c r="I9" s="83">
        <v>0</v>
      </c>
      <c r="J9" s="83">
        <v>0</v>
      </c>
      <c r="K9" s="83"/>
      <c r="L9" s="83"/>
      <c r="M9" s="83"/>
      <c r="N9" s="83"/>
      <c r="O9" s="83"/>
      <c r="P9" s="83"/>
      <c r="Q9" s="86"/>
      <c r="R9" s="84"/>
      <c r="S9"/>
      <c r="T9"/>
      <c r="U9"/>
      <c r="V9"/>
      <c r="W9" s="84"/>
      <c r="X9" s="84"/>
      <c r="Y9" s="84"/>
    </row>
    <row r="10" spans="2:26" s="82" customFormat="1" ht="16.2" thickTop="1" x14ac:dyDescent="0.3">
      <c r="B10" s="88"/>
      <c r="D10" s="82" t="s">
        <v>81</v>
      </c>
      <c r="F10" s="87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6"/>
      <c r="R10" s="84"/>
      <c r="S10" s="149"/>
      <c r="T10"/>
      <c r="U10"/>
      <c r="V10"/>
      <c r="W10" s="84"/>
      <c r="X10" s="84"/>
      <c r="Y10" s="84"/>
    </row>
    <row r="11" spans="2:26" x14ac:dyDescent="0.3">
      <c r="F11" s="10"/>
      <c r="G11" s="9">
        <v>2024</v>
      </c>
      <c r="H11" s="9">
        <v>2025</v>
      </c>
      <c r="I11" s="9">
        <v>2026</v>
      </c>
      <c r="J11" s="151" t="s">
        <v>144</v>
      </c>
      <c r="K11" s="151" t="s">
        <v>145</v>
      </c>
      <c r="L11" s="151" t="s">
        <v>146</v>
      </c>
      <c r="M11" s="151" t="s">
        <v>147</v>
      </c>
      <c r="N11" s="151" t="s">
        <v>148</v>
      </c>
      <c r="O11" s="151" t="s">
        <v>149</v>
      </c>
      <c r="P11" s="151" t="s">
        <v>150</v>
      </c>
      <c r="Q11" s="9"/>
      <c r="S11" s="149"/>
      <c r="W11" s="40"/>
      <c r="X11" s="40"/>
      <c r="Y11" s="40"/>
      <c r="Z11" s="40"/>
    </row>
    <row r="12" spans="2:26" ht="16.2" thickBot="1" x14ac:dyDescent="0.35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12" t="s">
        <v>10</v>
      </c>
      <c r="L12" s="12" t="s">
        <v>42</v>
      </c>
      <c r="M12" s="12" t="s">
        <v>43</v>
      </c>
      <c r="N12" s="12" t="s">
        <v>44</v>
      </c>
      <c r="O12" s="12" t="s">
        <v>45</v>
      </c>
      <c r="P12" s="12" t="s">
        <v>46</v>
      </c>
      <c r="Q12" s="69" t="s">
        <v>12</v>
      </c>
      <c r="R12" s="53"/>
      <c r="S12" s="149"/>
      <c r="U12" s="43"/>
      <c r="V12" s="43"/>
      <c r="W12" s="53"/>
      <c r="X12" s="40"/>
      <c r="Y12" s="40"/>
      <c r="Z12" s="40"/>
    </row>
    <row r="13" spans="2:26" x14ac:dyDescent="0.3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9">
        <v>12</v>
      </c>
      <c r="M13" s="9">
        <v>12</v>
      </c>
      <c r="N13" s="9">
        <v>12</v>
      </c>
      <c r="O13" s="9">
        <v>12</v>
      </c>
      <c r="P13" s="9">
        <v>12</v>
      </c>
      <c r="Q13" s="70"/>
      <c r="S13" s="149"/>
      <c r="U13" s="45"/>
      <c r="V13" s="45"/>
    </row>
    <row r="14" spans="2:26" x14ac:dyDescent="0.3">
      <c r="B14" s="1" t="s">
        <v>5</v>
      </c>
      <c r="E14" s="17"/>
      <c r="G14" s="18"/>
      <c r="H14" s="146"/>
      <c r="I14" s="19"/>
      <c r="J14" s="19"/>
      <c r="K14" s="19"/>
      <c r="L14" s="19"/>
      <c r="M14" s="19"/>
      <c r="N14" s="19"/>
      <c r="O14" s="19"/>
      <c r="P14" s="19"/>
      <c r="Q14" s="70"/>
      <c r="S14" s="43"/>
      <c r="T14" s="43"/>
      <c r="U14" s="43"/>
      <c r="V14" s="43"/>
    </row>
    <row r="15" spans="2:26" x14ac:dyDescent="0.3">
      <c r="B15" s="1"/>
      <c r="C15" t="s">
        <v>132</v>
      </c>
      <c r="E15" s="17"/>
      <c r="G15" s="146">
        <v>171000000</v>
      </c>
      <c r="H15" s="146">
        <f t="shared" ref="H15:P16" si="0">G15</f>
        <v>171000000</v>
      </c>
      <c r="I15" s="146">
        <f t="shared" si="0"/>
        <v>171000000</v>
      </c>
      <c r="J15" s="146">
        <f t="shared" si="0"/>
        <v>171000000</v>
      </c>
      <c r="K15" s="146">
        <f t="shared" si="0"/>
        <v>171000000</v>
      </c>
      <c r="L15" s="146">
        <f t="shared" si="0"/>
        <v>171000000</v>
      </c>
      <c r="M15" s="146">
        <f t="shared" si="0"/>
        <v>171000000</v>
      </c>
      <c r="N15" s="146">
        <f t="shared" si="0"/>
        <v>171000000</v>
      </c>
      <c r="O15" s="146">
        <f t="shared" si="0"/>
        <v>171000000</v>
      </c>
      <c r="P15" s="146">
        <f t="shared" si="0"/>
        <v>171000000</v>
      </c>
      <c r="Q15" s="148">
        <f>SUM(G15:P15)</f>
        <v>1710000000</v>
      </c>
      <c r="S15" s="230" t="s">
        <v>138</v>
      </c>
      <c r="T15" s="231"/>
      <c r="U15" s="43"/>
      <c r="V15" s="43"/>
    </row>
    <row r="16" spans="2:26" x14ac:dyDescent="0.3">
      <c r="B16" s="1"/>
      <c r="C16" t="s">
        <v>165</v>
      </c>
      <c r="E16" s="17"/>
      <c r="G16" s="146"/>
      <c r="H16" s="146"/>
      <c r="I16" s="146">
        <v>171000000</v>
      </c>
      <c r="J16" s="146">
        <f>I16</f>
        <v>171000000</v>
      </c>
      <c r="K16" s="146">
        <f t="shared" si="0"/>
        <v>171000000</v>
      </c>
      <c r="L16" s="146">
        <f t="shared" si="0"/>
        <v>171000000</v>
      </c>
      <c r="M16" s="146">
        <f t="shared" si="0"/>
        <v>171000000</v>
      </c>
      <c r="N16" s="146">
        <f t="shared" si="0"/>
        <v>171000000</v>
      </c>
      <c r="O16" s="146">
        <f t="shared" si="0"/>
        <v>171000000</v>
      </c>
      <c r="P16" s="146">
        <f t="shared" si="0"/>
        <v>171000000</v>
      </c>
      <c r="Q16" s="148">
        <f>SUM(G16:P16)</f>
        <v>1368000000</v>
      </c>
      <c r="S16" s="167"/>
      <c r="T16" s="167"/>
      <c r="U16" s="43"/>
      <c r="V16" s="43"/>
    </row>
    <row r="17" spans="2:24" x14ac:dyDescent="0.3">
      <c r="B17" s="1"/>
      <c r="E17" s="17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70"/>
      <c r="R17" s="156" t="s">
        <v>158</v>
      </c>
      <c r="S17" s="46">
        <v>864197530</v>
      </c>
      <c r="T17" s="46">
        <v>770077007</v>
      </c>
      <c r="U17" s="46" t="s">
        <v>158</v>
      </c>
      <c r="V17" s="46"/>
    </row>
    <row r="18" spans="2:24" x14ac:dyDescent="0.3">
      <c r="B18" s="63" t="s">
        <v>127</v>
      </c>
      <c r="C18" s="63"/>
      <c r="D18" s="63"/>
      <c r="E18" s="228"/>
      <c r="F18" s="229"/>
      <c r="G18" s="64">
        <f t="shared" ref="G18:P18" si="1">SUM(G15:G17)</f>
        <v>171000000</v>
      </c>
      <c r="H18" s="64">
        <f t="shared" si="1"/>
        <v>171000000</v>
      </c>
      <c r="I18" s="64">
        <f t="shared" si="1"/>
        <v>342000000</v>
      </c>
      <c r="J18" s="64">
        <f t="shared" si="1"/>
        <v>342000000</v>
      </c>
      <c r="K18" s="64">
        <f t="shared" si="1"/>
        <v>342000000</v>
      </c>
      <c r="L18" s="64">
        <f t="shared" si="1"/>
        <v>342000000</v>
      </c>
      <c r="M18" s="64">
        <f t="shared" si="1"/>
        <v>342000000</v>
      </c>
      <c r="N18" s="64">
        <f t="shared" si="1"/>
        <v>342000000</v>
      </c>
      <c r="O18" s="64">
        <f t="shared" si="1"/>
        <v>342000000</v>
      </c>
      <c r="P18" s="64">
        <f t="shared" si="1"/>
        <v>342000000</v>
      </c>
      <c r="Q18" s="71">
        <f>SUM(G18:P18)</f>
        <v>3078000000</v>
      </c>
      <c r="R18" s="157" t="s">
        <v>159</v>
      </c>
      <c r="S18" s="47">
        <f>S17*11%</f>
        <v>95061728.299999997</v>
      </c>
      <c r="T18" s="47">
        <f>T17*11%</f>
        <v>84708470.769999996</v>
      </c>
      <c r="U18" s="47" t="s">
        <v>159</v>
      </c>
      <c r="V18" s="47"/>
      <c r="W18" s="43"/>
      <c r="X18" s="45"/>
    </row>
    <row r="19" spans="2:24" x14ac:dyDescent="0.3">
      <c r="Q19" s="70"/>
      <c r="R19" s="158" t="s">
        <v>160</v>
      </c>
      <c r="S19" s="155">
        <f>-S17*10%</f>
        <v>-86419753</v>
      </c>
      <c r="T19" s="155">
        <f>-T17*10%</f>
        <v>-77007700.700000003</v>
      </c>
      <c r="U19" s="47" t="s">
        <v>160</v>
      </c>
      <c r="V19" s="47"/>
      <c r="W19" s="45"/>
      <c r="X19" s="45"/>
    </row>
    <row r="20" spans="2:24" x14ac:dyDescent="0.3">
      <c r="B20" s="1" t="s">
        <v>14</v>
      </c>
      <c r="E20" s="17"/>
      <c r="F20" s="17"/>
      <c r="G20" s="18"/>
      <c r="H20" s="17"/>
      <c r="I20" s="19"/>
      <c r="J20" s="19"/>
      <c r="K20" s="19"/>
      <c r="L20" s="19"/>
      <c r="M20" s="19"/>
      <c r="N20" s="19"/>
      <c r="O20" s="19"/>
      <c r="P20" s="19"/>
      <c r="Q20" s="72"/>
      <c r="R20" s="159" t="s">
        <v>161</v>
      </c>
      <c r="S20" s="150">
        <f>S17+S18+S19</f>
        <v>872839505.29999995</v>
      </c>
      <c r="T20" s="150">
        <f>T17+T18+T19</f>
        <v>777777777.06999993</v>
      </c>
      <c r="U20" s="49" t="s">
        <v>161</v>
      </c>
      <c r="V20" s="49"/>
      <c r="W20" s="45"/>
      <c r="X20" s="45"/>
    </row>
    <row r="21" spans="2:24" x14ac:dyDescent="0.3">
      <c r="C21" t="s">
        <v>131</v>
      </c>
      <c r="E21" s="147"/>
      <c r="G21" s="13">
        <f>777777777/2</f>
        <v>388888888.5</v>
      </c>
      <c r="H21" s="13">
        <f>G21</f>
        <v>388888888.5</v>
      </c>
      <c r="I21" s="13"/>
      <c r="J21" s="13"/>
      <c r="K21" s="13"/>
      <c r="L21" s="13"/>
      <c r="M21" s="13"/>
      <c r="N21" s="13"/>
      <c r="O21" s="13"/>
      <c r="P21" s="13"/>
      <c r="Q21" s="73">
        <f>SUM(G21:P21)</f>
        <v>777777777</v>
      </c>
      <c r="R21" s="43" t="s">
        <v>49</v>
      </c>
      <c r="S21" s="43"/>
      <c r="T21" s="43"/>
      <c r="U21" s="43"/>
      <c r="V21" s="43"/>
      <c r="W21" s="44"/>
      <c r="X21" s="45"/>
    </row>
    <row r="22" spans="2:24" x14ac:dyDescent="0.3">
      <c r="C22" t="s">
        <v>15</v>
      </c>
      <c r="F22" s="111"/>
      <c r="G22" s="13">
        <v>42000000</v>
      </c>
      <c r="H22" s="13">
        <f>G22</f>
        <v>42000000</v>
      </c>
      <c r="I22" s="13">
        <f>H22*2</f>
        <v>84000000</v>
      </c>
      <c r="J22" s="13">
        <f t="shared" ref="J22:P23" si="2">I22</f>
        <v>84000000</v>
      </c>
      <c r="K22" s="13">
        <f t="shared" si="2"/>
        <v>84000000</v>
      </c>
      <c r="L22" s="13">
        <f t="shared" si="2"/>
        <v>84000000</v>
      </c>
      <c r="M22" s="13">
        <f t="shared" si="2"/>
        <v>84000000</v>
      </c>
      <c r="N22" s="13">
        <f t="shared" si="2"/>
        <v>84000000</v>
      </c>
      <c r="O22" s="13">
        <f t="shared" si="2"/>
        <v>84000000</v>
      </c>
      <c r="P22" s="13">
        <f t="shared" si="2"/>
        <v>84000000</v>
      </c>
      <c r="Q22" s="73">
        <f>SUM(G22:P22)</f>
        <v>756000000</v>
      </c>
      <c r="R22" s="43"/>
      <c r="S22" s="50">
        <f>S20</f>
        <v>872839505.29999995</v>
      </c>
      <c r="T22" s="50"/>
      <c r="U22" s="50"/>
      <c r="V22" s="50"/>
      <c r="W22" s="44"/>
      <c r="X22" s="45"/>
    </row>
    <row r="23" spans="2:24" x14ac:dyDescent="0.3">
      <c r="C23" t="s">
        <v>41</v>
      </c>
      <c r="G23" s="107">
        <f>PARAMETER!$K$17+PARAMETER!$B$24+PARAMETER!$B$34</f>
        <v>33760000</v>
      </c>
      <c r="H23" s="107">
        <f>PARAMETER!$K$17+PARAMETER!$B$24+PARAMETER!$B$34*1</f>
        <v>33760000</v>
      </c>
      <c r="I23" s="107">
        <f>PARAMETER!$K$17+PARAMETER!$B$24+PARAMETER!$B$34*2</f>
        <v>40760000</v>
      </c>
      <c r="J23" s="107">
        <f>I23</f>
        <v>40760000</v>
      </c>
      <c r="K23" s="107">
        <f t="shared" si="2"/>
        <v>40760000</v>
      </c>
      <c r="L23" s="107">
        <f t="shared" si="2"/>
        <v>40760000</v>
      </c>
      <c r="M23" s="107">
        <f t="shared" si="2"/>
        <v>40760000</v>
      </c>
      <c r="N23" s="107">
        <f t="shared" si="2"/>
        <v>40760000</v>
      </c>
      <c r="O23" s="107">
        <f t="shared" si="2"/>
        <v>40760000</v>
      </c>
      <c r="P23" s="107">
        <f t="shared" si="2"/>
        <v>40760000</v>
      </c>
      <c r="Q23" s="73">
        <f t="shared" ref="Q23:Q24" si="3">SUM(G23:P23)</f>
        <v>393600000</v>
      </c>
      <c r="R23" s="43"/>
      <c r="S23" s="154">
        <f>-S18</f>
        <v>-95061728.299999997</v>
      </c>
      <c r="T23" s="50"/>
      <c r="U23" s="50"/>
      <c r="V23" s="50"/>
      <c r="W23" s="44"/>
      <c r="X23" s="45"/>
    </row>
    <row r="24" spans="2:24" x14ac:dyDescent="0.3">
      <c r="B24" s="15"/>
      <c r="C24" s="15" t="s">
        <v>2</v>
      </c>
      <c r="D24" s="15"/>
      <c r="E24" s="15"/>
      <c r="F24" s="15"/>
      <c r="G24" s="20">
        <f>G18*$F$5</f>
        <v>8550000</v>
      </c>
      <c r="H24" s="20">
        <f>H18*$F$5</f>
        <v>8550000</v>
      </c>
      <c r="I24" s="20">
        <f>I18*$F$5</f>
        <v>17100000</v>
      </c>
      <c r="J24" s="20">
        <f>J18*$F$5</f>
        <v>17100000</v>
      </c>
      <c r="K24" s="20">
        <f t="shared" ref="K24:P24" si="4">K18*$F$5</f>
        <v>17100000</v>
      </c>
      <c r="L24" s="20">
        <f t="shared" si="4"/>
        <v>17100000</v>
      </c>
      <c r="M24" s="20">
        <f t="shared" si="4"/>
        <v>17100000</v>
      </c>
      <c r="N24" s="20">
        <f t="shared" si="4"/>
        <v>17100000</v>
      </c>
      <c r="O24" s="20">
        <f t="shared" si="4"/>
        <v>17100000</v>
      </c>
      <c r="P24" s="20">
        <f t="shared" si="4"/>
        <v>17100000</v>
      </c>
      <c r="Q24" s="73">
        <f t="shared" si="3"/>
        <v>153900000</v>
      </c>
      <c r="R24" s="46"/>
      <c r="S24" s="50">
        <f>S22+S23</f>
        <v>777777777</v>
      </c>
      <c r="T24" s="50"/>
      <c r="U24" s="50"/>
      <c r="V24" s="50"/>
      <c r="W24" s="44"/>
      <c r="X24" s="45"/>
    </row>
    <row r="25" spans="2:24" s="1" customFormat="1" x14ac:dyDescent="0.3">
      <c r="B25" s="63" t="s">
        <v>16</v>
      </c>
      <c r="C25" s="63"/>
      <c r="D25" s="63"/>
      <c r="E25" s="63"/>
      <c r="F25" s="63"/>
      <c r="G25" s="64">
        <f>SUM(G21:G24)</f>
        <v>473198888.5</v>
      </c>
      <c r="H25" s="64">
        <f t="shared" ref="H25:J25" si="5">SUM(H21:H24)</f>
        <v>473198888.5</v>
      </c>
      <c r="I25" s="64">
        <f t="shared" si="5"/>
        <v>141860000</v>
      </c>
      <c r="J25" s="64">
        <f t="shared" si="5"/>
        <v>141860000</v>
      </c>
      <c r="K25" s="64">
        <f t="shared" ref="K25:P25" si="6">SUM(K21:K24)</f>
        <v>141860000</v>
      </c>
      <c r="L25" s="64">
        <f t="shared" si="6"/>
        <v>141860000</v>
      </c>
      <c r="M25" s="64">
        <f t="shared" si="6"/>
        <v>141860000</v>
      </c>
      <c r="N25" s="64">
        <f t="shared" si="6"/>
        <v>141860000</v>
      </c>
      <c r="O25" s="64">
        <f t="shared" si="6"/>
        <v>141860000</v>
      </c>
      <c r="P25" s="64">
        <f t="shared" si="6"/>
        <v>141860000</v>
      </c>
      <c r="Q25" s="85">
        <f>SUM(Q21:Q24)</f>
        <v>2081277777</v>
      </c>
      <c r="R25" s="47"/>
      <c r="S25" s="52"/>
      <c r="T25" s="52"/>
      <c r="U25" s="52"/>
      <c r="V25" s="52">
        <f>Q18-Q21-Q22-Q23</f>
        <v>1150622223</v>
      </c>
      <c r="W25" s="47"/>
      <c r="X25" s="48"/>
    </row>
    <row r="26" spans="2:24" s="1" customFormat="1" x14ac:dyDescent="0.3">
      <c r="B26" s="1" t="s">
        <v>17</v>
      </c>
      <c r="G26" s="170">
        <f>G18-G25</f>
        <v>-302198888.5</v>
      </c>
      <c r="H26" s="170">
        <f>H18-H25</f>
        <v>-302198888.5</v>
      </c>
      <c r="I26" s="21">
        <f t="shared" ref="I26:J26" si="7">I18-I25</f>
        <v>200140000</v>
      </c>
      <c r="J26" s="21">
        <f t="shared" si="7"/>
        <v>200140000</v>
      </c>
      <c r="K26" s="21">
        <f t="shared" ref="K26:P26" si="8">K18-K25</f>
        <v>200140000</v>
      </c>
      <c r="L26" s="21">
        <f t="shared" si="8"/>
        <v>200140000</v>
      </c>
      <c r="M26" s="21">
        <f t="shared" si="8"/>
        <v>200140000</v>
      </c>
      <c r="N26" s="21">
        <f t="shared" si="8"/>
        <v>200140000</v>
      </c>
      <c r="O26" s="21">
        <f t="shared" si="8"/>
        <v>200140000</v>
      </c>
      <c r="P26" s="21">
        <f t="shared" si="8"/>
        <v>200140000</v>
      </c>
      <c r="Q26" s="74">
        <f>Q18-Q25</f>
        <v>996722223</v>
      </c>
      <c r="R26" s="47"/>
      <c r="S26" s="50"/>
      <c r="T26" s="50"/>
      <c r="U26" s="50"/>
      <c r="V26" s="50"/>
      <c r="W26" s="47"/>
      <c r="X26" s="48"/>
    </row>
    <row r="27" spans="2:24" s="1" customFormat="1" x14ac:dyDescent="0.3">
      <c r="B27" s="22" t="s">
        <v>18</v>
      </c>
      <c r="C27" s="23"/>
      <c r="D27" s="23"/>
      <c r="E27" s="23"/>
      <c r="F27" s="23"/>
      <c r="G27" s="24">
        <f>G26/G18</f>
        <v>-1.7672449619883042</v>
      </c>
      <c r="H27" s="24">
        <f>H26/H18</f>
        <v>-1.7672449619883042</v>
      </c>
      <c r="I27" s="24">
        <f>I26/I18</f>
        <v>0.58520467836257306</v>
      </c>
      <c r="J27" s="24">
        <f t="shared" ref="J27" si="9">J26/J18</f>
        <v>0.58520467836257306</v>
      </c>
      <c r="K27" s="24">
        <f t="shared" ref="K27:P27" si="10">K26/K18</f>
        <v>0.58520467836257306</v>
      </c>
      <c r="L27" s="24">
        <f t="shared" si="10"/>
        <v>0.58520467836257306</v>
      </c>
      <c r="M27" s="24">
        <f t="shared" si="10"/>
        <v>0.58520467836257306</v>
      </c>
      <c r="N27" s="24">
        <f t="shared" si="10"/>
        <v>0.58520467836257306</v>
      </c>
      <c r="O27" s="24">
        <f t="shared" si="10"/>
        <v>0.58520467836257306</v>
      </c>
      <c r="P27" s="24">
        <f t="shared" si="10"/>
        <v>0.58520467836257306</v>
      </c>
      <c r="Q27" s="75">
        <f>Q26/Q18</f>
        <v>0.32382138499025342</v>
      </c>
      <c r="R27" s="49"/>
      <c r="S27" s="44">
        <f>S22/10</f>
        <v>87283950.530000001</v>
      </c>
      <c r="T27" s="45"/>
      <c r="U27" s="45"/>
      <c r="V27" s="45"/>
      <c r="W27" s="49"/>
      <c r="X27" s="48"/>
    </row>
    <row r="28" spans="2:24" x14ac:dyDescent="0.3">
      <c r="B28" s="15" t="s">
        <v>19</v>
      </c>
      <c r="C28" s="15"/>
      <c r="D28" s="15"/>
      <c r="E28" s="15"/>
      <c r="F28" s="15"/>
      <c r="G28" s="16">
        <f>G55</f>
        <v>0</v>
      </c>
      <c r="H28" s="16">
        <f>H55</f>
        <v>0</v>
      </c>
      <c r="I28" s="16">
        <f>I55</f>
        <v>23125000</v>
      </c>
      <c r="J28" s="16">
        <f>J55</f>
        <v>23125000</v>
      </c>
      <c r="K28" s="16">
        <f t="shared" ref="K28:P28" si="11">K55</f>
        <v>23125000</v>
      </c>
      <c r="L28" s="16">
        <f t="shared" si="11"/>
        <v>23125000</v>
      </c>
      <c r="M28" s="16">
        <f t="shared" si="11"/>
        <v>23125000</v>
      </c>
      <c r="N28" s="16">
        <f t="shared" si="11"/>
        <v>23125000</v>
      </c>
      <c r="O28" s="16">
        <f t="shared" si="11"/>
        <v>23125000</v>
      </c>
      <c r="P28" s="16">
        <f t="shared" si="11"/>
        <v>23125000</v>
      </c>
      <c r="Q28" s="76">
        <f>SUM(G28:P28)</f>
        <v>185000000</v>
      </c>
      <c r="R28" s="43"/>
      <c r="S28" s="51"/>
      <c r="T28" s="51"/>
      <c r="U28" s="51"/>
      <c r="V28" s="51"/>
      <c r="W28" s="43"/>
      <c r="X28" s="45"/>
    </row>
    <row r="29" spans="2:24" x14ac:dyDescent="0.3">
      <c r="B29" s="25" t="s">
        <v>20</v>
      </c>
      <c r="G29" s="26">
        <f t="shared" ref="G29:J29" si="12">G26-G28</f>
        <v>-302198888.5</v>
      </c>
      <c r="H29" s="26">
        <f t="shared" si="12"/>
        <v>-302198888.5</v>
      </c>
      <c r="I29" s="26">
        <f t="shared" si="12"/>
        <v>177015000</v>
      </c>
      <c r="J29" s="26">
        <f t="shared" si="12"/>
        <v>177015000</v>
      </c>
      <c r="K29" s="26">
        <f t="shared" ref="K29:P29" si="13">K26-K28</f>
        <v>177015000</v>
      </c>
      <c r="L29" s="26">
        <f t="shared" si="13"/>
        <v>177015000</v>
      </c>
      <c r="M29" s="26">
        <f t="shared" si="13"/>
        <v>177015000</v>
      </c>
      <c r="N29" s="26">
        <f t="shared" si="13"/>
        <v>177015000</v>
      </c>
      <c r="O29" s="26">
        <f t="shared" si="13"/>
        <v>177015000</v>
      </c>
      <c r="P29" s="26">
        <f t="shared" si="13"/>
        <v>177015000</v>
      </c>
      <c r="Q29" s="77">
        <f>Q26-Q28</f>
        <v>811722223</v>
      </c>
      <c r="R29" s="50"/>
      <c r="S29" s="51">
        <f>S24/2</f>
        <v>388888888.5</v>
      </c>
      <c r="T29" s="51"/>
      <c r="U29" s="51"/>
      <c r="V29" s="51"/>
      <c r="W29" s="50"/>
      <c r="X29" s="45"/>
    </row>
    <row r="30" spans="2:24" x14ac:dyDescent="0.3">
      <c r="B30" s="25" t="s">
        <v>33</v>
      </c>
      <c r="G30" s="67">
        <f>PARAMETER!B5</f>
        <v>0</v>
      </c>
      <c r="H30" s="67">
        <f>PARAMETER!C5</f>
        <v>0</v>
      </c>
      <c r="I30" s="67">
        <f>PARAMETER!D5</f>
        <v>0</v>
      </c>
      <c r="J30" s="67">
        <f>PARAMETER!E5</f>
        <v>0</v>
      </c>
      <c r="K30" s="67">
        <f>PARAMETER!F5</f>
        <v>0</v>
      </c>
      <c r="L30" s="67"/>
      <c r="M30" s="67"/>
      <c r="N30" s="67"/>
      <c r="O30" s="67"/>
      <c r="P30" s="67"/>
      <c r="Q30" s="90">
        <f>SUM(G30:P30)</f>
        <v>0</v>
      </c>
      <c r="R30" s="50"/>
      <c r="S30" s="51"/>
      <c r="T30" s="51"/>
      <c r="U30" s="51"/>
      <c r="V30" s="51"/>
      <c r="W30" s="50"/>
      <c r="X30" s="45"/>
    </row>
    <row r="31" spans="2:24" x14ac:dyDescent="0.3">
      <c r="B31" s="25" t="s">
        <v>34</v>
      </c>
      <c r="G31" s="67">
        <f t="shared" ref="G31:J31" si="14">G29-G30</f>
        <v>-302198888.5</v>
      </c>
      <c r="H31" s="67">
        <f t="shared" si="14"/>
        <v>-302198888.5</v>
      </c>
      <c r="I31" s="67">
        <f t="shared" si="14"/>
        <v>177015000</v>
      </c>
      <c r="J31" s="67">
        <f t="shared" si="14"/>
        <v>177015000</v>
      </c>
      <c r="K31" s="67">
        <f t="shared" ref="K31:P31" si="15">K29-K30</f>
        <v>177015000</v>
      </c>
      <c r="L31" s="67">
        <f t="shared" si="15"/>
        <v>177015000</v>
      </c>
      <c r="M31" s="67">
        <f t="shared" si="15"/>
        <v>177015000</v>
      </c>
      <c r="N31" s="67">
        <f t="shared" si="15"/>
        <v>177015000</v>
      </c>
      <c r="O31" s="67">
        <f t="shared" si="15"/>
        <v>177015000</v>
      </c>
      <c r="P31" s="67">
        <f t="shared" si="15"/>
        <v>177015000</v>
      </c>
      <c r="Q31" s="90">
        <f>SUM(G31:P31)</f>
        <v>811722223</v>
      </c>
      <c r="R31" s="50"/>
      <c r="S31" s="31"/>
      <c r="T31" s="31"/>
      <c r="U31" s="31"/>
      <c r="V31" s="31"/>
      <c r="W31" s="50"/>
      <c r="X31" s="45"/>
    </row>
    <row r="32" spans="2:24" x14ac:dyDescent="0.3">
      <c r="B32" s="15" t="s">
        <v>21</v>
      </c>
      <c r="C32" s="15"/>
      <c r="D32" s="15"/>
      <c r="E32" s="15"/>
      <c r="F32" s="15"/>
      <c r="G32" s="65">
        <f t="shared" ref="G32:J32" si="16">IF(G31&lt;0,0,G31*$F$3)</f>
        <v>0</v>
      </c>
      <c r="H32" s="65">
        <f t="shared" si="16"/>
        <v>0</v>
      </c>
      <c r="I32" s="65">
        <f t="shared" si="16"/>
        <v>3540300</v>
      </c>
      <c r="J32" s="65">
        <f t="shared" si="16"/>
        <v>3540300</v>
      </c>
      <c r="K32" s="65">
        <f t="shared" ref="K32:P32" si="17">IF(K31&lt;0,0,K31*$F$3)</f>
        <v>3540300</v>
      </c>
      <c r="L32" s="65">
        <f t="shared" si="17"/>
        <v>3540300</v>
      </c>
      <c r="M32" s="65">
        <f t="shared" si="17"/>
        <v>3540300</v>
      </c>
      <c r="N32" s="65">
        <f t="shared" si="17"/>
        <v>3540300</v>
      </c>
      <c r="O32" s="65">
        <f t="shared" si="17"/>
        <v>3540300</v>
      </c>
      <c r="P32" s="65">
        <f t="shared" si="17"/>
        <v>3540300</v>
      </c>
      <c r="Q32" s="78">
        <f>SUM(G32:P32)</f>
        <v>28322400</v>
      </c>
      <c r="R32" s="52"/>
      <c r="W32" s="51"/>
      <c r="X32" s="45"/>
    </row>
    <row r="33" spans="2:24" ht="16.2" thickBot="1" x14ac:dyDescent="0.35">
      <c r="B33" s="28" t="s">
        <v>48</v>
      </c>
      <c r="C33" s="28"/>
      <c r="D33" s="28"/>
      <c r="E33" s="28"/>
      <c r="F33" s="28"/>
      <c r="G33" s="29">
        <f>G31-G32</f>
        <v>-302198888.5</v>
      </c>
      <c r="H33" s="29">
        <f t="shared" ref="H33:O33" si="18">H31-H32</f>
        <v>-302198888.5</v>
      </c>
      <c r="I33" s="29">
        <f t="shared" si="18"/>
        <v>173474700</v>
      </c>
      <c r="J33" s="29">
        <f t="shared" si="18"/>
        <v>173474700</v>
      </c>
      <c r="K33" s="29">
        <f t="shared" si="18"/>
        <v>173474700</v>
      </c>
      <c r="L33" s="29">
        <f t="shared" si="18"/>
        <v>173474700</v>
      </c>
      <c r="M33" s="29">
        <f t="shared" si="18"/>
        <v>173474700</v>
      </c>
      <c r="N33" s="29">
        <f t="shared" si="18"/>
        <v>173474700</v>
      </c>
      <c r="O33" s="29">
        <f t="shared" si="18"/>
        <v>173474700</v>
      </c>
      <c r="P33" s="29">
        <f>P31-P32</f>
        <v>173474700</v>
      </c>
      <c r="Q33" s="79">
        <f>Q31-Q32</f>
        <v>783399823</v>
      </c>
      <c r="R33" s="50"/>
      <c r="W33" s="50"/>
      <c r="X33" s="45"/>
    </row>
    <row r="34" spans="2:24" x14ac:dyDescent="0.3">
      <c r="Q34" s="70"/>
      <c r="R34" s="45"/>
      <c r="W34" s="45"/>
      <c r="X34" s="45"/>
    </row>
    <row r="35" spans="2:24" x14ac:dyDescent="0.3">
      <c r="B35" s="15" t="s">
        <v>22</v>
      </c>
      <c r="C35" s="15"/>
      <c r="D35" s="15"/>
      <c r="E35" s="15"/>
      <c r="F35" s="30"/>
      <c r="G35" s="30">
        <f>-G9</f>
        <v>0</v>
      </c>
      <c r="H35" s="30">
        <f>-H9</f>
        <v>-185000000</v>
      </c>
      <c r="I35" s="30">
        <f>-J9+-J10</f>
        <v>0</v>
      </c>
      <c r="J35" s="30">
        <f t="shared" ref="J35:P35" si="19">-P9+-P10</f>
        <v>0</v>
      </c>
      <c r="K35" s="30">
        <f t="shared" si="19"/>
        <v>0</v>
      </c>
      <c r="L35" s="30">
        <f t="shared" si="19"/>
        <v>0</v>
      </c>
      <c r="M35" s="30">
        <f t="shared" si="19"/>
        <v>0</v>
      </c>
      <c r="N35" s="30">
        <f t="shared" si="19"/>
        <v>0</v>
      </c>
      <c r="O35" s="30">
        <f t="shared" si="19"/>
        <v>0</v>
      </c>
      <c r="P35" s="30">
        <f t="shared" si="19"/>
        <v>0</v>
      </c>
      <c r="Q35" s="30">
        <f>SUM(F35:P35)</f>
        <v>-185000000</v>
      </c>
      <c r="R35" s="51"/>
      <c r="W35" s="51"/>
      <c r="X35" s="45"/>
    </row>
    <row r="36" spans="2:24" x14ac:dyDescent="0.3">
      <c r="B36" t="s">
        <v>23</v>
      </c>
      <c r="F36" s="27">
        <f>F35</f>
        <v>0</v>
      </c>
      <c r="G36" s="27">
        <f>G35+G33+G28</f>
        <v>-302198888.5</v>
      </c>
      <c r="H36" s="27">
        <f t="shared" ref="H36:I36" si="20">H35+H33+H28</f>
        <v>-487198888.5</v>
      </c>
      <c r="I36" s="27">
        <f t="shared" si="20"/>
        <v>196599700</v>
      </c>
      <c r="J36" s="27">
        <f t="shared" ref="J36" si="21">J35+J33+J28</f>
        <v>196599700</v>
      </c>
      <c r="K36" s="27">
        <f t="shared" ref="K36:Q36" si="22">K35+K33+K28</f>
        <v>196599700</v>
      </c>
      <c r="L36" s="27">
        <f t="shared" si="22"/>
        <v>196599700</v>
      </c>
      <c r="M36" s="27">
        <f t="shared" si="22"/>
        <v>196599700</v>
      </c>
      <c r="N36" s="27">
        <f t="shared" si="22"/>
        <v>196599700</v>
      </c>
      <c r="O36" s="27">
        <f t="shared" si="22"/>
        <v>196599700</v>
      </c>
      <c r="P36" s="27">
        <f>P35+P33+P28</f>
        <v>196599700</v>
      </c>
      <c r="Q36" s="27">
        <f t="shared" si="22"/>
        <v>783399823</v>
      </c>
      <c r="R36" s="51"/>
      <c r="S36" s="32"/>
      <c r="T36" s="9"/>
      <c r="U36" s="32"/>
      <c r="V36" s="9"/>
      <c r="W36" s="51"/>
      <c r="X36" s="45"/>
    </row>
    <row r="37" spans="2:24" x14ac:dyDescent="0.3">
      <c r="B37" t="s">
        <v>24</v>
      </c>
      <c r="F37" s="27">
        <f>F36</f>
        <v>0</v>
      </c>
      <c r="G37" s="27">
        <f>F37+G36</f>
        <v>-302198888.5</v>
      </c>
      <c r="H37" s="27">
        <f t="shared" ref="H37:I37" si="23">G37+H36</f>
        <v>-789397777</v>
      </c>
      <c r="I37" s="27">
        <f t="shared" si="23"/>
        <v>-592798077</v>
      </c>
      <c r="J37" s="27">
        <f t="shared" ref="J37" si="24">I37+J36</f>
        <v>-396198377</v>
      </c>
      <c r="K37" s="27">
        <f t="shared" ref="K37" si="25">J37+K36</f>
        <v>-199598677</v>
      </c>
      <c r="L37" s="27">
        <f t="shared" ref="L37" si="26">K37+L36</f>
        <v>-2998977</v>
      </c>
      <c r="M37" s="27">
        <f t="shared" ref="M37" si="27">L37+M36</f>
        <v>193600723</v>
      </c>
      <c r="N37" s="27">
        <f t="shared" ref="N37" si="28">M37+N36</f>
        <v>390200423</v>
      </c>
      <c r="O37" s="27">
        <f t="shared" ref="O37" si="29">N37+O36</f>
        <v>586800123</v>
      </c>
      <c r="P37" s="27">
        <f t="shared" ref="P37" si="30">O37+P36</f>
        <v>783399823</v>
      </c>
      <c r="Q37" s="80"/>
      <c r="R37" s="51"/>
      <c r="S37" s="34"/>
      <c r="T37" s="34"/>
      <c r="U37" s="34"/>
      <c r="V37" s="34"/>
      <c r="W37" s="51"/>
      <c r="X37" s="45"/>
    </row>
    <row r="38" spans="2:24" x14ac:dyDescent="0.3">
      <c r="B38" t="s">
        <v>25</v>
      </c>
      <c r="F38" s="27"/>
      <c r="G38" s="31">
        <f>IF(AND(F37&lt;0,G37&gt;0),G43-(G37/G36),0)</f>
        <v>0</v>
      </c>
      <c r="H38" s="31">
        <f t="shared" ref="H38:J38" si="31">IF(AND(G37&lt;0,H37&gt;0),H43-(H37/H36),0)</f>
        <v>0</v>
      </c>
      <c r="I38" s="31">
        <f t="shared" si="31"/>
        <v>0</v>
      </c>
      <c r="J38" s="31">
        <f t="shared" si="31"/>
        <v>0</v>
      </c>
      <c r="K38" s="31"/>
      <c r="L38" s="31"/>
      <c r="M38" s="31"/>
      <c r="N38" s="31"/>
      <c r="O38" s="31"/>
      <c r="P38" s="31">
        <f>IF(AND(J37&lt;0,P37&gt;0),P43-(P37/P36),0)</f>
        <v>6.0152542297877361</v>
      </c>
      <c r="Q38" s="81"/>
      <c r="R38" s="31"/>
      <c r="S38" s="35"/>
      <c r="T38" s="35"/>
      <c r="U38" s="35"/>
      <c r="V38" s="35"/>
      <c r="W38" s="31"/>
    </row>
    <row r="39" spans="2:24" x14ac:dyDescent="0.3">
      <c r="B39" s="54" t="s">
        <v>26</v>
      </c>
      <c r="C39" s="55"/>
      <c r="D39" s="55"/>
      <c r="E39" s="55"/>
      <c r="F39" s="91">
        <f>IRR(G36:P36)</f>
        <v>0.1653701870624622</v>
      </c>
      <c r="S39" s="35"/>
      <c r="T39" s="35"/>
      <c r="U39" s="35"/>
      <c r="V39" s="35"/>
    </row>
    <row r="40" spans="2:24" x14ac:dyDescent="0.3">
      <c r="B40" s="56" t="s">
        <v>27</v>
      </c>
      <c r="C40" s="57"/>
      <c r="D40" s="57"/>
      <c r="E40" s="57"/>
      <c r="F40" s="58">
        <f>NPV(F4,G36:P36)+F36</f>
        <v>189443986.92545798</v>
      </c>
      <c r="H40" s="89"/>
      <c r="I40" s="14"/>
      <c r="S40" s="35"/>
      <c r="T40" s="35"/>
      <c r="U40" s="35"/>
      <c r="V40" s="35"/>
    </row>
    <row r="41" spans="2:24" x14ac:dyDescent="0.3">
      <c r="B41" s="56" t="s">
        <v>28</v>
      </c>
      <c r="C41" s="57"/>
      <c r="D41" s="57"/>
      <c r="E41" s="57"/>
      <c r="F41" s="59">
        <f>Q27</f>
        <v>0.32382138499025342</v>
      </c>
      <c r="H41" s="66"/>
      <c r="S41" s="35"/>
      <c r="T41" s="35"/>
      <c r="U41" s="35"/>
      <c r="V41" s="35"/>
    </row>
    <row r="42" spans="2:24" x14ac:dyDescent="0.3">
      <c r="B42" s="60" t="s">
        <v>29</v>
      </c>
      <c r="C42" s="61"/>
      <c r="D42" s="61"/>
      <c r="E42" s="61"/>
      <c r="F42" s="62">
        <f>SUM(F38:P38)</f>
        <v>6.0152542297877361</v>
      </c>
      <c r="S42" s="35"/>
      <c r="T42" s="35"/>
      <c r="U42" s="35"/>
      <c r="V42" s="35"/>
    </row>
    <row r="43" spans="2:24" x14ac:dyDescent="0.3">
      <c r="G43" s="9">
        <v>1</v>
      </c>
      <c r="H43" s="32">
        <v>2</v>
      </c>
      <c r="I43" s="9">
        <v>3</v>
      </c>
      <c r="J43" s="152" t="s">
        <v>151</v>
      </c>
      <c r="K43" s="152" t="s">
        <v>152</v>
      </c>
      <c r="L43" s="152" t="s">
        <v>153</v>
      </c>
      <c r="M43" s="152" t="s">
        <v>154</v>
      </c>
      <c r="N43" s="152" t="s">
        <v>155</v>
      </c>
      <c r="O43" s="152" t="s">
        <v>156</v>
      </c>
      <c r="P43" s="152" t="s">
        <v>157</v>
      </c>
      <c r="Q43" s="32"/>
      <c r="R43" s="9"/>
      <c r="S43" s="42"/>
      <c r="T43" s="42"/>
      <c r="U43" s="42"/>
      <c r="V43" s="42"/>
    </row>
    <row r="44" spans="2:24" x14ac:dyDescent="0.3">
      <c r="B44" s="33" t="s">
        <v>30</v>
      </c>
      <c r="E44" s="34" t="s">
        <v>31</v>
      </c>
      <c r="G44" s="34" t="str">
        <f t="shared" ref="G44:P44" si="32">G12</f>
        <v>Year 1</v>
      </c>
      <c r="H44" s="34" t="str">
        <f t="shared" si="32"/>
        <v>Year 2</v>
      </c>
      <c r="I44" s="34" t="str">
        <f t="shared" si="32"/>
        <v>Year 3</v>
      </c>
      <c r="J44" s="34" t="str">
        <f t="shared" si="32"/>
        <v>Year 4</v>
      </c>
      <c r="K44" s="34" t="str">
        <f t="shared" si="32"/>
        <v>Year 5</v>
      </c>
      <c r="L44" s="34" t="str">
        <f t="shared" si="32"/>
        <v>Year 6</v>
      </c>
      <c r="M44" s="34" t="str">
        <f t="shared" si="32"/>
        <v>Year 7</v>
      </c>
      <c r="N44" s="34" t="str">
        <f t="shared" si="32"/>
        <v>Year 8</v>
      </c>
      <c r="O44" s="34" t="str">
        <f t="shared" si="32"/>
        <v>Year 9</v>
      </c>
      <c r="P44" s="34" t="str">
        <f t="shared" si="32"/>
        <v>Year 10</v>
      </c>
      <c r="Q44" s="34"/>
      <c r="R44" s="34"/>
      <c r="W44" s="34"/>
    </row>
    <row r="45" spans="2:24" hidden="1" x14ac:dyDescent="0.3">
      <c r="D45" t="s">
        <v>6</v>
      </c>
      <c r="E45">
        <v>10</v>
      </c>
      <c r="G45" s="68"/>
      <c r="H45" s="35">
        <f>G45</f>
        <v>0</v>
      </c>
      <c r="I45" s="35"/>
      <c r="J45" s="35"/>
      <c r="K45" s="35"/>
      <c r="L45" s="35"/>
      <c r="M45" s="35"/>
      <c r="N45" s="35"/>
      <c r="O45" s="35"/>
      <c r="P45" s="35"/>
      <c r="Q45" s="35"/>
      <c r="R45" s="35"/>
      <c r="W45" s="36"/>
    </row>
    <row r="46" spans="2:24" hidden="1" x14ac:dyDescent="0.3">
      <c r="D46" t="s">
        <v>7</v>
      </c>
      <c r="E46">
        <v>9</v>
      </c>
      <c r="H46" s="68">
        <f>G9/E46</f>
        <v>0</v>
      </c>
      <c r="I46" s="36">
        <f>H46</f>
        <v>0</v>
      </c>
      <c r="J46" s="35">
        <f>H46</f>
        <v>0</v>
      </c>
      <c r="K46" s="35">
        <f>J46</f>
        <v>0</v>
      </c>
      <c r="L46" s="35">
        <f t="shared" ref="L46:L47" si="33">K46</f>
        <v>0</v>
      </c>
      <c r="M46" s="35">
        <f t="shared" ref="M46:M47" si="34">L46</f>
        <v>0</v>
      </c>
      <c r="N46" s="35">
        <f t="shared" ref="N46:N47" si="35">M46</f>
        <v>0</v>
      </c>
      <c r="O46" s="35">
        <f t="shared" ref="O46:O47" si="36">N46</f>
        <v>0</v>
      </c>
      <c r="P46" s="35">
        <f t="shared" ref="P46:P47" si="37">O46</f>
        <v>0</v>
      </c>
      <c r="Q46" s="35"/>
      <c r="R46" s="35"/>
      <c r="W46" s="36"/>
    </row>
    <row r="47" spans="2:24" x14ac:dyDescent="0.3">
      <c r="D47" t="s">
        <v>8</v>
      </c>
      <c r="E47">
        <v>8</v>
      </c>
      <c r="H47" s="68"/>
      <c r="I47" s="14">
        <f>H9/E47</f>
        <v>23125000</v>
      </c>
      <c r="J47" s="35">
        <f>I47</f>
        <v>23125000</v>
      </c>
      <c r="K47" s="35">
        <f>J47</f>
        <v>23125000</v>
      </c>
      <c r="L47" s="35">
        <f t="shared" si="33"/>
        <v>23125000</v>
      </c>
      <c r="M47" s="35">
        <f t="shared" si="34"/>
        <v>23125000</v>
      </c>
      <c r="N47" s="35">
        <f t="shared" si="35"/>
        <v>23125000</v>
      </c>
      <c r="O47" s="35">
        <f t="shared" si="36"/>
        <v>23125000</v>
      </c>
      <c r="P47" s="35">
        <f t="shared" si="37"/>
        <v>23125000</v>
      </c>
      <c r="Q47" s="35"/>
      <c r="R47" s="35"/>
      <c r="W47" s="36"/>
    </row>
    <row r="48" spans="2:24" hidden="1" x14ac:dyDescent="0.3">
      <c r="D48" t="s">
        <v>9</v>
      </c>
      <c r="E48">
        <v>7</v>
      </c>
      <c r="H48" s="68"/>
      <c r="J48" s="35"/>
      <c r="K48" s="35"/>
      <c r="L48" s="35"/>
      <c r="M48" s="35"/>
      <c r="N48" s="35"/>
      <c r="O48" s="35"/>
      <c r="P48" s="35"/>
      <c r="Q48" s="35"/>
      <c r="R48" s="35"/>
      <c r="W48" s="36"/>
    </row>
    <row r="49" spans="2:26" hidden="1" x14ac:dyDescent="0.3">
      <c r="D49" t="s">
        <v>10</v>
      </c>
      <c r="E49">
        <v>6</v>
      </c>
      <c r="H49" s="68"/>
      <c r="J49" s="35"/>
      <c r="K49" s="35"/>
      <c r="L49" s="35"/>
      <c r="M49" s="35"/>
      <c r="N49" s="35"/>
      <c r="O49" s="35"/>
      <c r="P49" s="35"/>
      <c r="Q49" s="35"/>
      <c r="R49" s="35"/>
      <c r="W49" s="36"/>
    </row>
    <row r="50" spans="2:26" hidden="1" x14ac:dyDescent="0.3">
      <c r="D50" t="s">
        <v>42</v>
      </c>
      <c r="E50">
        <v>5</v>
      </c>
      <c r="H50" s="68"/>
      <c r="J50" s="35"/>
      <c r="K50" s="35"/>
      <c r="L50" s="35"/>
      <c r="M50" s="35"/>
      <c r="N50" s="35"/>
      <c r="O50" s="35"/>
      <c r="P50" s="35"/>
      <c r="Q50" s="35"/>
      <c r="R50" s="35"/>
      <c r="W50" s="36"/>
    </row>
    <row r="51" spans="2:26" hidden="1" x14ac:dyDescent="0.3">
      <c r="D51" t="s">
        <v>43</v>
      </c>
      <c r="E51">
        <v>4</v>
      </c>
      <c r="H51" s="68"/>
      <c r="J51" s="35"/>
      <c r="K51" s="35"/>
      <c r="L51" s="35"/>
      <c r="M51" s="35"/>
      <c r="N51" s="35"/>
      <c r="O51" s="35"/>
      <c r="P51" s="35"/>
      <c r="Q51" s="35"/>
      <c r="R51" s="35"/>
      <c r="W51" s="36"/>
    </row>
    <row r="52" spans="2:26" hidden="1" x14ac:dyDescent="0.3">
      <c r="D52" t="s">
        <v>44</v>
      </c>
      <c r="E52">
        <v>3</v>
      </c>
      <c r="I52" s="68">
        <f>J$9/$E52</f>
        <v>0</v>
      </c>
      <c r="P52" s="35">
        <f>I52</f>
        <v>0</v>
      </c>
      <c r="Q52" s="35"/>
      <c r="R52" s="35"/>
      <c r="W52" s="36"/>
    </row>
    <row r="53" spans="2:26" hidden="1" x14ac:dyDescent="0.3">
      <c r="D53" t="s">
        <v>45</v>
      </c>
      <c r="E53">
        <v>2</v>
      </c>
      <c r="J53" s="68"/>
      <c r="K53" s="68"/>
      <c r="L53" s="68"/>
      <c r="M53" s="68"/>
      <c r="N53" s="68"/>
      <c r="O53" s="68"/>
      <c r="Q53" s="35"/>
      <c r="R53" s="35"/>
      <c r="W53" s="36"/>
    </row>
    <row r="54" spans="2:26" hidden="1" x14ac:dyDescent="0.3">
      <c r="D54" t="s">
        <v>46</v>
      </c>
      <c r="E54">
        <v>1</v>
      </c>
      <c r="P54" s="68"/>
      <c r="Q54" s="35"/>
      <c r="R54" s="35"/>
      <c r="W54" s="36"/>
    </row>
    <row r="55" spans="2:26" ht="16.2" thickBot="1" x14ac:dyDescent="0.35">
      <c r="B55" s="37" t="s">
        <v>32</v>
      </c>
      <c r="C55" s="38"/>
      <c r="D55" s="38"/>
      <c r="E55" s="38"/>
      <c r="F55" s="38"/>
      <c r="G55" s="39">
        <f>SUM(G45:G53)</f>
        <v>0</v>
      </c>
      <c r="H55" s="39">
        <f>SUM(H45:H53)</f>
        <v>0</v>
      </c>
      <c r="I55" s="39">
        <f>SUM(I45:I53)</f>
        <v>23125000</v>
      </c>
      <c r="J55" s="39">
        <f>SUM(J45:J53)</f>
        <v>23125000</v>
      </c>
      <c r="K55" s="39">
        <f t="shared" ref="K55:P55" si="38">SUM(K45:K53)</f>
        <v>23125000</v>
      </c>
      <c r="L55" s="39">
        <f t="shared" si="38"/>
        <v>23125000</v>
      </c>
      <c r="M55" s="39">
        <f t="shared" si="38"/>
        <v>23125000</v>
      </c>
      <c r="N55" s="39">
        <f t="shared" si="38"/>
        <v>23125000</v>
      </c>
      <c r="O55" s="39">
        <f t="shared" si="38"/>
        <v>23125000</v>
      </c>
      <c r="P55" s="39">
        <f t="shared" si="38"/>
        <v>23125000</v>
      </c>
      <c r="Q55" s="42"/>
      <c r="R55" s="42"/>
      <c r="W55" s="42"/>
      <c r="X55" s="40"/>
      <c r="Y55" s="40"/>
      <c r="Z55" s="40"/>
    </row>
    <row r="56" spans="2:26" ht="16.2" thickTop="1" x14ac:dyDescent="0.3">
      <c r="W56" s="14"/>
    </row>
    <row r="58" spans="2:26" x14ac:dyDescent="0.3">
      <c r="F58" t="s">
        <v>49</v>
      </c>
    </row>
  </sheetData>
  <mergeCells count="2">
    <mergeCell ref="E18:F18"/>
    <mergeCell ref="S15:T15"/>
  </mergeCells>
  <pageMargins left="0.51" right="0.25" top="0.54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D1C3C-6EDA-461E-B1E7-3BF09E19820F}">
  <sheetPr>
    <pageSetUpPr fitToPage="1"/>
  </sheetPr>
  <dimension ref="B1:R36"/>
  <sheetViews>
    <sheetView showGridLines="0" zoomScale="70" zoomScaleNormal="70" workbookViewId="0">
      <selection activeCell="I30" sqref="I30"/>
    </sheetView>
  </sheetViews>
  <sheetFormatPr defaultColWidth="8.59765625" defaultRowHeight="15.6" x14ac:dyDescent="0.3"/>
  <cols>
    <col min="1" max="1" width="4.09765625" style="93" customWidth="1"/>
    <col min="2" max="2" width="3" style="93" customWidth="1"/>
    <col min="3" max="3" width="16.59765625" style="93" customWidth="1"/>
    <col min="4" max="4" width="25.5" style="93" customWidth="1"/>
    <col min="5" max="5" width="4.19921875" style="93" customWidth="1"/>
    <col min="6" max="6" width="4.8984375" style="93" customWidth="1"/>
    <col min="7" max="7" width="10.59765625" style="93" customWidth="1"/>
    <col min="8" max="8" width="8.3984375" style="93" customWidth="1"/>
    <col min="9" max="9" width="5.3984375" style="93" customWidth="1"/>
    <col min="10" max="10" width="2.09765625" style="93" customWidth="1"/>
    <col min="11" max="11" width="5.09765625" style="93" customWidth="1"/>
    <col min="12" max="12" width="18.3984375" style="93" bestFit="1" customWidth="1"/>
    <col min="13" max="13" width="16.5" style="93" customWidth="1"/>
    <col min="14" max="14" width="2.09765625" style="93" customWidth="1"/>
    <col min="15" max="15" width="3.59765625" style="93" customWidth="1"/>
    <col min="16" max="16384" width="8.59765625" style="93"/>
  </cols>
  <sheetData>
    <row r="1" spans="2:14" ht="16.8" customHeight="1" x14ac:dyDescent="0.35">
      <c r="B1" s="96"/>
      <c r="C1" s="94" t="s">
        <v>136</v>
      </c>
      <c r="D1" s="94" t="s">
        <v>167</v>
      </c>
      <c r="E1" s="96"/>
      <c r="F1" s="96"/>
      <c r="G1" s="96"/>
      <c r="H1" s="96"/>
      <c r="I1" s="96"/>
      <c r="J1" s="96"/>
      <c r="K1" s="96"/>
      <c r="L1" s="96"/>
      <c r="M1" s="168" t="s">
        <v>137</v>
      </c>
      <c r="N1" s="96"/>
    </row>
    <row r="2" spans="2:14" ht="18" x14ac:dyDescent="0.35">
      <c r="B2" s="96"/>
      <c r="C2" s="97" t="s">
        <v>54</v>
      </c>
      <c r="D2" s="94" t="s">
        <v>85</v>
      </c>
      <c r="E2" s="96"/>
      <c r="F2" s="96"/>
      <c r="G2" s="96"/>
      <c r="H2" s="96"/>
      <c r="J2" s="120" t="s">
        <v>84</v>
      </c>
      <c r="K2" s="120"/>
      <c r="L2" s="120"/>
      <c r="M2" s="121">
        <v>45357</v>
      </c>
      <c r="N2" s="96"/>
    </row>
    <row r="3" spans="2:14" ht="18" x14ac:dyDescent="0.35">
      <c r="B3" s="96"/>
      <c r="C3" s="97" t="s">
        <v>55</v>
      </c>
      <c r="D3" s="94" t="s">
        <v>129</v>
      </c>
      <c r="E3" s="96"/>
      <c r="F3" s="96"/>
      <c r="G3" s="96"/>
      <c r="H3" s="96"/>
      <c r="M3" s="96"/>
      <c r="N3" s="96"/>
    </row>
    <row r="4" spans="2:14" ht="0.9" customHeight="1" thickBot="1" x14ac:dyDescent="0.35">
      <c r="B4" s="96"/>
      <c r="C4" s="94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</row>
    <row r="5" spans="2:14" s="95" customFormat="1" ht="18.600000000000001" thickBot="1" x14ac:dyDescent="0.4">
      <c r="B5" s="220" t="s">
        <v>56</v>
      </c>
      <c r="C5" s="221"/>
      <c r="D5" s="222"/>
      <c r="E5" s="220" t="s">
        <v>57</v>
      </c>
      <c r="F5" s="221"/>
      <c r="G5" s="221"/>
      <c r="H5" s="221"/>
      <c r="I5" s="221"/>
      <c r="J5" s="220" t="s">
        <v>58</v>
      </c>
      <c r="K5" s="221"/>
      <c r="L5" s="221"/>
      <c r="M5" s="221"/>
      <c r="N5" s="222"/>
    </row>
    <row r="6" spans="2:14" ht="16.2" thickBot="1" x14ac:dyDescent="0.35">
      <c r="B6" s="223" t="s">
        <v>59</v>
      </c>
      <c r="C6" s="218"/>
      <c r="D6" s="110" t="s">
        <v>162</v>
      </c>
      <c r="E6" s="224" t="s">
        <v>60</v>
      </c>
      <c r="F6" s="224"/>
      <c r="G6" s="224"/>
      <c r="H6" s="224"/>
      <c r="I6" s="224"/>
      <c r="J6" s="112"/>
      <c r="K6" s="218" t="s">
        <v>172</v>
      </c>
      <c r="L6" s="218"/>
      <c r="M6" s="122">
        <v>663272509.29999995</v>
      </c>
      <c r="N6" s="110"/>
    </row>
    <row r="7" spans="2:14" x14ac:dyDescent="0.3">
      <c r="B7" s="115"/>
      <c r="C7" s="164"/>
      <c r="D7" s="98"/>
      <c r="E7" s="163"/>
      <c r="F7" s="163"/>
      <c r="G7" s="163"/>
      <c r="H7" s="163"/>
      <c r="I7" s="163"/>
      <c r="J7" s="117"/>
      <c r="K7" s="218" t="s">
        <v>61</v>
      </c>
      <c r="L7" s="218"/>
      <c r="M7" s="122">
        <f>M6/H9</f>
        <v>7991235.0518072285</v>
      </c>
      <c r="N7" s="98"/>
    </row>
    <row r="8" spans="2:14" x14ac:dyDescent="0.3">
      <c r="B8" s="225" t="s">
        <v>62</v>
      </c>
      <c r="C8" s="226"/>
      <c r="D8" s="123" t="s">
        <v>163</v>
      </c>
      <c r="E8" s="227" t="s">
        <v>63</v>
      </c>
      <c r="F8" s="227"/>
      <c r="G8" s="227"/>
      <c r="H8" s="124">
        <v>83</v>
      </c>
      <c r="I8" s="96"/>
      <c r="J8" s="100"/>
      <c r="K8" s="227" t="s">
        <v>64</v>
      </c>
      <c r="L8" s="227"/>
      <c r="M8" s="125">
        <v>5</v>
      </c>
      <c r="N8" s="98"/>
    </row>
    <row r="9" spans="2:14" x14ac:dyDescent="0.3">
      <c r="B9" s="225"/>
      <c r="C9" s="226"/>
      <c r="D9" s="98"/>
      <c r="E9" s="227" t="s">
        <v>66</v>
      </c>
      <c r="F9" s="227"/>
      <c r="G9" s="227"/>
      <c r="H9" s="124">
        <v>83</v>
      </c>
      <c r="I9" s="96"/>
      <c r="J9" s="100"/>
      <c r="K9" s="227" t="s">
        <v>79</v>
      </c>
      <c r="L9" s="227"/>
      <c r="M9" s="126">
        <f>[2]IRR!F3</f>
        <v>0.1</v>
      </c>
      <c r="N9" s="98"/>
    </row>
    <row r="10" spans="2:14" x14ac:dyDescent="0.3">
      <c r="B10" s="165" t="s">
        <v>65</v>
      </c>
      <c r="C10" s="166"/>
      <c r="D10" s="98" t="s">
        <v>163</v>
      </c>
      <c r="E10" s="227" t="s">
        <v>68</v>
      </c>
      <c r="F10" s="227"/>
      <c r="G10" s="227"/>
      <c r="H10" s="127">
        <v>0</v>
      </c>
      <c r="I10" s="96"/>
      <c r="J10" s="100"/>
      <c r="K10" s="227" t="s">
        <v>69</v>
      </c>
      <c r="L10" s="227"/>
      <c r="M10" s="122">
        <v>0</v>
      </c>
      <c r="N10" s="98"/>
    </row>
    <row r="11" spans="2:14" x14ac:dyDescent="0.3">
      <c r="B11" s="115" t="s">
        <v>67</v>
      </c>
      <c r="C11" s="164"/>
      <c r="D11" s="98" t="s">
        <v>134</v>
      </c>
      <c r="E11" s="212" t="s">
        <v>71</v>
      </c>
      <c r="F11" s="212"/>
      <c r="G11" s="212"/>
      <c r="H11" s="212"/>
      <c r="I11" s="212"/>
      <c r="J11" s="117"/>
      <c r="K11" s="211" t="s">
        <v>76</v>
      </c>
      <c r="L11" s="211"/>
      <c r="M11" s="92">
        <f>'IRR (2)'!Q18</f>
        <v>1776000000</v>
      </c>
      <c r="N11" s="98"/>
    </row>
    <row r="12" spans="2:14" x14ac:dyDescent="0.3">
      <c r="B12" s="115" t="s">
        <v>70</v>
      </c>
      <c r="C12" s="164"/>
      <c r="D12" s="98" t="s">
        <v>130</v>
      </c>
      <c r="E12" s="210" t="s">
        <v>73</v>
      </c>
      <c r="F12" s="210"/>
      <c r="G12" s="210"/>
      <c r="H12" s="128">
        <v>0</v>
      </c>
      <c r="I12" s="96"/>
      <c r="J12" s="100"/>
      <c r="K12" s="217" t="s">
        <v>170</v>
      </c>
      <c r="L12" s="211"/>
      <c r="M12" s="122">
        <f>'IRR (2)'!G9</f>
        <v>185000000</v>
      </c>
      <c r="N12" s="98"/>
    </row>
    <row r="13" spans="2:14" x14ac:dyDescent="0.3">
      <c r="B13" s="118" t="s">
        <v>72</v>
      </c>
      <c r="C13" s="162"/>
      <c r="D13" s="99"/>
      <c r="E13" s="210" t="s">
        <v>75</v>
      </c>
      <c r="F13" s="210"/>
      <c r="G13" s="210"/>
      <c r="H13" s="128">
        <v>0</v>
      </c>
      <c r="I13" s="96"/>
      <c r="J13" s="100"/>
      <c r="K13" s="211" t="s">
        <v>168</v>
      </c>
      <c r="L13" s="211"/>
      <c r="M13" s="122">
        <f>'IRR (2)'!Q21</f>
        <v>523703703.17999995</v>
      </c>
      <c r="N13" s="98"/>
    </row>
    <row r="14" spans="2:14" ht="16.2" thickBot="1" x14ac:dyDescent="0.35">
      <c r="B14" s="118" t="s">
        <v>74</v>
      </c>
      <c r="C14" s="162"/>
      <c r="D14" s="99">
        <v>1</v>
      </c>
      <c r="E14" s="210" t="s">
        <v>77</v>
      </c>
      <c r="F14" s="210"/>
      <c r="G14" s="210"/>
      <c r="H14" s="128">
        <v>0</v>
      </c>
      <c r="I14" s="96"/>
      <c r="J14" s="100"/>
      <c r="K14" s="211" t="s">
        <v>169</v>
      </c>
      <c r="L14" s="211"/>
      <c r="M14" s="122">
        <f>'IRR (2)'!Q22+'IRR (2)'!Q23+'IRR (2)'!Q24</f>
        <v>788360000</v>
      </c>
      <c r="N14" s="98"/>
    </row>
    <row r="15" spans="2:14" x14ac:dyDescent="0.3">
      <c r="B15" s="100"/>
      <c r="C15" s="96"/>
      <c r="D15" s="98"/>
      <c r="E15" s="212" t="s">
        <v>78</v>
      </c>
      <c r="F15" s="212"/>
      <c r="G15" s="212"/>
      <c r="H15" s="212"/>
      <c r="I15" s="212"/>
      <c r="J15" s="129"/>
      <c r="K15" s="213" t="s">
        <v>26</v>
      </c>
      <c r="L15" s="214"/>
      <c r="M15" s="101">
        <f>'IRR (2)'!F39</f>
        <v>0.40386604939714443</v>
      </c>
      <c r="N15" s="98"/>
    </row>
    <row r="16" spans="2:14" x14ac:dyDescent="0.3">
      <c r="B16" s="100"/>
      <c r="C16" s="96"/>
      <c r="D16" s="98"/>
      <c r="E16" s="96"/>
      <c r="F16" s="96"/>
      <c r="G16" s="96"/>
      <c r="H16" s="96"/>
      <c r="I16" s="96"/>
      <c r="J16" s="130"/>
      <c r="K16" s="215" t="s">
        <v>27</v>
      </c>
      <c r="L16" s="216"/>
      <c r="M16" s="144">
        <f>'IRR (2)'!F40</f>
        <v>147595013.04151568</v>
      </c>
      <c r="N16" s="98"/>
    </row>
    <row r="17" spans="2:18" x14ac:dyDescent="0.3">
      <c r="B17" s="100"/>
      <c r="C17" s="96"/>
      <c r="D17" s="98"/>
      <c r="E17" s="96"/>
      <c r="F17" s="96"/>
      <c r="G17" s="96"/>
      <c r="H17" s="96"/>
      <c r="I17" s="96"/>
      <c r="J17" s="130"/>
      <c r="K17" s="215" t="s">
        <v>28</v>
      </c>
      <c r="L17" s="216"/>
      <c r="M17" s="102">
        <f>'IRR (2)'!F41</f>
        <v>0.2612253923536037</v>
      </c>
      <c r="N17" s="98"/>
      <c r="R17" s="93" t="s">
        <v>49</v>
      </c>
    </row>
    <row r="18" spans="2:18" ht="16.2" thickBot="1" x14ac:dyDescent="0.35">
      <c r="B18" s="100"/>
      <c r="C18" s="96"/>
      <c r="D18" s="98"/>
      <c r="E18" s="96"/>
      <c r="F18" s="96"/>
      <c r="G18" s="96"/>
      <c r="H18" s="96"/>
      <c r="I18" s="96"/>
      <c r="J18" s="130"/>
      <c r="K18" s="206" t="s">
        <v>80</v>
      </c>
      <c r="L18" s="207"/>
      <c r="M18" s="145">
        <f>'IRR (2)'!F42</f>
        <v>3.0219864812531045</v>
      </c>
      <c r="N18" s="98"/>
      <c r="Q18" s="93" t="s">
        <v>49</v>
      </c>
    </row>
    <row r="19" spans="2:18" ht="16.2" thickBot="1" x14ac:dyDescent="0.35">
      <c r="B19" s="103"/>
      <c r="C19" s="104"/>
      <c r="D19" s="105"/>
      <c r="E19" s="104"/>
      <c r="F19" s="104" t="s">
        <v>49</v>
      </c>
      <c r="G19" s="104"/>
      <c r="H19" s="104"/>
      <c r="I19" s="104"/>
      <c r="J19" s="100"/>
      <c r="K19" s="106"/>
      <c r="L19" s="164"/>
      <c r="M19" s="164"/>
      <c r="N19" s="98"/>
    </row>
    <row r="20" spans="2:18" x14ac:dyDescent="0.3">
      <c r="B20" s="108" t="s">
        <v>83</v>
      </c>
      <c r="C20" s="109"/>
      <c r="D20" s="109"/>
      <c r="E20" s="109"/>
      <c r="F20" s="109"/>
      <c r="G20" s="109"/>
      <c r="H20" s="109"/>
      <c r="I20" s="109"/>
      <c r="J20" s="109"/>
      <c r="L20" s="131" t="s">
        <v>86</v>
      </c>
      <c r="M20" s="109"/>
      <c r="N20" s="110"/>
    </row>
    <row r="21" spans="2:18" x14ac:dyDescent="0.3">
      <c r="B21" s="100" t="s">
        <v>82</v>
      </c>
      <c r="C21" s="96"/>
      <c r="D21" s="96" t="s">
        <v>229</v>
      </c>
      <c r="E21" s="96"/>
      <c r="F21" s="96"/>
      <c r="G21" s="96"/>
      <c r="H21" s="96"/>
      <c r="I21" s="96"/>
      <c r="J21" s="96"/>
      <c r="K21" s="96"/>
      <c r="L21" s="208" t="s">
        <v>171</v>
      </c>
      <c r="M21" s="209"/>
      <c r="N21" s="98"/>
    </row>
    <row r="22" spans="2:18" x14ac:dyDescent="0.3">
      <c r="B22" s="100"/>
      <c r="C22" s="96"/>
      <c r="D22" s="96" t="s">
        <v>228</v>
      </c>
      <c r="E22" s="96"/>
      <c r="F22" s="96"/>
      <c r="G22" s="96"/>
      <c r="H22" s="96"/>
      <c r="I22" s="96"/>
      <c r="J22" s="96"/>
      <c r="K22" s="96"/>
      <c r="L22" s="96"/>
      <c r="M22" s="96"/>
      <c r="N22" s="98"/>
    </row>
    <row r="23" spans="2:18" x14ac:dyDescent="0.3">
      <c r="B23" s="100"/>
      <c r="C23" s="96"/>
      <c r="D23" s="96" t="s">
        <v>128</v>
      </c>
      <c r="E23" s="96"/>
      <c r="F23" s="96"/>
      <c r="G23" s="96"/>
      <c r="H23" s="96"/>
      <c r="I23" s="96"/>
      <c r="J23" s="96"/>
      <c r="K23" s="96"/>
      <c r="L23" s="96"/>
      <c r="M23" s="96"/>
      <c r="N23" s="98"/>
    </row>
    <row r="24" spans="2:18" x14ac:dyDescent="0.3">
      <c r="B24" s="100"/>
      <c r="C24" s="96"/>
      <c r="E24" s="96"/>
      <c r="F24" s="96"/>
      <c r="G24" s="96"/>
      <c r="H24" s="96"/>
      <c r="I24" s="96"/>
      <c r="J24" s="96"/>
      <c r="K24" s="96"/>
      <c r="L24" s="96"/>
      <c r="M24" s="96"/>
      <c r="N24" s="98"/>
    </row>
    <row r="25" spans="2:18" ht="16.2" thickBot="1" x14ac:dyDescent="0.35">
      <c r="B25" s="103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5"/>
    </row>
    <row r="26" spans="2:18" ht="4.2" customHeight="1" x14ac:dyDescent="0.3"/>
    <row r="27" spans="2:18" x14ac:dyDescent="0.3">
      <c r="B27" s="1" t="s">
        <v>87</v>
      </c>
    </row>
    <row r="28" spans="2:18" x14ac:dyDescent="0.3">
      <c r="B28" s="169"/>
      <c r="C28" s="169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</row>
    <row r="29" spans="2:18" x14ac:dyDescent="0.3">
      <c r="B29" s="169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</row>
    <row r="30" spans="2:18" x14ac:dyDescent="0.3">
      <c r="B30" s="169"/>
      <c r="C30" s="169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</row>
    <row r="31" spans="2:18" x14ac:dyDescent="0.3">
      <c r="B31" s="169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</row>
    <row r="32" spans="2:18" x14ac:dyDescent="0.3">
      <c r="B32" s="169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</row>
    <row r="33" spans="2:14" x14ac:dyDescent="0.3">
      <c r="B33" s="169"/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69"/>
    </row>
    <row r="34" spans="2:14" x14ac:dyDescent="0.3">
      <c r="B34" s="169"/>
      <c r="C34" s="169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</row>
    <row r="36" spans="2:14" ht="28.8" x14ac:dyDescent="0.55000000000000004">
      <c r="C36" s="160" t="s">
        <v>164</v>
      </c>
    </row>
  </sheetData>
  <mergeCells count="29">
    <mergeCell ref="B5:D5"/>
    <mergeCell ref="E5:I5"/>
    <mergeCell ref="J5:N5"/>
    <mergeCell ref="B6:C6"/>
    <mergeCell ref="E6:I6"/>
    <mergeCell ref="K6:L6"/>
    <mergeCell ref="K7:L7"/>
    <mergeCell ref="B8:C8"/>
    <mergeCell ref="E8:G8"/>
    <mergeCell ref="K8:L8"/>
    <mergeCell ref="B9:C9"/>
    <mergeCell ref="E9:G9"/>
    <mergeCell ref="K9:L9"/>
    <mergeCell ref="E10:G10"/>
    <mergeCell ref="K10:L10"/>
    <mergeCell ref="E11:I11"/>
    <mergeCell ref="K11:L11"/>
    <mergeCell ref="E12:G12"/>
    <mergeCell ref="K12:L12"/>
    <mergeCell ref="K16:L16"/>
    <mergeCell ref="K17:L17"/>
    <mergeCell ref="K18:L18"/>
    <mergeCell ref="L21:M21"/>
    <mergeCell ref="E13:G13"/>
    <mergeCell ref="K13:L13"/>
    <mergeCell ref="E14:G14"/>
    <mergeCell ref="K14:L14"/>
    <mergeCell ref="E15:I15"/>
    <mergeCell ref="K15:L15"/>
  </mergeCells>
  <pageMargins left="0.7" right="0.7" top="0.75" bottom="0.75" header="0.3" footer="0.3"/>
  <pageSetup paperSize="9" scale="92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DED0F-1DD0-4A44-8673-721C4FD89346}">
  <dimension ref="B1:Z58"/>
  <sheetViews>
    <sheetView showGridLines="0" topLeftCell="A25" zoomScaleNormal="100" workbookViewId="0">
      <selection activeCell="H16" sqref="H16:L16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7.296875" customWidth="1"/>
    <col min="4" max="4" width="18.8984375" customWidth="1"/>
    <col min="5" max="5" width="3.19921875" customWidth="1"/>
    <col min="6" max="6" width="12.59765625" customWidth="1"/>
    <col min="7" max="7" width="17.59765625" style="2" customWidth="1"/>
    <col min="8" max="8" width="17.8984375" customWidth="1"/>
    <col min="9" max="9" width="13.5" customWidth="1"/>
    <col min="10" max="10" width="12.09765625" customWidth="1"/>
    <col min="11" max="12" width="12.296875" customWidth="1"/>
    <col min="13" max="13" width="12.3984375" customWidth="1"/>
    <col min="14" max="14" width="12.796875" customWidth="1"/>
    <col min="15" max="15" width="12.69921875" customWidth="1"/>
    <col min="16" max="16" width="12.3984375" customWidth="1"/>
    <col min="17" max="17" width="15" customWidth="1"/>
    <col min="18" max="18" width="15.8984375" customWidth="1"/>
    <col min="19" max="22" width="15" bestFit="1" customWidth="1"/>
    <col min="23" max="23" width="15.59765625" bestFit="1" customWidth="1"/>
    <col min="24" max="24" width="11.69921875" bestFit="1" customWidth="1"/>
  </cols>
  <sheetData>
    <row r="1" spans="2:26" ht="21" x14ac:dyDescent="0.4">
      <c r="B1" t="s">
        <v>136</v>
      </c>
      <c r="C1" t="s">
        <v>135</v>
      </c>
      <c r="P1" s="153" t="s">
        <v>137</v>
      </c>
    </row>
    <row r="2" spans="2:26" x14ac:dyDescent="0.3">
      <c r="B2" s="3" t="s">
        <v>0</v>
      </c>
      <c r="K2" t="s">
        <v>223</v>
      </c>
      <c r="L2" t="s">
        <v>224</v>
      </c>
    </row>
    <row r="3" spans="2:26" x14ac:dyDescent="0.3">
      <c r="C3" t="s">
        <v>1</v>
      </c>
      <c r="F3" s="5">
        <v>0.02</v>
      </c>
      <c r="K3" t="s">
        <v>225</v>
      </c>
      <c r="Q3" s="4"/>
      <c r="R3" s="4"/>
      <c r="S3" s="4"/>
    </row>
    <row r="4" spans="2:26" x14ac:dyDescent="0.3">
      <c r="C4" t="s">
        <v>40</v>
      </c>
      <c r="F4" s="5">
        <v>0.1</v>
      </c>
      <c r="K4" t="s">
        <v>227</v>
      </c>
      <c r="Q4" s="4"/>
      <c r="R4" s="4"/>
      <c r="S4" s="4"/>
    </row>
    <row r="5" spans="2:26" x14ac:dyDescent="0.3">
      <c r="C5" t="s">
        <v>2</v>
      </c>
      <c r="F5" s="5">
        <v>0.05</v>
      </c>
      <c r="G5" s="2" t="s">
        <v>3</v>
      </c>
      <c r="S5" s="161"/>
      <c r="T5" s="161"/>
      <c r="U5" s="161"/>
      <c r="V5" s="161"/>
    </row>
    <row r="6" spans="2:26" x14ac:dyDescent="0.3">
      <c r="C6" t="s">
        <v>4</v>
      </c>
      <c r="F6" s="6">
        <v>0</v>
      </c>
      <c r="G6" s="2" t="s">
        <v>3</v>
      </c>
    </row>
    <row r="7" spans="2:26" x14ac:dyDescent="0.3">
      <c r="C7" t="s">
        <v>133</v>
      </c>
      <c r="F7" s="5">
        <v>0.15</v>
      </c>
    </row>
    <row r="8" spans="2:26" x14ac:dyDescent="0.3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32" t="s">
        <v>139</v>
      </c>
      <c r="M8" s="32" t="s">
        <v>140</v>
      </c>
      <c r="N8" s="32" t="s">
        <v>141</v>
      </c>
      <c r="O8" s="32" t="s">
        <v>142</v>
      </c>
      <c r="P8" s="32" t="s">
        <v>143</v>
      </c>
      <c r="Q8" s="25"/>
      <c r="R8" s="41"/>
      <c r="W8" s="41"/>
      <c r="X8" s="41"/>
      <c r="Y8" s="41"/>
    </row>
    <row r="9" spans="2:26" s="82" customFormat="1" ht="16.2" thickBot="1" x14ac:dyDescent="0.35">
      <c r="B9" s="88" t="s">
        <v>47</v>
      </c>
      <c r="D9" s="82" t="s">
        <v>166</v>
      </c>
      <c r="F9" s="87"/>
      <c r="G9" s="83">
        <v>185000000</v>
      </c>
      <c r="H9" s="83">
        <v>0</v>
      </c>
      <c r="I9" s="83">
        <v>0</v>
      </c>
      <c r="J9" s="83">
        <v>0</v>
      </c>
      <c r="K9" s="83"/>
      <c r="L9" s="83"/>
      <c r="M9" s="83"/>
      <c r="N9" s="83"/>
      <c r="O9" s="83"/>
      <c r="P9" s="83"/>
      <c r="Q9" s="86"/>
      <c r="R9" s="84"/>
      <c r="S9"/>
      <c r="T9"/>
      <c r="U9"/>
      <c r="V9"/>
      <c r="W9" s="84"/>
      <c r="X9" s="84"/>
      <c r="Y9" s="84"/>
    </row>
    <row r="10" spans="2:26" s="82" customFormat="1" ht="16.2" thickTop="1" x14ac:dyDescent="0.3">
      <c r="B10" s="88"/>
      <c r="D10" s="82" t="s">
        <v>81</v>
      </c>
      <c r="F10" s="87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6"/>
      <c r="R10" s="84"/>
      <c r="S10" s="149"/>
      <c r="T10"/>
      <c r="U10"/>
      <c r="V10"/>
      <c r="W10" s="84"/>
      <c r="X10" s="84"/>
      <c r="Y10" s="84"/>
    </row>
    <row r="11" spans="2:26" x14ac:dyDescent="0.3">
      <c r="F11" s="10"/>
      <c r="G11" s="9">
        <v>2024</v>
      </c>
      <c r="H11" s="9">
        <v>2025</v>
      </c>
      <c r="I11" s="9">
        <v>2026</v>
      </c>
      <c r="J11" s="151" t="s">
        <v>144</v>
      </c>
      <c r="K11" s="151" t="s">
        <v>145</v>
      </c>
      <c r="L11" s="151" t="s">
        <v>146</v>
      </c>
      <c r="M11" s="151" t="s">
        <v>147</v>
      </c>
      <c r="N11" s="151" t="s">
        <v>148</v>
      </c>
      <c r="O11" s="151" t="s">
        <v>149</v>
      </c>
      <c r="P11" s="151" t="s">
        <v>150</v>
      </c>
      <c r="Q11" s="9"/>
      <c r="S11" s="149"/>
      <c r="W11" s="40"/>
      <c r="X11" s="40"/>
      <c r="Y11" s="40"/>
      <c r="Z11" s="40"/>
    </row>
    <row r="12" spans="2:26" ht="16.2" thickBot="1" x14ac:dyDescent="0.35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12" t="s">
        <v>10</v>
      </c>
      <c r="L12" s="12" t="s">
        <v>42</v>
      </c>
      <c r="M12" s="12" t="s">
        <v>43</v>
      </c>
      <c r="N12" s="12" t="s">
        <v>44</v>
      </c>
      <c r="O12" s="12" t="s">
        <v>45</v>
      </c>
      <c r="P12" s="12" t="s">
        <v>46</v>
      </c>
      <c r="Q12" s="69" t="s">
        <v>12</v>
      </c>
      <c r="R12" s="161"/>
      <c r="S12" s="149"/>
      <c r="U12" s="43"/>
      <c r="V12" s="43"/>
      <c r="W12" s="161"/>
      <c r="X12" s="40"/>
      <c r="Y12" s="40"/>
      <c r="Z12" s="40"/>
    </row>
    <row r="13" spans="2:26" x14ac:dyDescent="0.3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9">
        <v>12</v>
      </c>
      <c r="M13" s="9">
        <v>12</v>
      </c>
      <c r="N13" s="9">
        <v>12</v>
      </c>
      <c r="O13" s="9">
        <v>12</v>
      </c>
      <c r="P13" s="9">
        <v>12</v>
      </c>
      <c r="Q13" s="70"/>
      <c r="S13" s="149"/>
      <c r="U13" s="45"/>
      <c r="V13" s="45"/>
    </row>
    <row r="14" spans="2:26" x14ac:dyDescent="0.3">
      <c r="B14" s="1" t="s">
        <v>5</v>
      </c>
      <c r="E14" s="17"/>
      <c r="G14" s="18"/>
      <c r="H14" s="146"/>
      <c r="I14" s="19"/>
      <c r="J14" s="19"/>
      <c r="K14" s="19"/>
      <c r="L14" s="19"/>
      <c r="M14" s="19"/>
      <c r="N14" s="19"/>
      <c r="O14" s="19"/>
      <c r="P14" s="19"/>
      <c r="Q14" s="70"/>
      <c r="S14" s="43"/>
      <c r="T14" s="43"/>
      <c r="U14" s="43"/>
      <c r="V14" s="43"/>
    </row>
    <row r="15" spans="2:26" x14ac:dyDescent="0.3">
      <c r="B15" s="1"/>
      <c r="C15" t="s">
        <v>132</v>
      </c>
      <c r="E15" s="17"/>
      <c r="G15" s="146">
        <v>171000000</v>
      </c>
      <c r="H15" s="146">
        <f t="shared" ref="H15:L15" si="0">G15</f>
        <v>171000000</v>
      </c>
      <c r="I15" s="146">
        <f t="shared" si="0"/>
        <v>171000000</v>
      </c>
      <c r="J15" s="146">
        <f t="shared" si="0"/>
        <v>171000000</v>
      </c>
      <c r="K15" s="146">
        <f t="shared" si="0"/>
        <v>171000000</v>
      </c>
      <c r="L15" s="146">
        <f t="shared" si="0"/>
        <v>171000000</v>
      </c>
      <c r="M15" s="146"/>
      <c r="N15" s="146"/>
      <c r="O15" s="146"/>
      <c r="P15" s="146"/>
      <c r="Q15" s="148">
        <f>SUM(G15:P15)</f>
        <v>1026000000</v>
      </c>
      <c r="S15" s="230" t="s">
        <v>138</v>
      </c>
      <c r="T15" s="231"/>
      <c r="U15" s="43"/>
      <c r="V15" s="43"/>
    </row>
    <row r="16" spans="2:26" x14ac:dyDescent="0.3">
      <c r="B16" s="1"/>
      <c r="C16" t="s">
        <v>165</v>
      </c>
      <c r="E16" s="17"/>
      <c r="G16" s="146"/>
      <c r="H16" s="146">
        <v>150000000</v>
      </c>
      <c r="I16" s="146">
        <v>150000000</v>
      </c>
      <c r="J16" s="146">
        <v>150000000</v>
      </c>
      <c r="K16" s="146">
        <v>150000000</v>
      </c>
      <c r="L16" s="146">
        <v>150000000</v>
      </c>
      <c r="M16" s="146"/>
      <c r="N16" s="146"/>
      <c r="O16" s="146"/>
      <c r="P16" s="146"/>
      <c r="Q16" s="148">
        <f>SUM(G16:P16)</f>
        <v>750000000</v>
      </c>
      <c r="S16" s="167"/>
      <c r="T16" s="167"/>
      <c r="U16" s="43"/>
      <c r="V16" s="43"/>
    </row>
    <row r="17" spans="2:24" x14ac:dyDescent="0.3">
      <c r="B17" s="1"/>
      <c r="E17" s="17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70"/>
      <c r="R17" s="156" t="s">
        <v>158</v>
      </c>
      <c r="S17" s="46">
        <v>864197530</v>
      </c>
      <c r="T17" s="46">
        <v>770077007</v>
      </c>
      <c r="U17" s="46" t="s">
        <v>158</v>
      </c>
      <c r="V17" s="46"/>
    </row>
    <row r="18" spans="2:24" x14ac:dyDescent="0.3">
      <c r="B18" s="63" t="s">
        <v>127</v>
      </c>
      <c r="C18" s="63"/>
      <c r="D18" s="63"/>
      <c r="E18" s="228"/>
      <c r="F18" s="229"/>
      <c r="G18" s="64">
        <f t="shared" ref="G18:P18" si="1">SUM(G15:G17)</f>
        <v>171000000</v>
      </c>
      <c r="H18" s="64">
        <f t="shared" si="1"/>
        <v>321000000</v>
      </c>
      <c r="I18" s="64">
        <f t="shared" si="1"/>
        <v>321000000</v>
      </c>
      <c r="J18" s="64">
        <f t="shared" si="1"/>
        <v>321000000</v>
      </c>
      <c r="K18" s="64">
        <f t="shared" si="1"/>
        <v>321000000</v>
      </c>
      <c r="L18" s="64">
        <f t="shared" si="1"/>
        <v>321000000</v>
      </c>
      <c r="M18" s="64">
        <f t="shared" si="1"/>
        <v>0</v>
      </c>
      <c r="N18" s="64">
        <f t="shared" si="1"/>
        <v>0</v>
      </c>
      <c r="O18" s="64">
        <f t="shared" si="1"/>
        <v>0</v>
      </c>
      <c r="P18" s="64">
        <f t="shared" si="1"/>
        <v>0</v>
      </c>
      <c r="Q18" s="71">
        <f>SUM(G18:P18)</f>
        <v>1776000000</v>
      </c>
      <c r="R18" s="157" t="s">
        <v>159</v>
      </c>
      <c r="S18" s="47">
        <f>S17*11%</f>
        <v>95061728.299999997</v>
      </c>
      <c r="T18" s="47">
        <f>T17*11%</f>
        <v>84708470.769999996</v>
      </c>
      <c r="U18" s="47" t="s">
        <v>159</v>
      </c>
      <c r="V18" s="47"/>
      <c r="W18" s="43"/>
      <c r="X18" s="45"/>
    </row>
    <row r="19" spans="2:24" x14ac:dyDescent="0.3">
      <c r="Q19" s="70"/>
      <c r="R19" s="158" t="s">
        <v>160</v>
      </c>
      <c r="S19" s="155">
        <f>-S17*10%</f>
        <v>-86419753</v>
      </c>
      <c r="T19" s="155">
        <f>-T17*10%</f>
        <v>-77007700.700000003</v>
      </c>
      <c r="U19" s="47" t="s">
        <v>160</v>
      </c>
      <c r="V19" s="47"/>
      <c r="W19" s="45"/>
      <c r="X19" s="45"/>
    </row>
    <row r="20" spans="2:24" x14ac:dyDescent="0.3">
      <c r="B20" s="1" t="s">
        <v>14</v>
      </c>
      <c r="E20" s="17"/>
      <c r="F20" s="17"/>
      <c r="G20" s="18"/>
      <c r="H20" s="17"/>
      <c r="I20" s="19"/>
      <c r="J20" s="19"/>
      <c r="K20" s="19"/>
      <c r="L20" s="19"/>
      <c r="M20" s="19"/>
      <c r="N20" s="19"/>
      <c r="O20" s="19"/>
      <c r="P20" s="19"/>
      <c r="Q20" s="72"/>
      <c r="R20" s="159" t="s">
        <v>161</v>
      </c>
      <c r="S20" s="150">
        <f>S17+S18+S19</f>
        <v>872839505.29999995</v>
      </c>
      <c r="T20" s="150">
        <f>T17+T18+T19</f>
        <v>777777777.06999993</v>
      </c>
      <c r="U20" s="49" t="s">
        <v>161</v>
      </c>
      <c r="V20" s="49"/>
      <c r="W20" s="45"/>
      <c r="X20" s="45"/>
    </row>
    <row r="21" spans="2:24" x14ac:dyDescent="0.3">
      <c r="C21" t="s">
        <v>131</v>
      </c>
      <c r="E21" s="147"/>
      <c r="G21" s="13">
        <v>87283950.530000001</v>
      </c>
      <c r="H21" s="13">
        <v>87283950.530000001</v>
      </c>
      <c r="I21" s="13">
        <v>87283950.530000001</v>
      </c>
      <c r="J21" s="13">
        <v>87283950.530000001</v>
      </c>
      <c r="K21" s="13">
        <v>87283950.530000001</v>
      </c>
      <c r="L21" s="13">
        <v>87283950.530000001</v>
      </c>
      <c r="M21" s="13"/>
      <c r="N21" s="13"/>
      <c r="O21" s="13"/>
      <c r="P21" s="13"/>
      <c r="Q21" s="73">
        <f>SUM(G21:P21)</f>
        <v>523703703.17999995</v>
      </c>
      <c r="R21" s="43" t="s">
        <v>49</v>
      </c>
      <c r="S21" s="43"/>
      <c r="T21" s="43"/>
      <c r="U21" s="43"/>
      <c r="V21" s="43"/>
      <c r="W21" s="44"/>
      <c r="X21" s="45"/>
    </row>
    <row r="22" spans="2:24" x14ac:dyDescent="0.3">
      <c r="C22" t="s">
        <v>15</v>
      </c>
      <c r="F22" s="111"/>
      <c r="G22" s="13">
        <v>42000000</v>
      </c>
      <c r="H22" s="13">
        <f>42000000*2</f>
        <v>84000000</v>
      </c>
      <c r="I22" s="13">
        <f>H22</f>
        <v>84000000</v>
      </c>
      <c r="J22" s="13">
        <f t="shared" ref="J22:L22" si="2">I22</f>
        <v>84000000</v>
      </c>
      <c r="K22" s="13">
        <f t="shared" si="2"/>
        <v>84000000</v>
      </c>
      <c r="L22" s="13">
        <f t="shared" si="2"/>
        <v>84000000</v>
      </c>
      <c r="M22" s="13"/>
      <c r="N22" s="13"/>
      <c r="O22" s="13"/>
      <c r="P22" s="13"/>
      <c r="Q22" s="73">
        <f>SUM(G22:P22)</f>
        <v>462000000</v>
      </c>
      <c r="R22" s="43"/>
      <c r="S22" s="50">
        <f>S20</f>
        <v>872839505.29999995</v>
      </c>
      <c r="T22" s="50"/>
      <c r="U22" s="50"/>
      <c r="V22" s="50"/>
      <c r="W22" s="44"/>
      <c r="X22" s="45"/>
    </row>
    <row r="23" spans="2:24" x14ac:dyDescent="0.3">
      <c r="C23" t="s">
        <v>41</v>
      </c>
      <c r="G23" s="107">
        <f>PARAMETER!$K$17+PARAMETER!$B$24+PARAMETER!$B$34</f>
        <v>33760000</v>
      </c>
      <c r="H23" s="107">
        <f>PARAMETER!$K$17+PARAMETER!$B$24+PARAMETER!$B$34*2</f>
        <v>40760000</v>
      </c>
      <c r="I23" s="107">
        <f>PARAMETER!$K$17+PARAMETER!$B$24+PARAMETER!$B$34*2</f>
        <v>40760000</v>
      </c>
      <c r="J23" s="107">
        <f>PARAMETER!$K$17+PARAMETER!$B$24+PARAMETER!$B$34*2</f>
        <v>40760000</v>
      </c>
      <c r="K23" s="107">
        <f>PARAMETER!$K$17+PARAMETER!$B$24+PARAMETER!$B$34*2</f>
        <v>40760000</v>
      </c>
      <c r="L23" s="107">
        <f>PARAMETER!$K$17+PARAMETER!$B$24+PARAMETER!$B$34*2</f>
        <v>40760000</v>
      </c>
      <c r="M23" s="107"/>
      <c r="N23" s="107"/>
      <c r="O23" s="107"/>
      <c r="P23" s="107"/>
      <c r="Q23" s="73">
        <f t="shared" ref="Q23:Q24" si="3">SUM(G23:P23)</f>
        <v>237560000</v>
      </c>
      <c r="R23" s="43"/>
      <c r="S23" s="154">
        <f>-S18</f>
        <v>-95061728.299999997</v>
      </c>
      <c r="T23" s="50"/>
      <c r="U23" s="50"/>
      <c r="V23" s="50"/>
      <c r="W23" s="44"/>
      <c r="X23" s="45"/>
    </row>
    <row r="24" spans="2:24" x14ac:dyDescent="0.3">
      <c r="B24" s="15"/>
      <c r="C24" s="15" t="s">
        <v>2</v>
      </c>
      <c r="D24" s="15"/>
      <c r="E24" s="15"/>
      <c r="F24" s="15"/>
      <c r="G24" s="20">
        <f>G18*$F$5</f>
        <v>8550000</v>
      </c>
      <c r="H24" s="20">
        <f>H18*$F$5</f>
        <v>16050000</v>
      </c>
      <c r="I24" s="20">
        <f>I18*$F$5</f>
        <v>16050000</v>
      </c>
      <c r="J24" s="20">
        <f>J18*$F$5</f>
        <v>16050000</v>
      </c>
      <c r="K24" s="20">
        <f t="shared" ref="K24:P24" si="4">K18*$F$5</f>
        <v>16050000</v>
      </c>
      <c r="L24" s="20">
        <f t="shared" si="4"/>
        <v>16050000</v>
      </c>
      <c r="M24" s="20">
        <f t="shared" si="4"/>
        <v>0</v>
      </c>
      <c r="N24" s="20">
        <f t="shared" si="4"/>
        <v>0</v>
      </c>
      <c r="O24" s="20">
        <f t="shared" si="4"/>
        <v>0</v>
      </c>
      <c r="P24" s="20">
        <f t="shared" si="4"/>
        <v>0</v>
      </c>
      <c r="Q24" s="73">
        <f t="shared" si="3"/>
        <v>88800000</v>
      </c>
      <c r="R24" s="46"/>
      <c r="S24" s="50">
        <f>S22+S23</f>
        <v>777777777</v>
      </c>
      <c r="T24" s="50"/>
      <c r="U24" s="50"/>
      <c r="V24" s="50"/>
      <c r="W24" s="44"/>
      <c r="X24" s="45"/>
    </row>
    <row r="25" spans="2:24" s="1" customFormat="1" x14ac:dyDescent="0.3">
      <c r="B25" s="63" t="s">
        <v>16</v>
      </c>
      <c r="C25" s="63"/>
      <c r="D25" s="63"/>
      <c r="E25" s="63"/>
      <c r="F25" s="63"/>
      <c r="G25" s="64">
        <f>SUM(G21:G24)</f>
        <v>171593950.53</v>
      </c>
      <c r="H25" s="64">
        <f t="shared" ref="H25:P25" si="5">SUM(H21:H24)</f>
        <v>228093950.53</v>
      </c>
      <c r="I25" s="64">
        <f t="shared" si="5"/>
        <v>228093950.53</v>
      </c>
      <c r="J25" s="64">
        <f t="shared" si="5"/>
        <v>228093950.53</v>
      </c>
      <c r="K25" s="64">
        <f t="shared" si="5"/>
        <v>228093950.53</v>
      </c>
      <c r="L25" s="64">
        <f t="shared" si="5"/>
        <v>228093950.53</v>
      </c>
      <c r="M25" s="64">
        <f t="shared" si="5"/>
        <v>0</v>
      </c>
      <c r="N25" s="64">
        <f t="shared" si="5"/>
        <v>0</v>
      </c>
      <c r="O25" s="64">
        <f t="shared" si="5"/>
        <v>0</v>
      </c>
      <c r="P25" s="64">
        <f t="shared" si="5"/>
        <v>0</v>
      </c>
      <c r="Q25" s="85">
        <f>SUM(Q21:Q24)</f>
        <v>1312063703.1799998</v>
      </c>
      <c r="R25" s="47"/>
      <c r="S25" s="52"/>
      <c r="T25" s="52"/>
      <c r="U25" s="52"/>
      <c r="V25" s="52">
        <f>Q18-Q21-Q22-Q23</f>
        <v>552736296.82000017</v>
      </c>
      <c r="W25" s="47"/>
      <c r="X25" s="48"/>
    </row>
    <row r="26" spans="2:24" s="1" customFormat="1" x14ac:dyDescent="0.3">
      <c r="B26" s="1" t="s">
        <v>17</v>
      </c>
      <c r="G26" s="170">
        <f>G18-G25</f>
        <v>-593950.53000000119</v>
      </c>
      <c r="H26" s="21">
        <f>H18-H25</f>
        <v>92906049.469999999</v>
      </c>
      <c r="I26" s="21">
        <f t="shared" ref="I26:P26" si="6">I18-I25</f>
        <v>92906049.469999999</v>
      </c>
      <c r="J26" s="21">
        <f t="shared" si="6"/>
        <v>92906049.469999999</v>
      </c>
      <c r="K26" s="21">
        <f t="shared" si="6"/>
        <v>92906049.469999999</v>
      </c>
      <c r="L26" s="21">
        <f t="shared" si="6"/>
        <v>92906049.469999999</v>
      </c>
      <c r="M26" s="21">
        <f t="shared" si="6"/>
        <v>0</v>
      </c>
      <c r="N26" s="21">
        <f t="shared" si="6"/>
        <v>0</v>
      </c>
      <c r="O26" s="21">
        <f t="shared" si="6"/>
        <v>0</v>
      </c>
      <c r="P26" s="21">
        <f t="shared" si="6"/>
        <v>0</v>
      </c>
      <c r="Q26" s="74">
        <f>Q18-Q25</f>
        <v>463936296.82000017</v>
      </c>
      <c r="R26" s="47"/>
      <c r="S26" s="50"/>
      <c r="T26" s="50"/>
      <c r="U26" s="50"/>
      <c r="V26" s="50"/>
      <c r="W26" s="47"/>
      <c r="X26" s="48"/>
    </row>
    <row r="27" spans="2:24" s="1" customFormat="1" x14ac:dyDescent="0.3">
      <c r="B27" s="22" t="s">
        <v>18</v>
      </c>
      <c r="C27" s="23"/>
      <c r="D27" s="23"/>
      <c r="E27" s="23"/>
      <c r="F27" s="23"/>
      <c r="G27" s="24">
        <v>0</v>
      </c>
      <c r="H27" s="24">
        <f>H26/H18</f>
        <v>0.28942694538940811</v>
      </c>
      <c r="I27" s="24">
        <f t="shared" ref="I27:P27" si="7">I26/I18</f>
        <v>0.28942694538940811</v>
      </c>
      <c r="J27" s="24">
        <f t="shared" si="7"/>
        <v>0.28942694538940811</v>
      </c>
      <c r="K27" s="24">
        <f t="shared" si="7"/>
        <v>0.28942694538940811</v>
      </c>
      <c r="L27" s="24">
        <f t="shared" si="7"/>
        <v>0.28942694538940811</v>
      </c>
      <c r="M27" s="24" t="e">
        <f t="shared" si="7"/>
        <v>#DIV/0!</v>
      </c>
      <c r="N27" s="24" t="e">
        <f t="shared" si="7"/>
        <v>#DIV/0!</v>
      </c>
      <c r="O27" s="24" t="e">
        <f t="shared" si="7"/>
        <v>#DIV/0!</v>
      </c>
      <c r="P27" s="24" t="e">
        <f t="shared" si="7"/>
        <v>#DIV/0!</v>
      </c>
      <c r="Q27" s="75">
        <f>Q26/Q18</f>
        <v>0.2612253923536037</v>
      </c>
      <c r="R27" s="49"/>
      <c r="S27" s="44">
        <f>S22/10</f>
        <v>87283950.530000001</v>
      </c>
      <c r="T27" s="45"/>
      <c r="U27" s="45"/>
      <c r="V27" s="45"/>
      <c r="W27" s="49"/>
      <c r="X27" s="48"/>
    </row>
    <row r="28" spans="2:24" x14ac:dyDescent="0.3">
      <c r="B28" s="15" t="s">
        <v>19</v>
      </c>
      <c r="C28" s="15"/>
      <c r="D28" s="15"/>
      <c r="E28" s="15"/>
      <c r="F28" s="15"/>
      <c r="G28" s="16">
        <f>G55</f>
        <v>0</v>
      </c>
      <c r="H28" s="16">
        <f>H55</f>
        <v>37000000</v>
      </c>
      <c r="I28" s="16">
        <f>I55</f>
        <v>37000000</v>
      </c>
      <c r="J28" s="16">
        <f>J55</f>
        <v>37000000</v>
      </c>
      <c r="K28" s="16">
        <f t="shared" ref="K28:P28" si="8">K55</f>
        <v>37000000</v>
      </c>
      <c r="L28" s="16">
        <f t="shared" si="8"/>
        <v>37000000</v>
      </c>
      <c r="M28" s="16">
        <f t="shared" si="8"/>
        <v>0</v>
      </c>
      <c r="N28" s="16">
        <f t="shared" si="8"/>
        <v>0</v>
      </c>
      <c r="O28" s="16">
        <f t="shared" si="8"/>
        <v>0</v>
      </c>
      <c r="P28" s="16">
        <f t="shared" si="8"/>
        <v>0</v>
      </c>
      <c r="Q28" s="76">
        <f>SUM(G28:P28)</f>
        <v>185000000</v>
      </c>
      <c r="R28" s="43"/>
      <c r="S28" s="51"/>
      <c r="T28" s="51"/>
      <c r="U28" s="51"/>
      <c r="V28" s="51"/>
      <c r="W28" s="43"/>
      <c r="X28" s="45"/>
    </row>
    <row r="29" spans="2:24" x14ac:dyDescent="0.3">
      <c r="B29" s="25" t="s">
        <v>20</v>
      </c>
      <c r="G29" s="26">
        <f t="shared" ref="G29:P29" si="9">G26-G28</f>
        <v>-593950.53000000119</v>
      </c>
      <c r="H29" s="26">
        <f t="shared" si="9"/>
        <v>55906049.469999999</v>
      </c>
      <c r="I29" s="26">
        <f t="shared" si="9"/>
        <v>55906049.469999999</v>
      </c>
      <c r="J29" s="26">
        <f t="shared" si="9"/>
        <v>55906049.469999999</v>
      </c>
      <c r="K29" s="26">
        <f t="shared" si="9"/>
        <v>55906049.469999999</v>
      </c>
      <c r="L29" s="26">
        <f t="shared" si="9"/>
        <v>55906049.469999999</v>
      </c>
      <c r="M29" s="26">
        <f t="shared" si="9"/>
        <v>0</v>
      </c>
      <c r="N29" s="26">
        <f t="shared" si="9"/>
        <v>0</v>
      </c>
      <c r="O29" s="26">
        <f t="shared" si="9"/>
        <v>0</v>
      </c>
      <c r="P29" s="26">
        <f t="shared" si="9"/>
        <v>0</v>
      </c>
      <c r="Q29" s="77">
        <f>Q26-Q28</f>
        <v>278936296.82000017</v>
      </c>
      <c r="R29" s="50"/>
      <c r="S29" s="51"/>
      <c r="T29" s="51"/>
      <c r="U29" s="51"/>
      <c r="V29" s="51"/>
      <c r="W29" s="50"/>
      <c r="X29" s="45"/>
    </row>
    <row r="30" spans="2:24" x14ac:dyDescent="0.3">
      <c r="B30" s="25" t="s">
        <v>33</v>
      </c>
      <c r="G30" s="67">
        <f>PARAMETER!B5</f>
        <v>0</v>
      </c>
      <c r="H30" s="67">
        <f>PARAMETER!C5</f>
        <v>0</v>
      </c>
      <c r="I30" s="67">
        <f>PARAMETER!D5</f>
        <v>0</v>
      </c>
      <c r="J30" s="67">
        <f>PARAMETER!E5</f>
        <v>0</v>
      </c>
      <c r="K30" s="67">
        <f>PARAMETER!F5</f>
        <v>0</v>
      </c>
      <c r="L30" s="67"/>
      <c r="M30" s="67"/>
      <c r="N30" s="67"/>
      <c r="O30" s="67"/>
      <c r="P30" s="67"/>
      <c r="Q30" s="90">
        <f>SUM(G30:P30)</f>
        <v>0</v>
      </c>
      <c r="R30" s="50"/>
      <c r="S30" s="51"/>
      <c r="T30" s="51"/>
      <c r="U30" s="51"/>
      <c r="V30" s="51"/>
      <c r="W30" s="50"/>
      <c r="X30" s="45"/>
    </row>
    <row r="31" spans="2:24" x14ac:dyDescent="0.3">
      <c r="B31" s="25" t="s">
        <v>34</v>
      </c>
      <c r="G31" s="67">
        <f t="shared" ref="G31:P31" si="10">G29-G30</f>
        <v>-593950.53000000119</v>
      </c>
      <c r="H31" s="67">
        <f t="shared" si="10"/>
        <v>55906049.469999999</v>
      </c>
      <c r="I31" s="67">
        <f t="shared" si="10"/>
        <v>55906049.469999999</v>
      </c>
      <c r="J31" s="67">
        <f t="shared" si="10"/>
        <v>55906049.469999999</v>
      </c>
      <c r="K31" s="67">
        <f t="shared" si="10"/>
        <v>55906049.469999999</v>
      </c>
      <c r="L31" s="67">
        <f t="shared" si="10"/>
        <v>55906049.469999999</v>
      </c>
      <c r="M31" s="67">
        <f t="shared" si="10"/>
        <v>0</v>
      </c>
      <c r="N31" s="67">
        <f t="shared" si="10"/>
        <v>0</v>
      </c>
      <c r="O31" s="67">
        <f t="shared" si="10"/>
        <v>0</v>
      </c>
      <c r="P31" s="67">
        <f t="shared" si="10"/>
        <v>0</v>
      </c>
      <c r="Q31" s="90">
        <f>SUM(G31:P31)</f>
        <v>278936296.81999999</v>
      </c>
      <c r="R31" s="50"/>
      <c r="S31" s="31"/>
      <c r="T31" s="31"/>
      <c r="U31" s="31"/>
      <c r="V31" s="31"/>
      <c r="W31" s="50"/>
      <c r="X31" s="45"/>
    </row>
    <row r="32" spans="2:24" x14ac:dyDescent="0.3">
      <c r="B32" s="15" t="s">
        <v>21</v>
      </c>
      <c r="C32" s="15"/>
      <c r="D32" s="15"/>
      <c r="E32" s="15"/>
      <c r="F32" s="15"/>
      <c r="G32" s="65">
        <f t="shared" ref="G32:P32" si="11">IF(G31&lt;0,0,G31*$F$3)</f>
        <v>0</v>
      </c>
      <c r="H32" s="65">
        <f t="shared" si="11"/>
        <v>1118120.9894000001</v>
      </c>
      <c r="I32" s="65">
        <f t="shared" si="11"/>
        <v>1118120.9894000001</v>
      </c>
      <c r="J32" s="65">
        <f t="shared" si="11"/>
        <v>1118120.9894000001</v>
      </c>
      <c r="K32" s="65">
        <f t="shared" si="11"/>
        <v>1118120.9894000001</v>
      </c>
      <c r="L32" s="65">
        <f t="shared" si="11"/>
        <v>1118120.9894000001</v>
      </c>
      <c r="M32" s="65">
        <f t="shared" si="11"/>
        <v>0</v>
      </c>
      <c r="N32" s="65">
        <f t="shared" si="11"/>
        <v>0</v>
      </c>
      <c r="O32" s="65">
        <f t="shared" si="11"/>
        <v>0</v>
      </c>
      <c r="P32" s="65">
        <f t="shared" si="11"/>
        <v>0</v>
      </c>
      <c r="Q32" s="78">
        <f>SUM(G32:P32)</f>
        <v>5590604.9470000006</v>
      </c>
      <c r="R32" s="52"/>
      <c r="W32" s="51"/>
      <c r="X32" s="45"/>
    </row>
    <row r="33" spans="2:24" ht="16.2" thickBot="1" x14ac:dyDescent="0.35">
      <c r="B33" s="28" t="s">
        <v>48</v>
      </c>
      <c r="C33" s="28"/>
      <c r="D33" s="28"/>
      <c r="E33" s="28"/>
      <c r="F33" s="28"/>
      <c r="G33" s="29">
        <f>G31-G32</f>
        <v>-593950.53000000119</v>
      </c>
      <c r="H33" s="29">
        <f t="shared" ref="H33:O33" si="12">H31-H32</f>
        <v>54787928.480599999</v>
      </c>
      <c r="I33" s="29">
        <f t="shared" si="12"/>
        <v>54787928.480599999</v>
      </c>
      <c r="J33" s="29">
        <f t="shared" si="12"/>
        <v>54787928.480599999</v>
      </c>
      <c r="K33" s="29">
        <f t="shared" si="12"/>
        <v>54787928.480599999</v>
      </c>
      <c r="L33" s="29">
        <f t="shared" si="12"/>
        <v>54787928.480599999</v>
      </c>
      <c r="M33" s="29">
        <f t="shared" si="12"/>
        <v>0</v>
      </c>
      <c r="N33" s="29">
        <f t="shared" si="12"/>
        <v>0</v>
      </c>
      <c r="O33" s="29">
        <f t="shared" si="12"/>
        <v>0</v>
      </c>
      <c r="P33" s="29">
        <f>P31-P32</f>
        <v>0</v>
      </c>
      <c r="Q33" s="79">
        <f>Q31-Q32</f>
        <v>273345691.87299997</v>
      </c>
      <c r="R33" s="50"/>
      <c r="W33" s="50"/>
      <c r="X33" s="45"/>
    </row>
    <row r="34" spans="2:24" x14ac:dyDescent="0.3">
      <c r="Q34" s="70"/>
      <c r="R34" s="45"/>
      <c r="W34" s="45"/>
      <c r="X34" s="45"/>
    </row>
    <row r="35" spans="2:24" x14ac:dyDescent="0.3">
      <c r="B35" s="15" t="s">
        <v>22</v>
      </c>
      <c r="C35" s="15"/>
      <c r="D35" s="15"/>
      <c r="E35" s="15"/>
      <c r="F35" s="30"/>
      <c r="G35" s="30">
        <f>-G9</f>
        <v>-185000000</v>
      </c>
      <c r="H35" s="30">
        <f>-I9+-I10</f>
        <v>0</v>
      </c>
      <c r="I35" s="30">
        <f>-J9+-J10</f>
        <v>0</v>
      </c>
      <c r="J35" s="30">
        <f t="shared" ref="J35:P35" si="13">-P9+-P10</f>
        <v>0</v>
      </c>
      <c r="K35" s="30">
        <f t="shared" si="13"/>
        <v>0</v>
      </c>
      <c r="L35" s="30">
        <f t="shared" si="13"/>
        <v>0</v>
      </c>
      <c r="M35" s="30">
        <f t="shared" si="13"/>
        <v>0</v>
      </c>
      <c r="N35" s="30">
        <f t="shared" si="13"/>
        <v>0</v>
      </c>
      <c r="O35" s="30">
        <f t="shared" si="13"/>
        <v>0</v>
      </c>
      <c r="P35" s="30">
        <f t="shared" si="13"/>
        <v>0</v>
      </c>
      <c r="Q35" s="30">
        <f>SUM(F35:P35)</f>
        <v>-185000000</v>
      </c>
      <c r="R35" s="51"/>
      <c r="W35" s="51"/>
      <c r="X35" s="45"/>
    </row>
    <row r="36" spans="2:24" x14ac:dyDescent="0.3">
      <c r="B36" t="s">
        <v>23</v>
      </c>
      <c r="F36" s="27">
        <f>F35</f>
        <v>0</v>
      </c>
      <c r="G36" s="27">
        <f t="shared" ref="G36:Q36" si="14">G35+G33+G28</f>
        <v>-185593950.53</v>
      </c>
      <c r="H36" s="27">
        <f t="shared" si="14"/>
        <v>91787928.480599999</v>
      </c>
      <c r="I36" s="27">
        <f t="shared" si="14"/>
        <v>91787928.480599999</v>
      </c>
      <c r="J36" s="27">
        <f t="shared" si="14"/>
        <v>91787928.480599999</v>
      </c>
      <c r="K36" s="27">
        <f t="shared" si="14"/>
        <v>91787928.480599999</v>
      </c>
      <c r="L36" s="27">
        <f t="shared" si="14"/>
        <v>91787928.480599999</v>
      </c>
      <c r="M36" s="27">
        <f t="shared" si="14"/>
        <v>0</v>
      </c>
      <c r="N36" s="27">
        <f t="shared" si="14"/>
        <v>0</v>
      </c>
      <c r="O36" s="27">
        <f t="shared" si="14"/>
        <v>0</v>
      </c>
      <c r="P36" s="27">
        <f>P35+P33+P28</f>
        <v>0</v>
      </c>
      <c r="Q36" s="27">
        <f t="shared" si="14"/>
        <v>273345691.87299997</v>
      </c>
      <c r="R36" s="51"/>
      <c r="S36" s="32"/>
      <c r="T36" s="9"/>
      <c r="U36" s="32"/>
      <c r="V36" s="9"/>
      <c r="W36" s="51"/>
      <c r="X36" s="45"/>
    </row>
    <row r="37" spans="2:24" x14ac:dyDescent="0.3">
      <c r="B37" t="s">
        <v>24</v>
      </c>
      <c r="F37" s="27">
        <f>F36</f>
        <v>0</v>
      </c>
      <c r="G37" s="27">
        <f>F37+G36</f>
        <v>-185593950.53</v>
      </c>
      <c r="H37" s="27">
        <f t="shared" ref="H37:P37" si="15">G37+H36</f>
        <v>-93806022.049400002</v>
      </c>
      <c r="I37" s="27">
        <f t="shared" si="15"/>
        <v>-2018093.5688000023</v>
      </c>
      <c r="J37" s="27">
        <f t="shared" si="15"/>
        <v>89769834.911799997</v>
      </c>
      <c r="K37" s="27">
        <f t="shared" si="15"/>
        <v>181557763.3924</v>
      </c>
      <c r="L37" s="27">
        <f t="shared" si="15"/>
        <v>273345691.87300003</v>
      </c>
      <c r="M37" s="27">
        <f t="shared" si="15"/>
        <v>273345691.87300003</v>
      </c>
      <c r="N37" s="27">
        <f t="shared" si="15"/>
        <v>273345691.87300003</v>
      </c>
      <c r="O37" s="27">
        <f t="shared" si="15"/>
        <v>273345691.87300003</v>
      </c>
      <c r="P37" s="27">
        <f t="shared" si="15"/>
        <v>273345691.87300003</v>
      </c>
      <c r="Q37" s="80"/>
      <c r="R37" s="51"/>
      <c r="S37" s="34"/>
      <c r="T37" s="34"/>
      <c r="U37" s="34"/>
      <c r="V37" s="34"/>
      <c r="W37" s="51"/>
      <c r="X37" s="45"/>
    </row>
    <row r="38" spans="2:24" x14ac:dyDescent="0.3">
      <c r="B38" t="s">
        <v>25</v>
      </c>
      <c r="F38" s="27"/>
      <c r="G38" s="31">
        <f>IF(AND(F37&lt;0,G37&gt;0),G43-(G37/G36),0)</f>
        <v>0</v>
      </c>
      <c r="H38" s="31">
        <f t="shared" ref="H38:J38" si="16">IF(AND(G37&lt;0,H37&gt;0),H43-(H37/H36),0)</f>
        <v>0</v>
      </c>
      <c r="I38" s="31">
        <f t="shared" si="16"/>
        <v>0</v>
      </c>
      <c r="J38" s="31">
        <f t="shared" si="16"/>
        <v>3.0219864812531045</v>
      </c>
      <c r="K38" s="31"/>
      <c r="L38" s="31"/>
      <c r="M38" s="31"/>
      <c r="N38" s="31"/>
      <c r="O38" s="31"/>
      <c r="P38" s="31">
        <f>IF(AND(J37&lt;0,P37&gt;0),P43-(P37/P36),0)</f>
        <v>0</v>
      </c>
      <c r="Q38" s="81"/>
      <c r="R38" s="31"/>
      <c r="S38" s="35"/>
      <c r="T38" s="35"/>
      <c r="U38" s="35"/>
      <c r="V38" s="35"/>
      <c r="W38" s="31"/>
    </row>
    <row r="39" spans="2:24" x14ac:dyDescent="0.3">
      <c r="B39" s="54" t="s">
        <v>26</v>
      </c>
      <c r="C39" s="55"/>
      <c r="D39" s="55"/>
      <c r="E39" s="55"/>
      <c r="F39" s="91">
        <f>IRR(F36:P36)</f>
        <v>0.40386604939714443</v>
      </c>
      <c r="S39" s="35"/>
      <c r="T39" s="35"/>
      <c r="U39" s="35"/>
      <c r="V39" s="35"/>
    </row>
    <row r="40" spans="2:24" x14ac:dyDescent="0.3">
      <c r="B40" s="56" t="s">
        <v>27</v>
      </c>
      <c r="C40" s="57"/>
      <c r="D40" s="57"/>
      <c r="E40" s="57"/>
      <c r="F40" s="58">
        <f>NPV(F4,G36:P36)+F36</f>
        <v>147595013.04151568</v>
      </c>
      <c r="H40" s="89"/>
      <c r="I40" s="14"/>
      <c r="S40" s="35"/>
      <c r="T40" s="35"/>
      <c r="U40" s="35"/>
      <c r="V40" s="35"/>
    </row>
    <row r="41" spans="2:24" x14ac:dyDescent="0.3">
      <c r="B41" s="56" t="s">
        <v>28</v>
      </c>
      <c r="C41" s="57"/>
      <c r="D41" s="57"/>
      <c r="E41" s="57"/>
      <c r="F41" s="59">
        <f>Q27</f>
        <v>0.2612253923536037</v>
      </c>
      <c r="H41" s="66"/>
      <c r="S41" s="35"/>
      <c r="T41" s="35"/>
      <c r="U41" s="35"/>
      <c r="V41" s="35"/>
    </row>
    <row r="42" spans="2:24" x14ac:dyDescent="0.3">
      <c r="B42" s="60" t="s">
        <v>29</v>
      </c>
      <c r="C42" s="61"/>
      <c r="D42" s="61"/>
      <c r="E42" s="61"/>
      <c r="F42" s="62">
        <f>SUM(F38:P38)</f>
        <v>3.0219864812531045</v>
      </c>
      <c r="S42" s="35"/>
      <c r="T42" s="35"/>
      <c r="U42" s="35"/>
      <c r="V42" s="35"/>
    </row>
    <row r="43" spans="2:24" x14ac:dyDescent="0.3">
      <c r="G43" s="9">
        <v>1</v>
      </c>
      <c r="H43" s="32">
        <v>2</v>
      </c>
      <c r="I43" s="9">
        <v>3</v>
      </c>
      <c r="J43" s="152" t="s">
        <v>151</v>
      </c>
      <c r="K43" s="152" t="s">
        <v>152</v>
      </c>
      <c r="L43" s="152" t="s">
        <v>153</v>
      </c>
      <c r="M43" s="152" t="s">
        <v>154</v>
      </c>
      <c r="N43" s="152" t="s">
        <v>155</v>
      </c>
      <c r="O43" s="152" t="s">
        <v>156</v>
      </c>
      <c r="P43" s="152" t="s">
        <v>157</v>
      </c>
      <c r="Q43" s="32"/>
      <c r="R43" s="9"/>
      <c r="S43" s="42"/>
      <c r="T43" s="42"/>
      <c r="U43" s="42"/>
      <c r="V43" s="42"/>
    </row>
    <row r="44" spans="2:24" x14ac:dyDescent="0.3">
      <c r="B44" s="33" t="s">
        <v>30</v>
      </c>
      <c r="E44" s="34" t="s">
        <v>31</v>
      </c>
      <c r="G44" s="34" t="str">
        <f t="shared" ref="G44:P44" si="17">G12</f>
        <v>Year 1</v>
      </c>
      <c r="H44" s="34" t="str">
        <f t="shared" si="17"/>
        <v>Year 2</v>
      </c>
      <c r="I44" s="34" t="str">
        <f t="shared" si="17"/>
        <v>Year 3</v>
      </c>
      <c r="J44" s="34" t="str">
        <f t="shared" si="17"/>
        <v>Year 4</v>
      </c>
      <c r="K44" s="34" t="str">
        <f t="shared" si="17"/>
        <v>Year 5</v>
      </c>
      <c r="L44" s="34" t="str">
        <f t="shared" si="17"/>
        <v>Year 6</v>
      </c>
      <c r="M44" s="34" t="str">
        <f t="shared" si="17"/>
        <v>Year 7</v>
      </c>
      <c r="N44" s="34" t="str">
        <f t="shared" si="17"/>
        <v>Year 8</v>
      </c>
      <c r="O44" s="34" t="str">
        <f t="shared" si="17"/>
        <v>Year 9</v>
      </c>
      <c r="P44" s="34" t="str">
        <f t="shared" si="17"/>
        <v>Year 10</v>
      </c>
      <c r="Q44" s="34"/>
      <c r="R44" s="34"/>
      <c r="W44" s="34"/>
    </row>
    <row r="45" spans="2:24" x14ac:dyDescent="0.3">
      <c r="D45" t="s">
        <v>6</v>
      </c>
      <c r="E45">
        <v>10</v>
      </c>
      <c r="G45" s="68"/>
      <c r="H45" s="35">
        <f>G45</f>
        <v>0</v>
      </c>
      <c r="I45" s="35">
        <f t="shared" ref="I45:P46" si="18">H45</f>
        <v>0</v>
      </c>
      <c r="J45" s="35">
        <f t="shared" si="18"/>
        <v>0</v>
      </c>
      <c r="K45" s="35">
        <f t="shared" si="18"/>
        <v>0</v>
      </c>
      <c r="L45" s="35">
        <f t="shared" si="18"/>
        <v>0</v>
      </c>
      <c r="M45" s="35">
        <f t="shared" si="18"/>
        <v>0</v>
      </c>
      <c r="N45" s="35">
        <f t="shared" si="18"/>
        <v>0</v>
      </c>
      <c r="O45" s="35">
        <f t="shared" si="18"/>
        <v>0</v>
      </c>
      <c r="P45" s="35">
        <f t="shared" si="18"/>
        <v>0</v>
      </c>
      <c r="Q45" s="35"/>
      <c r="R45" s="35"/>
      <c r="W45" s="36"/>
    </row>
    <row r="46" spans="2:24" x14ac:dyDescent="0.3">
      <c r="D46" t="s">
        <v>7</v>
      </c>
      <c r="E46">
        <v>5</v>
      </c>
      <c r="H46" s="68">
        <f>G9/E46</f>
        <v>37000000</v>
      </c>
      <c r="I46" s="36">
        <f>H46</f>
        <v>37000000</v>
      </c>
      <c r="J46" s="35">
        <f>H46</f>
        <v>37000000</v>
      </c>
      <c r="K46" s="35">
        <f>J46</f>
        <v>37000000</v>
      </c>
      <c r="L46" s="35">
        <f t="shared" si="18"/>
        <v>37000000</v>
      </c>
      <c r="M46" s="35"/>
      <c r="N46" s="35"/>
      <c r="O46" s="35"/>
      <c r="P46" s="35"/>
      <c r="Q46" s="35"/>
      <c r="R46" s="35"/>
      <c r="W46" s="36"/>
    </row>
    <row r="47" spans="2:24" hidden="1" x14ac:dyDescent="0.3">
      <c r="D47" t="s">
        <v>8</v>
      </c>
      <c r="E47">
        <v>8</v>
      </c>
      <c r="H47" s="68"/>
      <c r="J47" s="35"/>
      <c r="K47" s="35"/>
      <c r="L47" s="35"/>
      <c r="M47" s="35"/>
      <c r="N47" s="35"/>
      <c r="O47" s="35"/>
      <c r="P47" s="35"/>
      <c r="Q47" s="35"/>
      <c r="R47" s="35"/>
      <c r="W47" s="36"/>
    </row>
    <row r="48" spans="2:24" hidden="1" x14ac:dyDescent="0.3">
      <c r="D48" t="s">
        <v>9</v>
      </c>
      <c r="E48">
        <v>7</v>
      </c>
      <c r="H48" s="68"/>
      <c r="J48" s="35"/>
      <c r="K48" s="35"/>
      <c r="L48" s="35"/>
      <c r="M48" s="35"/>
      <c r="N48" s="35"/>
      <c r="O48" s="35"/>
      <c r="P48" s="35"/>
      <c r="Q48" s="35"/>
      <c r="R48" s="35"/>
      <c r="W48" s="36"/>
    </row>
    <row r="49" spans="2:26" hidden="1" x14ac:dyDescent="0.3">
      <c r="D49" t="s">
        <v>10</v>
      </c>
      <c r="E49">
        <v>6</v>
      </c>
      <c r="H49" s="68"/>
      <c r="J49" s="35"/>
      <c r="K49" s="35"/>
      <c r="L49" s="35"/>
      <c r="M49" s="35"/>
      <c r="N49" s="35"/>
      <c r="O49" s="35"/>
      <c r="P49" s="35"/>
      <c r="Q49" s="35"/>
      <c r="R49" s="35"/>
      <c r="W49" s="36"/>
    </row>
    <row r="50" spans="2:26" hidden="1" x14ac:dyDescent="0.3">
      <c r="D50" t="s">
        <v>42</v>
      </c>
      <c r="E50">
        <v>5</v>
      </c>
      <c r="H50" s="68"/>
      <c r="J50" s="35"/>
      <c r="K50" s="35"/>
      <c r="L50" s="35"/>
      <c r="M50" s="35"/>
      <c r="N50" s="35"/>
      <c r="O50" s="35"/>
      <c r="P50" s="35"/>
      <c r="Q50" s="35"/>
      <c r="R50" s="35"/>
      <c r="W50" s="36"/>
    </row>
    <row r="51" spans="2:26" hidden="1" x14ac:dyDescent="0.3">
      <c r="D51" t="s">
        <v>43</v>
      </c>
      <c r="E51">
        <v>4</v>
      </c>
      <c r="H51" s="68"/>
      <c r="J51" s="35"/>
      <c r="K51" s="35"/>
      <c r="L51" s="35"/>
      <c r="M51" s="35"/>
      <c r="N51" s="35"/>
      <c r="O51" s="35"/>
      <c r="P51" s="35"/>
      <c r="Q51" s="35"/>
      <c r="R51" s="35"/>
      <c r="W51" s="36"/>
    </row>
    <row r="52" spans="2:26" hidden="1" x14ac:dyDescent="0.3">
      <c r="D52" t="s">
        <v>44</v>
      </c>
      <c r="E52">
        <v>3</v>
      </c>
      <c r="I52" s="68">
        <f>J$9/$E52</f>
        <v>0</v>
      </c>
      <c r="P52" s="35">
        <f>I52</f>
        <v>0</v>
      </c>
      <c r="Q52" s="35"/>
      <c r="R52" s="35"/>
      <c r="W52" s="36"/>
    </row>
    <row r="53" spans="2:26" hidden="1" x14ac:dyDescent="0.3">
      <c r="D53" t="s">
        <v>45</v>
      </c>
      <c r="E53">
        <v>2</v>
      </c>
      <c r="J53" s="68"/>
      <c r="K53" s="68"/>
      <c r="L53" s="68"/>
      <c r="M53" s="68"/>
      <c r="N53" s="68"/>
      <c r="O53" s="68"/>
      <c r="Q53" s="35"/>
      <c r="R53" s="35"/>
      <c r="W53" s="36"/>
    </row>
    <row r="54" spans="2:26" hidden="1" x14ac:dyDescent="0.3">
      <c r="D54" t="s">
        <v>46</v>
      </c>
      <c r="E54">
        <v>1</v>
      </c>
      <c r="P54" s="68"/>
      <c r="Q54" s="35"/>
      <c r="R54" s="35"/>
      <c r="W54" s="36"/>
    </row>
    <row r="55" spans="2:26" ht="16.2" thickBot="1" x14ac:dyDescent="0.35">
      <c r="B55" s="37" t="s">
        <v>32</v>
      </c>
      <c r="C55" s="38"/>
      <c r="D55" s="38"/>
      <c r="E55" s="38"/>
      <c r="F55" s="38"/>
      <c r="G55" s="39">
        <f>SUM(G45:G53)</f>
        <v>0</v>
      </c>
      <c r="H55" s="39">
        <f>SUM(H45:H53)</f>
        <v>37000000</v>
      </c>
      <c r="I55" s="39">
        <f>SUM(I45:I53)</f>
        <v>37000000</v>
      </c>
      <c r="J55" s="39">
        <f>SUM(J45:J53)</f>
        <v>37000000</v>
      </c>
      <c r="K55" s="39">
        <f t="shared" ref="K55:P55" si="19">SUM(K45:K53)</f>
        <v>37000000</v>
      </c>
      <c r="L55" s="39">
        <f t="shared" si="19"/>
        <v>37000000</v>
      </c>
      <c r="M55" s="39">
        <f t="shared" si="19"/>
        <v>0</v>
      </c>
      <c r="N55" s="39">
        <f t="shared" si="19"/>
        <v>0</v>
      </c>
      <c r="O55" s="39">
        <f t="shared" si="19"/>
        <v>0</v>
      </c>
      <c r="P55" s="39">
        <f t="shared" si="19"/>
        <v>0</v>
      </c>
      <c r="Q55" s="42"/>
      <c r="R55" s="42"/>
      <c r="W55" s="42"/>
      <c r="X55" s="40"/>
      <c r="Y55" s="40"/>
      <c r="Z55" s="40"/>
    </row>
    <row r="56" spans="2:26" ht="16.2" thickTop="1" x14ac:dyDescent="0.3">
      <c r="W56" s="14"/>
    </row>
    <row r="58" spans="2:26" x14ac:dyDescent="0.3">
      <c r="F58" t="s">
        <v>49</v>
      </c>
    </row>
  </sheetData>
  <mergeCells count="2">
    <mergeCell ref="S15:T15"/>
    <mergeCell ref="E18:F18"/>
  </mergeCells>
  <pageMargins left="0.25" right="0.25" top="0.75" bottom="0.75" header="0.3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K44"/>
  <sheetViews>
    <sheetView zoomScaleNormal="100" workbookViewId="0">
      <selection activeCell="D43" sqref="D43"/>
    </sheetView>
  </sheetViews>
  <sheetFormatPr defaultRowHeight="15.6" x14ac:dyDescent="0.3"/>
  <cols>
    <col min="1" max="1" width="13.5" bestFit="1" customWidth="1"/>
    <col min="2" max="2" width="15.8984375" bestFit="1" customWidth="1"/>
    <col min="3" max="4" width="13.69921875" bestFit="1" customWidth="1"/>
    <col min="5" max="5" width="14.8984375" customWidth="1"/>
    <col min="6" max="6" width="14" customWidth="1"/>
    <col min="7" max="7" width="12.09765625" bestFit="1" customWidth="1"/>
    <col min="8" max="8" width="16.69921875" customWidth="1"/>
    <col min="9" max="9" width="15.3984375" customWidth="1"/>
    <col min="10" max="11" width="13.69921875" bestFit="1" customWidth="1"/>
  </cols>
  <sheetData>
    <row r="1" spans="1:11" x14ac:dyDescent="0.3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</row>
    <row r="2" spans="1:11" x14ac:dyDescent="0.3">
      <c r="A2" t="s">
        <v>50</v>
      </c>
      <c r="B2" s="92">
        <f>IRR!G9</f>
        <v>0</v>
      </c>
      <c r="C2" s="14">
        <f>$B$2-$B$4</f>
        <v>0</v>
      </c>
      <c r="D2" s="14">
        <f>$C$2-$B$4</f>
        <v>0</v>
      </c>
      <c r="E2" s="14">
        <f>$D$2-$B$4</f>
        <v>0</v>
      </c>
      <c r="F2" s="14">
        <f>$E$2-$B$4</f>
        <v>0</v>
      </c>
      <c r="G2" s="14">
        <f>$F$2-$B$4</f>
        <v>0</v>
      </c>
      <c r="H2" s="14">
        <f>$G$2-$B$4</f>
        <v>0</v>
      </c>
      <c r="I2" s="14">
        <f>$H$2-$B$4</f>
        <v>0</v>
      </c>
      <c r="J2" s="14">
        <f>$I$2-$B$4</f>
        <v>0</v>
      </c>
      <c r="K2" s="14">
        <f>$J$2-$B$4</f>
        <v>0</v>
      </c>
    </row>
    <row r="3" spans="1:11" x14ac:dyDescent="0.3">
      <c r="A3" t="s">
        <v>51</v>
      </c>
      <c r="B3" s="92">
        <v>5</v>
      </c>
    </row>
    <row r="4" spans="1:11" x14ac:dyDescent="0.3">
      <c r="A4" t="s">
        <v>52</v>
      </c>
      <c r="B4" s="92">
        <f>$B$2/$B$3</f>
        <v>0</v>
      </c>
    </row>
    <row r="5" spans="1:11" x14ac:dyDescent="0.3">
      <c r="A5" t="s">
        <v>53</v>
      </c>
      <c r="B5" s="92">
        <f>(($B$2*IRR!$F$4)*6)/12</f>
        <v>0</v>
      </c>
      <c r="C5" s="14">
        <f>AVERAGE(B2:C2)*IRR!$F$4</f>
        <v>0</v>
      </c>
      <c r="D5" s="14">
        <f>AVERAGE(C2:D2)*IRR!$F$4</f>
        <v>0</v>
      </c>
      <c r="E5" s="14">
        <f>AVERAGE(D2:E2)*IRR!$F$4</f>
        <v>0</v>
      </c>
      <c r="F5" s="14">
        <f>AVERAGE(E2:F2)*IRR!$F$4</f>
        <v>0</v>
      </c>
      <c r="G5" s="14">
        <f>AVERAGE(F2:G2)*IRR!$F$4</f>
        <v>0</v>
      </c>
      <c r="H5" s="14">
        <f>AVERAGE($G$2:$H$2)*[3]IRR!$G$4</f>
        <v>0</v>
      </c>
      <c r="I5" s="14">
        <f>AVERAGE($H$2:$I$2)*[3]IRR!$G$4</f>
        <v>0</v>
      </c>
      <c r="J5" s="14">
        <f>AVERAGE($I$2:$J$2)*[3]IRR!$G$4</f>
        <v>0</v>
      </c>
      <c r="K5" s="14">
        <f>AVERAGE($J$2:$K$2)*[3]IRR!$G$4</f>
        <v>0</v>
      </c>
    </row>
    <row r="10" spans="1:11" x14ac:dyDescent="0.3">
      <c r="F10" s="132" t="s">
        <v>88</v>
      </c>
      <c r="G10" s="132" t="s">
        <v>89</v>
      </c>
      <c r="H10" s="132" t="s">
        <v>90</v>
      </c>
      <c r="I10" s="133" t="s">
        <v>91</v>
      </c>
      <c r="J10" s="232" t="s">
        <v>92</v>
      </c>
      <c r="K10" s="232" t="s">
        <v>93</v>
      </c>
    </row>
    <row r="11" spans="1:11" x14ac:dyDescent="0.3">
      <c r="E11" s="134" t="s">
        <v>94</v>
      </c>
      <c r="F11" s="135">
        <v>1</v>
      </c>
      <c r="G11" s="136">
        <v>1</v>
      </c>
      <c r="H11" s="136">
        <v>1</v>
      </c>
      <c r="I11" s="137">
        <v>83</v>
      </c>
      <c r="J11" s="232"/>
      <c r="K11" s="232"/>
    </row>
    <row r="12" spans="1:11" x14ac:dyDescent="0.3">
      <c r="B12" s="233" t="s">
        <v>95</v>
      </c>
      <c r="C12" s="138" t="s">
        <v>96</v>
      </c>
      <c r="D12" s="139">
        <f>C24</f>
        <v>2500000</v>
      </c>
      <c r="E12" s="138" t="s">
        <v>88</v>
      </c>
      <c r="F12" s="132">
        <f>F11</f>
        <v>1</v>
      </c>
      <c r="G12" s="132"/>
      <c r="H12" s="132"/>
      <c r="I12" s="133"/>
      <c r="J12" s="140">
        <f>F12*D12</f>
        <v>2500000</v>
      </c>
    </row>
    <row r="13" spans="1:11" x14ac:dyDescent="0.3">
      <c r="B13" s="234"/>
      <c r="C13" s="138" t="s">
        <v>97</v>
      </c>
      <c r="D13" s="141">
        <v>600000</v>
      </c>
      <c r="E13" s="138" t="s">
        <v>88</v>
      </c>
      <c r="F13" s="132">
        <f>F11</f>
        <v>1</v>
      </c>
      <c r="G13" s="132"/>
      <c r="H13" s="132"/>
      <c r="I13" s="133">
        <f>IF($I$10&lt;=120,2,IF($I$10&gt;220,4,3))</f>
        <v>4</v>
      </c>
      <c r="J13" s="141">
        <f>D13*F13</f>
        <v>600000</v>
      </c>
    </row>
    <row r="14" spans="1:11" x14ac:dyDescent="0.3">
      <c r="B14" s="235"/>
      <c r="C14" s="138" t="s">
        <v>95</v>
      </c>
      <c r="D14" s="141">
        <v>200000</v>
      </c>
      <c r="E14" s="138" t="s">
        <v>98</v>
      </c>
      <c r="F14" s="132"/>
      <c r="G14" s="132">
        <f>G11</f>
        <v>1</v>
      </c>
      <c r="H14" s="132"/>
      <c r="I14" s="133"/>
      <c r="J14" s="141">
        <f>G14*D14</f>
        <v>200000</v>
      </c>
    </row>
    <row r="15" spans="1:11" x14ac:dyDescent="0.3">
      <c r="B15" s="138" t="s">
        <v>99</v>
      </c>
      <c r="C15" s="138" t="s">
        <v>99</v>
      </c>
      <c r="D15" s="141">
        <v>450000</v>
      </c>
      <c r="E15" s="138" t="s">
        <v>90</v>
      </c>
      <c r="F15" s="132">
        <f>F11</f>
        <v>1</v>
      </c>
      <c r="G15" s="132"/>
      <c r="H15" s="132">
        <f>H11</f>
        <v>1</v>
      </c>
      <c r="I15" s="133">
        <f t="shared" ref="I15:I16" si="0">IF($I$10&lt;=120,2,IF($I$10&gt;220,4,3))</f>
        <v>4</v>
      </c>
      <c r="J15" s="141">
        <f>H15*D15*I15</f>
        <v>1800000</v>
      </c>
    </row>
    <row r="16" spans="1:11" x14ac:dyDescent="0.3">
      <c r="B16" s="138" t="s">
        <v>100</v>
      </c>
      <c r="C16" s="138" t="s">
        <v>100</v>
      </c>
      <c r="D16" s="141">
        <v>120000</v>
      </c>
      <c r="E16" s="138" t="s">
        <v>88</v>
      </c>
      <c r="F16" s="132">
        <f>F11</f>
        <v>1</v>
      </c>
      <c r="G16" s="132"/>
      <c r="H16" s="132"/>
      <c r="I16" s="133">
        <f t="shared" si="0"/>
        <v>4</v>
      </c>
      <c r="J16" s="141">
        <f>I16*D16*F16</f>
        <v>480000</v>
      </c>
    </row>
    <row r="17" spans="1:11" x14ac:dyDescent="0.3">
      <c r="J17" s="142">
        <f>SUM(J12:J16)</f>
        <v>5580000</v>
      </c>
      <c r="K17" s="143">
        <f>J17*2</f>
        <v>11160000</v>
      </c>
    </row>
    <row r="20" spans="1:11" x14ac:dyDescent="0.3">
      <c r="K20" s="14">
        <f>K17+B24+B34*2</f>
        <v>40760000</v>
      </c>
    </row>
    <row r="21" spans="1:11" x14ac:dyDescent="0.3">
      <c r="B21" s="132" t="s">
        <v>101</v>
      </c>
      <c r="C21" s="132" t="s">
        <v>96</v>
      </c>
      <c r="E21" s="138" t="s">
        <v>102</v>
      </c>
      <c r="K21" s="36"/>
    </row>
    <row r="22" spans="1:11" x14ac:dyDescent="0.3">
      <c r="A22" t="s">
        <v>103</v>
      </c>
      <c r="B22" s="92">
        <v>16800000</v>
      </c>
      <c r="C22" s="92">
        <v>4000000</v>
      </c>
      <c r="E22" t="s">
        <v>104</v>
      </c>
      <c r="K22" s="14"/>
    </row>
    <row r="23" spans="1:11" x14ac:dyDescent="0.3">
      <c r="A23" t="s">
        <v>105</v>
      </c>
      <c r="B23" s="92"/>
      <c r="C23" s="92">
        <v>3000000</v>
      </c>
      <c r="E23" t="s">
        <v>106</v>
      </c>
      <c r="I23" s="92">
        <v>10000000</v>
      </c>
    </row>
    <row r="24" spans="1:11" x14ac:dyDescent="0.3">
      <c r="A24" t="s">
        <v>107</v>
      </c>
      <c r="B24" s="92">
        <v>15600000</v>
      </c>
      <c r="C24" s="92">
        <v>2500000</v>
      </c>
      <c r="E24" t="s">
        <v>106</v>
      </c>
      <c r="H24" t="s">
        <v>108</v>
      </c>
      <c r="I24" s="92">
        <v>12000000</v>
      </c>
    </row>
    <row r="25" spans="1:11" x14ac:dyDescent="0.3">
      <c r="A25" t="s">
        <v>109</v>
      </c>
      <c r="B25" s="92">
        <v>15000000</v>
      </c>
      <c r="C25" s="92">
        <v>2000000</v>
      </c>
      <c r="E25" t="s">
        <v>106</v>
      </c>
      <c r="H25" t="s">
        <v>110</v>
      </c>
      <c r="I25" s="92">
        <v>14000000</v>
      </c>
    </row>
    <row r="26" spans="1:11" x14ac:dyDescent="0.3">
      <c r="A26" t="s">
        <v>111</v>
      </c>
      <c r="B26" s="92">
        <v>15000000</v>
      </c>
      <c r="C26" s="92">
        <v>1850000</v>
      </c>
      <c r="E26" t="s">
        <v>106</v>
      </c>
      <c r="H26" t="s">
        <v>112</v>
      </c>
      <c r="I26" s="92">
        <v>14000000</v>
      </c>
    </row>
    <row r="27" spans="1:11" x14ac:dyDescent="0.3">
      <c r="A27" t="s">
        <v>113</v>
      </c>
      <c r="B27" s="92">
        <v>12000000</v>
      </c>
      <c r="C27" s="92">
        <v>1200000</v>
      </c>
      <c r="E27" t="s">
        <v>106</v>
      </c>
      <c r="H27" t="s">
        <v>103</v>
      </c>
      <c r="I27" s="92">
        <v>17000000</v>
      </c>
    </row>
    <row r="28" spans="1:11" x14ac:dyDescent="0.3">
      <c r="A28" t="s">
        <v>114</v>
      </c>
      <c r="B28" s="92">
        <v>16800000</v>
      </c>
      <c r="C28" s="92">
        <v>2000000</v>
      </c>
      <c r="E28" t="s">
        <v>106</v>
      </c>
      <c r="H28" t="s">
        <v>114</v>
      </c>
      <c r="I28" s="92">
        <v>14000000</v>
      </c>
    </row>
    <row r="29" spans="1:11" x14ac:dyDescent="0.3">
      <c r="A29" t="s">
        <v>115</v>
      </c>
      <c r="B29" s="92">
        <v>15720000</v>
      </c>
      <c r="C29" s="92">
        <v>3500000</v>
      </c>
    </row>
    <row r="30" spans="1:11" x14ac:dyDescent="0.3">
      <c r="A30" t="s">
        <v>116</v>
      </c>
      <c r="C30" s="92">
        <v>2800000</v>
      </c>
    </row>
    <row r="31" spans="1:11" x14ac:dyDescent="0.3">
      <c r="A31" t="s">
        <v>117</v>
      </c>
      <c r="B31">
        <v>0</v>
      </c>
      <c r="C31" s="92">
        <v>0</v>
      </c>
      <c r="D31" t="s">
        <v>118</v>
      </c>
    </row>
    <row r="33" spans="1:3" x14ac:dyDescent="0.3">
      <c r="B33" s="132" t="s">
        <v>119</v>
      </c>
      <c r="C33" s="132"/>
    </row>
    <row r="34" spans="1:3" x14ac:dyDescent="0.3">
      <c r="B34" s="92">
        <v>7000000</v>
      </c>
    </row>
    <row r="36" spans="1:3" x14ac:dyDescent="0.3">
      <c r="A36" s="138" t="s">
        <v>120</v>
      </c>
      <c r="B36" s="14"/>
    </row>
    <row r="37" spans="1:3" x14ac:dyDescent="0.3">
      <c r="A37" t="s">
        <v>121</v>
      </c>
    </row>
    <row r="38" spans="1:3" x14ac:dyDescent="0.3">
      <c r="A38" t="s">
        <v>122</v>
      </c>
      <c r="B38" s="92">
        <v>36000000</v>
      </c>
    </row>
    <row r="39" spans="1:3" x14ac:dyDescent="0.3">
      <c r="A39" t="s">
        <v>123</v>
      </c>
      <c r="B39" s="92">
        <v>42000000</v>
      </c>
    </row>
    <row r="40" spans="1:3" x14ac:dyDescent="0.3">
      <c r="A40" t="s">
        <v>124</v>
      </c>
      <c r="B40" s="92">
        <v>48000000</v>
      </c>
    </row>
    <row r="42" spans="1:3" x14ac:dyDescent="0.3">
      <c r="A42" t="s">
        <v>125</v>
      </c>
    </row>
    <row r="43" spans="1:3" x14ac:dyDescent="0.3">
      <c r="A43" t="s">
        <v>126</v>
      </c>
      <c r="B43" s="92">
        <v>75000000</v>
      </c>
    </row>
    <row r="44" spans="1:3" x14ac:dyDescent="0.3">
      <c r="A44" t="s">
        <v>124</v>
      </c>
      <c r="B44" s="92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9C95A-27C1-4B47-89C3-6F46A5AAED7E}">
  <dimension ref="A1:D20"/>
  <sheetViews>
    <sheetView workbookViewId="0">
      <selection activeCell="C18" sqref="A1:D18"/>
    </sheetView>
  </sheetViews>
  <sheetFormatPr defaultRowHeight="15.6" x14ac:dyDescent="0.3"/>
  <cols>
    <col min="2" max="2" width="21.3984375" bestFit="1" customWidth="1"/>
    <col min="3" max="4" width="39.09765625" bestFit="1" customWidth="1"/>
  </cols>
  <sheetData>
    <row r="1" spans="1:4" ht="21" x14ac:dyDescent="0.4">
      <c r="A1" s="171"/>
      <c r="B1" s="171"/>
      <c r="C1" s="172" t="s">
        <v>173</v>
      </c>
      <c r="D1" s="171"/>
    </row>
    <row r="2" spans="1:4" x14ac:dyDescent="0.3">
      <c r="A2" s="171"/>
      <c r="B2" s="171"/>
      <c r="C2" s="171"/>
      <c r="D2" s="171"/>
    </row>
    <row r="3" spans="1:4" x14ac:dyDescent="0.3">
      <c r="A3" s="173" t="s">
        <v>174</v>
      </c>
      <c r="B3" s="173"/>
      <c r="C3" s="173" t="s">
        <v>193</v>
      </c>
      <c r="D3" s="171"/>
    </row>
    <row r="4" spans="1:4" x14ac:dyDescent="0.3">
      <c r="A4" s="173" t="s">
        <v>175</v>
      </c>
      <c r="B4" s="173"/>
      <c r="C4" s="173" t="s">
        <v>194</v>
      </c>
      <c r="D4" s="171"/>
    </row>
    <row r="5" spans="1:4" x14ac:dyDescent="0.3">
      <c r="A5" s="173" t="s">
        <v>176</v>
      </c>
      <c r="B5" s="173"/>
      <c r="C5" s="173" t="s">
        <v>177</v>
      </c>
      <c r="D5" s="171"/>
    </row>
    <row r="6" spans="1:4" x14ac:dyDescent="0.3">
      <c r="A6" s="173" t="s">
        <v>178</v>
      </c>
      <c r="B6" s="173"/>
      <c r="C6" s="173" t="s">
        <v>195</v>
      </c>
      <c r="D6" s="171"/>
    </row>
    <row r="7" spans="1:4" x14ac:dyDescent="0.3">
      <c r="A7" s="173" t="s">
        <v>179</v>
      </c>
      <c r="B7" s="173"/>
      <c r="C7" s="173" t="s">
        <v>197</v>
      </c>
      <c r="D7" s="171"/>
    </row>
    <row r="8" spans="1:4" ht="16.2" thickBot="1" x14ac:dyDescent="0.35">
      <c r="A8" s="171"/>
      <c r="B8" s="171"/>
      <c r="C8" s="171"/>
      <c r="D8" s="171"/>
    </row>
    <row r="9" spans="1:4" ht="15.6" customHeight="1" x14ac:dyDescent="0.3">
      <c r="A9" s="238" t="s">
        <v>180</v>
      </c>
      <c r="B9" s="240" t="s">
        <v>181</v>
      </c>
      <c r="C9" s="240" t="s">
        <v>182</v>
      </c>
      <c r="D9" s="242" t="s">
        <v>130</v>
      </c>
    </row>
    <row r="10" spans="1:4" ht="15.6" customHeight="1" x14ac:dyDescent="0.3">
      <c r="A10" s="239"/>
      <c r="B10" s="241"/>
      <c r="C10" s="241"/>
      <c r="D10" s="243"/>
    </row>
    <row r="11" spans="1:4" x14ac:dyDescent="0.3">
      <c r="A11" s="179" t="s">
        <v>183</v>
      </c>
      <c r="B11" s="174" t="s">
        <v>184</v>
      </c>
      <c r="C11" s="175" t="s">
        <v>60</v>
      </c>
      <c r="D11" s="180" t="s">
        <v>60</v>
      </c>
    </row>
    <row r="12" spans="1:4" x14ac:dyDescent="0.3">
      <c r="A12" s="179" t="s">
        <v>185</v>
      </c>
      <c r="B12" s="174" t="s">
        <v>186</v>
      </c>
      <c r="C12" s="181" t="s">
        <v>196</v>
      </c>
      <c r="D12" s="182" t="s">
        <v>196</v>
      </c>
    </row>
    <row r="13" spans="1:4" x14ac:dyDescent="0.3">
      <c r="A13" s="179" t="s">
        <v>187</v>
      </c>
      <c r="B13" s="174" t="s">
        <v>188</v>
      </c>
      <c r="C13" s="174" t="s">
        <v>198</v>
      </c>
      <c r="D13" s="180" t="s">
        <v>199</v>
      </c>
    </row>
    <row r="14" spans="1:4" x14ac:dyDescent="0.3">
      <c r="A14" s="244">
        <v>4</v>
      </c>
      <c r="B14" s="174" t="s">
        <v>189</v>
      </c>
      <c r="C14" s="176" t="s">
        <v>200</v>
      </c>
      <c r="D14" s="183" t="s">
        <v>200</v>
      </c>
    </row>
    <row r="15" spans="1:4" x14ac:dyDescent="0.3">
      <c r="A15" s="245"/>
      <c r="B15" s="174"/>
      <c r="C15" s="176">
        <v>77777777</v>
      </c>
      <c r="D15" s="183">
        <v>77777777</v>
      </c>
    </row>
    <row r="16" spans="1:4" x14ac:dyDescent="0.3">
      <c r="A16" s="184">
        <v>5</v>
      </c>
      <c r="B16" s="177" t="s">
        <v>190</v>
      </c>
      <c r="C16" s="175" t="s">
        <v>201</v>
      </c>
      <c r="D16" s="180" t="s">
        <v>202</v>
      </c>
    </row>
    <row r="17" spans="1:4" x14ac:dyDescent="0.3">
      <c r="A17" s="185"/>
      <c r="B17" s="178"/>
      <c r="C17" s="175"/>
      <c r="D17" s="205" t="s">
        <v>235</v>
      </c>
    </row>
    <row r="18" spans="1:4" ht="15.6" customHeight="1" thickBot="1" x14ac:dyDescent="0.35">
      <c r="A18" s="186" t="s">
        <v>191</v>
      </c>
      <c r="B18" s="187" t="s">
        <v>192</v>
      </c>
      <c r="C18" s="236" t="s">
        <v>203</v>
      </c>
      <c r="D18" s="237"/>
    </row>
    <row r="20" spans="1:4" x14ac:dyDescent="0.3">
      <c r="D20" s="92">
        <f>777777777/5</f>
        <v>155555555.40000001</v>
      </c>
    </row>
  </sheetData>
  <mergeCells count="6">
    <mergeCell ref="C18:D18"/>
    <mergeCell ref="A9:A10"/>
    <mergeCell ref="B9:B10"/>
    <mergeCell ref="C9:C10"/>
    <mergeCell ref="D9:D10"/>
    <mergeCell ref="A14:A15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3A846-FD62-425D-88C7-6B9CD172CA81}">
  <dimension ref="A2:M40"/>
  <sheetViews>
    <sheetView workbookViewId="0">
      <selection activeCell="A2" sqref="A2:F40"/>
    </sheetView>
  </sheetViews>
  <sheetFormatPr defaultRowHeight="14.4" x14ac:dyDescent="0.3"/>
  <cols>
    <col min="1" max="1" width="24.3984375" style="189" customWidth="1"/>
    <col min="2" max="2" width="11.59765625" style="189" customWidth="1"/>
    <col min="3" max="3" width="12.59765625" style="189" customWidth="1"/>
    <col min="4" max="4" width="8" style="189" customWidth="1"/>
    <col min="5" max="5" width="14.5" style="189" bestFit="1" customWidth="1"/>
    <col min="6" max="6" width="12.8984375" style="189" bestFit="1" customWidth="1"/>
    <col min="7" max="16384" width="8.796875" style="189"/>
  </cols>
  <sheetData>
    <row r="2" spans="1:13" x14ac:dyDescent="0.3">
      <c r="A2" s="246" t="s">
        <v>214</v>
      </c>
      <c r="B2" s="246"/>
      <c r="C2" s="246"/>
      <c r="D2" s="246"/>
      <c r="E2" s="246"/>
      <c r="F2" s="246"/>
      <c r="G2" s="188"/>
      <c r="H2" s="188"/>
      <c r="I2" s="188"/>
      <c r="J2" s="188"/>
      <c r="K2" s="188"/>
      <c r="L2" s="188"/>
      <c r="M2" s="188"/>
    </row>
    <row r="3" spans="1:13" x14ac:dyDescent="0.3">
      <c r="A3" s="190" t="s">
        <v>204</v>
      </c>
      <c r="B3" s="190" t="s">
        <v>205</v>
      </c>
      <c r="C3" s="190" t="s">
        <v>206</v>
      </c>
      <c r="D3" s="191"/>
      <c r="G3" s="188"/>
      <c r="H3" s="188"/>
      <c r="I3" s="188"/>
      <c r="J3" s="188"/>
      <c r="K3" s="188"/>
      <c r="L3" s="188"/>
      <c r="M3" s="188"/>
    </row>
    <row r="4" spans="1:13" x14ac:dyDescent="0.3">
      <c r="A4" s="192" t="s">
        <v>207</v>
      </c>
      <c r="B4" s="193">
        <v>43904</v>
      </c>
      <c r="C4" s="193">
        <v>45729</v>
      </c>
      <c r="D4" s="194"/>
      <c r="E4" s="194"/>
      <c r="F4" s="194"/>
      <c r="G4" s="194"/>
      <c r="H4" s="188"/>
      <c r="I4" s="188"/>
      <c r="J4" s="188"/>
      <c r="K4" s="188"/>
      <c r="L4" s="188"/>
      <c r="M4" s="188"/>
    </row>
    <row r="5" spans="1:13" x14ac:dyDescent="0.3">
      <c r="A5" s="192" t="s">
        <v>208</v>
      </c>
      <c r="B5" s="193">
        <v>46023</v>
      </c>
      <c r="C5" s="193">
        <v>47848</v>
      </c>
      <c r="D5" s="202"/>
      <c r="E5" s="195"/>
      <c r="F5" s="195"/>
      <c r="G5" s="188"/>
      <c r="H5" s="188"/>
      <c r="I5" s="188"/>
      <c r="J5" s="188"/>
      <c r="K5" s="188"/>
      <c r="L5" s="188"/>
      <c r="M5" s="188"/>
    </row>
    <row r="6" spans="1:13" x14ac:dyDescent="0.3">
      <c r="A6" s="192" t="s">
        <v>209</v>
      </c>
      <c r="B6" s="193">
        <v>45260</v>
      </c>
      <c r="C6" s="193">
        <v>12356</v>
      </c>
      <c r="D6" s="202"/>
      <c r="G6" s="188"/>
      <c r="H6" s="188"/>
      <c r="I6" s="188"/>
      <c r="J6" s="188"/>
      <c r="K6" s="188"/>
      <c r="L6" s="188"/>
      <c r="M6" s="188"/>
    </row>
    <row r="7" spans="1:13" x14ac:dyDescent="0.3">
      <c r="A7" s="188"/>
      <c r="G7" s="188"/>
      <c r="H7" s="188"/>
      <c r="I7" s="188"/>
      <c r="J7" s="188"/>
      <c r="K7" s="188"/>
      <c r="L7" s="188"/>
      <c r="M7" s="188"/>
    </row>
    <row r="8" spans="1:13" x14ac:dyDescent="0.3">
      <c r="A8" s="188"/>
      <c r="B8" s="190" t="s">
        <v>205</v>
      </c>
      <c r="C8" s="190" t="s">
        <v>206</v>
      </c>
      <c r="D8" s="190" t="s">
        <v>210</v>
      </c>
      <c r="E8" s="194"/>
      <c r="F8" s="194"/>
      <c r="G8" s="188"/>
      <c r="H8" s="188"/>
      <c r="I8" s="188"/>
      <c r="J8" s="188"/>
      <c r="K8" s="188"/>
      <c r="L8" s="188"/>
      <c r="M8" s="188"/>
    </row>
    <row r="9" spans="1:13" x14ac:dyDescent="0.3">
      <c r="A9" s="188" t="s">
        <v>215</v>
      </c>
      <c r="B9" s="188"/>
      <c r="C9" s="188"/>
      <c r="D9" s="188"/>
      <c r="E9" s="188"/>
      <c r="F9" s="188"/>
      <c r="G9" s="188"/>
      <c r="H9" s="188"/>
      <c r="I9" s="188"/>
      <c r="J9" s="188"/>
      <c r="K9" s="188"/>
      <c r="L9" s="188"/>
      <c r="M9" s="188"/>
    </row>
    <row r="10" spans="1:13" x14ac:dyDescent="0.3">
      <c r="A10" s="188" t="s">
        <v>207</v>
      </c>
      <c r="B10" s="196">
        <v>45260</v>
      </c>
      <c r="C10" s="196">
        <v>45729</v>
      </c>
      <c r="D10" s="197">
        <f>C10-B10</f>
        <v>469</v>
      </c>
      <c r="E10" s="198">
        <v>171000000</v>
      </c>
      <c r="F10" s="199">
        <f>E10/365*D10</f>
        <v>219723287.67123288</v>
      </c>
      <c r="G10" s="188"/>
      <c r="H10" s="188"/>
      <c r="I10" s="188"/>
      <c r="J10" s="188"/>
      <c r="K10" s="188"/>
      <c r="L10" s="188"/>
      <c r="M10" s="188"/>
    </row>
    <row r="11" spans="1:13" x14ac:dyDescent="0.3">
      <c r="A11" s="188" t="s">
        <v>208</v>
      </c>
      <c r="B11" s="196">
        <v>46023</v>
      </c>
      <c r="C11" s="203">
        <v>47848</v>
      </c>
      <c r="D11" s="197">
        <f t="shared" ref="D11:D16" si="0">C11-B11</f>
        <v>1825</v>
      </c>
      <c r="E11" s="198">
        <v>171000000</v>
      </c>
      <c r="F11" s="199">
        <f>E11/365*D11</f>
        <v>855000000</v>
      </c>
      <c r="G11" s="188"/>
      <c r="H11" s="188"/>
      <c r="I11" s="188"/>
      <c r="J11" s="188"/>
      <c r="K11" s="188"/>
      <c r="L11" s="188"/>
      <c r="M11" s="188"/>
    </row>
    <row r="12" spans="1:13" x14ac:dyDescent="0.3">
      <c r="A12" s="188" t="s">
        <v>211</v>
      </c>
      <c r="B12" s="196">
        <v>45260</v>
      </c>
      <c r="C12" s="203">
        <v>48881</v>
      </c>
      <c r="D12" s="197">
        <f t="shared" si="0"/>
        <v>3621</v>
      </c>
      <c r="E12" s="198">
        <v>87283950.530000001</v>
      </c>
      <c r="F12" s="199">
        <f>-E12/365*D12</f>
        <v>-865904616.07980824</v>
      </c>
      <c r="G12" s="188"/>
      <c r="H12" s="188"/>
      <c r="I12" s="188"/>
      <c r="J12" s="188"/>
      <c r="K12" s="188"/>
      <c r="L12" s="188"/>
      <c r="M12" s="188"/>
    </row>
    <row r="13" spans="1:13" x14ac:dyDescent="0.3">
      <c r="A13" s="188" t="s">
        <v>216</v>
      </c>
      <c r="B13" s="196">
        <v>45260</v>
      </c>
      <c r="C13" s="203">
        <v>45729</v>
      </c>
      <c r="D13" s="197">
        <f t="shared" si="0"/>
        <v>469</v>
      </c>
      <c r="E13" s="198">
        <v>42000000</v>
      </c>
      <c r="F13" s="199">
        <f t="shared" ref="F13:F15" si="1">-E13/365*D13</f>
        <v>-53967123.287671231</v>
      </c>
      <c r="G13" s="188"/>
      <c r="H13" s="188"/>
      <c r="I13" s="188"/>
      <c r="J13" s="188"/>
      <c r="K13" s="188"/>
      <c r="L13" s="188"/>
      <c r="M13" s="188"/>
    </row>
    <row r="14" spans="1:13" x14ac:dyDescent="0.3">
      <c r="A14" s="188" t="s">
        <v>217</v>
      </c>
      <c r="B14" s="196">
        <v>46023</v>
      </c>
      <c r="C14" s="203">
        <v>47848</v>
      </c>
      <c r="D14" s="197">
        <f t="shared" si="0"/>
        <v>1825</v>
      </c>
      <c r="E14" s="198">
        <v>42000000</v>
      </c>
      <c r="F14" s="199">
        <f t="shared" si="1"/>
        <v>-210000000</v>
      </c>
      <c r="G14" s="188"/>
      <c r="H14" s="188"/>
      <c r="I14" s="188"/>
      <c r="J14" s="188"/>
      <c r="K14" s="188"/>
      <c r="L14" s="188"/>
      <c r="M14" s="188"/>
    </row>
    <row r="15" spans="1:13" x14ac:dyDescent="0.3">
      <c r="A15" s="188" t="s">
        <v>218</v>
      </c>
      <c r="B15" s="196">
        <v>45260</v>
      </c>
      <c r="C15" s="203">
        <v>45729</v>
      </c>
      <c r="D15" s="197">
        <f t="shared" si="0"/>
        <v>469</v>
      </c>
      <c r="E15" s="198">
        <f>40760000/2</f>
        <v>20380000</v>
      </c>
      <c r="F15" s="199">
        <f t="shared" si="1"/>
        <v>-26186904.10958904</v>
      </c>
      <c r="G15" s="188"/>
      <c r="H15" s="188"/>
      <c r="I15" s="188"/>
      <c r="J15" s="188"/>
      <c r="K15" s="188"/>
      <c r="L15" s="188"/>
      <c r="M15" s="188"/>
    </row>
    <row r="16" spans="1:13" x14ac:dyDescent="0.3">
      <c r="A16" s="188" t="s">
        <v>219</v>
      </c>
      <c r="B16" s="196">
        <v>46023</v>
      </c>
      <c r="C16" s="203">
        <v>47848</v>
      </c>
      <c r="D16" s="197">
        <f t="shared" si="0"/>
        <v>1825</v>
      </c>
      <c r="E16" s="198">
        <f>40760000/2</f>
        <v>20380000</v>
      </c>
      <c r="F16" s="199">
        <f>-E16/365*D16</f>
        <v>-101900000</v>
      </c>
      <c r="G16" s="188"/>
      <c r="H16" s="188"/>
      <c r="I16" s="188"/>
      <c r="J16" s="188"/>
      <c r="K16" s="188"/>
      <c r="L16" s="188"/>
      <c r="M16" s="188"/>
    </row>
    <row r="17" spans="1:13" x14ac:dyDescent="0.3">
      <c r="A17" s="188" t="s">
        <v>212</v>
      </c>
      <c r="B17" s="188"/>
      <c r="C17" s="188"/>
      <c r="D17" s="188"/>
      <c r="E17" s="200">
        <v>100000000</v>
      </c>
      <c r="F17" s="201"/>
      <c r="G17" s="188"/>
      <c r="H17" s="188"/>
      <c r="I17" s="188"/>
      <c r="J17" s="188"/>
      <c r="K17" s="188"/>
      <c r="L17" s="188"/>
      <c r="M17" s="188"/>
    </row>
    <row r="18" spans="1:13" x14ac:dyDescent="0.3">
      <c r="A18" s="188" t="s">
        <v>213</v>
      </c>
      <c r="B18" s="188"/>
      <c r="C18" s="188"/>
      <c r="D18" s="188"/>
      <c r="E18" s="188"/>
      <c r="F18" s="199">
        <f>SUM(F10:F17)</f>
        <v>-183235355.80583557</v>
      </c>
      <c r="G18" s="188"/>
      <c r="H18" s="188"/>
      <c r="I18" s="188"/>
      <c r="J18" s="188"/>
      <c r="K18" s="188"/>
      <c r="L18" s="188"/>
      <c r="M18" s="188"/>
    </row>
    <row r="19" spans="1:13" x14ac:dyDescent="0.3">
      <c r="A19" s="188"/>
      <c r="B19" s="188"/>
      <c r="C19" s="188"/>
      <c r="D19" s="188"/>
      <c r="E19" s="188"/>
      <c r="F19" s="188"/>
      <c r="G19" s="188"/>
      <c r="H19" s="188"/>
      <c r="I19" s="188"/>
      <c r="J19" s="188"/>
      <c r="K19" s="188"/>
      <c r="L19" s="188"/>
      <c r="M19" s="188"/>
    </row>
    <row r="20" spans="1:13" x14ac:dyDescent="0.3">
      <c r="A20" s="188" t="s">
        <v>220</v>
      </c>
      <c r="B20" s="188"/>
      <c r="C20" s="188"/>
      <c r="D20" s="188"/>
      <c r="E20" s="188"/>
      <c r="F20" s="188"/>
      <c r="G20" s="188"/>
      <c r="H20" s="188"/>
      <c r="I20" s="188"/>
      <c r="J20" s="188"/>
      <c r="K20" s="188"/>
      <c r="L20" s="188"/>
      <c r="M20" s="188"/>
    </row>
    <row r="21" spans="1:13" x14ac:dyDescent="0.3">
      <c r="A21" s="188" t="s">
        <v>207</v>
      </c>
      <c r="B21" s="196">
        <v>45260</v>
      </c>
      <c r="C21" s="196">
        <v>45729</v>
      </c>
      <c r="D21" s="197">
        <f>C21-B21</f>
        <v>469</v>
      </c>
      <c r="E21" s="198">
        <v>171000000</v>
      </c>
      <c r="F21" s="199">
        <f>E21/365*D21</f>
        <v>219723287.67123288</v>
      </c>
      <c r="G21" s="188"/>
      <c r="H21" s="188"/>
      <c r="I21" s="188"/>
      <c r="J21" s="188"/>
      <c r="K21" s="188"/>
      <c r="L21" s="188"/>
      <c r="M21" s="188"/>
    </row>
    <row r="22" spans="1:13" x14ac:dyDescent="0.3">
      <c r="A22" s="188" t="s">
        <v>208</v>
      </c>
      <c r="B22" s="196">
        <v>46023</v>
      </c>
      <c r="C22" s="203">
        <v>47848</v>
      </c>
      <c r="D22" s="197">
        <f t="shared" ref="D22:D27" si="2">C22-B22</f>
        <v>1825</v>
      </c>
      <c r="E22" s="198">
        <v>171000000</v>
      </c>
      <c r="F22" s="199">
        <f>E22/365*D22</f>
        <v>855000000</v>
      </c>
      <c r="G22" s="188"/>
      <c r="H22" s="188"/>
      <c r="I22" s="188"/>
      <c r="J22" s="188"/>
      <c r="K22" s="188"/>
      <c r="L22" s="188"/>
      <c r="M22" s="188"/>
    </row>
    <row r="23" spans="1:13" x14ac:dyDescent="0.3">
      <c r="A23" s="188" t="s">
        <v>211</v>
      </c>
      <c r="B23" s="196">
        <v>45260</v>
      </c>
      <c r="C23" s="196">
        <v>47848</v>
      </c>
      <c r="D23" s="197">
        <f t="shared" si="2"/>
        <v>2588</v>
      </c>
      <c r="E23" s="198">
        <v>87283950.530000001</v>
      </c>
      <c r="F23" s="199">
        <f>-E23/365*D23</f>
        <v>-618879079.37435615</v>
      </c>
      <c r="G23" s="188"/>
      <c r="H23" s="188"/>
      <c r="I23" s="188"/>
      <c r="J23" s="188"/>
      <c r="K23" s="188"/>
      <c r="L23" s="188"/>
      <c r="M23" s="188"/>
    </row>
    <row r="24" spans="1:13" x14ac:dyDescent="0.3">
      <c r="A24" s="188" t="s">
        <v>216</v>
      </c>
      <c r="B24" s="196">
        <v>45260</v>
      </c>
      <c r="C24" s="196">
        <v>45729</v>
      </c>
      <c r="D24" s="197">
        <f t="shared" si="2"/>
        <v>469</v>
      </c>
      <c r="E24" s="198">
        <v>42000000</v>
      </c>
      <c r="F24" s="199">
        <f t="shared" ref="F24:F26" si="3">-E24/365*D24</f>
        <v>-53967123.287671231</v>
      </c>
      <c r="G24" s="188"/>
      <c r="H24" s="188"/>
      <c r="I24" s="188"/>
      <c r="J24" s="188"/>
      <c r="K24" s="188"/>
      <c r="L24" s="188"/>
      <c r="M24" s="188"/>
    </row>
    <row r="25" spans="1:13" x14ac:dyDescent="0.3">
      <c r="A25" s="188" t="s">
        <v>217</v>
      </c>
      <c r="B25" s="196">
        <v>46023</v>
      </c>
      <c r="C25" s="203">
        <v>47848</v>
      </c>
      <c r="D25" s="197">
        <f t="shared" si="2"/>
        <v>1825</v>
      </c>
      <c r="E25" s="198">
        <v>42000000</v>
      </c>
      <c r="F25" s="199">
        <f t="shared" si="3"/>
        <v>-210000000</v>
      </c>
      <c r="G25" s="188"/>
      <c r="H25" s="188"/>
      <c r="I25" s="188"/>
      <c r="J25" s="188"/>
      <c r="K25" s="188"/>
      <c r="L25" s="188"/>
      <c r="M25" s="188"/>
    </row>
    <row r="26" spans="1:13" x14ac:dyDescent="0.3">
      <c r="A26" s="188" t="s">
        <v>218</v>
      </c>
      <c r="B26" s="196">
        <v>45260</v>
      </c>
      <c r="C26" s="196">
        <v>45729</v>
      </c>
      <c r="D26" s="197">
        <f t="shared" si="2"/>
        <v>469</v>
      </c>
      <c r="E26" s="198">
        <f>40760000/2</f>
        <v>20380000</v>
      </c>
      <c r="F26" s="199">
        <f t="shared" si="3"/>
        <v>-26186904.10958904</v>
      </c>
      <c r="G26" s="188"/>
      <c r="H26" s="188"/>
      <c r="I26" s="188"/>
      <c r="J26" s="188"/>
      <c r="K26" s="188"/>
      <c r="L26" s="188"/>
      <c r="M26" s="188"/>
    </row>
    <row r="27" spans="1:13" x14ac:dyDescent="0.3">
      <c r="A27" s="188" t="s">
        <v>219</v>
      </c>
      <c r="B27" s="196">
        <v>46023</v>
      </c>
      <c r="C27" s="203">
        <v>47848</v>
      </c>
      <c r="D27" s="197">
        <f t="shared" si="2"/>
        <v>1825</v>
      </c>
      <c r="E27" s="198">
        <f>40760000/2</f>
        <v>20380000</v>
      </c>
      <c r="F27" s="199">
        <f>-E27/365*D27</f>
        <v>-101900000</v>
      </c>
      <c r="G27" s="188"/>
      <c r="H27" s="188"/>
      <c r="I27" s="188"/>
      <c r="J27" s="188"/>
      <c r="K27" s="188"/>
      <c r="L27" s="188"/>
      <c r="M27" s="188"/>
    </row>
    <row r="28" spans="1:13" x14ac:dyDescent="0.3">
      <c r="A28" s="188" t="s">
        <v>212</v>
      </c>
      <c r="B28" s="188"/>
      <c r="C28" s="188"/>
      <c r="D28" s="188"/>
      <c r="E28" s="200">
        <v>100000000</v>
      </c>
      <c r="F28" s="201"/>
      <c r="G28" s="188"/>
      <c r="H28" s="188"/>
      <c r="I28" s="188"/>
      <c r="J28" s="188"/>
      <c r="K28" s="188"/>
      <c r="L28" s="188"/>
      <c r="M28" s="188"/>
    </row>
    <row r="29" spans="1:13" x14ac:dyDescent="0.3">
      <c r="A29" s="188" t="s">
        <v>213</v>
      </c>
      <c r="B29" s="188"/>
      <c r="C29" s="188"/>
      <c r="D29" s="188"/>
      <c r="E29" s="188"/>
      <c r="F29" s="199">
        <f>SUM(F21:F28)</f>
        <v>63790180.899616539</v>
      </c>
      <c r="G29" s="188"/>
      <c r="H29" s="188"/>
      <c r="I29" s="188"/>
      <c r="J29" s="188"/>
      <c r="K29" s="188"/>
      <c r="L29" s="188"/>
      <c r="M29" s="188"/>
    </row>
    <row r="31" spans="1:13" x14ac:dyDescent="0.3">
      <c r="A31" s="188" t="s">
        <v>221</v>
      </c>
      <c r="B31" s="188"/>
      <c r="C31" s="188"/>
      <c r="D31" s="188"/>
      <c r="E31" s="188"/>
      <c r="F31" s="188"/>
      <c r="G31" s="188"/>
      <c r="H31" s="188"/>
      <c r="I31" s="188"/>
      <c r="J31" s="188"/>
      <c r="K31" s="188"/>
      <c r="L31" s="188"/>
      <c r="M31" s="188"/>
    </row>
    <row r="32" spans="1:13" x14ac:dyDescent="0.3">
      <c r="A32" s="188" t="s">
        <v>207</v>
      </c>
      <c r="B32" s="196">
        <v>45260</v>
      </c>
      <c r="C32" s="196">
        <v>48881</v>
      </c>
      <c r="D32" s="197">
        <f>C32-B32</f>
        <v>3621</v>
      </c>
      <c r="E32" s="198">
        <v>171000000</v>
      </c>
      <c r="F32" s="199">
        <f>E32/365*D32</f>
        <v>1696413698.630137</v>
      </c>
      <c r="G32" s="188"/>
      <c r="H32" s="188"/>
      <c r="I32" s="188"/>
      <c r="J32" s="188"/>
      <c r="K32" s="188"/>
      <c r="L32" s="188"/>
      <c r="M32" s="188"/>
    </row>
    <row r="33" spans="1:13" x14ac:dyDescent="0.3">
      <c r="A33" s="188" t="s">
        <v>208</v>
      </c>
      <c r="B33" s="196">
        <v>46023</v>
      </c>
      <c r="C33" s="196">
        <v>48881</v>
      </c>
      <c r="D33" s="197">
        <f t="shared" ref="D33:D38" si="4">C33-B33</f>
        <v>2858</v>
      </c>
      <c r="E33" s="198">
        <v>171000000</v>
      </c>
      <c r="F33" s="199">
        <f>E33/365*D33</f>
        <v>1338953424.6575341</v>
      </c>
      <c r="G33" s="188"/>
      <c r="H33" s="188"/>
      <c r="I33" s="188"/>
      <c r="J33" s="188"/>
      <c r="K33" s="188"/>
      <c r="L33" s="188"/>
      <c r="M33" s="188"/>
    </row>
    <row r="34" spans="1:13" x14ac:dyDescent="0.3">
      <c r="A34" s="188" t="s">
        <v>211</v>
      </c>
      <c r="B34" s="196">
        <v>45260</v>
      </c>
      <c r="C34" s="196">
        <v>48881</v>
      </c>
      <c r="D34" s="197">
        <f t="shared" si="4"/>
        <v>3621</v>
      </c>
      <c r="E34" s="198">
        <v>87283950.530000001</v>
      </c>
      <c r="F34" s="199">
        <f>-E34/365*D34</f>
        <v>-865904616.07980824</v>
      </c>
      <c r="G34" s="188"/>
      <c r="H34" s="188"/>
      <c r="I34" s="188"/>
      <c r="J34" s="188"/>
      <c r="K34" s="188"/>
      <c r="L34" s="188"/>
      <c r="M34" s="188"/>
    </row>
    <row r="35" spans="1:13" x14ac:dyDescent="0.3">
      <c r="A35" s="188" t="s">
        <v>216</v>
      </c>
      <c r="B35" s="196">
        <v>45260</v>
      </c>
      <c r="C35" s="196">
        <v>48881</v>
      </c>
      <c r="D35" s="197">
        <f t="shared" si="4"/>
        <v>3621</v>
      </c>
      <c r="E35" s="198">
        <v>42000000</v>
      </c>
      <c r="F35" s="199">
        <f t="shared" ref="F35:F37" si="5">-E35/365*D35</f>
        <v>-416663013.69863009</v>
      </c>
      <c r="G35" s="188"/>
      <c r="H35" s="188"/>
      <c r="I35" s="188"/>
      <c r="J35" s="188"/>
      <c r="K35" s="188"/>
      <c r="L35" s="188"/>
      <c r="M35" s="188"/>
    </row>
    <row r="36" spans="1:13" x14ac:dyDescent="0.3">
      <c r="A36" s="188" t="s">
        <v>217</v>
      </c>
      <c r="B36" s="196">
        <v>46023</v>
      </c>
      <c r="C36" s="196">
        <v>48881</v>
      </c>
      <c r="D36" s="197">
        <f t="shared" si="4"/>
        <v>2858</v>
      </c>
      <c r="E36" s="198">
        <v>42000000</v>
      </c>
      <c r="F36" s="199">
        <f t="shared" si="5"/>
        <v>-328865753.42465752</v>
      </c>
      <c r="G36" s="188"/>
      <c r="H36" s="188"/>
      <c r="I36" s="188"/>
      <c r="J36" s="188"/>
      <c r="K36" s="188"/>
      <c r="L36" s="188"/>
      <c r="M36" s="188"/>
    </row>
    <row r="37" spans="1:13" x14ac:dyDescent="0.3">
      <c r="A37" s="188" t="s">
        <v>218</v>
      </c>
      <c r="B37" s="196">
        <v>45260</v>
      </c>
      <c r="C37" s="196">
        <v>48881</v>
      </c>
      <c r="D37" s="197">
        <f t="shared" si="4"/>
        <v>3621</v>
      </c>
      <c r="E37" s="198">
        <f>40760000/2</f>
        <v>20380000</v>
      </c>
      <c r="F37" s="199">
        <f t="shared" si="5"/>
        <v>-202180767.12328768</v>
      </c>
      <c r="G37" s="188"/>
      <c r="H37" s="188"/>
      <c r="I37" s="188"/>
      <c r="J37" s="188"/>
      <c r="K37" s="188"/>
      <c r="L37" s="188"/>
      <c r="M37" s="188"/>
    </row>
    <row r="38" spans="1:13" x14ac:dyDescent="0.3">
      <c r="A38" s="188" t="s">
        <v>219</v>
      </c>
      <c r="B38" s="196">
        <v>46023</v>
      </c>
      <c r="C38" s="196">
        <v>48881</v>
      </c>
      <c r="D38" s="197">
        <f t="shared" si="4"/>
        <v>2858</v>
      </c>
      <c r="E38" s="198">
        <f>40760000/2</f>
        <v>20380000</v>
      </c>
      <c r="F38" s="199">
        <f>-E38/365*D38</f>
        <v>-159578191.78082192</v>
      </c>
      <c r="G38" s="188"/>
      <c r="H38" s="188"/>
      <c r="I38" s="188"/>
      <c r="J38" s="188"/>
      <c r="K38" s="188"/>
      <c r="L38" s="188"/>
      <c r="M38" s="188"/>
    </row>
    <row r="39" spans="1:13" x14ac:dyDescent="0.3">
      <c r="A39" s="188" t="s">
        <v>212</v>
      </c>
      <c r="B39" s="188"/>
      <c r="C39" s="188"/>
      <c r="D39" s="188"/>
      <c r="E39" s="200">
        <v>100000000</v>
      </c>
      <c r="F39" s="201"/>
      <c r="G39" s="188"/>
      <c r="H39" s="188"/>
      <c r="I39" s="188"/>
      <c r="J39" s="188"/>
      <c r="K39" s="188"/>
      <c r="L39" s="188"/>
      <c r="M39" s="188"/>
    </row>
    <row r="40" spans="1:13" x14ac:dyDescent="0.3">
      <c r="A40" s="188" t="s">
        <v>213</v>
      </c>
      <c r="B40" s="188"/>
      <c r="C40" s="188"/>
      <c r="D40" s="188"/>
      <c r="E40" s="188"/>
      <c r="F40" s="199">
        <f>SUM(F32:F39)</f>
        <v>1062174781.1804656</v>
      </c>
      <c r="G40" s="188"/>
      <c r="H40" s="188"/>
      <c r="I40" s="188"/>
      <c r="J40" s="188"/>
      <c r="K40" s="188"/>
      <c r="L40" s="188"/>
      <c r="M40" s="188"/>
    </row>
  </sheetData>
  <mergeCells count="1">
    <mergeCell ref="A2:F2"/>
  </mergeCells>
  <pageMargins left="0.32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Summary</vt:lpstr>
      <vt:lpstr>IRR</vt:lpstr>
      <vt:lpstr>Summary (2)</vt:lpstr>
      <vt:lpstr>IRR (2)</vt:lpstr>
      <vt:lpstr>PARAMETER</vt:lpstr>
      <vt:lpstr>Summary BR</vt:lpstr>
      <vt:lpstr>Analisa</vt:lpstr>
      <vt:lpstr>Analisa!Print_Area</vt:lpstr>
      <vt:lpstr>IRR!Print_Area</vt:lpstr>
      <vt:lpstr>'IRR (2)'!Print_Area</vt:lpstr>
      <vt:lpstr>Summary!Print_Area</vt:lpstr>
      <vt:lpstr>'Summary (2)'!Print_Area</vt:lpstr>
      <vt:lpstr>'Summary BR'!Print_Area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2024-06-05T12:56:02Z</cp:lastPrinted>
  <dcterms:created xsi:type="dcterms:W3CDTF">2020-06-08T08:40:20Z</dcterms:created>
  <dcterms:modified xsi:type="dcterms:W3CDTF">2024-06-05T12:59:32Z</dcterms:modified>
</cp:coreProperties>
</file>