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OPENET\LIWO Grand Wisata\"/>
    </mc:Choice>
  </mc:AlternateContent>
  <xr:revisionPtr revIDLastSave="0" documentId="8_{7699A8FE-7E6A-47A1-AD48-E5CD5583E0EC}" xr6:coauthVersionLast="36" xr6:coauthVersionMax="36" xr10:uidLastSave="{00000000-0000-0000-0000-000000000000}"/>
  <bookViews>
    <workbookView xWindow="0" yWindow="0" windowWidth="19200" windowHeight="7550" tabRatio="784" xr2:uid="{00000000-000D-0000-FFFF-FFFF00000000}"/>
  </bookViews>
  <sheets>
    <sheet name="Summary." sheetId="48" r:id="rId1"/>
    <sheet name="Summary" sheetId="40" state="hidden" r:id="rId2"/>
    <sheet name="Simulation" sheetId="41" state="hidden" r:id="rId3"/>
    <sheet name="IRR" sheetId="49" r:id="rId4"/>
    <sheet name="PnL (D)" sheetId="47" state="hidden" r:id="rId5"/>
    <sheet name="PnL (A)" sheetId="34" r:id="rId6"/>
    <sheet name="PnL (B)" sheetId="46" state="hidden" r:id="rId7"/>
    <sheet name="PnL (C)" sheetId="45" state="hidden" r:id="rId8"/>
    <sheet name="Parameter Interest" sheetId="42" r:id="rId9"/>
    <sheet name="Assumption" sheetId="43" r:id="rId10"/>
    <sheet name="Calculation Sheet" sheetId="50" r:id="rId11"/>
    <sheet name="Revenue" sheetId="44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 localSheetId="3">[11]Overview!$D$30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 localSheetId="3">[11]Overview!$H$30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 localSheetId="3">#REF!</definedName>
    <definedName name="_xlnm.Database" localSheetId="5">#REF!</definedName>
    <definedName name="_xlnm.Database" localSheetId="6">#REF!</definedName>
    <definedName name="_xlnm.Database" localSheetId="7">#REF!</definedName>
    <definedName name="_xlnm.Database" localSheetId="4">#REF!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 localSheetId="3">#REF!</definedName>
    <definedName name="ewrewr" localSheetId="4">#REF!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 localSheetId="3">'[45]MVV Costs - Overview'!$F$21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9">#REF!</definedName>
    <definedName name="jk" localSheetId="10">#REF!</definedName>
    <definedName name="jk" localSheetId="3">#REF!</definedName>
    <definedName name="jk" localSheetId="4">#REF!</definedName>
    <definedName name="jk" localSheetId="11">#REF!</definedName>
    <definedName name="jk">#REF!</definedName>
    <definedName name="jkk" localSheetId="10">#REF!</definedName>
    <definedName name="jkk" localSheetId="3">#REF!</definedName>
    <definedName name="jkk" localSheetId="4">#REF!</definedName>
    <definedName name="jk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 localSheetId="3">#REF!</definedName>
    <definedName name="PHUAWEIHW1" localSheetId="4">#REF!</definedName>
    <definedName name="PHUAWEIHW1">#REF!</definedName>
    <definedName name="PHUAWEISERVICE1" localSheetId="3">#REF!</definedName>
    <definedName name="PHUAWEISERVICE1" localSheetId="4">#REF!</definedName>
    <definedName name="PHUAWEISERVICE1">#REF!</definedName>
    <definedName name="PHUAWEISW1" localSheetId="3">#REF!</definedName>
    <definedName name="PHUAWEISW1" localSheetId="4">#REF!</definedName>
    <definedName name="PHUAWEISW1">#REF!</definedName>
    <definedName name="PLOCALOUTSOURCING1" localSheetId="3">#REF!</definedName>
    <definedName name="PLOCALOUTSOURCING1" localSheetId="4">#REF!</definedName>
    <definedName name="PLOCALOUTSOURCING1">#REF!</definedName>
    <definedName name="PLOCALSERVICE1" localSheetId="3">#REF!</definedName>
    <definedName name="PLOCALSERVICE1" localSheetId="4">#REF!</definedName>
    <definedName name="PLOCALSERVICE1">#REF!</definedName>
    <definedName name="PLSSERVICE1" localSheetId="3">#REF!</definedName>
    <definedName name="PLSSERVICE1" localSheetId="4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 localSheetId="3">#REF!</definedName>
    <definedName name="POUTSOURINGHW1" localSheetId="4">#REF!</definedName>
    <definedName name="POUTSOURINGHW1">#REF!</definedName>
    <definedName name="POUTSOURINGSW1" localSheetId="3">#REF!</definedName>
    <definedName name="POUTSOURINGSW1" localSheetId="4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9">Assumption!$B$2:$W$68</definedName>
    <definedName name="_xlnm.Print_Area" localSheetId="10">'Calculation Sheet'!$B$2:$J$94</definedName>
    <definedName name="_xlnm.Print_Area" localSheetId="3">IRR!$A$1:$R$68</definedName>
    <definedName name="_xlnm.Print_Area" localSheetId="5">'PnL (A)'!$B$15:$I$84</definedName>
    <definedName name="_xlnm.Print_Area" localSheetId="6">'PnL (B)'!$B$15:$I$84</definedName>
    <definedName name="_xlnm.Print_Area" localSheetId="7">'PnL (C)'!$B$15:$I$84</definedName>
    <definedName name="_xlnm.Print_Area" localSheetId="4">'PnL (D)'!$B$1:$I$83</definedName>
    <definedName name="_xlnm.Print_Area" localSheetId="11">Revenue!$B$2:$J$55</definedName>
    <definedName name="_xlnm.Print_Area" localSheetId="0">Summary.!$A$3:$N$39</definedName>
    <definedName name="_xlnm.Print_Area">#REF!</definedName>
    <definedName name="_xlnm.Print_Titles" localSheetId="3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 localSheetId="3">#REF!</definedName>
    <definedName name="PVIRTUALTRADECATEGORY1" localSheetId="4">#REF!</definedName>
    <definedName name="PVIRTUALTRADECATEGORY1">#REF!</definedName>
    <definedName name="QF_SYS_CALC_DECIMAL">[64]Parameters!$D$23</definedName>
    <definedName name="QF_SYS_CURRENCY1" localSheetId="3">#REF!</definedName>
    <definedName name="QF_SYS_CURRENCY1" localSheetId="4">#REF!</definedName>
    <definedName name="QF_SYS_CURRENCY1">#REF!</definedName>
    <definedName name="QF_SYS_DESTINATION1" localSheetId="3">#REF!</definedName>
    <definedName name="QF_SYS_DESTINATION1" localSheetId="4">#REF!</definedName>
    <definedName name="QF_SYS_DESTINATION1">#REF!</definedName>
    <definedName name="QF_SYS_EXCHANGE1">[64]Parameters!$D$35</definedName>
    <definedName name="QF_SYS_LISTPRICECURRENCY" localSheetId="3">#REF!</definedName>
    <definedName name="QF_SYS_LISTPRICECURRENCY" localSheetId="4">#REF!</definedName>
    <definedName name="QF_SYS_LISTPRICECURRENCY">#REF!</definedName>
    <definedName name="QF_SYS_TRADETERMDESC1" localSheetId="3">#REF!</definedName>
    <definedName name="QF_SYS_TRADETERMDESC1" localSheetId="4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 localSheetId="3">#REF!</definedName>
    <definedName name="QuoteType" localSheetId="4">#REF!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 localSheetId="3">'[45]MVV Costs - Overview'!$F$6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 localSheetId="3">#REF!</definedName>
    <definedName name="sssss" localSheetId="5">#REF!</definedName>
    <definedName name="sssss" localSheetId="6">#REF!</definedName>
    <definedName name="sssss" localSheetId="7">#REF!</definedName>
    <definedName name="sssss" localSheetId="4">#REF!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 localSheetId="3">[11]Overview!$D$28</definedName>
    <definedName name="ticketcost">[11]Overview!$D$28</definedName>
    <definedName name="toolcost" localSheetId="3">'[45]MVV Costs - Overview'!$F$18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 localSheetId="3">[11]Overview!$H$28</definedName>
    <definedName name="transport">[11]Overview!$H$28</definedName>
    <definedName name="traveltime" localSheetId="3">[11]Overview!$D$26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 localSheetId="3">#REF!</definedName>
    <definedName name="w" localSheetId="4">#REF!</definedName>
    <definedName name="w">#REF!</definedName>
    <definedName name="YearHours">'[4]Financial Input'!$B$68</definedName>
    <definedName name="years_contract">[74]Kerlink!$D$5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9" i="49" l="1"/>
  <c r="L13" i="49"/>
  <c r="K13" i="49"/>
  <c r="J13" i="49"/>
  <c r="I13" i="49"/>
  <c r="H13" i="49"/>
  <c r="K28" i="49"/>
  <c r="J28" i="49"/>
  <c r="I28" i="49"/>
  <c r="H28" i="49"/>
  <c r="D28" i="43"/>
  <c r="E41" i="50" s="1"/>
  <c r="I24" i="49" l="1"/>
  <c r="C28" i="43"/>
  <c r="J30" i="49"/>
  <c r="K30" i="49" s="1"/>
  <c r="L30" i="49" s="1"/>
  <c r="I29" i="49"/>
  <c r="E43" i="50"/>
  <c r="R18" i="42" l="1"/>
  <c r="Q18" i="42"/>
  <c r="P18" i="42"/>
  <c r="O18" i="42"/>
  <c r="N18" i="42"/>
  <c r="M18" i="42"/>
  <c r="D1" i="42"/>
  <c r="E1" i="42" s="1"/>
  <c r="F1" i="42" s="1"/>
  <c r="G1" i="42" s="1"/>
  <c r="H1" i="42" s="1"/>
  <c r="I1" i="42" s="1"/>
  <c r="J1" i="42" s="1"/>
  <c r="K1" i="42" s="1"/>
  <c r="L1" i="42" s="1"/>
  <c r="M1" i="42" s="1"/>
  <c r="N1" i="42" s="1"/>
  <c r="O1" i="42" s="1"/>
  <c r="P1" i="42" s="1"/>
  <c r="Q1" i="42" s="1"/>
  <c r="R1" i="42" s="1"/>
  <c r="L17" i="49" l="1"/>
  <c r="L45" i="49" s="1"/>
  <c r="R61" i="49" l="1"/>
  <c r="G14" i="42"/>
  <c r="R14" i="49"/>
  <c r="G15" i="42" l="1"/>
  <c r="H14" i="42" s="1"/>
  <c r="G16" i="42"/>
  <c r="C25" i="34"/>
  <c r="I14" i="42" l="1"/>
  <c r="H16" i="42"/>
  <c r="J14" i="42" l="1"/>
  <c r="I16" i="42"/>
  <c r="H21" i="43"/>
  <c r="I89" i="50"/>
  <c r="H89" i="50"/>
  <c r="G89" i="50"/>
  <c r="F89" i="50"/>
  <c r="E89" i="50"/>
  <c r="I81" i="50"/>
  <c r="H81" i="50"/>
  <c r="G81" i="50"/>
  <c r="F81" i="50"/>
  <c r="E81" i="50"/>
  <c r="G16" i="50"/>
  <c r="F16" i="50"/>
  <c r="E16" i="50"/>
  <c r="G15" i="50"/>
  <c r="F15" i="50"/>
  <c r="E15" i="50"/>
  <c r="I14" i="50"/>
  <c r="G14" i="50"/>
  <c r="F14" i="50"/>
  <c r="E14" i="50"/>
  <c r="D14" i="50"/>
  <c r="G13" i="50"/>
  <c r="F13" i="50"/>
  <c r="E13" i="50"/>
  <c r="G12" i="50"/>
  <c r="F12" i="50"/>
  <c r="E12" i="50"/>
  <c r="G11" i="50"/>
  <c r="F11" i="50"/>
  <c r="E11" i="50"/>
  <c r="I10" i="50"/>
  <c r="G10" i="50"/>
  <c r="F10" i="50"/>
  <c r="E10" i="50"/>
  <c r="D10" i="50"/>
  <c r="E6" i="50"/>
  <c r="K14" i="42" l="1"/>
  <c r="J16" i="42"/>
  <c r="H33" i="49"/>
  <c r="C67" i="42"/>
  <c r="C66" i="42" s="1"/>
  <c r="L14" i="42" l="1"/>
  <c r="M16" i="42" s="1"/>
  <c r="K16" i="42"/>
  <c r="C65" i="42"/>
  <c r="I33" i="49" l="1"/>
  <c r="D67" i="42"/>
  <c r="D66" i="42" s="1"/>
  <c r="L16" i="42"/>
  <c r="D65" i="42" l="1"/>
  <c r="J33" i="49" l="1"/>
  <c r="E67" i="42"/>
  <c r="E65" i="42" l="1"/>
  <c r="E66" i="42"/>
  <c r="K33" i="49" l="1"/>
  <c r="F67" i="42"/>
  <c r="F65" i="42" s="1"/>
  <c r="L33" i="49" l="1"/>
  <c r="G67" i="42"/>
  <c r="G65" i="42" s="1"/>
  <c r="H67" i="42" s="1"/>
  <c r="H65" i="42" s="1"/>
  <c r="I67" i="42" s="1"/>
  <c r="I65" i="42" s="1"/>
  <c r="J67" i="42" s="1"/>
  <c r="F66" i="42"/>
  <c r="G66" i="42" s="1"/>
  <c r="H66" i="42" s="1"/>
  <c r="I66" i="42" s="1"/>
  <c r="J66" i="42" s="1"/>
  <c r="J65" i="42"/>
  <c r="K65" i="42" s="1"/>
  <c r="F53" i="50" l="1"/>
  <c r="E92" i="50"/>
  <c r="E84" i="50"/>
  <c r="F84" i="50" s="1"/>
  <c r="G84" i="50" s="1"/>
  <c r="H84" i="50" s="1"/>
  <c r="I84" i="50" s="1"/>
  <c r="E76" i="50"/>
  <c r="F92" i="50" l="1"/>
  <c r="G92" i="50" s="1"/>
  <c r="H92" i="50" s="1"/>
  <c r="I92" i="50" s="1"/>
  <c r="H31" i="49"/>
  <c r="I31" i="49" s="1"/>
  <c r="J31" i="49" s="1"/>
  <c r="K31" i="49" s="1"/>
  <c r="L31" i="49" s="1"/>
  <c r="R31" i="49" l="1"/>
  <c r="F76" i="50"/>
  <c r="G76" i="50" s="1"/>
  <c r="H76" i="50" s="1"/>
  <c r="I76" i="50" s="1"/>
  <c r="D75" i="50"/>
  <c r="D83" i="50" s="1"/>
  <c r="D91" i="50" s="1"/>
  <c r="D42" i="50"/>
  <c r="E19" i="50"/>
  <c r="D26" i="50"/>
  <c r="H10" i="50"/>
  <c r="D41" i="50"/>
  <c r="F66" i="50" l="1"/>
  <c r="D34" i="50"/>
  <c r="H14" i="50"/>
  <c r="D25" i="50"/>
  <c r="D33" i="50"/>
  <c r="I83" i="50" l="1"/>
  <c r="I91" i="50" s="1"/>
  <c r="E83" i="50"/>
  <c r="E91" i="50" s="1"/>
  <c r="F83" i="50"/>
  <c r="F91" i="50" s="1"/>
  <c r="H83" i="50"/>
  <c r="H91" i="50" s="1"/>
  <c r="G83" i="50"/>
  <c r="G91" i="50" s="1"/>
  <c r="R15" i="49" l="1"/>
  <c r="H17" i="49" l="1"/>
  <c r="C2" i="42" s="1"/>
  <c r="C4" i="42" l="1"/>
  <c r="C18" i="42" s="1"/>
  <c r="H40" i="49" s="1"/>
  <c r="C3" i="42"/>
  <c r="D2" i="42" s="1"/>
  <c r="E53" i="50"/>
  <c r="H45" i="49"/>
  <c r="J29" i="49"/>
  <c r="K29" i="49" s="1"/>
  <c r="R66" i="49"/>
  <c r="P65" i="49"/>
  <c r="R65" i="49" s="1"/>
  <c r="O64" i="49"/>
  <c r="P64" i="49" s="1"/>
  <c r="R64" i="49" s="1"/>
  <c r="N63" i="49"/>
  <c r="H56" i="49"/>
  <c r="Q45" i="49"/>
  <c r="P45" i="49"/>
  <c r="O45" i="49"/>
  <c r="N45" i="49"/>
  <c r="M45" i="49"/>
  <c r="M40" i="49"/>
  <c r="Q33" i="49"/>
  <c r="P33" i="49"/>
  <c r="O33" i="49"/>
  <c r="N33" i="49"/>
  <c r="M33" i="49"/>
  <c r="G34" i="49"/>
  <c r="Q30" i="49"/>
  <c r="P30" i="49"/>
  <c r="O30" i="49"/>
  <c r="N30" i="49"/>
  <c r="M30" i="49"/>
  <c r="G25" i="49"/>
  <c r="I19" i="49"/>
  <c r="J19" i="49" s="1"/>
  <c r="K16" i="49"/>
  <c r="K17" i="49" s="1"/>
  <c r="K45" i="49" s="1"/>
  <c r="J16" i="49"/>
  <c r="J17" i="49" s="1"/>
  <c r="I16" i="49"/>
  <c r="I17" i="49" s="1"/>
  <c r="G45" i="49"/>
  <c r="M9" i="48"/>
  <c r="D5" i="42" l="1"/>
  <c r="D7" i="42" s="1"/>
  <c r="I45" i="49"/>
  <c r="E8" i="42"/>
  <c r="E10" i="42" s="1"/>
  <c r="J45" i="49"/>
  <c r="E2" i="42"/>
  <c r="D4" i="42"/>
  <c r="R60" i="49"/>
  <c r="F11" i="42"/>
  <c r="G35" i="49"/>
  <c r="G39" i="49" s="1"/>
  <c r="G41" i="49" s="1"/>
  <c r="G42" i="49" s="1"/>
  <c r="G43" i="49" s="1"/>
  <c r="L29" i="49"/>
  <c r="R29" i="49" s="1"/>
  <c r="I56" i="49"/>
  <c r="R16" i="49"/>
  <c r="K19" i="49"/>
  <c r="J56" i="49"/>
  <c r="R13" i="49"/>
  <c r="O63" i="49"/>
  <c r="P63" i="49" s="1"/>
  <c r="E49" i="47"/>
  <c r="E9" i="42" l="1"/>
  <c r="F8" i="42" s="1"/>
  <c r="G8" i="42" s="1"/>
  <c r="D18" i="42"/>
  <c r="I40" i="49" s="1"/>
  <c r="D6" i="42"/>
  <c r="E5" i="42" s="1"/>
  <c r="F5" i="42" s="1"/>
  <c r="F7" i="42" s="1"/>
  <c r="F13" i="42"/>
  <c r="F12" i="42"/>
  <c r="G11" i="42" s="1"/>
  <c r="F2" i="42"/>
  <c r="R57" i="49"/>
  <c r="E4" i="42"/>
  <c r="K59" i="49"/>
  <c r="L59" i="49" s="1"/>
  <c r="R58" i="49"/>
  <c r="R17" i="49"/>
  <c r="R63" i="49"/>
  <c r="R62" i="49"/>
  <c r="G47" i="49"/>
  <c r="H67" i="49"/>
  <c r="H38" i="49" s="1"/>
  <c r="L19" i="49"/>
  <c r="K56" i="49"/>
  <c r="R45" i="49"/>
  <c r="C25" i="47"/>
  <c r="E34" i="47" s="1"/>
  <c r="F10" i="42" l="1"/>
  <c r="E7" i="42"/>
  <c r="E18" i="42" s="1"/>
  <c r="J40" i="49" s="1"/>
  <c r="H11" i="42"/>
  <c r="H13" i="42" s="1"/>
  <c r="G13" i="42"/>
  <c r="G2" i="42"/>
  <c r="G5" i="42"/>
  <c r="G7" i="42" s="1"/>
  <c r="H8" i="42"/>
  <c r="H10" i="42" s="1"/>
  <c r="F4" i="42"/>
  <c r="G10" i="42"/>
  <c r="R59" i="49"/>
  <c r="M12" i="48"/>
  <c r="G48" i="49"/>
  <c r="I67" i="49"/>
  <c r="I38" i="49" s="1"/>
  <c r="M19" i="49"/>
  <c r="L56" i="49"/>
  <c r="I72" i="47"/>
  <c r="H72" i="47"/>
  <c r="G72" i="47"/>
  <c r="F72" i="47"/>
  <c r="I49" i="47"/>
  <c r="H49" i="47"/>
  <c r="G49" i="47"/>
  <c r="F49" i="47"/>
  <c r="I37" i="47"/>
  <c r="I44" i="47" s="1"/>
  <c r="H37" i="47"/>
  <c r="H43" i="47" s="1"/>
  <c r="I43" i="47" s="1"/>
  <c r="G37" i="47"/>
  <c r="G42" i="47" s="1"/>
  <c r="H42" i="47" s="1"/>
  <c r="I42" i="47" s="1"/>
  <c r="F37" i="47"/>
  <c r="F41" i="47" s="1"/>
  <c r="G41" i="47" s="1"/>
  <c r="H41" i="47" s="1"/>
  <c r="I41" i="47" s="1"/>
  <c r="E33" i="47"/>
  <c r="I7" i="47"/>
  <c r="H7" i="47"/>
  <c r="H10" i="47" s="1"/>
  <c r="G7" i="47"/>
  <c r="F7" i="47"/>
  <c r="F10" i="47" s="1"/>
  <c r="E7" i="47"/>
  <c r="E10" i="47" s="1"/>
  <c r="I6" i="47"/>
  <c r="H6" i="47"/>
  <c r="G6" i="47"/>
  <c r="F6" i="47"/>
  <c r="F8" i="47" s="1"/>
  <c r="E6" i="47"/>
  <c r="E33" i="45"/>
  <c r="F18" i="42" l="1"/>
  <c r="K40" i="49" s="1"/>
  <c r="H2" i="42"/>
  <c r="I4" i="42" s="1"/>
  <c r="G4" i="42"/>
  <c r="G18" i="42" s="1"/>
  <c r="L40" i="49" s="1"/>
  <c r="H5" i="42"/>
  <c r="I8" i="42"/>
  <c r="I11" i="42"/>
  <c r="I13" i="42" s="1"/>
  <c r="J67" i="49"/>
  <c r="J38" i="49" s="1"/>
  <c r="N19" i="49"/>
  <c r="M56" i="49"/>
  <c r="I8" i="47"/>
  <c r="E8" i="47"/>
  <c r="E35" i="47"/>
  <c r="E72" i="47" s="1"/>
  <c r="I10" i="47"/>
  <c r="G10" i="47"/>
  <c r="G8" i="47"/>
  <c r="H8" i="47"/>
  <c r="H4" i="42" l="1"/>
  <c r="J8" i="42"/>
  <c r="K10" i="42" s="1"/>
  <c r="I10" i="42"/>
  <c r="I5" i="42"/>
  <c r="J7" i="42" s="1"/>
  <c r="J11" i="42"/>
  <c r="J13" i="42" s="1"/>
  <c r="H7" i="42"/>
  <c r="K67" i="49"/>
  <c r="K38" i="49" s="1"/>
  <c r="O19" i="49"/>
  <c r="N56" i="49"/>
  <c r="E37" i="47"/>
  <c r="E40" i="47" s="1"/>
  <c r="F40" i="47" s="1"/>
  <c r="H18" i="42" l="1"/>
  <c r="I7" i="42"/>
  <c r="I18" i="42" s="1"/>
  <c r="K11" i="42"/>
  <c r="L13" i="42" s="1"/>
  <c r="L18" i="42" s="1"/>
  <c r="J10" i="42"/>
  <c r="J18" i="42" s="1"/>
  <c r="F50" i="47"/>
  <c r="E50" i="47"/>
  <c r="C37" i="47"/>
  <c r="P19" i="49"/>
  <c r="O56" i="49"/>
  <c r="L67" i="49"/>
  <c r="L38" i="49" s="1"/>
  <c r="E45" i="47"/>
  <c r="E60" i="47" s="1"/>
  <c r="G40" i="47"/>
  <c r="F45" i="47"/>
  <c r="F60" i="47" s="1"/>
  <c r="K13" i="42" l="1"/>
  <c r="K18" i="42" s="1"/>
  <c r="I50" i="47"/>
  <c r="H50" i="47"/>
  <c r="G50" i="47"/>
  <c r="M67" i="49"/>
  <c r="M38" i="49" s="1"/>
  <c r="Q19" i="49"/>
  <c r="Q56" i="49" s="1"/>
  <c r="P56" i="49"/>
  <c r="G45" i="47"/>
  <c r="G60" i="47" s="1"/>
  <c r="H40" i="47"/>
  <c r="N67" i="49" l="1"/>
  <c r="N38" i="49" s="1"/>
  <c r="H45" i="47"/>
  <c r="H60" i="47" s="1"/>
  <c r="I40" i="47"/>
  <c r="I45" i="47" s="1"/>
  <c r="I60" i="47" s="1"/>
  <c r="O67" i="49" l="1"/>
  <c r="O38" i="49" s="1"/>
  <c r="E35" i="34"/>
  <c r="C25" i="46"/>
  <c r="E35" i="46"/>
  <c r="F6" i="46"/>
  <c r="G6" i="46"/>
  <c r="H6" i="46"/>
  <c r="I6" i="46"/>
  <c r="E6" i="46"/>
  <c r="C25" i="45"/>
  <c r="E35" i="45" s="1"/>
  <c r="P67" i="49" l="1"/>
  <c r="P38" i="49" s="1"/>
  <c r="F6" i="34"/>
  <c r="G6" i="34"/>
  <c r="H6" i="34"/>
  <c r="I6" i="34"/>
  <c r="E6" i="34"/>
  <c r="I6" i="45"/>
  <c r="H6" i="45"/>
  <c r="G6" i="45"/>
  <c r="F6" i="45"/>
  <c r="E6" i="45"/>
  <c r="I49" i="46"/>
  <c r="H49" i="46"/>
  <c r="G49" i="46"/>
  <c r="F49" i="46"/>
  <c r="E49" i="46"/>
  <c r="E34" i="46"/>
  <c r="I7" i="46"/>
  <c r="I10" i="46" s="1"/>
  <c r="H7" i="46"/>
  <c r="H10" i="46" s="1"/>
  <c r="G7" i="46"/>
  <c r="G10" i="46" s="1"/>
  <c r="F7" i="46"/>
  <c r="F10" i="46" s="1"/>
  <c r="E7" i="46"/>
  <c r="E10" i="46" s="1"/>
  <c r="I49" i="45"/>
  <c r="H49" i="45"/>
  <c r="G49" i="45"/>
  <c r="F49" i="45"/>
  <c r="E49" i="45"/>
  <c r="E34" i="45"/>
  <c r="I7" i="45"/>
  <c r="I10" i="45" s="1"/>
  <c r="H7" i="45"/>
  <c r="H8" i="45" s="1"/>
  <c r="G7" i="45"/>
  <c r="G10" i="45" s="1"/>
  <c r="F7" i="45"/>
  <c r="F10" i="45" s="1"/>
  <c r="E7" i="45"/>
  <c r="E10" i="45" s="1"/>
  <c r="I49" i="34"/>
  <c r="H49" i="34"/>
  <c r="G49" i="34"/>
  <c r="F49" i="34"/>
  <c r="E49" i="34"/>
  <c r="Q67" i="49" l="1"/>
  <c r="Q38" i="49" s="1"/>
  <c r="R67" i="49"/>
  <c r="H8" i="46"/>
  <c r="H10" i="45"/>
  <c r="E8" i="46"/>
  <c r="E33" i="46" s="1"/>
  <c r="F8" i="46"/>
  <c r="I8" i="46"/>
  <c r="I33" i="46" s="1"/>
  <c r="I37" i="46" s="1"/>
  <c r="I44" i="46" s="1"/>
  <c r="F33" i="46"/>
  <c r="F72" i="46" s="1"/>
  <c r="F8" i="45"/>
  <c r="I8" i="45"/>
  <c r="E8" i="45"/>
  <c r="F37" i="45"/>
  <c r="F41" i="45" s="1"/>
  <c r="G41" i="45" s="1"/>
  <c r="H41" i="45" s="1"/>
  <c r="I41" i="45" s="1"/>
  <c r="E72" i="46"/>
  <c r="E37" i="46"/>
  <c r="G8" i="46"/>
  <c r="G33" i="46" s="1"/>
  <c r="D73" i="46"/>
  <c r="E72" i="45"/>
  <c r="E37" i="45"/>
  <c r="I37" i="45"/>
  <c r="I44" i="45" s="1"/>
  <c r="I72" i="45"/>
  <c r="G8" i="45"/>
  <c r="D73" i="45"/>
  <c r="E16" i="44"/>
  <c r="E14" i="44"/>
  <c r="E5" i="44"/>
  <c r="Q17" i="43"/>
  <c r="Q18" i="43"/>
  <c r="Q19" i="43"/>
  <c r="O49" i="43"/>
  <c r="L49" i="43" s="1"/>
  <c r="P49" i="43"/>
  <c r="R49" i="43" s="1"/>
  <c r="E27" i="50" s="1"/>
  <c r="Q49" i="43"/>
  <c r="S49" i="43" s="1"/>
  <c r="E57" i="50" s="1"/>
  <c r="O50" i="43"/>
  <c r="P50" i="43" s="1"/>
  <c r="R50" i="43" s="1"/>
  <c r="O51" i="43"/>
  <c r="P51" i="43" s="1"/>
  <c r="R51" i="43" s="1"/>
  <c r="O53" i="43"/>
  <c r="Q53" i="43" s="1"/>
  <c r="S53" i="43" s="1"/>
  <c r="F57" i="50" s="1"/>
  <c r="O54" i="43"/>
  <c r="P54" i="43" s="1"/>
  <c r="O55" i="43"/>
  <c r="Q55" i="43" s="1"/>
  <c r="O57" i="43"/>
  <c r="O58" i="43"/>
  <c r="P58" i="43" s="1"/>
  <c r="O59" i="43"/>
  <c r="P59" i="43" s="1"/>
  <c r="O61" i="43"/>
  <c r="P61" i="43" s="1"/>
  <c r="O62" i="43"/>
  <c r="P62" i="43" s="1"/>
  <c r="O63" i="43"/>
  <c r="P63" i="43" s="1"/>
  <c r="O65" i="43"/>
  <c r="Q65" i="43" s="1"/>
  <c r="O66" i="43"/>
  <c r="O67" i="43"/>
  <c r="L67" i="43" s="1"/>
  <c r="I67" i="43" s="1"/>
  <c r="E34" i="34"/>
  <c r="I33" i="42"/>
  <c r="J33" i="42" s="1"/>
  <c r="F33" i="42"/>
  <c r="I32" i="42"/>
  <c r="H32" i="42"/>
  <c r="F32" i="42"/>
  <c r="G31" i="42"/>
  <c r="J31" i="42" s="1"/>
  <c r="I30" i="42"/>
  <c r="F30" i="42"/>
  <c r="J30" i="42" s="1"/>
  <c r="F29" i="42"/>
  <c r="D29" i="42"/>
  <c r="I28" i="42"/>
  <c r="H45" i="50" l="1"/>
  <c r="G29" i="50"/>
  <c r="F29" i="50"/>
  <c r="F45" i="50"/>
  <c r="H6" i="50"/>
  <c r="E45" i="50"/>
  <c r="F37" i="50"/>
  <c r="H50" i="50"/>
  <c r="I45" i="50"/>
  <c r="H29" i="50"/>
  <c r="G45" i="50"/>
  <c r="I37" i="50"/>
  <c r="E29" i="50"/>
  <c r="H37" i="50"/>
  <c r="G37" i="50"/>
  <c r="E37" i="50"/>
  <c r="I29" i="50"/>
  <c r="R58" i="43"/>
  <c r="R38" i="49"/>
  <c r="L57" i="43"/>
  <c r="P55" i="43"/>
  <c r="R55" i="43" s="1"/>
  <c r="L53" i="43"/>
  <c r="I53" i="43" s="1"/>
  <c r="P65" i="43"/>
  <c r="L50" i="43"/>
  <c r="M50" i="43" s="1"/>
  <c r="L63" i="43"/>
  <c r="N63" i="43" s="1"/>
  <c r="Q67" i="43"/>
  <c r="L54" i="43"/>
  <c r="M54" i="43" s="1"/>
  <c r="P67" i="43"/>
  <c r="R67" i="43" s="1"/>
  <c r="P53" i="43"/>
  <c r="R53" i="43" s="1"/>
  <c r="F27" i="50" s="1"/>
  <c r="M49" i="43"/>
  <c r="N49" i="43"/>
  <c r="L65" i="43"/>
  <c r="I65" i="43" s="1"/>
  <c r="L62" i="43"/>
  <c r="J32" i="42"/>
  <c r="Q61" i="43"/>
  <c r="S65" i="43" s="1"/>
  <c r="I57" i="50" s="1"/>
  <c r="M53" i="43"/>
  <c r="L58" i="43"/>
  <c r="N58" i="43" s="1"/>
  <c r="L66" i="43"/>
  <c r="N66" i="43" s="1"/>
  <c r="Q62" i="43"/>
  <c r="R59" i="43"/>
  <c r="Q58" i="43"/>
  <c r="Q50" i="43"/>
  <c r="S50" i="43" s="1"/>
  <c r="E58" i="50" s="1"/>
  <c r="I50" i="43"/>
  <c r="J50" i="43" s="1"/>
  <c r="F37" i="46"/>
  <c r="F41" i="46" s="1"/>
  <c r="G41" i="46" s="1"/>
  <c r="H41" i="46" s="1"/>
  <c r="I41" i="46" s="1"/>
  <c r="I72" i="46"/>
  <c r="F72" i="45"/>
  <c r="G72" i="46"/>
  <c r="G37" i="46"/>
  <c r="G42" i="46" s="1"/>
  <c r="H42" i="46" s="1"/>
  <c r="I42" i="46" s="1"/>
  <c r="E40" i="46"/>
  <c r="D74" i="46"/>
  <c r="H33" i="46"/>
  <c r="G72" i="45"/>
  <c r="G37" i="45"/>
  <c r="G42" i="45" s="1"/>
  <c r="H42" i="45" s="1"/>
  <c r="I42" i="45" s="1"/>
  <c r="E40" i="45"/>
  <c r="D74" i="45"/>
  <c r="K67" i="43"/>
  <c r="F67" i="43"/>
  <c r="U49" i="43"/>
  <c r="R62" i="43"/>
  <c r="F53" i="43"/>
  <c r="J53" i="43"/>
  <c r="K53" i="43"/>
  <c r="R54" i="43"/>
  <c r="R63" i="43"/>
  <c r="M67" i="43"/>
  <c r="N67" i="43"/>
  <c r="M57" i="43"/>
  <c r="N57" i="43"/>
  <c r="I57" i="43"/>
  <c r="M66" i="43"/>
  <c r="J67" i="43"/>
  <c r="R65" i="43"/>
  <c r="Q66" i="43"/>
  <c r="S66" i="43" s="1"/>
  <c r="I58" i="50" s="1"/>
  <c r="Q57" i="43"/>
  <c r="S57" i="43" s="1"/>
  <c r="G57" i="50" s="1"/>
  <c r="P66" i="43"/>
  <c r="R66" i="43" s="1"/>
  <c r="L61" i="43"/>
  <c r="P57" i="43"/>
  <c r="I49" i="43"/>
  <c r="Q63" i="43"/>
  <c r="L59" i="43"/>
  <c r="Q54" i="43"/>
  <c r="L51" i="43"/>
  <c r="N50" i="43"/>
  <c r="Q59" i="43"/>
  <c r="S59" i="43" s="1"/>
  <c r="G59" i="50" s="1"/>
  <c r="Q51" i="43"/>
  <c r="K50" i="43"/>
  <c r="L55" i="43"/>
  <c r="J29" i="42"/>
  <c r="J34" i="42" s="1"/>
  <c r="K34" i="42" s="1"/>
  <c r="N54" i="43" l="1"/>
  <c r="I63" i="43"/>
  <c r="N53" i="43"/>
  <c r="M63" i="43"/>
  <c r="I54" i="43"/>
  <c r="I56" i="50"/>
  <c r="I55" i="50"/>
  <c r="I61" i="50" s="1"/>
  <c r="I35" i="50"/>
  <c r="H55" i="50"/>
  <c r="I27" i="50"/>
  <c r="I54" i="50"/>
  <c r="I60" i="50" s="1"/>
  <c r="G43" i="50"/>
  <c r="S62" i="43"/>
  <c r="H58" i="50" s="1"/>
  <c r="H56" i="50"/>
  <c r="H62" i="50" s="1"/>
  <c r="H43" i="50"/>
  <c r="E35" i="50"/>
  <c r="F50" i="43"/>
  <c r="Q24" i="49"/>
  <c r="Q25" i="49" s="1"/>
  <c r="P24" i="49"/>
  <c r="P25" i="49" s="1"/>
  <c r="N24" i="49"/>
  <c r="N25" i="49" s="1"/>
  <c r="O24" i="49"/>
  <c r="O25" i="49" s="1"/>
  <c r="M24" i="49"/>
  <c r="R30" i="49"/>
  <c r="S54" i="43"/>
  <c r="F58" i="50" s="1"/>
  <c r="S61" i="43"/>
  <c r="H57" i="50" s="1"/>
  <c r="S63" i="43"/>
  <c r="H59" i="50" s="1"/>
  <c r="M65" i="43"/>
  <c r="N65" i="43"/>
  <c r="I62" i="43"/>
  <c r="N62" i="43"/>
  <c r="M62" i="43"/>
  <c r="I66" i="43"/>
  <c r="K66" i="43" s="1"/>
  <c r="M58" i="43"/>
  <c r="I58" i="43"/>
  <c r="H37" i="46"/>
  <c r="H72" i="46"/>
  <c r="F40" i="46"/>
  <c r="E45" i="46"/>
  <c r="E60" i="46" s="1"/>
  <c r="H72" i="45"/>
  <c r="H37" i="45"/>
  <c r="F40" i="45"/>
  <c r="E45" i="45"/>
  <c r="E60" i="45" s="1"/>
  <c r="C50" i="43"/>
  <c r="G50" i="43"/>
  <c r="H50" i="43"/>
  <c r="K57" i="43"/>
  <c r="F57" i="43"/>
  <c r="J57" i="43"/>
  <c r="F49" i="43"/>
  <c r="K49" i="43"/>
  <c r="J49" i="43"/>
  <c r="G53" i="43"/>
  <c r="H53" i="43"/>
  <c r="C53" i="43"/>
  <c r="M55" i="43"/>
  <c r="N55" i="43"/>
  <c r="I55" i="43"/>
  <c r="F54" i="43"/>
  <c r="J54" i="43"/>
  <c r="K54" i="43"/>
  <c r="F63" i="43"/>
  <c r="J63" i="43"/>
  <c r="K63" i="43"/>
  <c r="S51" i="43"/>
  <c r="S55" i="43"/>
  <c r="F59" i="50" s="1"/>
  <c r="U58" i="43"/>
  <c r="R57" i="43"/>
  <c r="G27" i="50" s="1"/>
  <c r="R61" i="43"/>
  <c r="I61" i="43"/>
  <c r="M61" i="43"/>
  <c r="N61" i="43"/>
  <c r="S67" i="43"/>
  <c r="I59" i="50" s="1"/>
  <c r="S58" i="43"/>
  <c r="G58" i="50" s="1"/>
  <c r="C67" i="43"/>
  <c r="G67" i="43"/>
  <c r="H67" i="43"/>
  <c r="I51" i="43"/>
  <c r="M51" i="43"/>
  <c r="N51" i="43"/>
  <c r="F65" i="43"/>
  <c r="J65" i="43"/>
  <c r="K65" i="43"/>
  <c r="I59" i="43"/>
  <c r="M59" i="43"/>
  <c r="N59" i="43"/>
  <c r="U51" i="43" l="1"/>
  <c r="J66" i="43"/>
  <c r="F66" i="43"/>
  <c r="H35" i="50"/>
  <c r="H61" i="50"/>
  <c r="F35" i="50"/>
  <c r="H54" i="50"/>
  <c r="H60" i="50" s="1"/>
  <c r="E63" i="50" s="1"/>
  <c r="H27" i="50"/>
  <c r="G35" i="50"/>
  <c r="I43" i="50"/>
  <c r="I62" i="50"/>
  <c r="E59" i="50"/>
  <c r="F43" i="50"/>
  <c r="M25" i="49"/>
  <c r="O32" i="49"/>
  <c r="N32" i="49"/>
  <c r="P32" i="49"/>
  <c r="Q32" i="49"/>
  <c r="J58" i="43"/>
  <c r="K58" i="43"/>
  <c r="F58" i="43"/>
  <c r="K62" i="43"/>
  <c r="F62" i="43"/>
  <c r="J62" i="43"/>
  <c r="G40" i="46"/>
  <c r="F45" i="46"/>
  <c r="F60" i="46" s="1"/>
  <c r="H43" i="46"/>
  <c r="I43" i="46" s="1"/>
  <c r="C37" i="46"/>
  <c r="H43" i="45"/>
  <c r="I43" i="45" s="1"/>
  <c r="C37" i="45"/>
  <c r="G40" i="45"/>
  <c r="F45" i="45"/>
  <c r="F60" i="45" s="1"/>
  <c r="J61" i="43"/>
  <c r="K61" i="43"/>
  <c r="F61" i="43"/>
  <c r="D50" i="43"/>
  <c r="U27" i="43"/>
  <c r="E50" i="43"/>
  <c r="U50" i="43"/>
  <c r="F55" i="43"/>
  <c r="K55" i="43"/>
  <c r="J55" i="43"/>
  <c r="G49" i="43"/>
  <c r="H49" i="43"/>
  <c r="C49" i="43"/>
  <c r="G63" i="43"/>
  <c r="H63" i="43"/>
  <c r="C63" i="43"/>
  <c r="C66" i="43"/>
  <c r="G66" i="43"/>
  <c r="H66" i="43"/>
  <c r="E53" i="43"/>
  <c r="U30" i="43"/>
  <c r="D53" i="43"/>
  <c r="J59" i="43"/>
  <c r="K59" i="43"/>
  <c r="F59" i="43"/>
  <c r="E67" i="43"/>
  <c r="U44" i="43"/>
  <c r="D67" i="43"/>
  <c r="G65" i="43"/>
  <c r="H65" i="43"/>
  <c r="C65" i="43"/>
  <c r="C57" i="43"/>
  <c r="G57" i="43"/>
  <c r="H57" i="43"/>
  <c r="J51" i="43"/>
  <c r="K51" i="43"/>
  <c r="F51" i="43"/>
  <c r="G54" i="43"/>
  <c r="H54" i="43"/>
  <c r="C54" i="43"/>
  <c r="D73" i="34"/>
  <c r="I73" i="50" l="1"/>
  <c r="H73" i="50"/>
  <c r="G73" i="50"/>
  <c r="F73" i="50"/>
  <c r="E73" i="50"/>
  <c r="N34" i="49"/>
  <c r="N35" i="49" s="1"/>
  <c r="N36" i="49" s="1"/>
  <c r="P34" i="49"/>
  <c r="P35" i="49" s="1"/>
  <c r="P36" i="49" s="1"/>
  <c r="O34" i="49"/>
  <c r="O35" i="49" s="1"/>
  <c r="M32" i="49"/>
  <c r="Q34" i="49"/>
  <c r="Q35" i="49" s="1"/>
  <c r="C62" i="43"/>
  <c r="G62" i="43"/>
  <c r="H62" i="43"/>
  <c r="C58" i="43"/>
  <c r="H58" i="43"/>
  <c r="G58" i="43"/>
  <c r="G45" i="46"/>
  <c r="G60" i="46" s="1"/>
  <c r="H40" i="46"/>
  <c r="G45" i="45"/>
  <c r="G60" i="45" s="1"/>
  <c r="H40" i="45"/>
  <c r="G55" i="43"/>
  <c r="H55" i="43"/>
  <c r="C55" i="43"/>
  <c r="R44" i="43"/>
  <c r="V44" i="43"/>
  <c r="W44" i="43"/>
  <c r="R30" i="43"/>
  <c r="W30" i="43"/>
  <c r="V30" i="43"/>
  <c r="D49" i="43"/>
  <c r="E49" i="43"/>
  <c r="U26" i="43"/>
  <c r="E54" i="43"/>
  <c r="U31" i="43"/>
  <c r="D54" i="43"/>
  <c r="R27" i="43"/>
  <c r="V27" i="43"/>
  <c r="W27" i="43"/>
  <c r="H59" i="43"/>
  <c r="C59" i="43"/>
  <c r="G59" i="43"/>
  <c r="D66" i="43"/>
  <c r="E66" i="43"/>
  <c r="U43" i="43"/>
  <c r="E63" i="43"/>
  <c r="U40" i="43"/>
  <c r="D63" i="43"/>
  <c r="D57" i="43"/>
  <c r="E57" i="43"/>
  <c r="U34" i="43"/>
  <c r="D65" i="43"/>
  <c r="E65" i="43"/>
  <c r="U42" i="43"/>
  <c r="H51" i="43"/>
  <c r="C51" i="43"/>
  <c r="G51" i="43"/>
  <c r="G61" i="43"/>
  <c r="H61" i="43"/>
  <c r="C61" i="43"/>
  <c r="E8" i="34"/>
  <c r="N39" i="49" l="1"/>
  <c r="N41" i="49" s="1"/>
  <c r="N42" i="49" s="1"/>
  <c r="N43" i="49" s="1"/>
  <c r="N46" i="49" s="1"/>
  <c r="P39" i="49"/>
  <c r="P41" i="49" s="1"/>
  <c r="P42" i="49" s="1"/>
  <c r="P43" i="49" s="1"/>
  <c r="P46" i="49" s="1"/>
  <c r="M34" i="49"/>
  <c r="M35" i="49" s="1"/>
  <c r="O36" i="49"/>
  <c r="O39" i="49"/>
  <c r="O41" i="49" s="1"/>
  <c r="O42" i="49" s="1"/>
  <c r="O43" i="49" s="1"/>
  <c r="O46" i="49" s="1"/>
  <c r="Q36" i="49"/>
  <c r="Q39" i="49"/>
  <c r="Q41" i="49" s="1"/>
  <c r="U35" i="43"/>
  <c r="D58" i="43"/>
  <c r="E58" i="43"/>
  <c r="E62" i="43"/>
  <c r="U39" i="43"/>
  <c r="D62" i="43"/>
  <c r="H45" i="46"/>
  <c r="H60" i="46" s="1"/>
  <c r="I40" i="46"/>
  <c r="I45" i="46" s="1"/>
  <c r="I60" i="46" s="1"/>
  <c r="H45" i="45"/>
  <c r="H60" i="45" s="1"/>
  <c r="I40" i="45"/>
  <c r="I45" i="45" s="1"/>
  <c r="I60" i="45" s="1"/>
  <c r="R40" i="43"/>
  <c r="W40" i="43"/>
  <c r="V40" i="43"/>
  <c r="V43" i="43"/>
  <c r="W43" i="43"/>
  <c r="R43" i="43"/>
  <c r="S27" i="43"/>
  <c r="T27" i="43"/>
  <c r="O27" i="43"/>
  <c r="D55" i="43"/>
  <c r="E55" i="43"/>
  <c r="U32" i="43"/>
  <c r="D59" i="43"/>
  <c r="E59" i="43"/>
  <c r="U36" i="43"/>
  <c r="S44" i="43"/>
  <c r="T44" i="43"/>
  <c r="O44" i="43"/>
  <c r="U38" i="43"/>
  <c r="D61" i="43"/>
  <c r="E61" i="43"/>
  <c r="W26" i="43"/>
  <c r="R26" i="43"/>
  <c r="V26" i="43"/>
  <c r="R34" i="43"/>
  <c r="V34" i="43"/>
  <c r="W34" i="43"/>
  <c r="V42" i="43"/>
  <c r="W42" i="43"/>
  <c r="R42" i="43"/>
  <c r="S30" i="43"/>
  <c r="T30" i="43"/>
  <c r="O30" i="43"/>
  <c r="U28" i="43"/>
  <c r="D51" i="43"/>
  <c r="E51" i="43"/>
  <c r="V31" i="43"/>
  <c r="W31" i="43"/>
  <c r="R31" i="43"/>
  <c r="E33" i="34"/>
  <c r="F8" i="34"/>
  <c r="G8" i="34"/>
  <c r="I8" i="34"/>
  <c r="H8" i="34"/>
  <c r="D74" i="34"/>
  <c r="Q42" i="49" l="1"/>
  <c r="Q43" i="49" s="1"/>
  <c r="Q46" i="49" s="1"/>
  <c r="M36" i="49"/>
  <c r="M39" i="49"/>
  <c r="M41" i="49" s="1"/>
  <c r="M42" i="49" s="1"/>
  <c r="M43" i="49" s="1"/>
  <c r="M46" i="49" s="1"/>
  <c r="V39" i="43"/>
  <c r="W39" i="43"/>
  <c r="R39" i="43"/>
  <c r="W35" i="43"/>
  <c r="V35" i="43"/>
  <c r="R35" i="43"/>
  <c r="O26" i="43"/>
  <c r="S26" i="43"/>
  <c r="T26" i="43"/>
  <c r="L27" i="43"/>
  <c r="P27" i="43"/>
  <c r="Q27" i="43"/>
  <c r="Q44" i="43"/>
  <c r="L44" i="43"/>
  <c r="P44" i="43"/>
  <c r="S40" i="43"/>
  <c r="T40" i="43"/>
  <c r="O40" i="43"/>
  <c r="O43" i="43"/>
  <c r="S43" i="43"/>
  <c r="T43" i="43"/>
  <c r="V28" i="43"/>
  <c r="W28" i="43"/>
  <c r="R28" i="43"/>
  <c r="P30" i="43"/>
  <c r="Q30" i="43"/>
  <c r="L30" i="43"/>
  <c r="S31" i="43"/>
  <c r="T31" i="43"/>
  <c r="O31" i="43"/>
  <c r="W36" i="43"/>
  <c r="R36" i="43"/>
  <c r="V36" i="43"/>
  <c r="S34" i="43"/>
  <c r="T34" i="43"/>
  <c r="O34" i="43"/>
  <c r="V32" i="43"/>
  <c r="W32" i="43"/>
  <c r="R32" i="43"/>
  <c r="S42" i="43"/>
  <c r="T42" i="43"/>
  <c r="O42" i="43"/>
  <c r="R38" i="43"/>
  <c r="V38" i="43"/>
  <c r="W38" i="43"/>
  <c r="E72" i="34"/>
  <c r="F33" i="34"/>
  <c r="G33" i="34"/>
  <c r="O35" i="43" l="1"/>
  <c r="S35" i="43"/>
  <c r="T35" i="43"/>
  <c r="T39" i="43"/>
  <c r="S39" i="43"/>
  <c r="O39" i="43"/>
  <c r="Q34" i="43"/>
  <c r="L34" i="43"/>
  <c r="P34" i="43"/>
  <c r="P26" i="43"/>
  <c r="Q26" i="43"/>
  <c r="L26" i="43"/>
  <c r="I30" i="43"/>
  <c r="M30" i="43"/>
  <c r="N30" i="43"/>
  <c r="P43" i="43"/>
  <c r="Q43" i="43"/>
  <c r="L43" i="43"/>
  <c r="I44" i="43"/>
  <c r="M44" i="43"/>
  <c r="N44" i="43"/>
  <c r="L42" i="43"/>
  <c r="P42" i="43"/>
  <c r="Q42" i="43"/>
  <c r="O36" i="43"/>
  <c r="S36" i="43"/>
  <c r="T36" i="43"/>
  <c r="O32" i="43"/>
  <c r="S32" i="43"/>
  <c r="T32" i="43"/>
  <c r="P40" i="43"/>
  <c r="Q40" i="43"/>
  <c r="L40" i="43"/>
  <c r="M27" i="43"/>
  <c r="N27" i="43"/>
  <c r="I27" i="43"/>
  <c r="O28" i="43"/>
  <c r="T28" i="43"/>
  <c r="S28" i="43"/>
  <c r="S38" i="43"/>
  <c r="T38" i="43"/>
  <c r="O38" i="43"/>
  <c r="L31" i="43"/>
  <c r="P31" i="43"/>
  <c r="Q31" i="43"/>
  <c r="I33" i="34"/>
  <c r="H33" i="34"/>
  <c r="F72" i="34"/>
  <c r="E37" i="34"/>
  <c r="E40" i="34" s="1"/>
  <c r="F40" i="34" s="1"/>
  <c r="L39" i="43" l="1"/>
  <c r="Q39" i="43"/>
  <c r="P39" i="43"/>
  <c r="L35" i="43"/>
  <c r="P35" i="43"/>
  <c r="Q35" i="43"/>
  <c r="J30" i="43"/>
  <c r="K30" i="43"/>
  <c r="F30" i="43"/>
  <c r="P32" i="43"/>
  <c r="Q32" i="43"/>
  <c r="L32" i="43"/>
  <c r="J44" i="43"/>
  <c r="K44" i="43"/>
  <c r="F44" i="43"/>
  <c r="I34" i="43"/>
  <c r="M34" i="43"/>
  <c r="N34" i="43"/>
  <c r="J27" i="43"/>
  <c r="K27" i="43"/>
  <c r="F27" i="43"/>
  <c r="N43" i="43"/>
  <c r="I43" i="43"/>
  <c r="M43" i="43"/>
  <c r="L38" i="43"/>
  <c r="P38" i="43"/>
  <c r="Q38" i="43"/>
  <c r="I40" i="43"/>
  <c r="M40" i="43"/>
  <c r="N40" i="43"/>
  <c r="P36" i="43"/>
  <c r="Q36" i="43"/>
  <c r="L36" i="43"/>
  <c r="I26" i="43"/>
  <c r="N26" i="43"/>
  <c r="M26" i="43"/>
  <c r="P28" i="43"/>
  <c r="Q28" i="43"/>
  <c r="L28" i="43"/>
  <c r="M31" i="43"/>
  <c r="N31" i="43"/>
  <c r="I31" i="43"/>
  <c r="M42" i="43"/>
  <c r="N42" i="43"/>
  <c r="I42" i="43"/>
  <c r="E45" i="34"/>
  <c r="E60" i="34" s="1"/>
  <c r="F37" i="34"/>
  <c r="F41" i="34" s="1"/>
  <c r="I72" i="34"/>
  <c r="G37" i="34"/>
  <c r="G42" i="34" s="1"/>
  <c r="G72" i="34"/>
  <c r="H37" i="34"/>
  <c r="H43" i="34" s="1"/>
  <c r="I43" i="34" s="1"/>
  <c r="H72" i="34"/>
  <c r="I37" i="34"/>
  <c r="I44" i="34" s="1"/>
  <c r="D8" i="40"/>
  <c r="H8" i="40" s="1"/>
  <c r="H20" i="41"/>
  <c r="H19" i="41"/>
  <c r="H17" i="41"/>
  <c r="H16" i="41"/>
  <c r="M35" i="43" l="1"/>
  <c r="N35" i="43"/>
  <c r="I35" i="43"/>
  <c r="N39" i="43"/>
  <c r="I39" i="43"/>
  <c r="M39" i="43"/>
  <c r="K31" i="43"/>
  <c r="F31" i="43"/>
  <c r="J31" i="43"/>
  <c r="J34" i="43"/>
  <c r="K34" i="43"/>
  <c r="F34" i="43"/>
  <c r="C44" i="43"/>
  <c r="G44" i="43"/>
  <c r="H44" i="43"/>
  <c r="J26" i="43"/>
  <c r="K26" i="43"/>
  <c r="F26" i="43"/>
  <c r="I36" i="43"/>
  <c r="N36" i="43"/>
  <c r="M36" i="43"/>
  <c r="M28" i="43"/>
  <c r="N28" i="43"/>
  <c r="I28" i="43"/>
  <c r="C27" i="43"/>
  <c r="G27" i="43"/>
  <c r="H27" i="43"/>
  <c r="M38" i="43"/>
  <c r="N38" i="43"/>
  <c r="I38" i="43"/>
  <c r="J40" i="43"/>
  <c r="K40" i="43"/>
  <c r="F40" i="43"/>
  <c r="F43" i="43"/>
  <c r="J43" i="43"/>
  <c r="K43" i="43"/>
  <c r="N32" i="43"/>
  <c r="I32" i="43"/>
  <c r="M32" i="43"/>
  <c r="K42" i="43"/>
  <c r="F42" i="43"/>
  <c r="J42" i="43"/>
  <c r="H30" i="43"/>
  <c r="C30" i="43"/>
  <c r="G30" i="43"/>
  <c r="C37" i="34"/>
  <c r="F45" i="34"/>
  <c r="F8" i="40"/>
  <c r="K39" i="43" l="1"/>
  <c r="F39" i="43"/>
  <c r="J39" i="43"/>
  <c r="K35" i="43"/>
  <c r="J35" i="43"/>
  <c r="F35" i="43"/>
  <c r="C31" i="43"/>
  <c r="G31" i="43"/>
  <c r="H31" i="43"/>
  <c r="D27" i="43"/>
  <c r="E33" i="50" s="1"/>
  <c r="E27" i="43"/>
  <c r="F28" i="43"/>
  <c r="J28" i="43"/>
  <c r="K28" i="43"/>
  <c r="G43" i="43"/>
  <c r="H43" i="43"/>
  <c r="C43" i="43"/>
  <c r="G26" i="43"/>
  <c r="H26" i="43"/>
  <c r="C26" i="43"/>
  <c r="D44" i="43"/>
  <c r="I41" i="50" s="1"/>
  <c r="E44" i="43"/>
  <c r="C42" i="43"/>
  <c r="G42" i="43"/>
  <c r="H42" i="43"/>
  <c r="H40" i="43"/>
  <c r="C40" i="43"/>
  <c r="G40" i="43"/>
  <c r="C34" i="43"/>
  <c r="H34" i="43"/>
  <c r="G34" i="43"/>
  <c r="F32" i="43"/>
  <c r="J32" i="43"/>
  <c r="K32" i="43"/>
  <c r="J38" i="43"/>
  <c r="K38" i="43"/>
  <c r="F38" i="43"/>
  <c r="D30" i="43"/>
  <c r="F25" i="50" s="1"/>
  <c r="E30" i="43"/>
  <c r="J36" i="43"/>
  <c r="K36" i="43"/>
  <c r="F36" i="43"/>
  <c r="F60" i="34"/>
  <c r="G40" i="34"/>
  <c r="F28" i="50" l="1"/>
  <c r="F26" i="50"/>
  <c r="F30" i="50" s="1"/>
  <c r="F25" i="44" s="1"/>
  <c r="F11" i="34" s="1"/>
  <c r="I44" i="50"/>
  <c r="I42" i="50"/>
  <c r="I90" i="50" s="1"/>
  <c r="I93" i="50" s="1"/>
  <c r="I42" i="44" s="1"/>
  <c r="E36" i="50"/>
  <c r="E38" i="50" s="1"/>
  <c r="E33" i="44" s="1"/>
  <c r="E34" i="50"/>
  <c r="E82" i="50" s="1"/>
  <c r="E85" i="50" s="1"/>
  <c r="E34" i="44" s="1"/>
  <c r="E64" i="47"/>
  <c r="G35" i="43"/>
  <c r="H35" i="43"/>
  <c r="C35" i="43"/>
  <c r="G39" i="43"/>
  <c r="H39" i="43"/>
  <c r="C39" i="43"/>
  <c r="E64" i="34"/>
  <c r="E64" i="45"/>
  <c r="E64" i="46"/>
  <c r="D31" i="43"/>
  <c r="F33" i="50" s="1"/>
  <c r="E31" i="43"/>
  <c r="D42" i="43"/>
  <c r="I25" i="50" s="1"/>
  <c r="E42" i="43"/>
  <c r="G36" i="43"/>
  <c r="H36" i="43"/>
  <c r="C36" i="43"/>
  <c r="G32" i="43"/>
  <c r="H32" i="43"/>
  <c r="C32" i="43"/>
  <c r="D26" i="43"/>
  <c r="E25" i="50" s="1"/>
  <c r="E26" i="43"/>
  <c r="G28" i="43"/>
  <c r="H28" i="43"/>
  <c r="D40" i="43"/>
  <c r="H41" i="50" s="1"/>
  <c r="E40" i="43"/>
  <c r="C38" i="43"/>
  <c r="G38" i="43"/>
  <c r="H38" i="43"/>
  <c r="D34" i="43"/>
  <c r="G25" i="50" s="1"/>
  <c r="E34" i="43"/>
  <c r="E43" i="43"/>
  <c r="D43" i="43"/>
  <c r="I33" i="50" s="1"/>
  <c r="H40" i="34"/>
  <c r="E11" i="46" l="1"/>
  <c r="F74" i="50"/>
  <c r="F77" i="50" s="1"/>
  <c r="F26" i="44" s="1"/>
  <c r="F48" i="34"/>
  <c r="F52" i="34"/>
  <c r="F51" i="34"/>
  <c r="F53" i="34"/>
  <c r="F50" i="34"/>
  <c r="I36" i="50"/>
  <c r="I34" i="50"/>
  <c r="I82" i="50" s="1"/>
  <c r="I85" i="50" s="1"/>
  <c r="I34" i="44" s="1"/>
  <c r="G28" i="50"/>
  <c r="G26" i="50"/>
  <c r="G74" i="50" s="1"/>
  <c r="G77" i="50" s="1"/>
  <c r="G26" i="44" s="1"/>
  <c r="I28" i="50"/>
  <c r="I26" i="50"/>
  <c r="I74" i="50" s="1"/>
  <c r="I77" i="50" s="1"/>
  <c r="I26" i="44" s="1"/>
  <c r="I46" i="50"/>
  <c r="I41" i="44" s="1"/>
  <c r="E28" i="50"/>
  <c r="E26" i="50"/>
  <c r="E30" i="50" s="1"/>
  <c r="E25" i="44" s="1"/>
  <c r="F36" i="50"/>
  <c r="F34" i="50"/>
  <c r="F82" i="50" s="1"/>
  <c r="F85" i="50" s="1"/>
  <c r="F34" i="44" s="1"/>
  <c r="E35" i="44"/>
  <c r="H44" i="50"/>
  <c r="H42" i="50"/>
  <c r="H46" i="50" s="1"/>
  <c r="H41" i="44" s="1"/>
  <c r="G64" i="47"/>
  <c r="F64" i="47"/>
  <c r="D35" i="43"/>
  <c r="G33" i="50" s="1"/>
  <c r="E35" i="43"/>
  <c r="E39" i="43"/>
  <c r="D39" i="43"/>
  <c r="H33" i="50" s="1"/>
  <c r="F64" i="34"/>
  <c r="F64" i="45"/>
  <c r="F64" i="46"/>
  <c r="G64" i="34"/>
  <c r="G64" i="45"/>
  <c r="G64" i="46"/>
  <c r="D36" i="43"/>
  <c r="G41" i="50" s="1"/>
  <c r="E36" i="43"/>
  <c r="E28" i="43"/>
  <c r="D38" i="43"/>
  <c r="H25" i="50" s="1"/>
  <c r="E38" i="43"/>
  <c r="E32" i="43"/>
  <c r="D32" i="43"/>
  <c r="F41" i="50" s="1"/>
  <c r="I40" i="34"/>
  <c r="H6" i="41"/>
  <c r="F54" i="34" l="1"/>
  <c r="F57" i="34" s="1"/>
  <c r="E11" i="34"/>
  <c r="L24" i="49"/>
  <c r="L25" i="49" s="1"/>
  <c r="L28" i="49" s="1"/>
  <c r="L34" i="49" s="1"/>
  <c r="L35" i="49" s="1"/>
  <c r="I11" i="45"/>
  <c r="I11" i="47"/>
  <c r="I43" i="44"/>
  <c r="E48" i="46"/>
  <c r="E50" i="46"/>
  <c r="E52" i="46"/>
  <c r="E51" i="46"/>
  <c r="E53" i="46"/>
  <c r="K24" i="49"/>
  <c r="K25" i="49" s="1"/>
  <c r="K34" i="49" s="1"/>
  <c r="K35" i="49" s="1"/>
  <c r="H11" i="47"/>
  <c r="H11" i="45"/>
  <c r="G27" i="44"/>
  <c r="H28" i="50"/>
  <c r="H26" i="50"/>
  <c r="H74" i="50" s="1"/>
  <c r="H77" i="50" s="1"/>
  <c r="H26" i="44" s="1"/>
  <c r="G36" i="50"/>
  <c r="G34" i="50"/>
  <c r="G38" i="50" s="1"/>
  <c r="G33" i="44" s="1"/>
  <c r="G11" i="46" s="1"/>
  <c r="G30" i="50"/>
  <c r="G25" i="44" s="1"/>
  <c r="G11" i="34" s="1"/>
  <c r="E38" i="44"/>
  <c r="E36" i="44"/>
  <c r="E44" i="50"/>
  <c r="E42" i="50"/>
  <c r="E46" i="50" s="1"/>
  <c r="E41" i="44" s="1"/>
  <c r="H24" i="49" s="1"/>
  <c r="I38" i="50"/>
  <c r="I33" i="44" s="1"/>
  <c r="I11" i="46" s="1"/>
  <c r="H90" i="50"/>
  <c r="H93" i="50" s="1"/>
  <c r="H42" i="44" s="1"/>
  <c r="H43" i="44" s="1"/>
  <c r="G44" i="50"/>
  <c r="G42" i="50"/>
  <c r="G90" i="50" s="1"/>
  <c r="G93" i="50" s="1"/>
  <c r="G42" i="44" s="1"/>
  <c r="E74" i="50"/>
  <c r="E77" i="50" s="1"/>
  <c r="E26" i="44" s="1"/>
  <c r="E27" i="44" s="1"/>
  <c r="F44" i="50"/>
  <c r="F42" i="50"/>
  <c r="F46" i="50" s="1"/>
  <c r="F41" i="44" s="1"/>
  <c r="H36" i="50"/>
  <c r="H34" i="50"/>
  <c r="H82" i="50" s="1"/>
  <c r="H85" i="50" s="1"/>
  <c r="H34" i="44" s="1"/>
  <c r="F38" i="50"/>
  <c r="F33" i="44" s="1"/>
  <c r="F35" i="44" s="1"/>
  <c r="I30" i="50"/>
  <c r="I25" i="44" s="1"/>
  <c r="I11" i="34" s="1"/>
  <c r="H7" i="41"/>
  <c r="E90" i="50" l="1"/>
  <c r="G48" i="46"/>
  <c r="G51" i="46"/>
  <c r="G53" i="46"/>
  <c r="G50" i="46"/>
  <c r="G52" i="46"/>
  <c r="I53" i="45"/>
  <c r="I52" i="45"/>
  <c r="I50" i="45"/>
  <c r="I51" i="45"/>
  <c r="I48" i="45"/>
  <c r="I25" i="49"/>
  <c r="F11" i="45"/>
  <c r="F11" i="47"/>
  <c r="H27" i="44"/>
  <c r="H48" i="47"/>
  <c r="H54" i="47" s="1"/>
  <c r="H57" i="47" s="1"/>
  <c r="H52" i="47"/>
  <c r="H53" i="47"/>
  <c r="H51" i="47"/>
  <c r="L36" i="49"/>
  <c r="L39" i="49"/>
  <c r="L41" i="49" s="1"/>
  <c r="L42" i="49" s="1"/>
  <c r="L43" i="49" s="1"/>
  <c r="L46" i="49" s="1"/>
  <c r="E93" i="50"/>
  <c r="E42" i="44" s="1"/>
  <c r="I35" i="44"/>
  <c r="I51" i="46"/>
  <c r="I48" i="46"/>
  <c r="I50" i="46"/>
  <c r="I52" i="46"/>
  <c r="I53" i="46"/>
  <c r="F58" i="34"/>
  <c r="F62" i="34"/>
  <c r="F65" i="34" s="1"/>
  <c r="F66" i="34" s="1"/>
  <c r="F68" i="34" s="1"/>
  <c r="F73" i="34" s="1"/>
  <c r="K39" i="49"/>
  <c r="K36" i="49"/>
  <c r="G82" i="50"/>
  <c r="G85" i="50" s="1"/>
  <c r="G34" i="44" s="1"/>
  <c r="G35" i="44" s="1"/>
  <c r="I48" i="47"/>
  <c r="I52" i="47"/>
  <c r="I53" i="47"/>
  <c r="I51" i="47"/>
  <c r="G46" i="50"/>
  <c r="G41" i="44" s="1"/>
  <c r="E50" i="34"/>
  <c r="E48" i="34"/>
  <c r="E52" i="34"/>
  <c r="E51" i="34"/>
  <c r="E53" i="34"/>
  <c r="E54" i="46"/>
  <c r="G43" i="44"/>
  <c r="I48" i="34"/>
  <c r="I54" i="34" s="1"/>
  <c r="I57" i="34" s="1"/>
  <c r="I58" i="34" s="1"/>
  <c r="C82" i="34" s="1"/>
  <c r="I51" i="34"/>
  <c r="I50" i="34"/>
  <c r="I52" i="34"/>
  <c r="I53" i="34"/>
  <c r="F38" i="44"/>
  <c r="F36" i="44" s="1"/>
  <c r="F37" i="44" s="1"/>
  <c r="I27" i="44"/>
  <c r="H30" i="50"/>
  <c r="H25" i="44" s="1"/>
  <c r="H51" i="45"/>
  <c r="H50" i="45"/>
  <c r="H53" i="45"/>
  <c r="H52" i="45"/>
  <c r="H48" i="45"/>
  <c r="H54" i="45" s="1"/>
  <c r="H57" i="45" s="1"/>
  <c r="F11" i="46"/>
  <c r="J33" i="44"/>
  <c r="G48" i="34"/>
  <c r="G53" i="34"/>
  <c r="G50" i="34"/>
  <c r="G52" i="34"/>
  <c r="G51" i="34"/>
  <c r="E28" i="44"/>
  <c r="E29" i="44" s="1"/>
  <c r="E30" i="44"/>
  <c r="H38" i="50"/>
  <c r="H33" i="44" s="1"/>
  <c r="H11" i="46" s="1"/>
  <c r="F90" i="50"/>
  <c r="F93" i="50" s="1"/>
  <c r="F42" i="44" s="1"/>
  <c r="F43" i="44" s="1"/>
  <c r="E37" i="44"/>
  <c r="I64" i="47"/>
  <c r="H64" i="47"/>
  <c r="I64" i="34"/>
  <c r="I64" i="46"/>
  <c r="I64" i="45"/>
  <c r="H64" i="34"/>
  <c r="H64" i="46"/>
  <c r="H64" i="45"/>
  <c r="D26" i="41"/>
  <c r="G38" i="44" l="1"/>
  <c r="H38" i="44" s="1"/>
  <c r="E43" i="44"/>
  <c r="E46" i="44" s="1"/>
  <c r="F46" i="44" s="1"/>
  <c r="H62" i="47"/>
  <c r="H58" i="47"/>
  <c r="F48" i="47"/>
  <c r="F53" i="47"/>
  <c r="F52" i="47"/>
  <c r="F51" i="47"/>
  <c r="F50" i="45"/>
  <c r="F48" i="45"/>
  <c r="F53" i="45"/>
  <c r="F52" i="45"/>
  <c r="F51" i="45"/>
  <c r="G54" i="34"/>
  <c r="G57" i="34" s="1"/>
  <c r="G58" i="34" s="1"/>
  <c r="I32" i="49"/>
  <c r="I54" i="45"/>
  <c r="I57" i="45" s="1"/>
  <c r="E57" i="46"/>
  <c r="H58" i="45"/>
  <c r="H62" i="45"/>
  <c r="I54" i="46"/>
  <c r="I57" i="46" s="1"/>
  <c r="J24" i="49"/>
  <c r="J25" i="49" s="1"/>
  <c r="J34" i="49" s="1"/>
  <c r="J35" i="49" s="1"/>
  <c r="G11" i="47"/>
  <c r="G11" i="45"/>
  <c r="J34" i="44"/>
  <c r="H51" i="46"/>
  <c r="H48" i="46"/>
  <c r="H50" i="46"/>
  <c r="H53" i="46"/>
  <c r="H52" i="46"/>
  <c r="H11" i="34"/>
  <c r="J25" i="44"/>
  <c r="E11" i="45"/>
  <c r="E11" i="47"/>
  <c r="J41" i="44"/>
  <c r="H65" i="47"/>
  <c r="H66" i="47" s="1"/>
  <c r="H68" i="47" s="1"/>
  <c r="H73" i="47" s="1"/>
  <c r="I54" i="47"/>
  <c r="I57" i="47" s="1"/>
  <c r="H65" i="45"/>
  <c r="H66" i="45" s="1"/>
  <c r="H68" i="45" s="1"/>
  <c r="H73" i="45" s="1"/>
  <c r="F53" i="46"/>
  <c r="F52" i="46"/>
  <c r="F50" i="46"/>
  <c r="F51" i="46"/>
  <c r="F48" i="46"/>
  <c r="F54" i="46" s="1"/>
  <c r="F57" i="46" s="1"/>
  <c r="C11" i="46"/>
  <c r="E54" i="34"/>
  <c r="H35" i="44"/>
  <c r="G54" i="46"/>
  <c r="G57" i="46" s="1"/>
  <c r="J35" i="44"/>
  <c r="J42" i="44"/>
  <c r="K41" i="49"/>
  <c r="K42" i="49" s="1"/>
  <c r="K43" i="49" s="1"/>
  <c r="K46" i="49" s="1"/>
  <c r="R40" i="49"/>
  <c r="H9" i="41"/>
  <c r="H26" i="41"/>
  <c r="G36" i="44" l="1"/>
  <c r="G37" i="44" s="1"/>
  <c r="J43" i="44"/>
  <c r="E44" i="44"/>
  <c r="E45" i="44" s="1"/>
  <c r="H54" i="46"/>
  <c r="H57" i="46" s="1"/>
  <c r="G48" i="47"/>
  <c r="G51" i="47"/>
  <c r="G52" i="47"/>
  <c r="G53" i="47"/>
  <c r="F58" i="46"/>
  <c r="F62" i="46"/>
  <c r="F65" i="46" s="1"/>
  <c r="F66" i="46" s="1"/>
  <c r="F68" i="46" s="1"/>
  <c r="F73" i="46" s="1"/>
  <c r="I34" i="49"/>
  <c r="I35" i="49" s="1"/>
  <c r="F54" i="45"/>
  <c r="F57" i="45" s="1"/>
  <c r="I58" i="46"/>
  <c r="C82" i="46" s="1"/>
  <c r="I62" i="46"/>
  <c r="I65" i="46" s="1"/>
  <c r="I66" i="46" s="1"/>
  <c r="I68" i="46" s="1"/>
  <c r="I73" i="46" s="1"/>
  <c r="I58" i="45"/>
  <c r="C82" i="45" s="1"/>
  <c r="I62" i="45"/>
  <c r="I65" i="45" s="1"/>
  <c r="I66" i="45" s="1"/>
  <c r="I68" i="45" s="1"/>
  <c r="I73" i="45" s="1"/>
  <c r="G48" i="45"/>
  <c r="G51" i="45"/>
  <c r="G50" i="45"/>
  <c r="G52" i="45"/>
  <c r="G53" i="45"/>
  <c r="E52" i="45"/>
  <c r="C11" i="45"/>
  <c r="E53" i="45"/>
  <c r="E48" i="45"/>
  <c r="E50" i="45"/>
  <c r="E51" i="45"/>
  <c r="H25" i="49"/>
  <c r="R24" i="49"/>
  <c r="I58" i="47"/>
  <c r="I62" i="47"/>
  <c r="I65" i="47" s="1"/>
  <c r="I66" i="47" s="1"/>
  <c r="I68" i="47" s="1"/>
  <c r="I73" i="47" s="1"/>
  <c r="E52" i="47"/>
  <c r="E51" i="47"/>
  <c r="E53" i="47"/>
  <c r="C11" i="47"/>
  <c r="E48" i="47"/>
  <c r="K11" i="47"/>
  <c r="F54" i="47"/>
  <c r="F57" i="47" s="1"/>
  <c r="H51" i="34"/>
  <c r="H52" i="34"/>
  <c r="H53" i="34"/>
  <c r="H48" i="34"/>
  <c r="H50" i="34"/>
  <c r="C11" i="34"/>
  <c r="C54" i="46"/>
  <c r="J36" i="49"/>
  <c r="J39" i="49"/>
  <c r="J41" i="49" s="1"/>
  <c r="J42" i="49" s="1"/>
  <c r="J43" i="49" s="1"/>
  <c r="J46" i="49" s="1"/>
  <c r="G58" i="46"/>
  <c r="G62" i="46"/>
  <c r="G65" i="46" s="1"/>
  <c r="G66" i="46" s="1"/>
  <c r="G68" i="46" s="1"/>
  <c r="G73" i="46" s="1"/>
  <c r="E57" i="34"/>
  <c r="E58" i="46"/>
  <c r="E62" i="46"/>
  <c r="E65" i="46" s="1"/>
  <c r="E66" i="46" s="1"/>
  <c r="E68" i="46" s="1"/>
  <c r="E73" i="46" s="1"/>
  <c r="E74" i="46" s="1"/>
  <c r="H36" i="44"/>
  <c r="H37" i="44" s="1"/>
  <c r="I38" i="44"/>
  <c r="I36" i="44" s="1"/>
  <c r="I37" i="44" s="1"/>
  <c r="F44" i="44"/>
  <c r="F45" i="44" s="1"/>
  <c r="G46" i="44"/>
  <c r="D18" i="41"/>
  <c r="G54" i="45" l="1"/>
  <c r="G57" i="45" s="1"/>
  <c r="R25" i="49"/>
  <c r="S25" i="49" s="1"/>
  <c r="M11" i="48"/>
  <c r="E75" i="46"/>
  <c r="F74" i="46"/>
  <c r="R28" i="49"/>
  <c r="H32" i="49"/>
  <c r="R32" i="49" s="1"/>
  <c r="F58" i="45"/>
  <c r="F62" i="45"/>
  <c r="F65" i="45" s="1"/>
  <c r="F66" i="45" s="1"/>
  <c r="F68" i="45" s="1"/>
  <c r="F73" i="45" s="1"/>
  <c r="F58" i="47"/>
  <c r="F62" i="47"/>
  <c r="F65" i="47" s="1"/>
  <c r="F66" i="47" s="1"/>
  <c r="F68" i="47" s="1"/>
  <c r="F73" i="47" s="1"/>
  <c r="E58" i="34"/>
  <c r="E62" i="34"/>
  <c r="E65" i="34" s="1"/>
  <c r="E66" i="34" s="1"/>
  <c r="E68" i="34" s="1"/>
  <c r="E73" i="34" s="1"/>
  <c r="E74" i="34" s="1"/>
  <c r="E75" i="34" s="1"/>
  <c r="E54" i="47"/>
  <c r="I39" i="49"/>
  <c r="I41" i="49" s="1"/>
  <c r="I42" i="49" s="1"/>
  <c r="I43" i="49" s="1"/>
  <c r="I46" i="49" s="1"/>
  <c r="I36" i="49"/>
  <c r="G54" i="47"/>
  <c r="G57" i="47" s="1"/>
  <c r="C80" i="46"/>
  <c r="H54" i="34"/>
  <c r="E54" i="45"/>
  <c r="H58" i="46"/>
  <c r="H62" i="46"/>
  <c r="H65" i="46" s="1"/>
  <c r="H66" i="46" s="1"/>
  <c r="H68" i="46" s="1"/>
  <c r="H73" i="46" s="1"/>
  <c r="K14" i="47"/>
  <c r="K13" i="47"/>
  <c r="K12" i="47"/>
  <c r="K16" i="47" s="1"/>
  <c r="J37" i="44"/>
  <c r="I20" i="44"/>
  <c r="J36" i="44"/>
  <c r="G44" i="44"/>
  <c r="G45" i="44" s="1"/>
  <c r="H46" i="44"/>
  <c r="C81" i="46"/>
  <c r="C79" i="46"/>
  <c r="F27" i="41"/>
  <c r="H8" i="41"/>
  <c r="H11" i="41" s="1"/>
  <c r="G8" i="41" s="1"/>
  <c r="C54" i="47" l="1"/>
  <c r="C57" i="47" s="1"/>
  <c r="C58" i="47" s="1"/>
  <c r="C82" i="47" s="1"/>
  <c r="E57" i="47"/>
  <c r="F75" i="46"/>
  <c r="G74" i="46"/>
  <c r="C54" i="45"/>
  <c r="E57" i="45"/>
  <c r="H57" i="34"/>
  <c r="H58" i="34" s="1"/>
  <c r="C54" i="34"/>
  <c r="G62" i="47"/>
  <c r="G65" i="47" s="1"/>
  <c r="G66" i="47" s="1"/>
  <c r="G68" i="47" s="1"/>
  <c r="G73" i="47" s="1"/>
  <c r="G58" i="47"/>
  <c r="G58" i="45"/>
  <c r="G62" i="45"/>
  <c r="G65" i="45" s="1"/>
  <c r="G66" i="45" s="1"/>
  <c r="G68" i="45" s="1"/>
  <c r="G73" i="45" s="1"/>
  <c r="H44" i="44"/>
  <c r="I46" i="44"/>
  <c r="I44" i="44" s="1"/>
  <c r="I45" i="44" s="1"/>
  <c r="G7" i="41"/>
  <c r="G9" i="41"/>
  <c r="G6" i="41"/>
  <c r="E58" i="45" l="1"/>
  <c r="E62" i="45"/>
  <c r="E65" i="45" s="1"/>
  <c r="E66" i="45" s="1"/>
  <c r="E68" i="45" s="1"/>
  <c r="E58" i="47"/>
  <c r="E62" i="47"/>
  <c r="E65" i="47" s="1"/>
  <c r="E66" i="47" s="1"/>
  <c r="E68" i="47" s="1"/>
  <c r="G75" i="46"/>
  <c r="H74" i="46"/>
  <c r="H45" i="44"/>
  <c r="J44" i="44"/>
  <c r="F26" i="41"/>
  <c r="H75" i="46" l="1"/>
  <c r="I74" i="46"/>
  <c r="I75" i="46" s="1"/>
  <c r="C83" i="46" s="1"/>
  <c r="E73" i="47"/>
  <c r="C80" i="47"/>
  <c r="E73" i="45"/>
  <c r="C80" i="45"/>
  <c r="I21" i="44"/>
  <c r="J45" i="44"/>
  <c r="E10" i="34"/>
  <c r="E74" i="45" l="1"/>
  <c r="C81" i="45"/>
  <c r="C79" i="45"/>
  <c r="E74" i="47"/>
  <c r="C81" i="47"/>
  <c r="C79" i="47"/>
  <c r="F10" i="34"/>
  <c r="F74" i="47" l="1"/>
  <c r="E75" i="47"/>
  <c r="F74" i="45"/>
  <c r="F75" i="45" s="1"/>
  <c r="E75" i="45"/>
  <c r="C83" i="45" s="1"/>
  <c r="G10" i="34"/>
  <c r="G74" i="45" l="1"/>
  <c r="G75" i="45" s="1"/>
  <c r="F75" i="47"/>
  <c r="G74" i="47"/>
  <c r="H10" i="34"/>
  <c r="G75" i="47" l="1"/>
  <c r="H74" i="47"/>
  <c r="I74" i="47" s="1"/>
  <c r="I75" i="47" s="1"/>
  <c r="H74" i="45"/>
  <c r="I74" i="45" s="1"/>
  <c r="I75" i="45" s="1"/>
  <c r="I10" i="34"/>
  <c r="H75" i="45" l="1"/>
  <c r="H75" i="47"/>
  <c r="C83" i="47" s="1"/>
  <c r="H42" i="34"/>
  <c r="I42" i="34" s="1"/>
  <c r="G41" i="34"/>
  <c r="G45" i="34" l="1"/>
  <c r="G60" i="34" s="1"/>
  <c r="G62" i="34" s="1"/>
  <c r="H41" i="34"/>
  <c r="G65" i="34" l="1"/>
  <c r="G66" i="34" s="1"/>
  <c r="G68" i="34" s="1"/>
  <c r="G73" i="34" s="1"/>
  <c r="H45" i="34"/>
  <c r="I41" i="34"/>
  <c r="H60" i="34" l="1"/>
  <c r="H62" i="34" s="1"/>
  <c r="H65" i="34" s="1"/>
  <c r="H66" i="34" s="1"/>
  <c r="H68" i="34" s="1"/>
  <c r="H73" i="34" s="1"/>
  <c r="I45" i="34"/>
  <c r="D7" i="40"/>
  <c r="H7" i="40"/>
  <c r="F7" i="40"/>
  <c r="I60" i="34" l="1"/>
  <c r="I62" i="34" s="1"/>
  <c r="I65" i="34" s="1"/>
  <c r="I66" i="34" s="1"/>
  <c r="I68" i="34" s="1"/>
  <c r="I73" i="34" s="1"/>
  <c r="H18" i="41"/>
  <c r="D28" i="41" l="1"/>
  <c r="F28" i="41"/>
  <c r="F30" i="41" l="1"/>
  <c r="H30" i="41"/>
  <c r="F29" i="41" l="1"/>
  <c r="H29" i="41"/>
  <c r="H31" i="41" l="1"/>
  <c r="C80" i="34" l="1"/>
  <c r="F31" i="41"/>
  <c r="C81" i="34" l="1"/>
  <c r="C79" i="34"/>
  <c r="D30" i="41"/>
  <c r="D29" i="41"/>
  <c r="H28" i="41"/>
  <c r="D31" i="41" l="1"/>
  <c r="F74" i="34" l="1"/>
  <c r="F75" i="34" l="1"/>
  <c r="G74" i="34"/>
  <c r="G75" i="34" l="1"/>
  <c r="H74" i="34"/>
  <c r="H75" i="34" l="1"/>
  <c r="I74" i="34"/>
  <c r="I75" i="34" l="1"/>
  <c r="C83" i="34" l="1"/>
  <c r="J26" i="44" l="1"/>
  <c r="F27" i="44"/>
  <c r="J27" i="44" l="1"/>
  <c r="F30" i="44"/>
  <c r="F28" i="44" l="1"/>
  <c r="G30" i="44"/>
  <c r="G28" i="44" l="1"/>
  <c r="G29" i="44" s="1"/>
  <c r="H30" i="44"/>
  <c r="F29" i="44"/>
  <c r="H28" i="44" l="1"/>
  <c r="I30" i="44"/>
  <c r="I28" i="44" s="1"/>
  <c r="I29" i="44" s="1"/>
  <c r="H29" i="44" l="1"/>
  <c r="I19" i="44" s="1"/>
  <c r="J28" i="44"/>
  <c r="J29" i="44" l="1"/>
  <c r="R33" i="49" l="1"/>
  <c r="H34" i="49"/>
  <c r="H35" i="49" s="1"/>
  <c r="H39" i="49" s="1"/>
  <c r="M14" i="48" l="1"/>
  <c r="H36" i="49"/>
  <c r="H41" i="49" l="1"/>
  <c r="R41" i="49" l="1"/>
  <c r="S41" i="49" s="1"/>
  <c r="H42" i="49"/>
  <c r="R42" i="49" s="1"/>
  <c r="H43" i="49" l="1"/>
  <c r="H46" i="49" s="1"/>
  <c r="F50" i="49" s="1"/>
  <c r="R43" i="49"/>
  <c r="S43" i="49" l="1"/>
  <c r="F52" i="49"/>
  <c r="M18" i="48" s="1"/>
  <c r="M16" i="48"/>
  <c r="F51" i="49"/>
  <c r="M17" i="48" s="1"/>
  <c r="R46" i="49" l="1"/>
  <c r="H47" i="49"/>
  <c r="H48" i="49" s="1"/>
  <c r="I47" i="49" l="1"/>
  <c r="J47" i="49" s="1"/>
  <c r="I48" i="49" l="1"/>
  <c r="K47" i="49"/>
  <c r="J48" i="49"/>
  <c r="L47" i="49" l="1"/>
  <c r="L48" i="49" s="1"/>
  <c r="K48" i="49"/>
  <c r="M47" i="49" l="1"/>
  <c r="N47" i="49" l="1"/>
  <c r="N48" i="49" s="1"/>
  <c r="M48" i="49"/>
  <c r="O47" i="49" l="1"/>
  <c r="P47" i="49" l="1"/>
  <c r="Q47" i="49" s="1"/>
  <c r="Q48" i="49" s="1"/>
  <c r="O48" i="49"/>
  <c r="F54" i="49" l="1"/>
  <c r="M20" i="48" s="1"/>
  <c r="R34" i="49"/>
  <c r="S34" i="49" s="1"/>
  <c r="M13" i="48"/>
  <c r="R35" i="49" l="1"/>
  <c r="S35" i="49" s="1"/>
  <c r="R36" i="49" l="1"/>
  <c r="F53" i="49" s="1"/>
  <c r="M19" i="48" s="1"/>
  <c r="R39" i="49"/>
  <c r="S39" i="4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8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E18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ISP ?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F66" authorId="0" shapeId="0" xr:uid="{00000000-0006-0000-0B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Paket apa?
Broadband 20Mbps</t>
        </r>
      </text>
    </comment>
    <comment ref="E73" authorId="0" shapeId="0" xr:uid="{00000000-0006-0000-0B00-000002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Nilai Maintenance akan diberlakukan per case saja, sementara 15% dari total  Asset
</t>
        </r>
      </text>
    </comment>
  </commentList>
</comments>
</file>

<file path=xl/sharedStrings.xml><?xml version="1.0" encoding="utf-8"?>
<sst xmlns="http://schemas.openxmlformats.org/spreadsheetml/2006/main" count="941" uniqueCount="400">
  <si>
    <t>EBITDA</t>
  </si>
  <si>
    <t>BEP</t>
  </si>
  <si>
    <t>Product</t>
  </si>
  <si>
    <t>Year</t>
  </si>
  <si>
    <t>EBITDA Margin</t>
  </si>
  <si>
    <t>IRR</t>
  </si>
  <si>
    <t>ROIC</t>
  </si>
  <si>
    <t>Conditions</t>
  </si>
  <si>
    <t>Commercial Terms</t>
  </si>
  <si>
    <t>Contract Length (year)</t>
  </si>
  <si>
    <t>Total Contract Revenue</t>
  </si>
  <si>
    <t>Internet Cost per month  (IDR)</t>
  </si>
  <si>
    <t>Monthly EOS Cost (IDR)</t>
  </si>
  <si>
    <t>Capex (IDR)</t>
  </si>
  <si>
    <t>Share Cost Backbone (IDR)</t>
  </si>
  <si>
    <t>Total</t>
  </si>
  <si>
    <t>Name of Location</t>
  </si>
  <si>
    <t>IDR</t>
  </si>
  <si>
    <t>FTTH</t>
  </si>
  <si>
    <t>PROJECTION</t>
  </si>
  <si>
    <t>P&amp;L ANALYSIS</t>
  </si>
  <si>
    <t xml:space="preserve"> </t>
  </si>
  <si>
    <t>Local Loop</t>
  </si>
  <si>
    <t>Revenue</t>
  </si>
  <si>
    <t>Other OPEX</t>
  </si>
  <si>
    <t>Contract Term</t>
  </si>
  <si>
    <t>year</t>
  </si>
  <si>
    <t>A</t>
  </si>
  <si>
    <t>CAPEX Upfront</t>
  </si>
  <si>
    <t>Calendar of Booking</t>
  </si>
  <si>
    <t>Total Revenue</t>
  </si>
  <si>
    <t>CAPEX OTG</t>
  </si>
  <si>
    <t>B</t>
  </si>
  <si>
    <t>C</t>
  </si>
  <si>
    <t>Year of Booking</t>
  </si>
  <si>
    <t>Calendar of Booking - CAPEX Upfront</t>
  </si>
  <si>
    <t>Calendar of Booking - CAPEX HC OTG</t>
  </si>
  <si>
    <t>Year of Booking - CAPEX Upfront</t>
  </si>
  <si>
    <t>MRC</t>
  </si>
  <si>
    <t>OTC</t>
  </si>
  <si>
    <t>Anyfi</t>
  </si>
  <si>
    <t>AnyFi Operator</t>
  </si>
  <si>
    <t>Backhaul Lease</t>
  </si>
  <si>
    <t>OPEX</t>
  </si>
  <si>
    <t>BHP/USO</t>
  </si>
  <si>
    <t>HC OM</t>
  </si>
  <si>
    <t>Rev% to Developer</t>
  </si>
  <si>
    <t>Rev% Starts in</t>
  </si>
  <si>
    <t>Total Revenue During Contract</t>
  </si>
  <si>
    <t>P/L Booking Method &amp; CAPEX Posting</t>
  </si>
  <si>
    <t>Unitary</t>
  </si>
  <si>
    <t>Services</t>
  </si>
  <si>
    <t>P/L Parameters</t>
  </si>
  <si>
    <t>per HC Subscription pe rmonth</t>
  </si>
  <si>
    <t>per Mbps pe rmonth</t>
  </si>
  <si>
    <t>per month for 20 Mbps capacity</t>
  </si>
  <si>
    <t>per Operator per month</t>
  </si>
  <si>
    <t>TOTAL REVENUE</t>
  </si>
  <si>
    <t>Tenancy rate</t>
  </si>
  <si>
    <t>Total Tenancy</t>
  </si>
  <si>
    <t>Contract Length (Year)</t>
  </si>
  <si>
    <t>10 Years</t>
  </si>
  <si>
    <t>15 Years</t>
  </si>
  <si>
    <t>20 Years</t>
  </si>
  <si>
    <t xml:space="preserve">CAPEX </t>
  </si>
  <si>
    <t>Total Room</t>
  </si>
  <si>
    <t>Growth</t>
  </si>
  <si>
    <t xml:space="preserve">Last Mile (FTTB Access) 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</si>
  <si>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</si>
  <si>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</si>
  <si>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</si>
  <si>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</si>
  <si>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</si>
  <si>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</si>
  <si>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</si>
  <si>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</si>
  <si>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</si>
  <si>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</si>
  <si>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Month</t>
  </si>
  <si>
    <t>CAPEX SCHEDULE</t>
  </si>
  <si>
    <t>Home Connected - IKR</t>
  </si>
  <si>
    <t>per unit/HC</t>
  </si>
  <si>
    <t>TOTAL CAPEX</t>
  </si>
  <si>
    <t>Depreciation calculation</t>
  </si>
  <si>
    <t>No. of year depreciated</t>
  </si>
  <si>
    <t>Total Depreciation calculation</t>
  </si>
  <si>
    <t>Total Occupancy</t>
  </si>
  <si>
    <t xml:space="preserve">GPON </t>
  </si>
  <si>
    <t>Fixed Operational Cost</t>
  </si>
  <si>
    <t>of total revenues</t>
  </si>
  <si>
    <t>SG&amp;A</t>
  </si>
  <si>
    <t>BHP</t>
  </si>
  <si>
    <t>Total OPEX</t>
  </si>
  <si>
    <t>Depreciation cost</t>
  </si>
  <si>
    <t>EBIT</t>
  </si>
  <si>
    <t xml:space="preserve">Tax </t>
  </si>
  <si>
    <t>Net income</t>
  </si>
  <si>
    <t>FREE CASH FLOW</t>
  </si>
  <si>
    <t>Free Cash Flow</t>
  </si>
  <si>
    <t>Accumulated FCF</t>
  </si>
  <si>
    <t>PBP</t>
  </si>
  <si>
    <t xml:space="preserve">NPV </t>
  </si>
  <si>
    <t>Payback</t>
  </si>
  <si>
    <t>IBS's REVENUE PROJECTION</t>
  </si>
  <si>
    <t>EBT</t>
  </si>
  <si>
    <t>Interest Rate Expense</t>
  </si>
  <si>
    <t>Interest Expense</t>
  </si>
  <si>
    <t>Total Investment</t>
  </si>
  <si>
    <t>Rev Share to BM</t>
  </si>
  <si>
    <t xml:space="preserve">Electricity  </t>
  </si>
  <si>
    <t>EOS</t>
  </si>
  <si>
    <t>Montly cost</t>
  </si>
  <si>
    <t>Installment/thn</t>
  </si>
  <si>
    <t>Interest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</si>
  <si>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</si>
  <si>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</si>
  <si>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</si>
  <si>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</si>
  <si>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</si>
  <si>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</si>
  <si>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</si>
  <si>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</si>
  <si>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</si>
  <si>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</si>
  <si>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</si>
  <si>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</si>
  <si>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</si>
  <si>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</si>
  <si>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</si>
  <si>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</si>
  <si>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</si>
  <si>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</si>
  <si>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</si>
  <si>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</si>
  <si>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</si>
  <si>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</si>
  <si>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</si>
  <si>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</si>
  <si>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</si>
  <si>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</si>
  <si>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</si>
  <si>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</si>
  <si>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</si>
  <si>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</si>
  <si>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</si>
  <si>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</si>
  <si>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</si>
  <si>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</si>
  <si>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</si>
  <si>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</si>
  <si>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</si>
  <si>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</si>
  <si>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</si>
  <si>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Deployment &amp; Operation</t>
  </si>
  <si>
    <t>Dedicated</t>
  </si>
  <si>
    <t>SOHO</t>
  </si>
  <si>
    <t>Percentage</t>
  </si>
  <si>
    <t>Yearly Change</t>
  </si>
  <si>
    <t>Month 12</t>
  </si>
  <si>
    <t>Month 11</t>
  </si>
  <si>
    <t>Month 10</t>
  </si>
  <si>
    <t>Month 9</t>
  </si>
  <si>
    <t>Month 8</t>
  </si>
  <si>
    <t>Skenario</t>
  </si>
  <si>
    <t>Month 7</t>
  </si>
  <si>
    <t>Month 6</t>
  </si>
  <si>
    <t>Month 5</t>
  </si>
  <si>
    <t>Month 4</t>
  </si>
  <si>
    <t>Month 3</t>
  </si>
  <si>
    <t>Month 2</t>
  </si>
  <si>
    <t>Month 1</t>
  </si>
  <si>
    <t>SUBCRIBER BASE</t>
  </si>
  <si>
    <t>Target Subs</t>
  </si>
  <si>
    <t>Total Unit</t>
  </si>
  <si>
    <t>Target Subscriber</t>
  </si>
  <si>
    <t>INPUT VALUES</t>
  </si>
  <si>
    <t>per resident/month</t>
  </si>
  <si>
    <t>IPL (67 TV Channel and 1 Mbps (Upto)</t>
  </si>
  <si>
    <t>DEFAULT VALUES</t>
  </si>
  <si>
    <t>Mora, Varnion</t>
  </si>
  <si>
    <t>ISP Partner</t>
  </si>
  <si>
    <t>REMARK COLOR</t>
  </si>
  <si>
    <t>based on PKS (see attachment):</t>
  </si>
  <si>
    <t>Revenue share</t>
  </si>
  <si>
    <t>Linear, calculated by total yearly target subscriber / # of months</t>
  </si>
  <si>
    <t>Monthly subscriber growth</t>
  </si>
  <si>
    <t>Deposit interest rate</t>
  </si>
  <si>
    <t>SOHO:</t>
  </si>
  <si>
    <t>Broadband:</t>
  </si>
  <si>
    <t>Installation charge (One Time)</t>
  </si>
  <si>
    <t>Bank loan interest rate</t>
  </si>
  <si>
    <t>Assumption</t>
  </si>
  <si>
    <t>Parameter</t>
  </si>
  <si>
    <t>No</t>
  </si>
  <si>
    <t>100 Mbps</t>
  </si>
  <si>
    <t>50 Mbps</t>
  </si>
  <si>
    <t>Other</t>
  </si>
  <si>
    <t>30 Mbps</t>
  </si>
  <si>
    <t>Price (IDR)</t>
  </si>
  <si>
    <t>Dist</t>
  </si>
  <si>
    <t>Product Pricing of ISP (Incl STB)</t>
  </si>
  <si>
    <t>% of CAPEX, One time</t>
  </si>
  <si>
    <t>Coordination Fee</t>
  </si>
  <si>
    <t>C low target</t>
  </si>
  <si>
    <t>cost included in 5% of capex of maintenance cost</t>
  </si>
  <si>
    <t>Engineers on call</t>
  </si>
  <si>
    <t>B stretch target</t>
  </si>
  <si>
    <t>% of collected IBS Revenue:</t>
  </si>
  <si>
    <t>Revenue share to BM</t>
  </si>
  <si>
    <t>A achievable target</t>
  </si>
  <si>
    <t>% of CAPEX per year, including for EOS:</t>
  </si>
  <si>
    <t>Maintenance</t>
  </si>
  <si>
    <t>Y5</t>
  </si>
  <si>
    <t>Y4</t>
  </si>
  <si>
    <t>Y3</t>
  </si>
  <si>
    <t>Y2</t>
  </si>
  <si>
    <t>Y1</t>
  </si>
  <si>
    <t>OLT, per year:</t>
  </si>
  <si>
    <t>Electricity</t>
  </si>
  <si>
    <t>Subs Growth (% of total tenants)</t>
  </si>
  <si>
    <t>One time cost, based on BOQ (attached)</t>
  </si>
  <si>
    <t>CAPEX</t>
  </si>
  <si>
    <t>LW Kota Wisata</t>
  </si>
  <si>
    <t>COST</t>
  </si>
  <si>
    <t>REVENUE</t>
  </si>
  <si>
    <t>INTERNAL RATE OF RETURN (IRR)</t>
  </si>
  <si>
    <t>Building Name</t>
  </si>
  <si>
    <t>Address</t>
  </si>
  <si>
    <t>Kota Wisata</t>
  </si>
  <si>
    <t>Location</t>
  </si>
  <si>
    <t>Jakarta</t>
  </si>
  <si>
    <t>Building Type</t>
  </si>
  <si>
    <t>Mall</t>
  </si>
  <si>
    <t>Status</t>
  </si>
  <si>
    <t>Bangunan Baru</t>
  </si>
  <si>
    <t>Date</t>
  </si>
  <si>
    <t>Status IRR</t>
  </si>
  <si>
    <t>New</t>
  </si>
  <si>
    <t>General Parameter</t>
  </si>
  <si>
    <t>Deposit Rate</t>
  </si>
  <si>
    <t>/tahun</t>
  </si>
  <si>
    <t>Discount Rate</t>
  </si>
  <si>
    <t>Loan Rate</t>
  </si>
  <si>
    <t>Kurs</t>
  </si>
  <si>
    <t>/ USD 1</t>
  </si>
  <si>
    <t>A Achievable Target</t>
  </si>
  <si>
    <t>IRR:</t>
  </si>
  <si>
    <t>B Stretch Target</t>
  </si>
  <si>
    <t>C Low Target</t>
  </si>
  <si>
    <t>1. Sken A</t>
  </si>
  <si>
    <t>TOTAL</t>
  </si>
  <si>
    <t>Cost</t>
  </si>
  <si>
    <t>Net</t>
  </si>
  <si>
    <t>2. Sken B</t>
  </si>
  <si>
    <t>3. Sken C</t>
  </si>
  <si>
    <t>(Alphaliyanri L)</t>
  </si>
  <si>
    <t>(Lilis S)</t>
  </si>
  <si>
    <t>Tech Refresh</t>
  </si>
  <si>
    <t>BM</t>
  </si>
  <si>
    <t>IBS</t>
  </si>
  <si>
    <t>ISP</t>
  </si>
  <si>
    <t>Product :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</si>
  <si>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</si>
  <si>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</si>
  <si>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</si>
  <si>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</si>
  <si>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</si>
  <si>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</si>
  <si>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</si>
  <si>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</si>
  <si>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Antena PKS BM</t>
  </si>
  <si>
    <t>Contract Period (thn)</t>
  </si>
  <si>
    <t>Antena Asset</t>
  </si>
  <si>
    <t>Interest rate /year</t>
  </si>
  <si>
    <t>Area building</t>
  </si>
  <si>
    <t>Jumlah Pole Makro</t>
  </si>
  <si>
    <t>Kurs 1USD</t>
  </si>
  <si>
    <t>Type of building</t>
  </si>
  <si>
    <t>OPENET</t>
  </si>
  <si>
    <t>Cable FO (Core)</t>
  </si>
  <si>
    <t>Total floor</t>
  </si>
  <si>
    <t>Cable FO (meter)</t>
  </si>
  <si>
    <t>No of building tower</t>
  </si>
  <si>
    <t>Drop Wire (meter)</t>
  </si>
  <si>
    <t>OTHERS</t>
  </si>
  <si>
    <t>NPV</t>
  </si>
  <si>
    <t>EBITDA margin</t>
  </si>
  <si>
    <t>Payback (year)</t>
  </si>
  <si>
    <t>Target Achieved by Commercial:</t>
  </si>
  <si>
    <t>Prepared by</t>
  </si>
  <si>
    <t>Citra Kartika</t>
  </si>
  <si>
    <t>Approved  by</t>
  </si>
  <si>
    <t>General Asumption</t>
  </si>
  <si>
    <t>% inc (dec)</t>
  </si>
  <si>
    <t>Tax Rate</t>
  </si>
  <si>
    <t>Interest Rate</t>
  </si>
  <si>
    <t>BHPUSO</t>
  </si>
  <si>
    <t>from Revenues</t>
  </si>
  <si>
    <t>Price Adjustment after 5 year</t>
  </si>
  <si>
    <t>Y0</t>
  </si>
  <si>
    <t>Y6</t>
  </si>
  <si>
    <t>Y7</t>
  </si>
  <si>
    <t>Y8</t>
  </si>
  <si>
    <t>Y9</t>
  </si>
  <si>
    <t>Y10</t>
  </si>
  <si>
    <t>IRR Calculation</t>
  </si>
  <si>
    <t>Year 0</t>
  </si>
  <si>
    <t>Months of Service</t>
  </si>
  <si>
    <t>% increase (decrease)</t>
  </si>
  <si>
    <t>Revenues</t>
  </si>
  <si>
    <t>Total Revenues</t>
  </si>
  <si>
    <t>SG&amp;A (inhouse resources)</t>
  </si>
  <si>
    <t>Total EBITDA</t>
  </si>
  <si>
    <t>Ebitda margin</t>
  </si>
  <si>
    <t>Depreciation Expense</t>
  </si>
  <si>
    <t>Total EBIT</t>
  </si>
  <si>
    <t>Tax Expense</t>
  </si>
  <si>
    <t>Net Income</t>
  </si>
  <si>
    <t>Capex</t>
  </si>
  <si>
    <t>FCFF</t>
  </si>
  <si>
    <t>Depreciation Calculation</t>
  </si>
  <si>
    <t>no of Year depreciated</t>
  </si>
  <si>
    <t>Total Depreciation</t>
  </si>
  <si>
    <t>Rev. Share to BM</t>
  </si>
  <si>
    <t>EOS (Engineering On Site)</t>
  </si>
  <si>
    <t>of total CAPEX</t>
  </si>
  <si>
    <t>Sharing Fee dg ISP</t>
  </si>
  <si>
    <t>Pricing</t>
  </si>
  <si>
    <t>Product Name</t>
  </si>
  <si>
    <t>Distribution</t>
  </si>
  <si>
    <t>Weighted Price</t>
  </si>
  <si>
    <t>Instalation Charge</t>
  </si>
  <si>
    <t>Sewa ONT /bln</t>
  </si>
  <si>
    <t>Bandwidth (Mbps)</t>
  </si>
  <si>
    <t>Sewa Local Loop</t>
  </si>
  <si>
    <t>Bandwidth</t>
  </si>
  <si>
    <t>IBS Revenue projection (IDR)</t>
  </si>
  <si>
    <t>Installation</t>
  </si>
  <si>
    <t>Sewa ONT</t>
  </si>
  <si>
    <t>IPL</t>
  </si>
  <si>
    <t>Broadb</t>
  </si>
  <si>
    <t xml:space="preserve">Material by IBS </t>
  </si>
  <si>
    <t>BOQ</t>
  </si>
  <si>
    <t>ONT</t>
  </si>
  <si>
    <t>CAPEX (BOQ)</t>
  </si>
  <si>
    <t>Tenant</t>
  </si>
  <si>
    <t>Qty Tenant</t>
  </si>
  <si>
    <t>Item</t>
  </si>
  <si>
    <t>MMR</t>
  </si>
  <si>
    <t>GPON-MALL</t>
  </si>
  <si>
    <t>Tenant Material</t>
  </si>
  <si>
    <t>Tenant A</t>
  </si>
  <si>
    <t>WiFi+SignAd</t>
  </si>
  <si>
    <t>Tenant B</t>
  </si>
  <si>
    <t>Tenant C</t>
  </si>
  <si>
    <t>ONT A</t>
  </si>
  <si>
    <t>ONT B</t>
  </si>
  <si>
    <t>ONT C</t>
  </si>
  <si>
    <t>TOTAL A</t>
  </si>
  <si>
    <t>TOTAL B</t>
  </si>
  <si>
    <t>TOTAL C</t>
  </si>
  <si>
    <t>Capex A</t>
  </si>
  <si>
    <t>Capex B</t>
  </si>
  <si>
    <t>Capex C</t>
  </si>
  <si>
    <t>Bandwidth WiFi Broadband</t>
  </si>
  <si>
    <t>20 Mbps</t>
  </si>
  <si>
    <t>per month</t>
  </si>
  <si>
    <t>untuk Compliment</t>
  </si>
  <si>
    <t>Bandwidth WiFi Dedicated</t>
  </si>
  <si>
    <t>untuk monitoring</t>
  </si>
  <si>
    <t>Operating Expense (IDR)</t>
  </si>
  <si>
    <t>Rev Share ke BM</t>
  </si>
  <si>
    <t>3 Mbps</t>
  </si>
  <si>
    <t>Investment</t>
  </si>
  <si>
    <t>Total CoGS Rev Share</t>
  </si>
  <si>
    <t>Total CoGS Others</t>
  </si>
  <si>
    <t>Total Homepass</t>
  </si>
  <si>
    <t>Maintenance Cost</t>
  </si>
  <si>
    <t>LIVING WORLD GRAND WISATA</t>
  </si>
  <si>
    <t>2 person</t>
  </si>
  <si>
    <t>1jt/ tenant</t>
  </si>
  <si>
    <t>Capex tahun</t>
  </si>
  <si>
    <t>loan IBC</t>
  </si>
  <si>
    <t>Interest Exp</t>
  </si>
  <si>
    <t>2,5 jt/ bln</t>
  </si>
  <si>
    <t>ONT + pathcord</t>
  </si>
  <si>
    <t>Tidak ada BW / Broadband untuk service (Sensorindo yg Maintain)</t>
  </si>
  <si>
    <t>Backup OLT</t>
  </si>
  <si>
    <t>GPON Revenue from ISP (50%)</t>
  </si>
  <si>
    <t>34% per tahun</t>
  </si>
  <si>
    <t>Instalasi Kbel oleh Gedung</t>
  </si>
  <si>
    <t>5 jt /bln /org</t>
  </si>
  <si>
    <t>ONT,ODP,OLT, Patchord, Splitter, Kabel Milik gedung</t>
  </si>
  <si>
    <t>IBS membiayai dahulu semua Instalasi milik gedung, Profit IBS dari Rev Share</t>
  </si>
  <si>
    <t>Living World Grand Wisata</t>
  </si>
  <si>
    <t>Cikarang</t>
  </si>
  <si>
    <t>0004/IRR/Open/I/2024</t>
  </si>
  <si>
    <t>No:</t>
  </si>
  <si>
    <t>Opennet</t>
  </si>
  <si>
    <t>Rev Share ISP-IBS (50-50), IBS-BM (66-34) dari 50% Rev IBS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</si>
</sst>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3">
    <numFmt numFmtId="41" formatCode="_-* #,##0_-;\-* #,##0_-;_-* &quot;-&quot;_-;_-@_-"/>
    <numFmt numFmtId="43" formatCode="_-* #,##0.00_-;\-* #,##0.00_-;_-* &quot;-&quot;??_-;_-@_-"/>
    <numFmt numFmtId="164" formatCode="&quot;Rp&quot;#,##0_);[Red]\(&quot;Rp&quot;#,##0\)"/>
    <numFmt numFmtId="165" formatCode="&quot;Rp&quot;#,##0.00_);[Red]\(&quot;Rp&quot;#,##0.00\)"/>
    <numFmt numFmtId="166" formatCode="_(* #,##0_);_(* \(#,##0\);_(* &quot;-&quot;_);_(@_)"/>
    <numFmt numFmtId="167" formatCode="_(&quot;Rp&quot;* #,##0.00_);_(&quot;Rp&quot;* \(#,##0.00\);_(&quot;Rp&quot;* &quot;-&quot;??_);_(@_)"/>
    <numFmt numFmtId="168" formatCode="_(* #,##0.00_);_(* \(#,##0.00\);_(* &quot;-&quot;??_);_(@_)"/>
    <numFmt numFmtId="169" formatCode="&quot;$&quot;#,##0_);\(&quot;$&quot;#,##0\)"/>
    <numFmt numFmtId="170" formatCode="&quot;$&quot;#,##0_);[Red]\(&quot;$&quot;#,##0\)"/>
    <numFmt numFmtId="171" formatCode="&quot;$&quot;#,##0.00_);\(&quot;$&quot;#,##0.00\)"/>
    <numFmt numFmtId="172" formatCode="_(&quot;$&quot;* #,##0_);_(&quot;$&quot;* \(#,##0\);_(&quot;$&quot;* &quot;-&quot;_);_(@_)"/>
    <numFmt numFmtId="173" formatCode="_(&quot;$&quot;* #,##0.00_);_(&quot;$&quot;* \(#,##0.00\);_(&quot;$&quot;* &quot;-&quot;??_);_(@_)"/>
    <numFmt numFmtId="174" formatCode="_(* #,##0_);_(* \(#,##0\);_(* &quot;-&quot;??_);_(@_)"/>
    <numFmt numFmtId="175" formatCode="\J\a\k\a\r\t\a\,\ [$-421]dd\ mmmm\ yyyy;@"/>
    <numFmt numFmtId="176" formatCode="#."/>
    <numFmt numFmtId="177" formatCode="\£\ \ #,##0_);[Red]\(\£\ \ #,##0\)"/>
    <numFmt numFmtId="178" formatCode="&quot;£&quot;#,##0"/>
    <numFmt numFmtId="179" formatCode="&quot;$&quot;\ \ \ \ \ \ \ \ \ \ #,##0_);\(&quot;$&quot;#,##0\)"/>
    <numFmt numFmtId="180" formatCode="d\.mmm\.yy"/>
    <numFmt numFmtId="181" formatCode="\(0\)"/>
    <numFmt numFmtId="182" formatCode="_ * #,##0_ ;_ * \-#,##0_ ;_ * &quot;-&quot;_ ;_ @_ "/>
    <numFmt numFmtId="183" formatCode="_(* #,##0.00_);_(* \(#,##0.00\);_(* &quot;-&quot;_);_(@_)"/>
    <numFmt numFmtId="184" formatCode="&quot;£&quot;#,##0.00;\-&quot;£&quot;#,##0.00"/>
    <numFmt numFmtId="185" formatCode="0_)"/>
    <numFmt numFmtId="186" formatCode="&quot;£&quot;#,##0.00;[Red]\-&quot;£&quot;#,##0.00"/>
    <numFmt numFmtId="187" formatCode="_ * #,##0_)_£_ ;_ * \(#,##0\)_£_ ;_ * &quot;-&quot;_)_£_ ;_ @_ "/>
    <numFmt numFmtId="188" formatCode="&quot;$&quot;#,##0;[Red]\-&quot;$&quot;#,##0"/>
    <numFmt numFmtId="189" formatCode="0.000_)"/>
    <numFmt numFmtId="190" formatCode="_-* #,##0.0_-;\-* #,##0.0_-;_-* &quot;-&quot;??_-;_-@_-"/>
    <numFmt numFmtId="191" formatCode="0.00000&quot;  &quot;"/>
    <numFmt numFmtId="192" formatCode="General_)"/>
    <numFmt numFmtId="193" formatCode="#,##0.00\ &quot;Pts&quot;;[Red]\-#,##0.00\ &quot;Pts&quot;"/>
    <numFmt numFmtId="194" formatCode="&quot;$&quot;\ #,##0_);\(&quot;$&quot;#,##0\)"/>
    <numFmt numFmtId="195" formatCode="m\o\n\th\ d\,\ yyyy"/>
    <numFmt numFmtId="196" formatCode="#,##0.00\ &quot;Pts&quot;;\-#,##0.00\ &quot;Pts&quot;"/>
    <numFmt numFmtId="197" formatCode="_-* #,##0.00000_-;\-* #,##0.00000_-;_-* &quot;-&quot;??_-;_-@_-"/>
    <numFmt numFmtId="198" formatCode="#,##0.00;\(#,##0.00\)"/>
    <numFmt numFmtId="199" formatCode="&quot;$&quot;#,##0;\-&quot;$&quot;#,##0"/>
    <numFmt numFmtId="200" formatCode="000\-000000"/>
    <numFmt numFmtId="201" formatCode="&quot;000-&quot;0000\-000"/>
    <numFmt numFmtId="202" formatCode="&quot;259-5001-&quot;000"/>
    <numFmt numFmtId="203" formatCode="&quot;600-&quot;0000\-000"/>
    <numFmt numFmtId="204" formatCode="&quot;700-&quot;0000\-000"/>
    <numFmt numFmtId="205" formatCode="_-* #,##0\ _P_t_s_-;\-* #,##0\ _P_t_s_-;_-* &quot;-&quot;\ _P_t_s_-;_-@_-"/>
    <numFmt numFmtId="206" formatCode="&quot;£&quot;#,##0.0"/>
    <numFmt numFmtId="207" formatCode="\$#,##0"/>
    <numFmt numFmtId="208" formatCode="#,##0.0,,,&quot;bn&quot;"/>
    <numFmt numFmtId="209" formatCode="_(* #,##0.00000000000000_);_(* \(#,##0.00000000000000\);_(* &quot;-&quot;??_);_(@_)"/>
    <numFmt numFmtId="210" formatCode="_(* #,##0_);[Red]_(* \(#,##0\);_(* &quot;&quot;&quot;&quot;&quot;&quot;&quot;&quot;\ \-\ &quot;&quot;&quot;&quot;&quot;&quot;&quot;&quot;_);_(@_)"/>
    <numFmt numFmtId="211" formatCode="_(* #,##0,_);[Red]_(* \(#,##0,\);_(* &quot;&quot;&quot;&quot;&quot;&quot;&quot;&quot;\ \-\ &quot;&quot;&quot;&quot;&quot;&quot;&quot;&quot;_);_(@_)"/>
    <numFmt numFmtId="212" formatCode="0%;\(0%\);;"/>
    <numFmt numFmtId="213" formatCode="0%;\(0%\);&quot;-&quot;"/>
    <numFmt numFmtId="214" formatCode="0.000%"/>
    <numFmt numFmtId="215" formatCode="#,##0_);[Red]\(#,##0\);&quot;-&quot;"/>
    <numFmt numFmtId="216" formatCode="_(* #,##0_);_(* \(#,##0\);_(* \-_);_(@_)"/>
    <numFmt numFmtId="217" formatCode="&quot;ß&quot;#,##0_);[Red]\(&quot;ß&quot;#,##0\)"/>
    <numFmt numFmtId="218" formatCode="\¥#,##0.0_);&quot;(¥&quot;#,##0.0\)"/>
    <numFmt numFmtId="219" formatCode="_(* #,##0.00_);_(* \(#,##0.00\);_(* \-??_);_(@_)"/>
    <numFmt numFmtId="220" formatCode="&quot;$&quot;#,##0.0_);\(&quot;$&quot;#,##0.0\)"/>
    <numFmt numFmtId="221" formatCode="_-\$* #,##0_-;&quot;-$&quot;* #,##0_-;_-\$* \-_-;_-@_-"/>
    <numFmt numFmtId="222" formatCode="dd\-mmm\-yyyy"/>
    <numFmt numFmtId="223" formatCode="#,##0;;"/>
    <numFmt numFmtId="224" formatCode="&quot;$&quot;#,##0.00;[Red]\-&quot;$&quot;#,##0.00"/>
    <numFmt numFmtId="225" formatCode="&quot;ß&quot;#,##0.00_);\(&quot;ß&quot;#,##0.00\)"/>
    <numFmt numFmtId="226" formatCode="dd\ mmm\ yy"/>
    <numFmt numFmtId="227" formatCode="#,##0_);[Red]\(#,##0\);0_);@_)"/>
    <numFmt numFmtId="228" formatCode="#,##0.00_);[Red]\(#,##0.00\);0.00_);@_)"/>
    <numFmt numFmtId="229" formatCode="_([$€]* #,##0.00_);_([$€]* \(#,##0.00\);_([$€]* &quot;-&quot;??_);_(@_)"/>
    <numFmt numFmtId="230" formatCode="\€#,##0.0,,,&quot;bn&quot;"/>
    <numFmt numFmtId="231" formatCode="\€#,##0.0,,&quot;m&quot;"/>
    <numFmt numFmtId="232" formatCode="\€#,##0.0,&quot;k&quot;"/>
    <numFmt numFmtId="233" formatCode="#,##0.00\ ;&quot; (&quot;#,##0.00\);&quot; -&quot;#\ ;@\ "/>
    <numFmt numFmtId="234" formatCode="_(* #,##0.0000_);_(* \(#,##0.0000\);_(* &quot;-&quot;??_);_(@_)"/>
    <numFmt numFmtId="235" formatCode="m/d"/>
    <numFmt numFmtId="236" formatCode="#,##0.000_);\(#,##0.000\)"/>
    <numFmt numFmtId="237" formatCode="\£#,##0.00"/>
    <numFmt numFmtId="238" formatCode="\£#,##0.0,,,&quot;bn&quot;"/>
    <numFmt numFmtId="239" formatCode="\£#,##0.0,,&quot;m&quot;"/>
    <numFmt numFmtId="240" formatCode="\£#,##0.0,&quot;k&quot;"/>
    <numFmt numFmtId="241" formatCode="\ß#,##0_);[Red]&quot;(ß&quot;#,##0\)"/>
    <numFmt numFmtId="242" formatCode="#,##0.0_);\(#,##0.0\)"/>
    <numFmt numFmtId="243" formatCode="00\-00\-000"/>
    <numFmt numFmtId="244" formatCode="_-* #,##0_-;_-* #,##0\-;_-* &quot;-&quot;_-;_-@_-"/>
    <numFmt numFmtId="245" formatCode="_-* #,##0.00_-;_-* #,##0.00\-;_-* &quot;-&quot;??_-;_-@_-"/>
    <numFmt numFmtId="246" formatCode="&quot;&lt; Digitization of&quot;\ 0,&quot; maps&quot;"/>
    <numFmt numFmtId="247" formatCode="#,##0;[Red]&quot;-&quot;#,##0"/>
    <numFmt numFmtId="248" formatCode="##,##0.0_);\(#,##0.0\)"/>
    <numFmt numFmtId="249" formatCode="0.0%;\(0.0%\)"/>
    <numFmt numFmtId="250" formatCode="#,##0.0,,&quot;m&quot;"/>
    <numFmt numFmtId="251" formatCode="\€#,##0.0_);\(\€#,##0.0\)"/>
    <numFmt numFmtId="252" formatCode="\£#,##0.0_);\(\£#,##0.0\)"/>
    <numFmt numFmtId="253" formatCode="\¥#,##0.0_);\(\¥#,##0.0\)"/>
    <numFmt numFmtId="254" formatCode="#,###.0_);\(#,##0.0\)"/>
    <numFmt numFmtId="255" formatCode="#,##0\)"/>
    <numFmt numFmtId="256" formatCode="#,##0\ &quot;F&quot;;[Red]\-#,##0\ &quot;F&quot;"/>
    <numFmt numFmtId="257" formatCode="_-* #,##0&quot; F&quot;_-;\-* #,##0&quot; F&quot;_-;_-* &quot;-&quot;&quot; F&quot;_-;_-@_-"/>
    <numFmt numFmtId="258" formatCode="#,##0.000"/>
    <numFmt numFmtId="259" formatCode="_ * #,##0.00_)_£_ ;_ * \(#,##0.00\)_£_ ;_ * &quot;-&quot;??_)_£_ ;_ @_ "/>
    <numFmt numFmtId="260" formatCode="_-* #,##0\ &quot;F&quot;_-;\-* #,##0\ &quot;F&quot;_-;_-* &quot;-&quot;\ &quot;F&quot;_-;_-@_-"/>
    <numFmt numFmtId="261" formatCode="#,##0.00\ &quot;F&quot;;[Red]\-#,##0.00\ &quot;F&quot;"/>
    <numFmt numFmtId="262" formatCode="_-* #,##0.00&quot; F&quot;_-;\-* #,##0.00&quot; F&quot;_-;_-* &quot;-&quot;??&quot; F&quot;_-;_-@_-"/>
    <numFmt numFmtId="263" formatCode="#,##0.00000"/>
    <numFmt numFmtId="264" formatCode="_-* #,##0.00\ &quot;F&quot;_-;\-* #,##0.00\ &quot;F&quot;_-;_-* &quot;-&quot;??\ &quot;F&quot;_-;_-@_-"/>
    <numFmt numFmtId="265" formatCode="0.0\x"/>
    <numFmt numFmtId="266" formatCode="0.00_)"/>
    <numFmt numFmtId="267" formatCode="0&quot; x&quot;;;"/>
    <numFmt numFmtId="268" formatCode="0%;\(0%\)"/>
    <numFmt numFmtId="269" formatCode="0%;[Red]\-0%"/>
    <numFmt numFmtId="270" formatCode="&quot;PGSNG-01-96&quot;\-000"/>
    <numFmt numFmtId="271" formatCode="\P\G\C\L\-0000"/>
    <numFmt numFmtId="272" formatCode="\P\G\L\-0000"/>
    <numFmt numFmtId="273" formatCode="mmm\-yyyy"/>
    <numFmt numFmtId="274" formatCode="mm/dd/yy"/>
    <numFmt numFmtId="275" formatCode="\(#,##0\);;"/>
    <numFmt numFmtId="276" formatCode="[$-409]dd\-mmm\-yy;@"/>
    <numFmt numFmtId="277" formatCode="\+0;[Red]\-0;[Red]0"/>
    <numFmt numFmtId="278" formatCode="0.00%;[Red]\-0.00%"/>
    <numFmt numFmtId="279" formatCode="0;[Red]0"/>
    <numFmt numFmtId="280" formatCode="0.0"/>
    <numFmt numFmtId="281" formatCode="*-"/>
    <numFmt numFmtId="282" formatCode="*\&quot;-&quot;"/>
    <numFmt numFmtId="283" formatCode="#,###,##0,&quot;k&quot;"/>
    <numFmt numFmtId="284" formatCode="_-* #,##0\ _k_r_-;\-* #,##0\ _k_r_-;_-* &quot;-&quot;\ _k_r_-;_-@_-"/>
    <numFmt numFmtId="285" formatCode="_-* #,##0.00\ _k_r_-;\-* #,##0.00\ _k_r_-;_-* &quot;-&quot;??\ _k_r_-;_-@_-"/>
    <numFmt numFmtId="286" formatCode="[$$-409]#,##0.00"/>
    <numFmt numFmtId="287" formatCode="\$#,##0.0,,,&quot;bn&quot;"/>
    <numFmt numFmtId="288" formatCode="\$#,##0.0,,&quot;m&quot;"/>
    <numFmt numFmtId="289" formatCode="\$#,##0.0,&quot;k&quot;"/>
    <numFmt numFmtId="290" formatCode="_-&quot;F&quot;\ * #,##0_-;_-&quot;F&quot;\ * #,##0\-;_-&quot;F&quot;\ * &quot;-&quot;_-;_-@_-"/>
    <numFmt numFmtId="291" formatCode="_-* #,##0.00\ &quot;kr&quot;_-;\-* #,##0.00\ &quot;kr&quot;_-;_-* &quot;-&quot;??\ &quot;kr&quot;_-;_-@_-"/>
    <numFmt numFmtId="292" formatCode="#,###,##0"/>
    <numFmt numFmtId="293" formatCode="#\ ##0"/>
    <numFmt numFmtId="294" formatCode="#,##0.000000"/>
    <numFmt numFmtId="295" formatCode="0.00000000000"/>
    <numFmt numFmtId="296" formatCode="&quot;US$&quot;\ \ #,##0.0\ "/>
    <numFmt numFmtId="297" formatCode="_-&quot;$&quot;* #,##0_-;\-&quot;$&quot;* #,##0_-;_-&quot;$&quot;* &quot;-&quot;_-;_-@_-"/>
    <numFmt numFmtId="298" formatCode="_-&quot;$&quot;* #,##0.00_-;\-&quot;$&quot;* #,##0.00_-;_-&quot;$&quot;* &quot;-&quot;??_-;_-@_-"/>
    <numFmt numFmtId="299" formatCode="_-* #,##0_-;\-* #,##0_-;_-* &quot;-&quot;??_-;_-@_-"/>
    <numFmt numFmtId="300" formatCode="0.0%"/>
    <numFmt numFmtId="301" formatCode="0.0&quot;y&quot;"/>
    <numFmt numFmtId="302" formatCode="&quot;Y&quot;0"/>
    <numFmt numFmtId="303" formatCode="0.00&quot;y&quot;"/>
    <numFmt numFmtId="304" formatCode="General&quot;y&quot;"/>
    <numFmt numFmtId="305" formatCode="_(* #,##0_);_(* \(#,##0\);_(* &quot;-&quot;?_);_(@_)"/>
    <numFmt numFmtId="306" formatCode="#,##0,,\);[Red]\(#,###,,\)"/>
    <numFmt numFmtId="307" formatCode="#,##0;[Red]\(##,##0\)"/>
    <numFmt numFmtId="308" formatCode="_([$Rp-421]* #,##0_);_([$Rp-421]* \(#,##0\);_([$Rp-421]* &quot;-&quot;??_);_(@_)"/>
    <numFmt numFmtId="309" formatCode="_-* #,##0.0000_-;\-* #,##0.0000_-;_-* &quot;-&quot;_-;_-@_-"/>
    <numFmt numFmtId="310" formatCode="_-* #,##0.0_-;\-* #,##0.0_-;_-* &quot;-&quot;_-;_-@_-"/>
    <numFmt numFmtId="311" formatCode="_(* #,##0.0_);_(* \(#,##0.0\);_(* &quot;-&quot;??_);_(@_)"/>
    <numFmt numFmtId="312" formatCode="_([$IDR]\ * #,##0_);_([$IDR]\ * \(#,##0\);_([$IDR]\ * &quot;-&quot;_);_(@_)"/>
    <numFmt numFmtId="313" formatCode="#######\ &quot;/mbps&quot;"/>
    <numFmt numFmtId="314" formatCode="###\ &quot;mbps&quot;"/>
  </numFmts>
  <fonts count="215">
    <font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0"/>
      <name val="MS Sans Serif"/>
      <family val="2"/>
    </font>
    <font>
      <sz val="14"/>
      <name val="System"/>
      <family val="2"/>
    </font>
    <font>
      <sz val="10"/>
      <name val="Arial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0"/>
      <name val="Helv"/>
    </font>
    <font>
      <sz val="10"/>
      <name val="Geneva"/>
    </font>
    <font>
      <sz val="10"/>
      <color indexed="8"/>
      <name val="MS Sans Serif"/>
      <family val="2"/>
    </font>
    <font>
      <sz val="14"/>
      <name val="‚l‚r –¾’©"/>
    </font>
    <font>
      <sz val="10"/>
      <color indexed="12"/>
      <name val="Arial"/>
      <family val="2"/>
    </font>
    <font>
      <sz val="10"/>
      <name val="Tahoma"/>
      <family val="2"/>
    </font>
    <font>
      <sz val="12"/>
      <name val="Helv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name val="MS Sans Serif"/>
      <family val="2"/>
    </font>
    <font>
      <sz val="12"/>
      <name val="Osaka"/>
      <charset val="128"/>
    </font>
    <font>
      <sz val="11"/>
      <color indexed="8"/>
      <name val="Calibri"/>
      <family val="2"/>
    </font>
    <font>
      <sz val="11"/>
      <color indexed="8"/>
      <name val="Calibri"/>
      <family val="2"/>
      <charset val="178"/>
    </font>
    <font>
      <sz val="12"/>
      <name val="¹ÙÅÁÃ¼"/>
    </font>
    <font>
      <sz val="12"/>
      <name val="Arial"/>
      <family val="2"/>
    </font>
    <font>
      <sz val="8"/>
      <name val="Times New Roman"/>
      <family val="1"/>
    </font>
    <font>
      <b/>
      <i/>
      <u/>
      <sz val="10"/>
      <color indexed="8"/>
      <name val="Arial"/>
      <family val="2"/>
    </font>
    <font>
      <sz val="10"/>
      <color indexed="22"/>
      <name val="Arial"/>
      <family val="2"/>
    </font>
    <font>
      <sz val="8"/>
      <name val="Arial"/>
      <family val="2"/>
    </font>
    <font>
      <b/>
      <sz val="18"/>
      <color indexed="58"/>
      <name val="Arial"/>
      <family val="2"/>
    </font>
    <font>
      <sz val="12"/>
      <name val="Times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9"/>
      <name val="Arial"/>
      <family val="2"/>
    </font>
    <font>
      <b/>
      <sz val="12"/>
      <color indexed="8"/>
      <name val="Arial MT"/>
    </font>
    <font>
      <sz val="14"/>
      <name val="Terminal"/>
      <family val="3"/>
    </font>
    <font>
      <b/>
      <sz val="10"/>
      <name val="Helv"/>
    </font>
    <font>
      <b/>
      <sz val="8"/>
      <name val="Arial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b/>
      <sz val="12"/>
      <color indexed="62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8"/>
      <name val="Helv"/>
      <family val="2"/>
    </font>
    <font>
      <sz val="9"/>
      <color indexed="8"/>
      <name val="Helv"/>
    </font>
    <font>
      <sz val="10"/>
      <color indexed="16"/>
      <name val="MS Serif"/>
      <family val="1"/>
    </font>
    <font>
      <i/>
      <sz val="10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i/>
      <sz val="12"/>
      <name val="Arial"/>
      <family val="2"/>
    </font>
    <font>
      <b/>
      <sz val="14"/>
      <name val="Arial"/>
      <family val="2"/>
    </font>
    <font>
      <b/>
      <i/>
      <sz val="20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i/>
      <sz val="11"/>
      <name val="Arial"/>
      <family val="2"/>
    </font>
    <font>
      <u val="double"/>
      <sz val="10"/>
      <name val="Arial"/>
      <family val="2"/>
    </font>
    <font>
      <i/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8"/>
      <name val="MS Sans Serif"/>
      <family val="2"/>
    </font>
    <font>
      <sz val="10"/>
      <color indexed="9"/>
      <name val="Arial"/>
      <family val="2"/>
    </font>
    <font>
      <u/>
      <sz val="10"/>
      <color indexed="12"/>
      <name val="Arial"/>
      <family val="2"/>
    </font>
    <font>
      <b/>
      <sz val="11"/>
      <name val="Arial Narrow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b/>
      <sz val="14"/>
      <name val="Helv"/>
    </font>
    <font>
      <sz val="12"/>
      <color indexed="9"/>
      <name val="Helv"/>
    </font>
    <font>
      <b/>
      <sz val="11"/>
      <name val="Helv"/>
    </font>
    <font>
      <sz val="10"/>
      <name val="Palatino"/>
      <family val="1"/>
    </font>
    <font>
      <sz val="7"/>
      <name val="Small Fonts"/>
      <family val="2"/>
    </font>
    <font>
      <b/>
      <i/>
      <sz val="16"/>
      <name val="Helv"/>
    </font>
    <font>
      <b/>
      <sz val="14"/>
      <name val="Times New Roman"/>
      <family val="1"/>
    </font>
    <font>
      <sz val="12"/>
      <color indexed="12"/>
      <name val="Times New Roman"/>
      <family val="1"/>
    </font>
    <font>
      <sz val="9"/>
      <name val="Helv"/>
    </font>
    <font>
      <sz val="8"/>
      <color indexed="44"/>
      <name val="Arial"/>
      <family val="2"/>
    </font>
    <font>
      <sz val="11"/>
      <name val="‚l‚r ‚oƒSƒVƒbƒN"/>
    </font>
    <font>
      <sz val="10"/>
      <name val="Century Gothic"/>
      <family val="2"/>
    </font>
    <font>
      <sz val="11"/>
      <color indexed="8"/>
      <name val="Arial"/>
      <family val="2"/>
    </font>
    <font>
      <sz val="10"/>
      <color indexed="18"/>
      <name val="Arial"/>
      <family val="2"/>
    </font>
    <font>
      <sz val="10"/>
      <color indexed="39"/>
      <name val="Arial"/>
      <family val="2"/>
    </font>
    <font>
      <b/>
      <sz val="11"/>
      <color indexed="8"/>
      <name val="Arial"/>
      <family val="2"/>
    </font>
    <font>
      <sz val="8"/>
      <name val="Wingdings"/>
      <charset val="2"/>
    </font>
    <font>
      <b/>
      <sz val="8"/>
      <color indexed="13"/>
      <name val="Times New Roman"/>
      <family val="1"/>
    </font>
    <font>
      <sz val="7"/>
      <name val="Arial"/>
      <family val="2"/>
    </font>
    <font>
      <b/>
      <sz val="11"/>
      <color rgb="FF000000"/>
      <name val="Tahoma"/>
      <family val="2"/>
    </font>
    <font>
      <sz val="7"/>
      <color indexed="8"/>
      <name val="Verdana"/>
      <family val="2"/>
    </font>
    <font>
      <b/>
      <sz val="16"/>
      <color rgb="FF800000"/>
      <name val="Arial"/>
      <family val="2"/>
    </font>
    <font>
      <i/>
      <sz val="7"/>
      <color indexed="8"/>
      <name val="Verdana"/>
      <family val="2"/>
    </font>
    <font>
      <sz val="8"/>
      <color rgb="FF000000"/>
      <name val="Tahoma"/>
      <family val="2"/>
    </font>
    <font>
      <sz val="1"/>
      <color rgb="FF000000"/>
      <name val="Arial"/>
      <family val="2"/>
    </font>
    <font>
      <sz val="8"/>
      <color rgb="FFFF0000"/>
      <name val="Arial"/>
      <family val="2"/>
    </font>
    <font>
      <sz val="8"/>
      <color rgb="FF000000"/>
      <name val="Arial"/>
      <family val="2"/>
    </font>
    <font>
      <b/>
      <sz val="8"/>
      <color rgb="FF000080"/>
      <name val="Arial"/>
      <family val="2"/>
    </font>
    <font>
      <b/>
      <sz val="8"/>
      <color indexed="8"/>
      <name val="Verdana"/>
      <family val="2"/>
    </font>
    <font>
      <b/>
      <sz val="9"/>
      <color rgb="FF000080"/>
      <name val="Arial"/>
      <family val="2"/>
    </font>
    <font>
      <b/>
      <sz val="10"/>
      <color rgb="FF000000"/>
      <name val="Tahoma"/>
      <family val="2"/>
    </font>
    <font>
      <sz val="1"/>
      <color indexed="8"/>
      <name val="Arial"/>
      <family val="2"/>
    </font>
    <font>
      <b/>
      <sz val="10"/>
      <color indexed="8"/>
      <name val="Verdana"/>
      <family val="2"/>
    </font>
    <font>
      <sz val="10"/>
      <color rgb="FF000000"/>
      <name val="Arial"/>
      <family val="2"/>
    </font>
    <font>
      <b/>
      <sz val="7"/>
      <color indexed="8"/>
      <name val="Verdana"/>
      <family val="2"/>
    </font>
    <font>
      <b/>
      <sz val="8"/>
      <color rgb="FF000000"/>
      <name val="Arial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b/>
      <u/>
      <sz val="11"/>
      <name val="Arial"/>
      <family val="2"/>
    </font>
    <font>
      <b/>
      <u/>
      <sz val="11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2"/>
      <color indexed="14"/>
      <name val="Arial"/>
      <family val="2"/>
    </font>
    <font>
      <b/>
      <i/>
      <sz val="8"/>
      <name val="Arial"/>
      <family val="2"/>
    </font>
    <font>
      <b/>
      <sz val="18"/>
      <color indexed="54"/>
      <name val="Tahoma"/>
      <family val="2"/>
    </font>
    <font>
      <sz val="9"/>
      <color indexed="20"/>
      <name val="Arial"/>
      <family val="2"/>
    </font>
    <font>
      <sz val="9"/>
      <color indexed="48"/>
      <name val="Arial"/>
      <family val="2"/>
    </font>
    <font>
      <b/>
      <sz val="12"/>
      <color indexed="20"/>
      <name val="Arial"/>
      <family val="2"/>
    </font>
    <font>
      <b/>
      <sz val="9"/>
      <color indexed="20"/>
      <name val="Arial"/>
      <family val="2"/>
    </font>
    <font>
      <sz val="8"/>
      <name val="MS Sans Serif"/>
      <family val="2"/>
    </font>
    <font>
      <sz val="10"/>
      <name val="Arial Narrow"/>
      <family val="2"/>
    </font>
    <font>
      <b/>
      <sz val="12"/>
      <color indexed="61"/>
      <name val="Arial Narrow"/>
      <family val="2"/>
    </font>
    <font>
      <b/>
      <sz val="8"/>
      <color indexed="8"/>
      <name val="Helv"/>
    </font>
    <font>
      <b/>
      <sz val="10"/>
      <name val="Arial Narrow"/>
      <family val="2"/>
    </font>
    <font>
      <sz val="10"/>
      <color indexed="21"/>
      <name val="Arial"/>
      <family val="2"/>
    </font>
    <font>
      <b/>
      <sz val="11"/>
      <name val="Wingdings 2"/>
      <family val="1"/>
    </font>
    <font>
      <b/>
      <sz val="11"/>
      <name val="Arial"/>
      <family val="2"/>
    </font>
    <font>
      <sz val="24"/>
      <color indexed="13"/>
      <name val="Helv"/>
    </font>
    <font>
      <b/>
      <sz val="14"/>
      <color indexed="62"/>
      <name val="Arial"/>
      <family val="2"/>
    </font>
    <font>
      <sz val="12"/>
      <name val="Arial Black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2"/>
      <name val="바탕체"/>
      <family val="1"/>
    </font>
    <font>
      <sz val="10"/>
      <name val="돋움체"/>
      <family val="3"/>
    </font>
    <font>
      <sz val="12"/>
      <name val="新細明體"/>
      <charset val="136"/>
    </font>
    <font>
      <sz val="12"/>
      <name val="宋体"/>
      <charset val="134"/>
    </font>
    <font>
      <sz val="12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2"/>
      <name val="Calibri"/>
      <family val="2"/>
    </font>
    <font>
      <b/>
      <sz val="16"/>
      <color theme="1"/>
      <name val="calibri"/>
      <family val="2"/>
    </font>
    <font>
      <sz val="12"/>
      <name val="calibri"/>
      <family val="2"/>
    </font>
    <font>
      <sz val="14"/>
      <color theme="1"/>
      <name val="calibri"/>
      <family val="2"/>
    </font>
    <font>
      <b/>
      <sz val="16"/>
      <color rgb="FFFF0000"/>
      <name val="calibri"/>
      <family val="2"/>
    </font>
    <font>
      <sz val="12"/>
      <color theme="4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2"/>
      <color rgb="FF0070C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8"/>
      <name val="calibri"/>
      <family val="2"/>
    </font>
    <font>
      <sz val="10"/>
      <name val="Arial"/>
      <family val="2"/>
    </font>
    <font>
      <b/>
      <sz val="12"/>
      <color theme="4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ahoma"/>
      <family val="2"/>
    </font>
    <font>
      <b/>
      <sz val="1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u/>
      <sz val="12"/>
      <color theme="1"/>
      <name val="Tahoma"/>
      <family val="2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8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20"/>
      <color theme="1"/>
      <name val="Tahoma"/>
      <family val="2"/>
    </font>
    <font>
      <b/>
      <u/>
      <sz val="11"/>
      <color theme="1"/>
      <name val="Tahoma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0"/>
      <color theme="1"/>
      <name val="Tahoma"/>
      <family val="2"/>
    </font>
    <font>
      <sz val="1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b/>
      <sz val="11"/>
      <color rgb="FFFF0000"/>
      <name val="Tahoma"/>
      <family val="2"/>
    </font>
    <font>
      <sz val="9"/>
      <color theme="1"/>
      <name val="Tahoma"/>
      <family val="2"/>
    </font>
    <font>
      <sz val="6"/>
      <name val="Calibri"/>
      <family val="2"/>
      <scheme val="minor"/>
    </font>
  </fonts>
  <fills count="66">
    <fill>
      <patternFill patternType="none"/>
    </fill>
    <fill>
      <patternFill patternType="gray125"/>
    </fill>
    <fill>
      <patternFill patternType="darkGray">
        <fgColor indexed="9"/>
        <bgColor indexed="9"/>
      </patternFill>
    </fill>
    <fill>
      <patternFill patternType="solid">
        <f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18"/>
        <bgColor indexed="32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gray125">
        <fgColor indexed="8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9"/>
      </patternFill>
    </fill>
    <fill>
      <patternFill patternType="mediumGray">
        <fgColor indexed="22"/>
      </patternFill>
    </fill>
    <fill>
      <patternFill patternType="gray0625">
        <fgColor indexed="15"/>
      </patternFill>
    </fill>
    <fill>
      <patternFill patternType="solid">
        <fgColor indexed="52"/>
        <bgColor indexed="64"/>
      </patternFill>
    </fill>
    <fill>
      <patternFill patternType="darkGray">
        <fgColor indexed="9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Gray">
        <fgColor indexed="9"/>
        <bgColor indexed="13"/>
      </patternFill>
    </fill>
    <fill>
      <patternFill patternType="solid">
        <fgColor indexed="15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darkVertical"/>
    </fill>
    <fill>
      <patternFill patternType="solid">
        <fgColor indexed="16"/>
      </patternFill>
    </fill>
    <fill>
      <patternFill patternType="solid">
        <fgColor indexed="9"/>
      </patternFill>
    </fill>
    <fill>
      <patternFill patternType="solid">
        <fgColor indexed="40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1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5CD9D6"/>
        <bgColor indexed="64"/>
      </patternFill>
    </fill>
    <fill>
      <patternFill patternType="solid">
        <fgColor rgb="FFAFECEB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15"/>
        <bgColor indexed="64"/>
      </patternFill>
    </fill>
  </fills>
  <borders count="1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12"/>
      </left>
      <right style="medium">
        <color indexed="12"/>
      </right>
      <top style="medium">
        <color indexed="12"/>
      </top>
      <bottom style="medium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indexed="18"/>
      </bottom>
      <diagonal/>
    </border>
    <border>
      <left style="hair">
        <color indexed="18"/>
      </left>
      <right/>
      <top/>
      <bottom style="hair">
        <color indexed="18"/>
      </bottom>
      <diagonal/>
    </border>
    <border>
      <left/>
      <right style="hair">
        <color indexed="18"/>
      </right>
      <top/>
      <bottom style="hair">
        <color indexed="18"/>
      </bottom>
      <diagonal/>
    </border>
    <border>
      <left style="hair">
        <color indexed="18"/>
      </left>
      <right/>
      <top/>
      <bottom/>
      <diagonal/>
    </border>
    <border>
      <left/>
      <right style="hair">
        <color indexed="18"/>
      </right>
      <top/>
      <bottom/>
      <diagonal/>
    </border>
    <border>
      <left/>
      <right/>
      <top style="hair">
        <color indexed="18"/>
      </top>
      <bottom/>
      <diagonal/>
    </border>
    <border>
      <left style="hair">
        <color indexed="18"/>
      </left>
      <right/>
      <top style="hair">
        <color indexed="18"/>
      </top>
      <bottom/>
      <diagonal/>
    </border>
    <border>
      <left/>
      <right style="hair">
        <color indexed="18"/>
      </right>
      <top style="hair">
        <color indexed="18"/>
      </top>
      <bottom/>
      <diagonal/>
    </border>
    <border>
      <left style="thin">
        <color indexed="9"/>
      </left>
      <right style="thin">
        <color indexed="23"/>
      </right>
      <top style="thin">
        <color indexed="9"/>
      </top>
      <bottom style="thin">
        <color indexed="2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18"/>
      </left>
      <right style="hair">
        <color indexed="18"/>
      </right>
      <top style="hair">
        <color indexed="18"/>
      </top>
      <bottom style="hair">
        <color indexed="18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indexed="64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 style="thin">
        <color rgb="FFFF0000"/>
      </left>
      <right style="thin">
        <color rgb="FFFF0000"/>
      </right>
      <top style="medium">
        <color rgb="FF00B050"/>
      </top>
      <bottom style="medium">
        <color rgb="FF00B050"/>
      </bottom>
      <diagonal/>
    </border>
    <border>
      <left style="thin">
        <color rgb="FFFF0000"/>
      </left>
      <right style="thin">
        <color rgb="FFFF0000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auto="1"/>
      </right>
      <top style="dotted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</borders>
  <cellStyleXfs count="4136">
    <xf numFmtId="0" fontId="0" fillId="0" borderId="0"/>
    <xf numFmtId="168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/>
    <xf numFmtId="0" fontId="15" fillId="0" borderId="0"/>
    <xf numFmtId="175" fontId="16" fillId="0" borderId="0">
      <protection locked="0"/>
    </xf>
    <xf numFmtId="0" fontId="15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8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 applyNumberForma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4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5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7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5" fillId="0" borderId="0"/>
    <xf numFmtId="0" fontId="15" fillId="0" borderId="0"/>
    <xf numFmtId="0" fontId="17" fillId="0" borderId="0"/>
    <xf numFmtId="0" fontId="15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0" fontId="21" fillId="0" borderId="0"/>
    <xf numFmtId="177" fontId="22" fillId="0" borderId="0">
      <alignment horizontal="right"/>
    </xf>
    <xf numFmtId="177" fontId="22" fillId="0" borderId="0">
      <alignment horizontal="right"/>
    </xf>
    <xf numFmtId="177" fontId="22" fillId="0" borderId="0">
      <alignment horizontal="right"/>
    </xf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16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43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1" fontId="15" fillId="0" borderId="0">
      <protection locked="0"/>
    </xf>
    <xf numFmtId="182" fontId="15" fillId="0" borderId="0">
      <protection locked="0"/>
    </xf>
    <xf numFmtId="182" fontId="15" fillId="0" borderId="0">
      <protection locked="0"/>
    </xf>
    <xf numFmtId="183" fontId="23" fillId="0" borderId="0">
      <protection locked="0"/>
    </xf>
    <xf numFmtId="164" fontId="15" fillId="0" borderId="0">
      <protection locked="0"/>
    </xf>
    <xf numFmtId="184" fontId="1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5" fontId="15" fillId="0" borderId="0">
      <protection locked="0"/>
    </xf>
    <xf numFmtId="43" fontId="15" fillId="0" borderId="0">
      <protection locked="0"/>
    </xf>
    <xf numFmtId="164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7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5" fontId="15" fillId="0" borderId="0">
      <protection locked="0"/>
    </xf>
    <xf numFmtId="185" fontId="15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90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16" fillId="0" borderId="0">
      <protection locked="0"/>
    </xf>
    <xf numFmtId="193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5" fontId="24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90" fontId="24" fillId="0" borderId="0">
      <protection locked="0"/>
    </xf>
    <xf numFmtId="176" fontId="16" fillId="0" borderId="0">
      <protection locked="0"/>
    </xf>
    <xf numFmtId="176" fontId="15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43" fontId="15" fillId="0" borderId="0">
      <protection locked="0"/>
    </xf>
    <xf numFmtId="41" fontId="15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97" fontId="24" fillId="0" borderId="0">
      <protection locked="0"/>
    </xf>
    <xf numFmtId="176" fontId="16" fillId="0" borderId="0">
      <protection locked="0"/>
    </xf>
    <xf numFmtId="198" fontId="15" fillId="0" borderId="0">
      <protection locked="0"/>
    </xf>
    <xf numFmtId="192" fontId="15" fillId="0" borderId="0">
      <protection locked="0"/>
    </xf>
    <xf numFmtId="199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2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2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81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6" fontId="25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89" fontId="24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81" fontId="15" fillId="0" borderId="0">
      <protection locked="0"/>
    </xf>
    <xf numFmtId="43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1" fontId="15" fillId="0" borderId="0">
      <protection locked="0"/>
    </xf>
    <xf numFmtId="182" fontId="15" fillId="0" borderId="0">
      <protection locked="0"/>
    </xf>
    <xf numFmtId="182" fontId="15" fillId="0" borderId="0">
      <protection locked="0"/>
    </xf>
    <xf numFmtId="183" fontId="23" fillId="0" borderId="0">
      <protection locked="0"/>
    </xf>
    <xf numFmtId="164" fontId="15" fillId="0" borderId="0">
      <protection locked="0"/>
    </xf>
    <xf numFmtId="184" fontId="1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5" fontId="15" fillId="0" borderId="0">
      <protection locked="0"/>
    </xf>
    <xf numFmtId="43" fontId="15" fillId="0" borderId="0">
      <protection locked="0"/>
    </xf>
    <xf numFmtId="164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7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5" fontId="15" fillId="0" borderId="0">
      <protection locked="0"/>
    </xf>
    <xf numFmtId="185" fontId="1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25" fillId="0" borderId="0">
      <protection locked="0"/>
    </xf>
    <xf numFmtId="193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25" fillId="0" borderId="0">
      <protection locked="0"/>
    </xf>
    <xf numFmtId="176" fontId="15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43" fontId="15" fillId="0" borderId="0">
      <protection locked="0"/>
    </xf>
    <xf numFmtId="41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7" fontId="24" fillId="0" borderId="0">
      <protection locked="0"/>
    </xf>
    <xf numFmtId="176" fontId="25" fillId="0" borderId="0">
      <protection locked="0"/>
    </xf>
    <xf numFmtId="198" fontId="15" fillId="0" borderId="0">
      <protection locked="0"/>
    </xf>
    <xf numFmtId="192" fontId="15" fillId="0" borderId="0">
      <protection locked="0"/>
    </xf>
    <xf numFmtId="199" fontId="15" fillId="0" borderId="0">
      <protection locked="0"/>
    </xf>
    <xf numFmtId="176" fontId="2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81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200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2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86" fontId="15" fillId="0" borderId="0">
      <protection locked="0"/>
    </xf>
    <xf numFmtId="181" fontId="15" fillId="0" borderId="0">
      <protection locked="0"/>
    </xf>
    <xf numFmtId="200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82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86" fontId="15" fillId="0" borderId="0">
      <protection locked="0"/>
    </xf>
    <xf numFmtId="181" fontId="15" fillId="0" borderId="0">
      <protection locked="0"/>
    </xf>
    <xf numFmtId="175" fontId="27" fillId="0" borderId="0"/>
    <xf numFmtId="0" fontId="28" fillId="0" borderId="0"/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5" fontId="16" fillId="0" borderId="0">
      <protection locked="0"/>
    </xf>
    <xf numFmtId="0" fontId="17" fillId="0" borderId="0"/>
    <xf numFmtId="0" fontId="15" fillId="0" borderId="0"/>
    <xf numFmtId="0" fontId="29" fillId="0" borderId="0"/>
    <xf numFmtId="0" fontId="17" fillId="0" borderId="0"/>
    <xf numFmtId="0" fontId="15" fillId="0" borderId="0"/>
    <xf numFmtId="0" fontId="30" fillId="0" borderId="0"/>
    <xf numFmtId="201" fontId="18" fillId="0" borderId="0">
      <alignment horizontal="center"/>
    </xf>
    <xf numFmtId="9" fontId="31" fillId="0" borderId="0" applyFont="0" applyFill="0" applyBorder="0" applyAlignment="0" applyProtection="0"/>
    <xf numFmtId="202" fontId="32" fillId="0" borderId="0">
      <alignment horizontal="center"/>
    </xf>
    <xf numFmtId="203" fontId="18" fillId="0" borderId="0">
      <alignment horizontal="center"/>
    </xf>
    <xf numFmtId="175" fontId="18" fillId="0" borderId="0">
      <protection locked="0"/>
    </xf>
    <xf numFmtId="204" fontId="18" fillId="0" borderId="0">
      <alignment horizontal="center"/>
    </xf>
    <xf numFmtId="0" fontId="15" fillId="0" borderId="0">
      <alignment horizontal="center" vertical="center"/>
    </xf>
    <xf numFmtId="0" fontId="15" fillId="0" borderId="7" applyBorder="0">
      <alignment horizontal="center" vertical="center"/>
    </xf>
    <xf numFmtId="0" fontId="24" fillId="0" borderId="6" applyBorder="0"/>
    <xf numFmtId="193" fontId="17" fillId="0" borderId="0" applyFont="0" applyFill="0" applyBorder="0" applyAlignment="0" applyProtection="0"/>
    <xf numFmtId="205" fontId="17" fillId="0" borderId="0" applyFont="0" applyFill="0" applyBorder="0" applyAlignment="0" applyProtection="0"/>
    <xf numFmtId="0" fontId="33" fillId="0" borderId="0">
      <alignment horizontal="center" wrapText="1"/>
      <protection locked="0"/>
    </xf>
    <xf numFmtId="0" fontId="15" fillId="0" borderId="0" applyFill="0" applyBorder="0">
      <alignment vertical="center"/>
    </xf>
    <xf numFmtId="0" fontId="15" fillId="0" borderId="10" applyNumberFormat="0" applyFill="0" applyAlignment="0" applyProtection="0"/>
    <xf numFmtId="0" fontId="34" fillId="2" borderId="0" applyNumberFormat="0" applyFill="0" applyBorder="0" applyAlignment="0"/>
    <xf numFmtId="206" fontId="15" fillId="0" borderId="0" applyFont="0" applyFill="0" applyBorder="0" applyAlignment="0" applyProtection="0"/>
    <xf numFmtId="207" fontId="15" fillId="0" borderId="0" applyFont="0" applyFill="0" applyBorder="0" applyAlignment="0" applyProtection="0"/>
    <xf numFmtId="0" fontId="15" fillId="3" borderId="0"/>
    <xf numFmtId="0" fontId="15" fillId="4" borderId="0"/>
    <xf numFmtId="0" fontId="35" fillId="5" borderId="0" applyBorder="0" applyProtection="0">
      <alignment vertical="center"/>
    </xf>
    <xf numFmtId="0" fontId="36" fillId="6" borderId="2">
      <alignment horizontal="center" vertical="center"/>
      <protection locked="0"/>
    </xf>
    <xf numFmtId="0" fontId="37" fillId="7" borderId="2">
      <alignment horizontal="center" vertical="center" shrinkToFit="1"/>
      <protection hidden="1"/>
    </xf>
    <xf numFmtId="208" fontId="15" fillId="0" borderId="0" applyFont="0" applyFill="0" applyBorder="0" applyAlignment="0" applyProtection="0"/>
    <xf numFmtId="0" fontId="36" fillId="0" borderId="0" applyFill="0" applyBorder="0">
      <alignment horizontal="left" wrapText="1"/>
    </xf>
    <xf numFmtId="175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1" applyNumberFormat="0" applyBorder="0">
      <alignment horizontal="center"/>
    </xf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42" fillId="8" borderId="0"/>
    <xf numFmtId="192" fontId="24" fillId="0" borderId="0"/>
    <xf numFmtId="0" fontId="36" fillId="0" borderId="0"/>
    <xf numFmtId="4" fontId="36" fillId="0" borderId="0"/>
    <xf numFmtId="0" fontId="36" fillId="0" borderId="0">
      <alignment horizontal="left"/>
    </xf>
    <xf numFmtId="0" fontId="31" fillId="0" borderId="0"/>
    <xf numFmtId="203" fontId="18" fillId="0" borderId="0">
      <alignment horizontal="center"/>
    </xf>
    <xf numFmtId="209" fontId="43" fillId="0" borderId="0" applyFill="0" applyBorder="0" applyAlignment="0"/>
    <xf numFmtId="210" fontId="15" fillId="0" borderId="0" applyFill="0" applyBorder="0" applyAlignment="0"/>
    <xf numFmtId="211" fontId="15" fillId="0" borderId="0" applyFill="0" applyBorder="0" applyAlignment="0"/>
    <xf numFmtId="212" fontId="15" fillId="0" borderId="0" applyFill="0" applyBorder="0" applyAlignment="0"/>
    <xf numFmtId="213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0" fontId="15" fillId="9" borderId="0" applyBorder="0" applyProtection="0">
      <alignment horizontal="right" vertical="center" wrapText="1"/>
    </xf>
    <xf numFmtId="0" fontId="15" fillId="9" borderId="12" applyProtection="0">
      <alignment horizontal="right" vertical="center" wrapText="1"/>
    </xf>
    <xf numFmtId="0" fontId="15" fillId="9" borderId="13" applyProtection="0">
      <alignment horizontal="right" vertical="center" wrapText="1"/>
    </xf>
    <xf numFmtId="0" fontId="15" fillId="9" borderId="14" applyProtection="0">
      <alignment horizontal="right" vertical="center" wrapText="1"/>
    </xf>
    <xf numFmtId="0" fontId="15" fillId="9" borderId="15" applyProtection="0">
      <alignment horizontal="right" vertical="center" wrapText="1"/>
    </xf>
    <xf numFmtId="0" fontId="15" fillId="9" borderId="16" applyProtection="0">
      <alignment horizontal="right" vertical="center" wrapText="1"/>
    </xf>
    <xf numFmtId="0" fontId="15" fillId="9" borderId="17" applyProtection="0">
      <alignment horizontal="right" vertical="center" wrapText="1"/>
    </xf>
    <xf numFmtId="0" fontId="15" fillId="9" borderId="18" applyProtection="0">
      <alignment horizontal="right" vertical="center" wrapText="1"/>
    </xf>
    <xf numFmtId="0" fontId="15" fillId="9" borderId="19" applyProtection="0">
      <alignment horizontal="right" vertical="center" wrapText="1"/>
    </xf>
    <xf numFmtId="0" fontId="44" fillId="0" borderId="0"/>
    <xf numFmtId="3" fontId="22" fillId="10" borderId="20" applyNumberFormat="0" applyFill="0" applyBorder="0" applyAlignment="0">
      <protection locked="0"/>
    </xf>
    <xf numFmtId="0" fontId="45" fillId="11" borderId="21" applyFont="0" applyFill="0" applyBorder="0"/>
    <xf numFmtId="0" fontId="36" fillId="0" borderId="4"/>
    <xf numFmtId="0" fontId="15" fillId="9" borderId="22" applyProtection="0">
      <alignment horizontal="center" wrapText="1"/>
    </xf>
    <xf numFmtId="0" fontId="40" fillId="12" borderId="9" applyNumberFormat="0" applyProtection="0">
      <alignment horizontal="center" vertical="center" wrapText="1"/>
    </xf>
    <xf numFmtId="0" fontId="40" fillId="12" borderId="0" applyNumberFormat="0" applyBorder="0" applyProtection="0">
      <alignment horizontal="centerContinuous" vertical="center"/>
    </xf>
    <xf numFmtId="0" fontId="26" fillId="0" borderId="23" applyNumberFormat="0" applyFont="0" applyFill="0" applyAlignment="0" applyProtection="0">
      <alignment horizontal="left"/>
    </xf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216" fontId="15" fillId="0" borderId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217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216" fontId="29" fillId="0" borderId="0" applyFill="0" applyBorder="0" applyAlignment="0" applyProtection="0"/>
    <xf numFmtId="166" fontId="29" fillId="0" borderId="0" applyFont="0" applyFill="0" applyBorder="0" applyAlignment="0" applyProtection="0"/>
    <xf numFmtId="218" fontId="15" fillId="0" borderId="0" applyFill="0" applyBorder="0" applyAlignment="0" applyProtection="0"/>
    <xf numFmtId="166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214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4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6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50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219" fontId="15" fillId="0" borderId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74" fontId="15" fillId="0" borderId="0" applyFill="0" applyBorder="0" applyAlignment="0" applyProtection="0"/>
    <xf numFmtId="220" fontId="15" fillId="0" borderId="0" applyFill="0" applyBorder="0" applyAlignment="0" applyProtection="0"/>
    <xf numFmtId="221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43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174" fontId="15" fillId="0" borderId="0" applyFill="0" applyBorder="0" applyAlignment="0" applyProtection="0"/>
    <xf numFmtId="220" fontId="15" fillId="0" borderId="0" applyFill="0" applyBorder="0" applyAlignment="0" applyProtection="0"/>
    <xf numFmtId="221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43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168" fontId="29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74" fontId="15" fillId="0" borderId="0" applyFill="0" applyBorder="0" applyAlignment="0" applyProtection="0"/>
    <xf numFmtId="168" fontId="47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222" fontId="29" fillId="0" borderId="0" applyFill="0" applyBorder="0" applyAlignment="0" applyProtection="0"/>
    <xf numFmtId="220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220" fontId="15" fillId="0" borderId="0" applyFont="0" applyFill="0" applyBorder="0" applyAlignment="0" applyProtection="0"/>
    <xf numFmtId="22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0" fontId="51" fillId="13" borderId="24">
      <alignment horizontal="left" vertical="center" shrinkToFit="1"/>
      <protection hidden="1"/>
    </xf>
    <xf numFmtId="0" fontId="52" fillId="0" borderId="0" applyNumberFormat="0" applyAlignment="0">
      <alignment horizontal="left"/>
    </xf>
    <xf numFmtId="175" fontId="53" fillId="0" borderId="0" applyNumberFormat="0" applyAlignment="0"/>
    <xf numFmtId="223" fontId="36" fillId="0" borderId="0" applyFill="0" applyBorder="0"/>
    <xf numFmtId="224" fontId="38" fillId="0" borderId="2"/>
    <xf numFmtId="210" fontId="15" fillId="0" borderId="0" applyFont="0" applyFill="0" applyBorder="0" applyAlignment="0" applyProtection="0"/>
    <xf numFmtId="173" fontId="15" fillId="0" borderId="0" applyFont="0" applyFill="0" applyBorder="0" applyAlignment="0" applyProtection="0"/>
    <xf numFmtId="3" fontId="54" fillId="14" borderId="0" applyBorder="0" applyAlignment="0"/>
    <xf numFmtId="171" fontId="55" fillId="0" borderId="0" applyFill="0" applyBorder="0" applyProtection="0"/>
    <xf numFmtId="0" fontId="24" fillId="0" borderId="0"/>
    <xf numFmtId="0" fontId="24" fillId="0" borderId="25"/>
    <xf numFmtId="175" fontId="15" fillId="0" borderId="0" applyNumberFormat="0" applyFont="0" applyBorder="0" applyProtection="0">
      <alignment vertical="top"/>
      <protection locked="0"/>
    </xf>
    <xf numFmtId="225" fontId="38" fillId="0" borderId="0">
      <protection locked="0"/>
    </xf>
    <xf numFmtId="14" fontId="54" fillId="0" borderId="0" applyFill="0" applyBorder="0" applyAlignment="0"/>
    <xf numFmtId="226" fontId="26" fillId="0" borderId="0" applyFont="0" applyFill="0" applyBorder="0" applyAlignment="0" applyProtection="0"/>
    <xf numFmtId="14" fontId="18" fillId="0" borderId="0"/>
    <xf numFmtId="227" fontId="56" fillId="0" borderId="0" applyFont="0" applyBorder="0">
      <alignment horizontal="right" vertical="center"/>
    </xf>
    <xf numFmtId="228" fontId="56" fillId="0" borderId="0" applyFont="0" applyBorder="0">
      <alignment horizontal="right" vertical="center"/>
    </xf>
    <xf numFmtId="0" fontId="18" fillId="0" borderId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14" fontId="15" fillId="0" borderId="0" applyFill="0" applyBorder="0" applyAlignment="0"/>
    <xf numFmtId="210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0" fontId="57" fillId="0" borderId="0" applyNumberFormat="0" applyAlignment="0">
      <alignment horizontal="left"/>
    </xf>
    <xf numFmtId="0" fontId="58" fillId="0" borderId="5"/>
    <xf numFmtId="0" fontId="15" fillId="0" borderId="0">
      <alignment horizontal="left"/>
    </xf>
    <xf numFmtId="0" fontId="59" fillId="0" borderId="0"/>
    <xf numFmtId="0" fontId="59" fillId="0" borderId="0">
      <alignment horizontal="left"/>
    </xf>
    <xf numFmtId="229" fontId="36" fillId="0" borderId="0" applyFont="0" applyFill="0" applyBorder="0" applyAlignment="0" applyProtection="0"/>
    <xf numFmtId="230" fontId="15" fillId="0" borderId="0" applyFont="0" applyFill="0" applyBorder="0" applyAlignment="0" applyProtection="0"/>
    <xf numFmtId="231" fontId="15" fillId="0" borderId="0" applyFont="0" applyFill="0" applyBorder="0" applyAlignment="0" applyProtection="0"/>
    <xf numFmtId="232" fontId="15" fillId="0" borderId="0" applyFont="0" applyFill="0" applyBorder="0" applyAlignment="0" applyProtection="0"/>
    <xf numFmtId="229" fontId="15" fillId="0" borderId="0" applyFont="0" applyFill="0" applyBorder="0" applyAlignment="0" applyProtection="0"/>
    <xf numFmtId="233" fontId="15" fillId="0" borderId="0" applyFill="0" applyBorder="0" applyProtection="0">
      <alignment vertical="center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0" fontId="15" fillId="0" borderId="0" applyFill="0" applyBorder="0">
      <alignment wrapText="1"/>
    </xf>
    <xf numFmtId="0" fontId="36" fillId="0" borderId="0" applyFill="0" applyBorder="0"/>
    <xf numFmtId="223" fontId="15" fillId="0" borderId="4" applyFill="0" applyBorder="0">
      <protection locked="0"/>
    </xf>
    <xf numFmtId="235" fontId="38" fillId="0" borderId="0">
      <protection locked="0"/>
    </xf>
    <xf numFmtId="236" fontId="55" fillId="0" borderId="0" applyFill="0" applyBorder="0" applyProtection="0"/>
    <xf numFmtId="0" fontId="51" fillId="15" borderId="26">
      <alignment horizontal="center" vertical="center" wrapText="1" shrinkToFit="1"/>
      <protection hidden="1"/>
    </xf>
    <xf numFmtId="237" fontId="15" fillId="0" borderId="0" applyFont="0" applyFill="0" applyBorder="0" applyAlignment="0" applyProtection="0"/>
    <xf numFmtId="238" fontId="60" fillId="0" borderId="0" applyFont="0" applyFill="0" applyBorder="0" applyAlignment="0" applyProtection="0"/>
    <xf numFmtId="239" fontId="15" fillId="0" borderId="0" applyFont="0" applyFill="0" applyBorder="0" applyAlignment="0" applyProtection="0"/>
    <xf numFmtId="240" fontId="60" fillId="0" borderId="0" applyFont="0" applyFill="0" applyBorder="0" applyAlignment="0" applyProtection="0"/>
    <xf numFmtId="38" fontId="36" fillId="16" borderId="0" applyNumberFormat="0" applyBorder="0" applyAlignment="0" applyProtection="0"/>
    <xf numFmtId="175" fontId="59" fillId="0" borderId="4">
      <alignment vertical="center" wrapText="1"/>
    </xf>
    <xf numFmtId="0" fontId="61" fillId="0" borderId="0"/>
    <xf numFmtId="0" fontId="62" fillId="0" borderId="0"/>
    <xf numFmtId="4" fontId="59" fillId="17" borderId="0"/>
    <xf numFmtId="0" fontId="63" fillId="0" borderId="0"/>
    <xf numFmtId="4" fontId="62" fillId="6" borderId="0">
      <alignment horizontal="right"/>
    </xf>
    <xf numFmtId="175" fontId="64" fillId="0" borderId="27">
      <alignment vertical="center"/>
    </xf>
    <xf numFmtId="175" fontId="41" fillId="0" borderId="28">
      <alignment vertical="center" wrapText="1"/>
    </xf>
    <xf numFmtId="192" fontId="54" fillId="0" borderId="3" applyNumberFormat="0" applyBorder="0" applyAlignment="0"/>
    <xf numFmtId="0" fontId="65" fillId="0" borderId="0"/>
    <xf numFmtId="0" fontId="66" fillId="0" borderId="0"/>
    <xf numFmtId="0" fontId="67" fillId="0" borderId="0"/>
    <xf numFmtId="0" fontId="68" fillId="0" borderId="0">
      <alignment horizontal="right"/>
    </xf>
    <xf numFmtId="0" fontId="69" fillId="0" borderId="0">
      <alignment horizontal="left"/>
    </xf>
    <xf numFmtId="0" fontId="69" fillId="8" borderId="29"/>
    <xf numFmtId="0" fontId="70" fillId="1" borderId="0">
      <alignment horizontal="left" vertical="center"/>
    </xf>
    <xf numFmtId="0" fontId="70" fillId="0" borderId="0"/>
    <xf numFmtId="0" fontId="59" fillId="0" borderId="0"/>
    <xf numFmtId="0" fontId="59" fillId="15" borderId="30">
      <alignment vertical="center" wrapText="1"/>
    </xf>
    <xf numFmtId="217" fontId="38" fillId="0" borderId="0">
      <protection locked="0"/>
    </xf>
    <xf numFmtId="241" fontId="38" fillId="0" borderId="0">
      <protection locked="0"/>
    </xf>
    <xf numFmtId="241" fontId="38" fillId="0" borderId="0">
      <protection locked="0"/>
    </xf>
    <xf numFmtId="217" fontId="38" fillId="0" borderId="0">
      <protection locked="0"/>
    </xf>
    <xf numFmtId="217" fontId="38" fillId="0" borderId="0">
      <protection locked="0"/>
    </xf>
    <xf numFmtId="0" fontId="71" fillId="0" borderId="9">
      <alignment horizontal="center"/>
    </xf>
    <xf numFmtId="0" fontId="71" fillId="0" borderId="0">
      <alignment horizontal="center"/>
    </xf>
    <xf numFmtId="0" fontId="54" fillId="18" borderId="0" applyNumberFormat="0" applyFont="0" applyFill="0" applyBorder="0" applyAlignment="0">
      <alignment horizontal="left"/>
      <protection hidden="1"/>
    </xf>
    <xf numFmtId="0" fontId="72" fillId="0" borderId="31" applyNumberFormat="0" applyBorder="0" applyAlignment="0">
      <protection hidden="1"/>
    </xf>
    <xf numFmtId="0" fontId="15" fillId="0" borderId="0" applyNumberForma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175" fontId="73" fillId="0" borderId="0" applyNumberFormat="0" applyFill="0" applyBorder="0" applyAlignment="0" applyProtection="0">
      <alignment vertical="top"/>
      <protection locked="0"/>
    </xf>
    <xf numFmtId="49" fontId="36" fillId="0" borderId="0" applyFill="0" applyBorder="0"/>
    <xf numFmtId="10" fontId="36" fillId="17" borderId="2" applyNumberFormat="0" applyBorder="0" applyAlignment="0" applyProtection="0"/>
    <xf numFmtId="242" fontId="24" fillId="19" borderId="0"/>
    <xf numFmtId="0" fontId="15" fillId="0" borderId="0" applyNumberFormat="0" applyFill="0" applyBorder="0" applyAlignment="0" applyProtection="0"/>
    <xf numFmtId="243" fontId="22" fillId="0" borderId="0">
      <alignment horizontal="left"/>
    </xf>
    <xf numFmtId="0" fontId="18" fillId="0" borderId="2">
      <alignment horizontal="left" vertical="center" wrapText="1"/>
    </xf>
    <xf numFmtId="0" fontId="74" fillId="0" borderId="2" applyProtection="0">
      <alignment horizontal="center" vertical="center" wrapText="1"/>
    </xf>
    <xf numFmtId="0" fontId="19" fillId="0" borderId="0"/>
    <xf numFmtId="244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0" fontId="27" fillId="0" borderId="0" applyFill="0" applyBorder="0" applyAlignment="0" applyProtection="0">
      <alignment horizontal="left"/>
    </xf>
    <xf numFmtId="38" fontId="75" fillId="0" borderId="0"/>
    <xf numFmtId="38" fontId="76" fillId="0" borderId="0"/>
    <xf numFmtId="38" fontId="77" fillId="0" borderId="0"/>
    <xf numFmtId="38" fontId="78" fillId="0" borderId="0"/>
    <xf numFmtId="0" fontId="79" fillId="0" borderId="0"/>
    <xf numFmtId="0" fontId="79" fillId="0" borderId="0"/>
    <xf numFmtId="0" fontId="80" fillId="20" borderId="25"/>
    <xf numFmtId="175" fontId="26" fillId="0" borderId="0" applyNumberFormat="0" applyFont="0" applyFill="0" applyBorder="0" applyProtection="0">
      <alignment horizontal="left" vertical="center"/>
    </xf>
    <xf numFmtId="0" fontId="18" fillId="0" borderId="0"/>
    <xf numFmtId="214" fontId="15" fillId="0" borderId="0" applyFill="0" applyBorder="0" applyAlignment="0"/>
    <xf numFmtId="210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242" fontId="81" fillId="21" borderId="0"/>
    <xf numFmtId="0" fontId="15" fillId="0" borderId="0" applyNumberFormat="0" applyFill="0" applyBorder="0" applyProtection="0">
      <alignment horizontal="left" vertical="center"/>
    </xf>
    <xf numFmtId="246" fontId="27" fillId="0" borderId="0">
      <alignment horizontal="left"/>
    </xf>
    <xf numFmtId="247" fontId="27" fillId="0" borderId="0" applyFont="0" applyFill="0" applyBorder="0" applyAlignment="0" applyProtection="0"/>
    <xf numFmtId="248" fontId="15" fillId="0" borderId="0" applyFont="0" applyFill="0" applyBorder="0" applyAlignment="0" applyProtection="0"/>
    <xf numFmtId="249" fontId="15" fillId="0" borderId="0" applyFont="0" applyFill="0" applyBorder="0" applyAlignment="0" applyProtection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250" fontId="15" fillId="0" borderId="0" applyFont="0" applyFill="0" applyBorder="0" applyAlignment="0" applyProtection="0"/>
    <xf numFmtId="220" fontId="15" fillId="0" borderId="0" applyFont="0" applyFill="0" applyBorder="0" applyAlignment="0" applyProtection="0"/>
    <xf numFmtId="251" fontId="15" fillId="0" borderId="0" applyFont="0" applyFill="0" applyBorder="0" applyAlignment="0" applyProtection="0"/>
    <xf numFmtId="252" fontId="15" fillId="0" borderId="0" applyFont="0" applyFill="0" applyBorder="0" applyAlignment="0" applyProtection="0"/>
    <xf numFmtId="253" fontId="15" fillId="0" borderId="0" applyFont="0" applyFill="0" applyBorder="0" applyAlignment="0" applyProtection="0"/>
    <xf numFmtId="0" fontId="82" fillId="0" borderId="9"/>
    <xf numFmtId="254" fontId="15" fillId="0" borderId="0" applyFont="0" applyFill="0" applyBorder="0" applyAlignment="0" applyProtection="0"/>
    <xf numFmtId="25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56" fontId="27" fillId="0" borderId="0" applyFont="0" applyFill="0" applyBorder="0" applyAlignment="0" applyProtection="0"/>
    <xf numFmtId="172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57" fontId="19" fillId="0" borderId="0" applyFont="0" applyFill="0" applyBorder="0" applyAlignment="0" applyProtection="0"/>
    <xf numFmtId="258" fontId="15" fillId="0" borderId="0" applyFont="0" applyFill="0" applyBorder="0" applyAlignment="0" applyProtection="0"/>
    <xf numFmtId="259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60" fontId="15" fillId="0" borderId="0" applyFont="0" applyFill="0" applyBorder="0" applyAlignment="0" applyProtection="0"/>
    <xf numFmtId="260" fontId="15" fillId="0" borderId="0" applyFont="0" applyFill="0" applyBorder="0" applyAlignment="0" applyProtection="0"/>
    <xf numFmtId="10" fontId="15" fillId="0" borderId="0" applyFont="0" applyFill="0" applyProtection="0"/>
    <xf numFmtId="10" fontId="15" fillId="0" borderId="0" applyFont="0" applyFill="0" applyProtection="0"/>
    <xf numFmtId="175" fontId="15" fillId="0" borderId="0" applyFont="0" applyFill="0" applyBorder="0" applyAlignment="0" applyProtection="0"/>
    <xf numFmtId="261" fontId="27" fillId="0" borderId="0" applyFont="0" applyFill="0" applyBorder="0" applyAlignment="0" applyProtection="0"/>
    <xf numFmtId="173" fontId="15" fillId="0" borderId="0" applyFont="0" applyFill="0" applyBorder="0" applyAlignment="0" applyProtection="0"/>
    <xf numFmtId="173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62" fontId="19" fillId="0" borderId="0" applyFont="0" applyFill="0" applyBorder="0" applyAlignment="0" applyProtection="0"/>
    <xf numFmtId="263" fontId="15" fillId="0" borderId="0" applyFont="0" applyFill="0" applyBorder="0" applyAlignment="0" applyProtection="0"/>
    <xf numFmtId="256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59" fontId="15" fillId="0" borderId="0" applyFont="0" applyFill="0" applyBorder="0" applyAlignment="0" applyProtection="0"/>
    <xf numFmtId="264" fontId="15" fillId="0" borderId="0" applyFont="0" applyFill="0" applyBorder="0" applyAlignment="0" applyProtection="0"/>
    <xf numFmtId="12" fontId="15" fillId="0" borderId="0" applyFont="0" applyFill="0" applyProtection="0"/>
    <xf numFmtId="12" fontId="15" fillId="0" borderId="0" applyFont="0" applyFill="0" applyProtection="0"/>
    <xf numFmtId="15" fontId="22" fillId="0" borderId="0" applyFont="0" applyFill="0" applyAlignment="0"/>
    <xf numFmtId="0" fontId="27" fillId="0" borderId="0" applyNumberFormat="0">
      <alignment horizontal="left"/>
    </xf>
    <xf numFmtId="265" fontId="83" fillId="0" borderId="0"/>
    <xf numFmtId="0" fontId="15" fillId="0" borderId="0" applyNumberFormat="0" applyFill="0" applyBorder="0" applyProtection="0">
      <alignment horizontal="left"/>
    </xf>
    <xf numFmtId="37" fontId="84" fillId="0" borderId="0"/>
    <xf numFmtId="266" fontId="85" fillId="0" borderId="0"/>
    <xf numFmtId="0" fontId="26" fillId="0" borderId="0" applyNumberFormat="0" applyAlignment="0">
      <alignment horizontal="center"/>
    </xf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175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5" fillId="0" borderId="0"/>
    <xf numFmtId="0" fontId="15" fillId="0" borderId="0" applyNumberFormat="0" applyFill="0" applyBorder="0" applyAlignment="0" applyProtection="0"/>
    <xf numFmtId="175" fontId="15" fillId="0" borderId="0"/>
    <xf numFmtId="0" fontId="15" fillId="0" borderId="0"/>
    <xf numFmtId="0" fontId="15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175" fontId="47" fillId="0" borderId="0"/>
    <xf numFmtId="175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0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0" fillId="0" borderId="0"/>
    <xf numFmtId="0" fontId="4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0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15" fillId="0" borderId="0"/>
    <xf numFmtId="0" fontId="47" fillId="0" borderId="0"/>
    <xf numFmtId="0" fontId="47" fillId="0" borderId="0"/>
    <xf numFmtId="0" fontId="53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86" fillId="0" borderId="0"/>
    <xf numFmtId="0" fontId="26" fillId="0" borderId="4" applyAlignment="0" applyProtection="0">
      <alignment horizontal="center"/>
    </xf>
    <xf numFmtId="0" fontId="40" fillId="0" borderId="0" applyFill="0" applyAlignment="0" applyProtection="0"/>
    <xf numFmtId="242" fontId="87" fillId="0" borderId="0">
      <alignment horizontal="left"/>
      <protection locked="0"/>
    </xf>
    <xf numFmtId="242" fontId="39" fillId="0" borderId="0">
      <alignment horizontal="left"/>
      <protection locked="0"/>
    </xf>
    <xf numFmtId="0" fontId="27" fillId="0" borderId="0"/>
    <xf numFmtId="175" fontId="64" fillId="0" borderId="27" applyBorder="0">
      <alignment vertical="center" wrapText="1"/>
    </xf>
    <xf numFmtId="175" fontId="88" fillId="0" borderId="0"/>
    <xf numFmtId="0" fontId="29" fillId="22" borderId="32" applyNumberFormat="0" applyFont="0" applyAlignment="0" applyProtection="0"/>
    <xf numFmtId="242" fontId="83" fillId="0" borderId="0"/>
    <xf numFmtId="0" fontId="89" fillId="7" borderId="0">
      <alignment horizontal="center"/>
    </xf>
    <xf numFmtId="40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0" fontId="91" fillId="0" borderId="0"/>
    <xf numFmtId="267" fontId="36" fillId="0" borderId="0" applyFill="0" applyBorder="0">
      <alignment horizontal="right"/>
    </xf>
    <xf numFmtId="14" fontId="33" fillId="0" borderId="0">
      <alignment horizontal="center" wrapText="1"/>
      <protection locked="0"/>
    </xf>
    <xf numFmtId="213" fontId="15" fillId="0" borderId="0" applyFont="0" applyFill="0" applyBorder="0" applyAlignment="0" applyProtection="0"/>
    <xf numFmtId="268" fontId="15" fillId="0" borderId="0" applyFont="0" applyFill="0" applyBorder="0" applyAlignment="0" applyProtection="0"/>
    <xf numFmtId="10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92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5" fillId="0" borderId="0" applyFont="0" applyFill="0" applyBorder="0" applyAlignment="0" applyProtection="0"/>
    <xf numFmtId="269" fontId="26" fillId="0" borderId="0" applyFont="0" applyFill="0" applyBorder="0" applyAlignment="0" applyProtection="0"/>
    <xf numFmtId="214" fontId="55" fillId="0" borderId="0" applyFill="0" applyBorder="0" applyProtection="0"/>
    <xf numFmtId="270" fontId="93" fillId="0" borderId="0">
      <alignment horizontal="left"/>
    </xf>
    <xf numFmtId="271" fontId="94" fillId="0" borderId="0">
      <alignment horizontal="left"/>
    </xf>
    <xf numFmtId="272" fontId="22" fillId="0" borderId="0">
      <alignment horizontal="left"/>
    </xf>
    <xf numFmtId="13" fontId="15" fillId="0" borderId="0" applyFont="0" applyFill="0" applyProtection="0"/>
    <xf numFmtId="214" fontId="15" fillId="0" borderId="0" applyFill="0" applyBorder="0" applyAlignment="0"/>
    <xf numFmtId="210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169" fontId="18" fillId="0" borderId="0">
      <alignment horizontal="right"/>
    </xf>
    <xf numFmtId="0" fontId="95" fillId="23" borderId="0" applyBorder="0" applyAlignment="0">
      <alignment horizontal="left"/>
      <protection locked="0"/>
    </xf>
    <xf numFmtId="256" fontId="15" fillId="0" borderId="0"/>
    <xf numFmtId="37" fontId="15" fillId="0" borderId="0" applyFont="0" applyFill="0" applyBorder="0" applyAlignment="0" applyProtection="0"/>
    <xf numFmtId="0" fontId="54" fillId="18" borderId="0" applyNumberFormat="0" applyFill="0" applyBorder="0" applyAlignment="0"/>
    <xf numFmtId="9" fontId="15" fillId="0" borderId="0" applyFont="0" applyFill="0" applyBorder="0" applyAlignment="0" applyProtection="0"/>
    <xf numFmtId="175" fontId="27" fillId="0" borderId="0" applyNumberFormat="0" applyFont="0" applyFill="0" applyBorder="0" applyAlignment="0" applyProtection="0">
      <alignment horizontal="left"/>
    </xf>
    <xf numFmtId="175" fontId="44" fillId="0" borderId="0"/>
    <xf numFmtId="0" fontId="96" fillId="24" borderId="0" applyNumberFormat="0" applyFont="0" applyBorder="0" applyAlignment="0">
      <alignment horizontal="center"/>
    </xf>
    <xf numFmtId="0" fontId="24" fillId="0" borderId="0"/>
    <xf numFmtId="0" fontId="97" fillId="25" borderId="0">
      <alignment horizontal="center"/>
    </xf>
    <xf numFmtId="273" fontId="97" fillId="25" borderId="0"/>
    <xf numFmtId="274" fontId="55" fillId="0" borderId="0" applyNumberFormat="0" applyFill="0" applyBorder="0" applyAlignment="0" applyProtection="0">
      <alignment horizontal="left"/>
    </xf>
    <xf numFmtId="0" fontId="98" fillId="0" borderId="0" applyFill="0" applyBorder="0">
      <alignment horizontal="left"/>
    </xf>
    <xf numFmtId="275" fontId="98" fillId="0" borderId="4" applyFill="0" applyBorder="0">
      <protection locked="0"/>
    </xf>
    <xf numFmtId="0" fontId="26" fillId="0" borderId="33" applyNumberFormat="0" applyFont="0" applyFill="0" applyAlignment="0" applyProtection="0"/>
    <xf numFmtId="0" fontId="40" fillId="12" borderId="8" applyNumberFormat="0" applyBorder="0" applyProtection="0">
      <alignment horizontal="left" wrapText="1"/>
    </xf>
    <xf numFmtId="0" fontId="40" fillId="12" borderId="0" applyNumberFormat="0" applyBorder="0" applyProtection="0">
      <alignment horizontal="left"/>
    </xf>
    <xf numFmtId="0" fontId="26" fillId="0" borderId="34" applyNumberFormat="0" applyFont="0" applyFill="0" applyAlignment="0" applyProtection="0"/>
    <xf numFmtId="276" fontId="26" fillId="0" borderId="0" applyFill="0" applyBorder="0" applyAlignment="0" applyProtection="0"/>
    <xf numFmtId="0" fontId="54" fillId="26" borderId="0">
      <alignment horizontal="left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0" fontId="54" fillId="26" borderId="0">
      <alignment horizontal="left" vertical="top"/>
    </xf>
    <xf numFmtId="4" fontId="99" fillId="0" borderId="0">
      <alignment horizontal="center" vertical="top"/>
    </xf>
    <xf numFmtId="0" fontId="100" fillId="26" borderId="0">
      <alignment horizontal="left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0" fontId="100" fillId="26" borderId="0">
      <alignment horizontal="left" vertical="top"/>
    </xf>
    <xf numFmtId="4" fontId="101" fillId="0" borderId="0">
      <alignment horizontal="center" vertical="top"/>
    </xf>
    <xf numFmtId="0" fontId="102" fillId="26" borderId="0">
      <alignment horizontal="lef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5" fillId="0" borderId="0">
      <alignment horizontal="right" vertical="top"/>
    </xf>
    <xf numFmtId="4" fontId="104" fillId="0" borderId="0">
      <alignment horizontal="left" vertical="top"/>
    </xf>
    <xf numFmtId="4" fontId="106" fillId="0" borderId="0">
      <alignment horizontal="left" vertical="top"/>
    </xf>
    <xf numFmtId="4" fontId="103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0" fontId="102" fillId="26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5" fillId="0" borderId="0">
      <alignment horizontal="right" vertical="top"/>
    </xf>
    <xf numFmtId="0" fontId="102" fillId="26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5" fillId="0" borderId="0">
      <alignment horizontal="right" vertical="top"/>
    </xf>
    <xf numFmtId="4" fontId="103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right" vertical="top"/>
    </xf>
    <xf numFmtId="4" fontId="107" fillId="0" borderId="0">
      <alignment horizontal="lef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5" fillId="0" borderId="0">
      <alignment horizontal="right" vertical="top"/>
    </xf>
    <xf numFmtId="4" fontId="105" fillId="0" borderId="0">
      <alignment horizontal="left" vertical="top"/>
    </xf>
    <xf numFmtId="4" fontId="104" fillId="0" borderId="0">
      <alignment horizontal="left" vertical="top"/>
    </xf>
    <xf numFmtId="0" fontId="108" fillId="26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5" fillId="0" borderId="0">
      <alignment horizontal="left" vertical="top"/>
    </xf>
    <xf numFmtId="4" fontId="103" fillId="0" borderId="0">
      <alignment horizontal="right" vertical="top"/>
    </xf>
    <xf numFmtId="4" fontId="105" fillId="0" borderId="0">
      <alignment horizontal="right" vertical="top"/>
    </xf>
    <xf numFmtId="4" fontId="105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5" fillId="0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7" fillId="0" borderId="0">
      <alignment horizontal="right" vertical="top"/>
    </xf>
    <xf numFmtId="4" fontId="105" fillId="0" borderId="0">
      <alignment horizontal="right" vertical="top"/>
    </xf>
    <xf numFmtId="4" fontId="107" fillId="0" borderId="0">
      <alignment horizontal="left" vertical="top"/>
    </xf>
    <xf numFmtId="4" fontId="109" fillId="0" borderId="0">
      <alignment horizontal="center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9" fillId="0" borderId="0">
      <alignment horizontal="center" vertical="top"/>
    </xf>
    <xf numFmtId="4" fontId="105" fillId="0" borderId="0">
      <alignment horizontal="right" vertical="top"/>
    </xf>
    <xf numFmtId="4" fontId="105" fillId="0" borderId="0">
      <alignment horizontal="right" vertical="top"/>
    </xf>
    <xf numFmtId="0" fontId="108" fillId="26" borderId="0">
      <alignment horizontal="left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0" fontId="108" fillId="26" borderId="0">
      <alignment horizontal="left" vertical="top"/>
    </xf>
    <xf numFmtId="4" fontId="110" fillId="0" borderId="0">
      <alignment horizontal="center" vertical="top"/>
    </xf>
    <xf numFmtId="0" fontId="100" fillId="26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0" fontId="100" fillId="26" borderId="0">
      <alignment horizontal="right" vertical="top"/>
    </xf>
    <xf numFmtId="4" fontId="106" fillId="0" borderId="0">
      <alignment horizontal="right" vertical="top"/>
    </xf>
    <xf numFmtId="0" fontId="111" fillId="26" borderId="0">
      <alignment horizontal="left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0" fontId="111" fillId="26" borderId="0">
      <alignment horizontal="left" vertical="top"/>
    </xf>
    <xf numFmtId="4" fontId="109" fillId="0" borderId="0">
      <alignment horizontal="center" vertical="top"/>
    </xf>
    <xf numFmtId="0" fontId="112" fillId="26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06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0" fontId="112" fillId="26" borderId="0">
      <alignment horizontal="left" vertical="top"/>
    </xf>
    <xf numFmtId="4" fontId="113" fillId="0" borderId="0">
      <alignment horizontal="left" vertical="top"/>
    </xf>
    <xf numFmtId="0" fontId="114" fillId="26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0" fontId="114" fillId="26" borderId="0">
      <alignment horizontal="left" vertical="top"/>
    </xf>
    <xf numFmtId="4" fontId="115" fillId="0" borderId="0">
      <alignment horizontal="left" vertical="top"/>
    </xf>
    <xf numFmtId="0" fontId="114" fillId="26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6" fillId="0" borderId="0">
      <alignment horizontal="left" vertical="top"/>
    </xf>
    <xf numFmtId="4" fontId="115" fillId="0" borderId="0">
      <alignment horizontal="right" vertical="top"/>
    </xf>
    <xf numFmtId="4" fontId="106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0" fontId="114" fillId="26" borderId="0">
      <alignment horizontal="right" vertical="top"/>
    </xf>
    <xf numFmtId="4" fontId="115" fillId="0" borderId="0">
      <alignment horizontal="right" vertical="top"/>
    </xf>
    <xf numFmtId="0" fontId="100" fillId="26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0" fontId="100" fillId="26" borderId="0">
      <alignment horizontal="left" vertical="top"/>
    </xf>
    <xf numFmtId="4" fontId="106" fillId="0" borderId="0">
      <alignment horizontal="left" vertical="top"/>
    </xf>
    <xf numFmtId="0" fontId="100" fillId="26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5" fillId="0" borderId="0">
      <alignment horizontal="left" vertical="top"/>
    </xf>
    <xf numFmtId="4" fontId="103" fillId="0" borderId="0">
      <alignment horizontal="center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5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5" fillId="0" borderId="0">
      <alignment horizontal="left" vertical="top"/>
    </xf>
    <xf numFmtId="0" fontId="100" fillId="26" borderId="0">
      <alignment horizontal="right" vertical="top"/>
    </xf>
    <xf numFmtId="4" fontId="10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5" fillId="0" borderId="0">
      <alignment horizontal="right" vertical="top"/>
    </xf>
    <xf numFmtId="4" fontId="116" fillId="15" borderId="35" applyNumberFormat="0" applyProtection="0">
      <alignment vertical="center"/>
    </xf>
    <xf numFmtId="4" fontId="117" fillId="15" borderId="35" applyNumberFormat="0" applyProtection="0">
      <alignment vertical="center"/>
    </xf>
    <xf numFmtId="4" fontId="118" fillId="15" borderId="35" applyNumberFormat="0" applyProtection="0">
      <alignment horizontal="left" vertical="center" indent="1"/>
    </xf>
    <xf numFmtId="4" fontId="92" fillId="27" borderId="0" applyNumberFormat="0" applyProtection="0">
      <alignment horizontal="left" vertical="center" indent="1"/>
    </xf>
    <xf numFmtId="4" fontId="118" fillId="28" borderId="35" applyNumberFormat="0" applyProtection="0">
      <alignment horizontal="right" vertical="center"/>
    </xf>
    <xf numFmtId="4" fontId="118" fillId="29" borderId="35" applyNumberFormat="0" applyProtection="0">
      <alignment horizontal="right" vertical="center"/>
    </xf>
    <xf numFmtId="4" fontId="118" fillId="30" borderId="35" applyNumberFormat="0" applyProtection="0">
      <alignment horizontal="right" vertical="center"/>
    </xf>
    <xf numFmtId="4" fontId="118" fillId="6" borderId="35" applyNumberFormat="0" applyProtection="0">
      <alignment horizontal="right" vertical="center"/>
    </xf>
    <xf numFmtId="4" fontId="118" fillId="31" borderId="35" applyNumberFormat="0" applyProtection="0">
      <alignment horizontal="right" vertical="center"/>
    </xf>
    <xf numFmtId="4" fontId="118" fillId="32" borderId="35" applyNumberFormat="0" applyProtection="0">
      <alignment horizontal="right" vertical="center"/>
    </xf>
    <xf numFmtId="4" fontId="118" fillId="33" borderId="35" applyNumberFormat="0" applyProtection="0">
      <alignment horizontal="right" vertical="center"/>
    </xf>
    <xf numFmtId="4" fontId="118" fillId="34" borderId="35" applyNumberFormat="0" applyProtection="0">
      <alignment horizontal="right" vertical="center"/>
    </xf>
    <xf numFmtId="4" fontId="118" fillId="35" borderId="35" applyNumberFormat="0" applyProtection="0">
      <alignment horizontal="right" vertical="center"/>
    </xf>
    <xf numFmtId="4" fontId="116" fillId="36" borderId="36" applyNumberFormat="0" applyProtection="0">
      <alignment horizontal="left" vertical="center" indent="1"/>
    </xf>
    <xf numFmtId="4" fontId="116" fillId="37" borderId="0" applyNumberFormat="0" applyProtection="0">
      <alignment horizontal="left" vertical="center" indent="1"/>
    </xf>
    <xf numFmtId="4" fontId="116" fillId="4" borderId="0" applyNumberFormat="0" applyProtection="0">
      <alignment horizontal="left" vertical="center" indent="1"/>
    </xf>
    <xf numFmtId="4" fontId="118" fillId="37" borderId="35" applyNumberFormat="0" applyProtection="0">
      <alignment horizontal="right" vertical="center"/>
    </xf>
    <xf numFmtId="4" fontId="119" fillId="26" borderId="0" applyNumberFormat="0" applyProtection="0">
      <alignment horizontal="left" vertical="center" wrapText="1"/>
    </xf>
    <xf numFmtId="4" fontId="120" fillId="26" borderId="0" applyNumberFormat="0" applyProtection="0">
      <alignment horizontal="left" vertical="center" indent="1"/>
    </xf>
    <xf numFmtId="4" fontId="118" fillId="38" borderId="35" applyNumberFormat="0" applyProtection="0">
      <alignment vertical="center"/>
    </xf>
    <xf numFmtId="4" fontId="121" fillId="38" borderId="35" applyNumberFormat="0" applyProtection="0">
      <alignment vertical="center"/>
    </xf>
    <xf numFmtId="4" fontId="116" fillId="37" borderId="37" applyNumberFormat="0" applyProtection="0">
      <alignment horizontal="left" vertical="center" indent="1"/>
    </xf>
    <xf numFmtId="4" fontId="118" fillId="38" borderId="35" applyNumberFormat="0" applyProtection="0">
      <alignment horizontal="right" vertical="center"/>
    </xf>
    <xf numFmtId="4" fontId="121" fillId="38" borderId="35" applyNumberFormat="0" applyProtection="0">
      <alignment horizontal="right" vertical="center"/>
    </xf>
    <xf numFmtId="4" fontId="116" fillId="37" borderId="35" applyNumberFormat="0" applyProtection="0">
      <alignment horizontal="right" vertical="center"/>
    </xf>
    <xf numFmtId="4" fontId="122" fillId="0" borderId="37" applyNumberFormat="0" applyProtection="0">
      <alignment horizontal="left" vertical="center" indent="1"/>
    </xf>
    <xf numFmtId="4" fontId="123" fillId="38" borderId="35" applyNumberFormat="0" applyProtection="0">
      <alignment horizontal="right" vertical="center"/>
    </xf>
    <xf numFmtId="0" fontId="124" fillId="0" borderId="38"/>
    <xf numFmtId="277" fontId="125" fillId="15" borderId="39" applyBorder="0">
      <alignment horizontal="center" vertical="center" wrapText="1"/>
      <protection hidden="1"/>
    </xf>
    <xf numFmtId="0" fontId="15" fillId="0" borderId="0" applyNumberFormat="0" applyFill="0" applyBorder="0" applyProtection="0">
      <alignment horizontal="left" vertical="center"/>
    </xf>
    <xf numFmtId="0" fontId="126" fillId="39" borderId="0"/>
    <xf numFmtId="49" fontId="127" fillId="39" borderId="0"/>
    <xf numFmtId="49" fontId="128" fillId="39" borderId="40"/>
    <xf numFmtId="49" fontId="128" fillId="39" borderId="0"/>
    <xf numFmtId="0" fontId="126" fillId="23" borderId="40">
      <protection locked="0"/>
    </xf>
    <xf numFmtId="0" fontId="126" fillId="39" borderId="0"/>
    <xf numFmtId="0" fontId="129" fillId="40" borderId="0"/>
    <xf numFmtId="0" fontId="129" fillId="41" borderId="0"/>
    <xf numFmtId="0" fontId="129" fillId="31" borderId="0"/>
    <xf numFmtId="0" fontId="96" fillId="1" borderId="1" applyNumberFormat="0" applyFont="0" applyAlignment="0">
      <alignment horizontal="center"/>
    </xf>
    <xf numFmtId="40" fontId="26" fillId="0" borderId="0" applyFont="0" applyFill="0" applyBorder="0" applyAlignment="0" applyProtection="0"/>
    <xf numFmtId="278" fontId="26" fillId="0" borderId="0" applyFont="0" applyFill="0" applyBorder="0" applyAlignment="0" applyProtection="0"/>
    <xf numFmtId="0" fontId="130" fillId="0" borderId="0" applyNumberFormat="0" applyFill="0" applyBorder="0" applyAlignment="0">
      <alignment horizontal="center"/>
    </xf>
    <xf numFmtId="0" fontId="15" fillId="0" borderId="0"/>
    <xf numFmtId="0" fontId="131" fillId="0" borderId="0" applyNumberFormat="0" applyFill="0" applyBorder="0" applyAlignment="0" applyProtection="0"/>
    <xf numFmtId="0" fontId="18" fillId="0" borderId="0"/>
    <xf numFmtId="175" fontId="18" fillId="0" borderId="0"/>
    <xf numFmtId="0" fontId="82" fillId="0" borderId="0"/>
    <xf numFmtId="0" fontId="132" fillId="0" borderId="0" applyNumberFormat="0" applyFill="0" applyBorder="0" applyProtection="0">
      <alignment horizontal="left"/>
    </xf>
    <xf numFmtId="0" fontId="41" fillId="0" borderId="41"/>
    <xf numFmtId="40" fontId="133" fillId="0" borderId="0" applyBorder="0">
      <alignment horizontal="right"/>
    </xf>
    <xf numFmtId="0" fontId="134" fillId="0" borderId="0" applyNumberFormat="0" applyFill="0" applyBorder="0" applyAlignment="0" applyProtection="0"/>
    <xf numFmtId="279" fontId="15" fillId="0" borderId="2" applyAlignment="0">
      <alignment horizontal="center" vertical="justify"/>
    </xf>
    <xf numFmtId="3" fontId="15" fillId="0" borderId="2" applyNumberFormat="0" applyFont="0" applyFill="0" applyAlignment="0" applyProtection="0">
      <alignment vertical="center"/>
    </xf>
    <xf numFmtId="0" fontId="24" fillId="0" borderId="25"/>
    <xf numFmtId="175" fontId="41" fillId="16" borderId="30">
      <alignment horizontal="center" vertical="center" wrapText="1"/>
    </xf>
    <xf numFmtId="280" fontId="135" fillId="0" borderId="7"/>
    <xf numFmtId="49" fontId="70" fillId="0" borderId="0" applyFont="0" applyFill="0" applyBorder="0" applyAlignment="0" applyProtection="0"/>
    <xf numFmtId="49" fontId="54" fillId="0" borderId="0" applyFill="0" applyBorder="0" applyAlignment="0"/>
    <xf numFmtId="281" fontId="15" fillId="0" borderId="0" applyFill="0" applyBorder="0" applyAlignment="0"/>
    <xf numFmtId="282" fontId="15" fillId="0" borderId="0" applyFill="0" applyBorder="0" applyAlignment="0"/>
    <xf numFmtId="283" fontId="70" fillId="0" borderId="0" applyFont="0" applyFill="0" applyBorder="0" applyAlignment="0" applyProtection="0"/>
    <xf numFmtId="0" fontId="136" fillId="0" borderId="0">
      <alignment horizontal="center"/>
    </xf>
    <xf numFmtId="0" fontId="137" fillId="0" borderId="42">
      <alignment vertical="center"/>
    </xf>
    <xf numFmtId="0" fontId="138" fillId="21" borderId="0"/>
    <xf numFmtId="0" fontId="40" fillId="12" borderId="9" applyNumberFormat="0" applyProtection="0">
      <alignment horizontal="left" vertical="center"/>
    </xf>
    <xf numFmtId="175" fontId="62" fillId="0" borderId="0">
      <alignment horizontal="center" vertical="center" wrapText="1"/>
    </xf>
    <xf numFmtId="0" fontId="139" fillId="13" borderId="2">
      <alignment horizontal="center" vertical="center" wrapText="1"/>
    </xf>
    <xf numFmtId="0" fontId="80" fillId="0" borderId="43"/>
    <xf numFmtId="0" fontId="80" fillId="0" borderId="25"/>
    <xf numFmtId="284" fontId="15" fillId="0" borderId="0" applyFont="0" applyFill="0" applyBorder="0" applyAlignment="0" applyProtection="0"/>
    <xf numFmtId="285" fontId="15" fillId="0" borderId="0" applyFont="0" applyFill="0" applyBorder="0" applyAlignment="0" applyProtection="0"/>
    <xf numFmtId="0" fontId="59" fillId="40" borderId="3" applyBorder="0">
      <alignment horizontal="left"/>
      <protection locked="0"/>
    </xf>
    <xf numFmtId="0" fontId="54" fillId="23" borderId="7" applyNumberFormat="0" applyFill="0" applyBorder="0" applyAlignment="0">
      <alignment horizontal="left"/>
      <protection locked="0"/>
    </xf>
    <xf numFmtId="286" fontId="140" fillId="0" borderId="0" applyFont="0" applyFill="0" applyBorder="0" applyAlignment="0" applyProtection="0"/>
    <xf numFmtId="287" fontId="60" fillId="0" borderId="0" applyFont="0" applyFill="0" applyBorder="0" applyAlignment="0" applyProtection="0"/>
    <xf numFmtId="288" fontId="60" fillId="0" borderId="0" applyFont="0" applyFill="0" applyBorder="0" applyAlignment="0" applyProtection="0"/>
    <xf numFmtId="289" fontId="60" fillId="0" borderId="0" applyFont="0" applyFill="0" applyBorder="0" applyAlignment="0" applyProtection="0"/>
    <xf numFmtId="0" fontId="59" fillId="23" borderId="2">
      <alignment vertical="center" wrapText="1"/>
      <protection locked="0"/>
    </xf>
    <xf numFmtId="170" fontId="27" fillId="0" borderId="0" applyFont="0" applyFill="0" applyBorder="0" applyAlignment="0" applyProtection="0"/>
    <xf numFmtId="290" fontId="15" fillId="0" borderId="0" applyFont="0" applyFill="0" applyBorder="0" applyAlignment="0" applyProtection="0"/>
    <xf numFmtId="291" fontId="15" fillId="0" borderId="0" applyFont="0" applyFill="0" applyBorder="0" applyAlignment="0" applyProtection="0"/>
    <xf numFmtId="49" fontId="45" fillId="0" borderId="44" applyBorder="0">
      <alignment wrapText="1"/>
    </xf>
    <xf numFmtId="0" fontId="45" fillId="16" borderId="1" applyFill="0" applyBorder="0">
      <alignment horizontal="left" wrapText="1"/>
    </xf>
    <xf numFmtId="0" fontId="36" fillId="0" borderId="0" applyFill="0" applyBorder="0"/>
    <xf numFmtId="0" fontId="36" fillId="16" borderId="1" applyFill="0" applyBorder="0">
      <alignment horizontal="left"/>
    </xf>
    <xf numFmtId="292" fontId="141" fillId="0" borderId="0" applyBorder="0"/>
    <xf numFmtId="0" fontId="36" fillId="23" borderId="0" applyFill="0" applyBorder="0"/>
    <xf numFmtId="0" fontId="36" fillId="23" borderId="0" applyFill="0" applyBorder="0"/>
    <xf numFmtId="10" fontId="36" fillId="0" borderId="0" applyBorder="0"/>
    <xf numFmtId="0" fontId="36" fillId="23" borderId="0"/>
    <xf numFmtId="0" fontId="36" fillId="0" borderId="0" applyBorder="0"/>
    <xf numFmtId="0" fontId="36" fillId="0" borderId="0" applyBorder="0"/>
    <xf numFmtId="3" fontId="36" fillId="23" borderId="4" applyFill="0" applyBorder="0">
      <alignment wrapText="1"/>
    </xf>
    <xf numFmtId="0" fontId="36" fillId="23" borderId="0" applyFill="0" applyBorder="0"/>
    <xf numFmtId="0" fontId="45" fillId="23" borderId="0" applyFill="0" applyBorder="0"/>
    <xf numFmtId="49" fontId="59" fillId="16" borderId="44" applyFill="0" applyBorder="0"/>
    <xf numFmtId="10" fontId="141" fillId="16" borderId="0" applyBorder="0"/>
    <xf numFmtId="293" fontId="36" fillId="23" borderId="0" applyFill="0" applyBorder="0"/>
    <xf numFmtId="0" fontId="36" fillId="23" borderId="0"/>
    <xf numFmtId="49" fontId="45" fillId="23" borderId="45" applyFill="0" applyBorder="0"/>
    <xf numFmtId="49" fontId="36" fillId="23" borderId="0" applyFill="0" applyBorder="0"/>
    <xf numFmtId="0" fontId="36" fillId="23" borderId="0" applyFill="0" applyBorder="0"/>
    <xf numFmtId="294" fontId="45" fillId="23" borderId="0" applyFill="0" applyBorder="0"/>
    <xf numFmtId="3" fontId="36" fillId="23" borderId="4" applyFill="0" applyBorder="0">
      <alignment wrapText="1"/>
    </xf>
    <xf numFmtId="3" fontId="36" fillId="23" borderId="4" applyFill="0" applyBorder="0">
      <alignment wrapText="1"/>
    </xf>
    <xf numFmtId="10" fontId="36" fillId="23" borderId="0" applyFill="0" applyBorder="0"/>
    <xf numFmtId="0" fontId="36" fillId="0" borderId="0" applyBorder="0"/>
    <xf numFmtId="0" fontId="36" fillId="23" borderId="0" applyFill="0" applyBorder="0"/>
    <xf numFmtId="0" fontId="36" fillId="23" borderId="0" applyFill="0" applyBorder="0"/>
    <xf numFmtId="3" fontId="45" fillId="23" borderId="4" applyFill="0" applyBorder="0">
      <alignment horizontal="right" wrapText="1"/>
    </xf>
    <xf numFmtId="0" fontId="36" fillId="16" borderId="0" applyBorder="0"/>
    <xf numFmtId="0" fontId="62" fillId="23" borderId="0" applyFill="0" applyBorder="0"/>
    <xf numFmtId="0" fontId="36" fillId="23" borderId="0" applyBorder="0"/>
    <xf numFmtId="0" fontId="36" fillId="0" borderId="0" applyBorder="0"/>
    <xf numFmtId="0" fontId="45" fillId="16" borderId="46" applyFill="0" applyBorder="0"/>
    <xf numFmtId="0" fontId="45" fillId="16" borderId="0" applyFill="0" applyBorder="0"/>
    <xf numFmtId="0" fontId="45" fillId="0" borderId="0" applyFill="0" applyBorder="0"/>
    <xf numFmtId="0" fontId="45" fillId="16" borderId="0" applyFill="0" applyBorder="0"/>
    <xf numFmtId="49" fontId="45" fillId="23" borderId="47" applyFill="0" applyBorder="0"/>
    <xf numFmtId="292" fontId="141" fillId="0" borderId="0" applyBorder="0"/>
    <xf numFmtId="292" fontId="36" fillId="0" borderId="0" applyBorder="0"/>
    <xf numFmtId="292" fontId="141" fillId="23" borderId="0" applyFill="0" applyBorder="0"/>
    <xf numFmtId="292" fontId="36" fillId="16" borderId="0" applyFill="0" applyBorder="0"/>
    <xf numFmtId="292" fontId="36" fillId="23" borderId="0" applyFill="0" applyBorder="0"/>
    <xf numFmtId="292" fontId="36" fillId="23" borderId="0" applyFill="0" applyBorder="0"/>
    <xf numFmtId="3" fontId="36" fillId="23" borderId="0" applyFill="0" applyBorder="0"/>
    <xf numFmtId="3" fontId="36" fillId="23" borderId="0" applyFill="0" applyBorder="0"/>
    <xf numFmtId="3" fontId="36" fillId="23" borderId="0" applyFill="0" applyBorder="0"/>
    <xf numFmtId="3" fontId="36" fillId="23" borderId="0" applyFill="0" applyBorder="0"/>
    <xf numFmtId="0" fontId="36" fillId="23" borderId="4" applyFill="0" applyBorder="0"/>
    <xf numFmtId="3" fontId="36" fillId="23" borderId="4" applyFill="0" applyBorder="0">
      <alignment horizontal="right" wrapText="1"/>
    </xf>
    <xf numFmtId="0" fontId="36" fillId="0" borderId="4" applyFill="0" applyBorder="0"/>
    <xf numFmtId="292" fontId="36" fillId="0" borderId="0" applyBorder="0"/>
    <xf numFmtId="292" fontId="45" fillId="0" borderId="0" applyBorder="0"/>
    <xf numFmtId="292" fontId="36" fillId="0" borderId="0" applyBorder="0"/>
    <xf numFmtId="292" fontId="45" fillId="0" borderId="0" applyBorder="0"/>
    <xf numFmtId="3" fontId="36" fillId="23" borderId="0" applyFill="0" applyBorder="0"/>
    <xf numFmtId="0" fontId="36" fillId="16" borderId="1" applyFill="0" applyBorder="0">
      <alignment horizontal="left" wrapText="1"/>
    </xf>
    <xf numFmtId="295" fontId="15" fillId="0" borderId="0" applyFont="0" applyFill="0" applyBorder="0" applyAlignment="0" applyProtection="0"/>
    <xf numFmtId="296" fontId="15" fillId="0" borderId="0" applyFont="0" applyFill="0" applyBorder="0" applyAlignment="0" applyProtection="0"/>
    <xf numFmtId="0" fontId="142" fillId="42" borderId="0" applyNumberFormat="0" applyFill="0" applyBorder="0" applyAlignment="0"/>
    <xf numFmtId="0" fontId="24" fillId="0" borderId="48"/>
    <xf numFmtId="0" fontId="26" fillId="12" borderId="0" applyNumberFormat="0" applyBorder="0" applyProtection="0">
      <alignment horizontal="left"/>
    </xf>
    <xf numFmtId="175" fontId="19" fillId="0" borderId="0" applyNumberFormat="0" applyFont="0" applyFill="0" applyBorder="0" applyProtection="0">
      <alignment horizontal="center" vertical="center" wrapText="1"/>
    </xf>
    <xf numFmtId="0" fontId="54" fillId="0" borderId="2" applyNumberFormat="0" applyBorder="0" applyAlignment="0" applyProtection="0">
      <alignment horizontal="left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0" fontId="15" fillId="0" borderId="0"/>
    <xf numFmtId="0" fontId="15" fillId="0" borderId="0"/>
    <xf numFmtId="9" fontId="143" fillId="0" borderId="0" applyFont="0" applyFill="0" applyBorder="0" applyAlignment="0" applyProtection="0"/>
    <xf numFmtId="182" fontId="143" fillId="0" borderId="0" applyFont="0" applyFill="0" applyBorder="0" applyAlignment="0" applyProtection="0"/>
    <xf numFmtId="0" fontId="144" fillId="0" borderId="0"/>
    <xf numFmtId="0" fontId="145" fillId="0" borderId="0"/>
    <xf numFmtId="41" fontId="145" fillId="0" borderId="0" applyFont="0" applyFill="0" applyBorder="0" applyAlignment="0" applyProtection="0"/>
    <xf numFmtId="43" fontId="145" fillId="0" borderId="0" applyFont="0" applyFill="0" applyBorder="0" applyAlignment="0" applyProtection="0"/>
    <xf numFmtId="0" fontId="146" fillId="0" borderId="0"/>
    <xf numFmtId="0" fontId="15" fillId="0" borderId="0"/>
    <xf numFmtId="297" fontId="145" fillId="0" borderId="0" applyFont="0" applyFill="0" applyBorder="0" applyAlignment="0" applyProtection="0"/>
    <xf numFmtId="298" fontId="145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5" fillId="0" borderId="49" applyBorder="0">
      <alignment horizontal="center" vertical="center"/>
    </xf>
    <xf numFmtId="0" fontId="24" fillId="0" borderId="50" applyBorder="0"/>
    <xf numFmtId="0" fontId="40" fillId="0" borderId="51" applyNumberFormat="0" applyBorder="0">
      <alignment horizontal="center"/>
    </xf>
    <xf numFmtId="166" fontId="10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5" fontId="11" fillId="0" borderId="0"/>
    <xf numFmtId="175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80" fontId="135" fillId="0" borderId="49"/>
    <xf numFmtId="0" fontId="54" fillId="23" borderId="49" applyNumberFormat="0" applyFill="0" applyBorder="0" applyAlignment="0">
      <alignment horizontal="left"/>
      <protection locked="0"/>
    </xf>
    <xf numFmtId="166" fontId="12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166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29" fillId="0" borderId="0"/>
    <xf numFmtId="0" fontId="15" fillId="0" borderId="0">
      <alignment vertical="center"/>
    </xf>
    <xf numFmtId="0" fontId="50" fillId="0" borderId="0"/>
    <xf numFmtId="0" fontId="7" fillId="0" borderId="0"/>
    <xf numFmtId="0" fontId="171" fillId="0" borderId="0">
      <alignment vertical="center"/>
    </xf>
    <xf numFmtId="182" fontId="15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50" fillId="0" borderId="0"/>
    <xf numFmtId="41" fontId="50" fillId="0" borderId="0" applyFont="0" applyFill="0" applyBorder="0" applyAlignment="0" applyProtection="0"/>
    <xf numFmtId="168" fontId="3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9" fillId="0" borderId="0"/>
  </cellStyleXfs>
  <cellXfs count="665">
    <xf numFmtId="0" fontId="0" fillId="0" borderId="0" xfId="0"/>
    <xf numFmtId="0" fontId="0" fillId="0" borderId="0" xfId="0" applyFont="1"/>
    <xf numFmtId="0" fontId="50" fillId="0" borderId="0" xfId="3877" applyFont="1"/>
    <xf numFmtId="0" fontId="50" fillId="0" borderId="0" xfId="3877" applyFont="1" applyAlignment="1">
      <alignment horizontal="center" vertical="center"/>
    </xf>
    <xf numFmtId="0" fontId="50" fillId="0" borderId="0" xfId="3877" applyFont="1" applyAlignment="1">
      <alignment horizontal="left" indent="1"/>
    </xf>
    <xf numFmtId="166" fontId="50" fillId="0" borderId="0" xfId="4103" applyFont="1" applyAlignment="1">
      <alignment horizontal="left" indent="1"/>
    </xf>
    <xf numFmtId="300" fontId="50" fillId="0" borderId="0" xfId="3877" applyNumberFormat="1" applyFont="1"/>
    <xf numFmtId="0" fontId="150" fillId="0" borderId="0" xfId="3877" applyFont="1" applyAlignment="1">
      <alignment horizontal="right"/>
    </xf>
    <xf numFmtId="0" fontId="50" fillId="0" borderId="0" xfId="0" applyFont="1"/>
    <xf numFmtId="302" fontId="152" fillId="0" borderId="0" xfId="0" applyNumberFormat="1" applyFont="1" applyAlignment="1">
      <alignment horizontal="center"/>
    </xf>
    <xf numFmtId="0" fontId="50" fillId="46" borderId="0" xfId="0" applyFont="1" applyFill="1"/>
    <xf numFmtId="0" fontId="50" fillId="0" borderId="53" xfId="0" applyFont="1" applyFill="1" applyBorder="1"/>
    <xf numFmtId="0" fontId="50" fillId="0" borderId="52" xfId="0" applyFont="1" applyFill="1" applyBorder="1"/>
    <xf numFmtId="0" fontId="50" fillId="0" borderId="0" xfId="2446" applyFont="1" applyFill="1"/>
    <xf numFmtId="0" fontId="50" fillId="0" borderId="0" xfId="0" applyFont="1" applyFill="1"/>
    <xf numFmtId="0" fontId="153" fillId="0" borderId="0" xfId="0" applyFont="1" applyFill="1"/>
    <xf numFmtId="0" fontId="157" fillId="0" borderId="0" xfId="2446" applyFont="1" applyFill="1"/>
    <xf numFmtId="299" fontId="155" fillId="0" borderId="5" xfId="1" applyNumberFormat="1" applyFont="1" applyFill="1" applyBorder="1"/>
    <xf numFmtId="0" fontId="50" fillId="0" borderId="50" xfId="0" applyFont="1" applyFill="1" applyBorder="1"/>
    <xf numFmtId="0" fontId="50" fillId="0" borderId="0" xfId="0" applyFont="1" applyFill="1" applyBorder="1"/>
    <xf numFmtId="0" fontId="151" fillId="0" borderId="0" xfId="0" applyFont="1" applyFill="1"/>
    <xf numFmtId="0" fontId="149" fillId="0" borderId="0" xfId="0" applyFont="1" applyAlignment="1">
      <alignment horizontal="center"/>
    </xf>
    <xf numFmtId="0" fontId="149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63" xfId="0" applyFont="1" applyBorder="1"/>
    <xf numFmtId="0" fontId="0" fillId="0" borderId="64" xfId="0" applyFont="1" applyBorder="1"/>
    <xf numFmtId="0" fontId="0" fillId="0" borderId="64" xfId="0" applyFont="1" applyBorder="1" applyAlignment="1">
      <alignment horizontal="center"/>
    </xf>
    <xf numFmtId="0" fontId="0" fillId="0" borderId="65" xfId="0" applyFont="1" applyBorder="1"/>
    <xf numFmtId="0" fontId="0" fillId="0" borderId="66" xfId="0" applyFont="1" applyBorder="1"/>
    <xf numFmtId="0" fontId="0" fillId="0" borderId="67" xfId="0" applyFont="1" applyBorder="1" applyAlignment="1">
      <alignment horizontal="center"/>
    </xf>
    <xf numFmtId="0" fontId="0" fillId="0" borderId="68" xfId="0" applyFont="1" applyBorder="1"/>
    <xf numFmtId="0" fontId="0" fillId="0" borderId="0" xfId="0" applyFont="1" applyBorder="1"/>
    <xf numFmtId="0" fontId="149" fillId="49" borderId="61" xfId="0" applyFont="1" applyFill="1" applyBorder="1"/>
    <xf numFmtId="0" fontId="0" fillId="49" borderId="62" xfId="0" applyFont="1" applyFill="1" applyBorder="1"/>
    <xf numFmtId="0" fontId="0" fillId="49" borderId="56" xfId="0" applyFont="1" applyFill="1" applyBorder="1"/>
    <xf numFmtId="0" fontId="0" fillId="0" borderId="54" xfId="0" applyFont="1" applyBorder="1"/>
    <xf numFmtId="0" fontId="0" fillId="0" borderId="0" xfId="0" applyFont="1" applyBorder="1" applyAlignment="1">
      <alignment horizontal="center"/>
    </xf>
    <xf numFmtId="0" fontId="0" fillId="0" borderId="54" xfId="0" applyFont="1" applyBorder="1" applyAlignment="1">
      <alignment horizontal="left" indent="1"/>
    </xf>
    <xf numFmtId="38" fontId="0" fillId="0" borderId="8" xfId="0" applyNumberFormat="1" applyFont="1" applyBorder="1"/>
    <xf numFmtId="0" fontId="0" fillId="0" borderId="8" xfId="0" applyFont="1" applyBorder="1"/>
    <xf numFmtId="38" fontId="149" fillId="0" borderId="8" xfId="0" applyNumberFormat="1" applyFont="1" applyBorder="1"/>
    <xf numFmtId="9" fontId="0" fillId="0" borderId="0" xfId="0" applyNumberFormat="1" applyFont="1" applyBorder="1"/>
    <xf numFmtId="10" fontId="0" fillId="0" borderId="0" xfId="0" applyNumberFormat="1" applyFont="1" applyBorder="1"/>
    <xf numFmtId="10" fontId="0" fillId="0" borderId="8" xfId="0" applyNumberFormat="1" applyFont="1" applyBorder="1"/>
    <xf numFmtId="0" fontId="0" fillId="0" borderId="55" xfId="0" applyFont="1" applyBorder="1"/>
    <xf numFmtId="0" fontId="0" fillId="0" borderId="9" xfId="0" applyFont="1" applyBorder="1"/>
    <xf numFmtId="0" fontId="0" fillId="0" borderId="59" xfId="0" applyFont="1" applyBorder="1"/>
    <xf numFmtId="0" fontId="149" fillId="49" borderId="57" xfId="0" applyFont="1" applyFill="1" applyBorder="1"/>
    <xf numFmtId="0" fontId="0" fillId="49" borderId="60" xfId="0" applyFont="1" applyFill="1" applyBorder="1"/>
    <xf numFmtId="0" fontId="0" fillId="49" borderId="58" xfId="0" applyFont="1" applyFill="1" applyBorder="1"/>
    <xf numFmtId="0" fontId="149" fillId="0" borderId="8" xfId="0" applyFont="1" applyBorder="1" applyAlignment="1">
      <alignment horizontal="center"/>
    </xf>
    <xf numFmtId="174" fontId="0" fillId="0" borderId="0" xfId="1" applyNumberFormat="1" applyFont="1" applyBorder="1"/>
    <xf numFmtId="174" fontId="0" fillId="0" borderId="8" xfId="1" applyNumberFormat="1" applyFont="1" applyBorder="1"/>
    <xf numFmtId="0" fontId="149" fillId="0" borderId="0" xfId="0" applyFont="1" applyBorder="1" applyAlignment="1">
      <alignment horizontal="center"/>
    </xf>
    <xf numFmtId="0" fontId="149" fillId="0" borderId="58" xfId="0" applyFont="1" applyBorder="1" applyAlignment="1">
      <alignment horizontal="center"/>
    </xf>
    <xf numFmtId="0" fontId="0" fillId="0" borderId="55" xfId="0" applyFont="1" applyBorder="1" applyAlignment="1">
      <alignment horizontal="left" indent="1"/>
    </xf>
    <xf numFmtId="38" fontId="149" fillId="0" borderId="59" xfId="0" applyNumberFormat="1" applyFont="1" applyBorder="1"/>
    <xf numFmtId="0" fontId="0" fillId="0" borderId="0" xfId="0" applyFont="1" applyBorder="1" applyAlignment="1">
      <alignment horizontal="left" indent="1"/>
    </xf>
    <xf numFmtId="38" fontId="149" fillId="0" borderId="0" xfId="0" applyNumberFormat="1" applyFont="1" applyBorder="1"/>
    <xf numFmtId="0" fontId="149" fillId="0" borderId="60" xfId="0" applyFont="1" applyBorder="1" applyAlignment="1">
      <alignment horizontal="center"/>
    </xf>
    <xf numFmtId="0" fontId="0" fillId="49" borderId="57" xfId="0" applyFont="1" applyFill="1" applyBorder="1"/>
    <xf numFmtId="0" fontId="149" fillId="49" borderId="60" xfId="0" applyFont="1" applyFill="1" applyBorder="1" applyAlignment="1">
      <alignment horizontal="center"/>
    </xf>
    <xf numFmtId="0" fontId="149" fillId="49" borderId="58" xfId="0" applyFont="1" applyFill="1" applyBorder="1" applyAlignment="1">
      <alignment horizontal="center"/>
    </xf>
    <xf numFmtId="0" fontId="149" fillId="49" borderId="54" xfId="0" applyFont="1" applyFill="1" applyBorder="1"/>
    <xf numFmtId="9" fontId="0" fillId="49" borderId="0" xfId="0" applyNumberFormat="1" applyFont="1" applyFill="1" applyBorder="1"/>
    <xf numFmtId="0" fontId="0" fillId="49" borderId="0" xfId="0" applyFont="1" applyFill="1" applyBorder="1"/>
    <xf numFmtId="9" fontId="0" fillId="49" borderId="8" xfId="0" applyNumberFormat="1" applyFont="1" applyFill="1" applyBorder="1"/>
    <xf numFmtId="0" fontId="0" fillId="49" borderId="9" xfId="0" applyFont="1" applyFill="1" applyBorder="1"/>
    <xf numFmtId="0" fontId="149" fillId="0" borderId="57" xfId="0" applyFont="1" applyBorder="1" applyAlignment="1">
      <alignment horizontal="center"/>
    </xf>
    <xf numFmtId="0" fontId="149" fillId="0" borderId="54" xfId="0" applyFont="1" applyBorder="1" applyAlignment="1">
      <alignment horizontal="left"/>
    </xf>
    <xf numFmtId="3" fontId="0" fillId="0" borderId="0" xfId="0" applyNumberFormat="1" applyFont="1" applyBorder="1" applyAlignment="1">
      <alignment horizontal="center"/>
    </xf>
    <xf numFmtId="3" fontId="0" fillId="0" borderId="8" xfId="0" applyNumberFormat="1" applyFont="1" applyBorder="1" applyAlignment="1">
      <alignment horizontal="center"/>
    </xf>
    <xf numFmtId="9" fontId="0" fillId="0" borderId="0" xfId="0" applyNumberFormat="1" applyFont="1" applyBorder="1" applyAlignment="1">
      <alignment horizontal="center"/>
    </xf>
    <xf numFmtId="9" fontId="0" fillId="0" borderId="8" xfId="0" applyNumberFormat="1" applyFont="1" applyBorder="1" applyAlignment="1">
      <alignment horizontal="center"/>
    </xf>
    <xf numFmtId="304" fontId="0" fillId="49" borderId="62" xfId="0" applyNumberFormat="1" applyFont="1" applyFill="1" applyBorder="1"/>
    <xf numFmtId="0" fontId="50" fillId="0" borderId="0" xfId="3877" applyFont="1" applyFill="1" applyBorder="1"/>
    <xf numFmtId="9" fontId="0" fillId="0" borderId="0" xfId="2" applyFont="1" applyBorder="1"/>
    <xf numFmtId="0" fontId="0" fillId="0" borderId="69" xfId="0" applyFont="1" applyBorder="1"/>
    <xf numFmtId="9" fontId="0" fillId="0" borderId="67" xfId="0" applyNumberFormat="1" applyFont="1" applyBorder="1" applyAlignment="1">
      <alignment horizontal="center"/>
    </xf>
    <xf numFmtId="9" fontId="158" fillId="47" borderId="67" xfId="0" applyNumberFormat="1" applyFont="1" applyFill="1" applyBorder="1" applyAlignment="1">
      <alignment horizontal="center"/>
    </xf>
    <xf numFmtId="9" fontId="0" fillId="0" borderId="70" xfId="0" applyNumberFormat="1" applyFont="1" applyBorder="1" applyAlignment="1">
      <alignment horizontal="center"/>
    </xf>
    <xf numFmtId="0" fontId="0" fillId="0" borderId="71" xfId="0" applyFont="1" applyBorder="1"/>
    <xf numFmtId="301" fontId="0" fillId="0" borderId="64" xfId="0" applyNumberFormat="1" applyFont="1" applyBorder="1" applyAlignment="1">
      <alignment horizontal="center"/>
    </xf>
    <xf numFmtId="0" fontId="0" fillId="0" borderId="0" xfId="0" applyFont="1" applyFill="1" applyBorder="1"/>
    <xf numFmtId="0" fontId="149" fillId="44" borderId="60" xfId="0" applyFont="1" applyFill="1" applyBorder="1" applyAlignment="1">
      <alignment horizontal="center"/>
    </xf>
    <xf numFmtId="0" fontId="149" fillId="44" borderId="0" xfId="0" applyFont="1" applyFill="1" applyBorder="1" applyAlignment="1">
      <alignment horizontal="center"/>
    </xf>
    <xf numFmtId="3" fontId="0" fillId="44" borderId="0" xfId="0" applyNumberFormat="1" applyFont="1" applyFill="1" applyBorder="1" applyAlignment="1">
      <alignment horizontal="center"/>
    </xf>
    <xf numFmtId="9" fontId="0" fillId="44" borderId="0" xfId="0" applyNumberFormat="1" applyFont="1" applyFill="1" applyBorder="1" applyAlignment="1">
      <alignment horizontal="center"/>
    </xf>
    <xf numFmtId="0" fontId="0" fillId="44" borderId="9" xfId="0" applyFont="1" applyFill="1" applyBorder="1"/>
    <xf numFmtId="0" fontId="153" fillId="0" borderId="50" xfId="0" applyFont="1" applyFill="1" applyBorder="1"/>
    <xf numFmtId="166" fontId="151" fillId="0" borderId="5" xfId="2012" applyFont="1" applyFill="1" applyBorder="1"/>
    <xf numFmtId="299" fontId="151" fillId="0" borderId="5" xfId="1" applyNumberFormat="1" applyFont="1" applyFill="1" applyBorder="1"/>
    <xf numFmtId="10" fontId="151" fillId="0" borderId="5" xfId="2012" applyNumberFormat="1" applyFont="1" applyFill="1" applyBorder="1"/>
    <xf numFmtId="0" fontId="0" fillId="45" borderId="73" xfId="0" applyFont="1" applyFill="1" applyBorder="1"/>
    <xf numFmtId="38" fontId="149" fillId="45" borderId="74" xfId="0" applyNumberFormat="1" applyFont="1" applyFill="1" applyBorder="1" applyAlignment="1">
      <alignment horizontal="center"/>
    </xf>
    <xf numFmtId="3" fontId="0" fillId="45" borderId="74" xfId="0" applyNumberFormat="1" applyFont="1" applyFill="1" applyBorder="1" applyAlignment="1">
      <alignment horizontal="center"/>
    </xf>
    <xf numFmtId="0" fontId="0" fillId="45" borderId="77" xfId="0" applyFont="1" applyFill="1" applyBorder="1"/>
    <xf numFmtId="305" fontId="50" fillId="0" borderId="0" xfId="3877" applyNumberFormat="1" applyFont="1"/>
    <xf numFmtId="306" fontId="153" fillId="0" borderId="50" xfId="0" applyNumberFormat="1" applyFont="1" applyFill="1" applyBorder="1"/>
    <xf numFmtId="166" fontId="50" fillId="0" borderId="0" xfId="3851" applyNumberFormat="1" applyFont="1" applyAlignment="1">
      <alignment horizontal="right"/>
    </xf>
    <xf numFmtId="183" fontId="50" fillId="0" borderId="0" xfId="3877" applyNumberFormat="1" applyFont="1"/>
    <xf numFmtId="303" fontId="148" fillId="48" borderId="64" xfId="0" applyNumberFormat="1" applyFont="1" applyFill="1" applyBorder="1" applyAlignment="1">
      <alignment horizontal="center"/>
    </xf>
    <xf numFmtId="303" fontId="160" fillId="45" borderId="76" xfId="0" applyNumberFormat="1" applyFont="1" applyFill="1" applyBorder="1" applyAlignment="1">
      <alignment horizontal="center"/>
    </xf>
    <xf numFmtId="0" fontId="161" fillId="0" borderId="0" xfId="0" applyFont="1"/>
    <xf numFmtId="304" fontId="149" fillId="0" borderId="0" xfId="0" applyNumberFormat="1" applyFont="1" applyAlignment="1">
      <alignment horizontal="left"/>
    </xf>
    <xf numFmtId="303" fontId="0" fillId="0" borderId="72" xfId="0" applyNumberFormat="1" applyFont="1" applyBorder="1" applyAlignment="1">
      <alignment horizontal="center"/>
    </xf>
    <xf numFmtId="300" fontId="0" fillId="0" borderId="0" xfId="0" applyNumberFormat="1" applyFont="1"/>
    <xf numFmtId="300" fontId="0" fillId="45" borderId="74" xfId="0" applyNumberFormat="1" applyFont="1" applyFill="1" applyBorder="1" applyAlignment="1">
      <alignment horizontal="center"/>
    </xf>
    <xf numFmtId="300" fontId="0" fillId="0" borderId="0" xfId="0" applyNumberFormat="1" applyFont="1" applyAlignment="1">
      <alignment horizontal="center"/>
    </xf>
    <xf numFmtId="300" fontId="0" fillId="0" borderId="67" xfId="0" applyNumberFormat="1" applyFont="1" applyBorder="1"/>
    <xf numFmtId="300" fontId="162" fillId="45" borderId="75" xfId="0" applyNumberFormat="1" applyFont="1" applyFill="1" applyBorder="1" applyAlignment="1">
      <alignment horizontal="center"/>
    </xf>
    <xf numFmtId="300" fontId="0" fillId="0" borderId="67" xfId="0" applyNumberFormat="1" applyFont="1" applyBorder="1" applyAlignment="1">
      <alignment horizontal="center"/>
    </xf>
    <xf numFmtId="174" fontId="50" fillId="0" borderId="0" xfId="3877" applyNumberFormat="1" applyFont="1"/>
    <xf numFmtId="307" fontId="151" fillId="0" borderId="24" xfId="2012" applyNumberFormat="1" applyFont="1" applyFill="1" applyBorder="1"/>
    <xf numFmtId="307" fontId="151" fillId="0" borderId="5" xfId="2012" applyNumberFormat="1" applyFont="1" applyFill="1" applyBorder="1"/>
    <xf numFmtId="166" fontId="50" fillId="0" borderId="0" xfId="4103" applyFont="1"/>
    <xf numFmtId="166" fontId="150" fillId="0" borderId="0" xfId="3877" applyNumberFormat="1" applyFont="1" applyAlignment="1">
      <alignment horizontal="center"/>
    </xf>
    <xf numFmtId="0" fontId="149" fillId="0" borderId="0" xfId="0" applyFont="1" applyBorder="1"/>
    <xf numFmtId="0" fontId="150" fillId="0" borderId="0" xfId="3877" applyFont="1"/>
    <xf numFmtId="0" fontId="150" fillId="0" borderId="0" xfId="3877" applyFont="1" applyFill="1" applyBorder="1"/>
    <xf numFmtId="0" fontId="150" fillId="0" borderId="0" xfId="3877" applyFont="1" applyAlignment="1">
      <alignment horizontal="left" indent="1"/>
    </xf>
    <xf numFmtId="166" fontId="150" fillId="0" borderId="34" xfId="3877" applyNumberFormat="1" applyFont="1" applyBorder="1" applyAlignment="1">
      <alignment horizontal="center" vertical="center"/>
    </xf>
    <xf numFmtId="166" fontId="50" fillId="0" borderId="0" xfId="4103" applyFont="1" applyFill="1"/>
    <xf numFmtId="0" fontId="150" fillId="0" borderId="0" xfId="3877" applyFont="1" applyAlignment="1">
      <alignment horizontal="center" vertical="center"/>
    </xf>
    <xf numFmtId="166" fontId="147" fillId="0" borderId="0" xfId="3851" applyNumberFormat="1" applyFont="1" applyAlignment="1">
      <alignment horizontal="right"/>
    </xf>
    <xf numFmtId="0" fontId="50" fillId="0" borderId="0" xfId="3877" applyFont="1" applyFill="1"/>
    <xf numFmtId="0" fontId="150" fillId="0" borderId="0" xfId="3877" applyFont="1" applyFill="1" applyAlignment="1">
      <alignment horizontal="right"/>
    </xf>
    <xf numFmtId="166" fontId="50" fillId="0" borderId="0" xfId="3851" applyNumberFormat="1" applyFont="1" applyFill="1" applyAlignment="1">
      <alignment horizontal="right"/>
    </xf>
    <xf numFmtId="9" fontId="50" fillId="0" borderId="0" xfId="3877" applyNumberFormat="1" applyFont="1" applyFill="1" applyAlignment="1">
      <alignment horizontal="center" vertical="center"/>
    </xf>
    <xf numFmtId="299" fontId="155" fillId="0" borderId="0" xfId="1" applyNumberFormat="1" applyFont="1" applyFill="1" applyBorder="1"/>
    <xf numFmtId="0" fontId="50" fillId="0" borderId="0" xfId="0" applyFont="1" applyBorder="1"/>
    <xf numFmtId="166" fontId="50" fillId="0" borderId="0" xfId="4103" applyFont="1" applyBorder="1"/>
    <xf numFmtId="9" fontId="50" fillId="0" borderId="0" xfId="0" applyNumberFormat="1" applyFont="1" applyBorder="1"/>
    <xf numFmtId="0" fontId="154" fillId="46" borderId="0" xfId="0" applyFont="1" applyFill="1"/>
    <xf numFmtId="0" fontId="150" fillId="0" borderId="0" xfId="0" applyFont="1" applyFill="1" applyBorder="1"/>
    <xf numFmtId="0" fontId="150" fillId="0" borderId="0" xfId="0" applyFont="1"/>
    <xf numFmtId="0" fontId="150" fillId="0" borderId="52" xfId="0" applyFont="1" applyFill="1" applyBorder="1"/>
    <xf numFmtId="0" fontId="50" fillId="0" borderId="0" xfId="4117" applyFont="1"/>
    <xf numFmtId="0" fontId="150" fillId="50" borderId="0" xfId="4117" applyFont="1" applyFill="1"/>
    <xf numFmtId="0" fontId="152" fillId="50" borderId="0" xfId="4117" applyFont="1" applyFill="1" applyAlignment="1">
      <alignment horizontal="center" vertical="center"/>
    </xf>
    <xf numFmtId="49" fontId="150" fillId="50" borderId="0" xfId="2081" applyNumberFormat="1" applyFont="1" applyFill="1" applyAlignment="1">
      <alignment horizontal="center" vertical="center"/>
    </xf>
    <xf numFmtId="0" fontId="165" fillId="50" borderId="0" xfId="4117" applyFont="1" applyFill="1"/>
    <xf numFmtId="0" fontId="165" fillId="50" borderId="0" xfId="4117" applyFont="1" applyFill="1" applyAlignment="1">
      <alignment horizontal="center" vertical="center"/>
    </xf>
    <xf numFmtId="0" fontId="150" fillId="0" borderId="0" xfId="4118" applyFont="1"/>
    <xf numFmtId="0" fontId="50" fillId="0" borderId="0" xfId="4118" applyFont="1"/>
    <xf numFmtId="217" fontId="50" fillId="0" borderId="0" xfId="2029" applyFont="1" applyFill="1"/>
    <xf numFmtId="174" fontId="166" fillId="51" borderId="0" xfId="2081" applyNumberFormat="1" applyFont="1" applyFill="1"/>
    <xf numFmtId="0" fontId="167" fillId="0" borderId="0" xfId="4118" applyFont="1"/>
    <xf numFmtId="174" fontId="50" fillId="0" borderId="0" xfId="2081" applyNumberFormat="1" applyFont="1"/>
    <xf numFmtId="0" fontId="150" fillId="0" borderId="1" xfId="4117" applyFont="1" applyBorder="1"/>
    <xf numFmtId="174" fontId="166" fillId="0" borderId="1" xfId="4117" applyNumberFormat="1" applyFont="1" applyBorder="1"/>
    <xf numFmtId="0" fontId="167" fillId="0" borderId="1" xfId="4117" applyFont="1" applyBorder="1"/>
    <xf numFmtId="174" fontId="150" fillId="0" borderId="1" xfId="4117" applyNumberFormat="1" applyFont="1" applyBorder="1"/>
    <xf numFmtId="0" fontId="150" fillId="0" borderId="0" xfId="4117" applyFont="1"/>
    <xf numFmtId="0" fontId="151" fillId="0" borderId="0" xfId="4117" applyFont="1"/>
    <xf numFmtId="0" fontId="50" fillId="0" borderId="0" xfId="4117" applyFont="1" applyAlignment="1">
      <alignment horizontal="center"/>
    </xf>
    <xf numFmtId="174" fontId="50" fillId="0" borderId="0" xfId="4117" applyNumberFormat="1" applyFont="1"/>
    <xf numFmtId="0" fontId="50" fillId="43" borderId="0" xfId="3877" applyFont="1" applyFill="1" applyBorder="1"/>
    <xf numFmtId="0" fontId="50" fillId="43" borderId="0" xfId="3877" applyFont="1" applyFill="1"/>
    <xf numFmtId="0" fontId="150" fillId="43" borderId="0" xfId="3877" applyFont="1" applyFill="1" applyAlignment="1">
      <alignment horizontal="right"/>
    </xf>
    <xf numFmtId="10" fontId="163" fillId="43" borderId="0" xfId="3877" applyNumberFormat="1" applyFont="1" applyFill="1" applyAlignment="1">
      <alignment horizontal="center" vertical="center"/>
    </xf>
    <xf numFmtId="0" fontId="150" fillId="0" borderId="0" xfId="4117" applyFont="1" applyBorder="1"/>
    <xf numFmtId="174" fontId="150" fillId="0" borderId="0" xfId="4117" applyNumberFormat="1" applyFont="1" applyBorder="1"/>
    <xf numFmtId="168" fontId="164" fillId="0" borderId="0" xfId="2081" applyFont="1"/>
    <xf numFmtId="0" fontId="152" fillId="0" borderId="0" xfId="4117" applyFont="1" applyAlignment="1">
      <alignment horizontal="left"/>
    </xf>
    <xf numFmtId="9" fontId="166" fillId="0" borderId="0" xfId="4117" applyNumberFormat="1" applyFont="1"/>
    <xf numFmtId="0" fontId="167" fillId="0" borderId="0" xfId="4117" applyFont="1"/>
    <xf numFmtId="9" fontId="155" fillId="0" borderId="0" xfId="4117" applyNumberFormat="1" applyFont="1"/>
    <xf numFmtId="174" fontId="50" fillId="0" borderId="0" xfId="2066" applyNumberFormat="1" applyFont="1" applyFill="1"/>
    <xf numFmtId="10" fontId="155" fillId="0" borderId="0" xfId="4117" applyNumberFormat="1" applyFont="1"/>
    <xf numFmtId="0" fontId="150" fillId="49" borderId="0" xfId="4117" applyFont="1" applyFill="1"/>
    <xf numFmtId="0" fontId="150" fillId="49" borderId="0" xfId="4117" applyFont="1" applyFill="1" applyAlignment="1">
      <alignment horizontal="center"/>
    </xf>
    <xf numFmtId="174" fontId="150" fillId="49" borderId="0" xfId="4117" applyNumberFormat="1" applyFont="1" applyFill="1"/>
    <xf numFmtId="0" fontId="168" fillId="0" borderId="0" xfId="4117" applyFont="1"/>
    <xf numFmtId="9" fontId="150" fillId="0" borderId="0" xfId="2700" applyFont="1" applyFill="1"/>
    <xf numFmtId="9" fontId="50" fillId="0" borderId="0" xfId="4117" applyNumberFormat="1" applyFont="1"/>
    <xf numFmtId="0" fontId="150" fillId="49" borderId="1" xfId="4117" applyFont="1" applyFill="1" applyBorder="1"/>
    <xf numFmtId="174" fontId="150" fillId="49" borderId="1" xfId="4117" applyNumberFormat="1" applyFont="1" applyFill="1" applyBorder="1"/>
    <xf numFmtId="0" fontId="169" fillId="0" borderId="0" xfId="4117" applyFont="1"/>
    <xf numFmtId="0" fontId="50" fillId="0" borderId="1" xfId="4117" applyFont="1" applyBorder="1"/>
    <xf numFmtId="174" fontId="50" fillId="0" borderId="1" xfId="4117" applyNumberFormat="1" applyFont="1" applyBorder="1"/>
    <xf numFmtId="174" fontId="50" fillId="0" borderId="0" xfId="4118" applyNumberFormat="1" applyFont="1"/>
    <xf numFmtId="10" fontId="50" fillId="0" borderId="0" xfId="4117" applyNumberFormat="1" applyFont="1"/>
    <xf numFmtId="308" fontId="50" fillId="0" borderId="0" xfId="2066" applyNumberFormat="1" applyFont="1" applyFill="1" applyBorder="1"/>
    <xf numFmtId="166" fontId="50" fillId="0" borderId="0" xfId="4117" applyNumberFormat="1" applyFont="1"/>
    <xf numFmtId="303" fontId="50" fillId="0" borderId="0" xfId="4117" applyNumberFormat="1" applyFont="1"/>
    <xf numFmtId="174" fontId="50" fillId="0" borderId="0" xfId="0" applyNumberFormat="1" applyFont="1"/>
    <xf numFmtId="166" fontId="150" fillId="0" borderId="0" xfId="3877" applyNumberFormat="1" applyFont="1" applyAlignment="1">
      <alignment horizontal="left" indent="1"/>
    </xf>
    <xf numFmtId="0" fontId="150" fillId="0" borderId="0" xfId="3877" applyFont="1" applyFill="1"/>
    <xf numFmtId="214" fontId="172" fillId="0" borderId="0" xfId="3877" applyNumberFormat="1" applyFont="1" applyFill="1" applyAlignment="1">
      <alignment horizontal="center" vertical="center"/>
    </xf>
    <xf numFmtId="300" fontId="150" fillId="0" borderId="0" xfId="3851" applyNumberFormat="1" applyFont="1" applyFill="1" applyAlignment="1">
      <alignment horizontal="right"/>
    </xf>
    <xf numFmtId="0" fontId="156" fillId="56" borderId="0" xfId="4117" applyFont="1" applyFill="1" applyBorder="1"/>
    <xf numFmtId="10" fontId="156" fillId="56" borderId="0" xfId="4117" applyNumberFormat="1" applyFont="1" applyFill="1" applyBorder="1"/>
    <xf numFmtId="0" fontId="156" fillId="55" borderId="0" xfId="4117" applyFont="1" applyFill="1" applyBorder="1"/>
    <xf numFmtId="10" fontId="156" fillId="55" borderId="0" xfId="4117" applyNumberFormat="1" applyFont="1" applyFill="1" applyBorder="1"/>
    <xf numFmtId="0" fontId="156" fillId="52" borderId="0" xfId="4117" applyFont="1" applyFill="1" applyBorder="1"/>
    <xf numFmtId="174" fontId="156" fillId="52" borderId="0" xfId="2081" applyNumberFormat="1" applyFont="1" applyFill="1" applyBorder="1"/>
    <xf numFmtId="0" fontId="156" fillId="53" borderId="0" xfId="4117" applyFont="1" applyFill="1" applyBorder="1"/>
    <xf numFmtId="9" fontId="156" fillId="53" borderId="0" xfId="4117" applyNumberFormat="1" applyFont="1" applyFill="1" applyBorder="1"/>
    <xf numFmtId="0" fontId="156" fillId="54" borderId="0" xfId="4117" applyFont="1" applyFill="1" applyBorder="1"/>
    <xf numFmtId="303" fontId="156" fillId="54" borderId="0" xfId="4117" applyNumberFormat="1" applyFont="1" applyFill="1" applyBorder="1"/>
    <xf numFmtId="0" fontId="151" fillId="0" borderId="0" xfId="4117" applyFont="1" applyAlignment="1">
      <alignment horizontal="left"/>
    </xf>
    <xf numFmtId="166" fontId="166" fillId="0" borderId="0" xfId="4103" applyFont="1"/>
    <xf numFmtId="0" fontId="50" fillId="0" borderId="0" xfId="4117"/>
    <xf numFmtId="41" fontId="0" fillId="0" borderId="0" xfId="4121" applyFont="1"/>
    <xf numFmtId="41" fontId="50" fillId="0" borderId="0" xfId="4117" applyNumberFormat="1"/>
    <xf numFmtId="0" fontId="50" fillId="0" borderId="2" xfId="4117" applyBorder="1" applyAlignment="1">
      <alignment horizontal="center"/>
    </xf>
    <xf numFmtId="0" fontId="50" fillId="0" borderId="3" xfId="4117" applyBorder="1" applyAlignment="1">
      <alignment horizontal="center"/>
    </xf>
    <xf numFmtId="0" fontId="50" fillId="57" borderId="2" xfId="4117" applyFill="1" applyBorder="1"/>
    <xf numFmtId="0" fontId="50" fillId="57" borderId="0" xfId="4117" applyFill="1" applyAlignment="1">
      <alignment horizontal="center"/>
    </xf>
    <xf numFmtId="0" fontId="50" fillId="57" borderId="2" xfId="4117" applyFill="1" applyBorder="1" applyAlignment="1">
      <alignment horizontal="center"/>
    </xf>
    <xf numFmtId="0" fontId="50" fillId="58" borderId="0" xfId="4117" applyFill="1" applyAlignment="1">
      <alignment horizontal="center"/>
    </xf>
    <xf numFmtId="0" fontId="50" fillId="0" borderId="2" xfId="4117" applyBorder="1"/>
    <xf numFmtId="174" fontId="50" fillId="58" borderId="2" xfId="4117" applyNumberFormat="1" applyFill="1" applyBorder="1"/>
    <xf numFmtId="174" fontId="50" fillId="0" borderId="2" xfId="4117" applyNumberFormat="1" applyBorder="1" applyAlignment="1">
      <alignment horizontal="center"/>
    </xf>
    <xf numFmtId="174" fontId="0" fillId="0" borderId="2" xfId="4122" applyNumberFormat="1" applyFont="1" applyBorder="1"/>
    <xf numFmtId="174" fontId="50" fillId="0" borderId="2" xfId="4117" applyNumberFormat="1" applyBorder="1"/>
    <xf numFmtId="174" fontId="0" fillId="59" borderId="2" xfId="4122" applyNumberFormat="1" applyFont="1" applyFill="1" applyBorder="1"/>
    <xf numFmtId="174" fontId="50" fillId="0" borderId="0" xfId="4117" applyNumberFormat="1"/>
    <xf numFmtId="0" fontId="5" fillId="0" borderId="0" xfId="4123" applyAlignment="1">
      <alignment vertical="center"/>
    </xf>
    <xf numFmtId="0" fontId="0" fillId="0" borderId="59" xfId="4124" applyNumberFormat="1" applyFont="1" applyFill="1" applyBorder="1" applyAlignment="1">
      <alignment vertical="center"/>
    </xf>
    <xf numFmtId="0" fontId="0" fillId="0" borderId="9" xfId="4124" applyNumberFormat="1" applyFont="1" applyFill="1" applyBorder="1" applyAlignment="1">
      <alignment vertical="center"/>
    </xf>
    <xf numFmtId="300" fontId="0" fillId="0" borderId="55" xfId="4124" applyNumberFormat="1" applyFont="1" applyFill="1" applyBorder="1" applyAlignment="1">
      <alignment vertical="center"/>
    </xf>
    <xf numFmtId="300" fontId="5" fillId="45" borderId="55" xfId="4123" applyNumberFormat="1" applyFill="1" applyBorder="1" applyAlignment="1">
      <alignment horizontal="left" vertical="center"/>
    </xf>
    <xf numFmtId="0" fontId="0" fillId="0" borderId="8" xfId="4124" applyNumberFormat="1" applyFont="1" applyFill="1" applyBorder="1" applyAlignment="1">
      <alignment vertical="center"/>
    </xf>
    <xf numFmtId="0" fontId="0" fillId="0" borderId="0" xfId="4124" applyNumberFormat="1" applyFont="1" applyFill="1" applyBorder="1" applyAlignment="1">
      <alignment vertical="center"/>
    </xf>
    <xf numFmtId="300" fontId="0" fillId="0" borderId="54" xfId="4124" applyNumberFormat="1" applyFont="1" applyFill="1" applyBorder="1" applyAlignment="1">
      <alignment vertical="center"/>
    </xf>
    <xf numFmtId="0" fontId="5" fillId="45" borderId="54" xfId="4123" applyFill="1" applyBorder="1" applyAlignment="1">
      <alignment vertical="center"/>
    </xf>
    <xf numFmtId="300" fontId="0" fillId="45" borderId="54" xfId="4124" applyNumberFormat="1" applyFont="1" applyFill="1" applyBorder="1" applyAlignment="1">
      <alignment vertical="center"/>
    </xf>
    <xf numFmtId="0" fontId="176" fillId="45" borderId="78" xfId="4123" applyFont="1" applyFill="1" applyBorder="1" applyAlignment="1">
      <alignment vertical="center"/>
    </xf>
    <xf numFmtId="0" fontId="176" fillId="45" borderId="1" xfId="4123" applyFont="1" applyFill="1" applyBorder="1" applyAlignment="1">
      <alignment vertical="center"/>
    </xf>
    <xf numFmtId="0" fontId="176" fillId="45" borderId="79" xfId="4123" applyFont="1" applyFill="1" applyBorder="1" applyAlignment="1">
      <alignment vertical="center"/>
    </xf>
    <xf numFmtId="0" fontId="5" fillId="45" borderId="57" xfId="4123" applyFill="1" applyBorder="1" applyAlignment="1">
      <alignment vertical="center"/>
    </xf>
    <xf numFmtId="300" fontId="0" fillId="0" borderId="80" xfId="4124" applyNumberFormat="1" applyFont="1" applyFill="1" applyBorder="1" applyAlignment="1">
      <alignment vertical="center"/>
    </xf>
    <xf numFmtId="300" fontId="0" fillId="0" borderId="50" xfId="4124" applyNumberFormat="1" applyFont="1" applyFill="1" applyBorder="1" applyAlignment="1">
      <alignment vertical="center"/>
    </xf>
    <xf numFmtId="300" fontId="0" fillId="0" borderId="0" xfId="4124" applyNumberFormat="1" applyFont="1" applyFill="1" applyBorder="1" applyAlignment="1">
      <alignment vertical="center"/>
    </xf>
    <xf numFmtId="0" fontId="177" fillId="0" borderId="0" xfId="4123" applyFont="1" applyAlignment="1">
      <alignment vertical="center"/>
    </xf>
    <xf numFmtId="309" fontId="0" fillId="0" borderId="0" xfId="4125" applyNumberFormat="1" applyFont="1" applyAlignment="1">
      <alignment vertical="center"/>
    </xf>
    <xf numFmtId="0" fontId="5" fillId="45" borderId="8" xfId="4123" applyFill="1" applyBorder="1" applyAlignment="1">
      <alignment horizontal="right" vertical="center"/>
    </xf>
    <xf numFmtId="0" fontId="5" fillId="45" borderId="0" xfId="4123" applyFill="1" applyAlignment="1">
      <alignment horizontal="right" vertical="center"/>
    </xf>
    <xf numFmtId="0" fontId="5" fillId="45" borderId="54" xfId="4123" applyFill="1" applyBorder="1" applyAlignment="1">
      <alignment horizontal="right" vertical="center"/>
    </xf>
    <xf numFmtId="0" fontId="178" fillId="45" borderId="54" xfId="4123" applyFont="1" applyFill="1" applyBorder="1" applyAlignment="1">
      <alignment vertical="center"/>
    </xf>
    <xf numFmtId="0" fontId="178" fillId="45" borderId="58" xfId="4123" applyFont="1" applyFill="1" applyBorder="1" applyAlignment="1">
      <alignment vertical="center"/>
    </xf>
    <xf numFmtId="0" fontId="178" fillId="45" borderId="60" xfId="4123" applyFont="1" applyFill="1" applyBorder="1" applyAlignment="1">
      <alignment vertical="center"/>
    </xf>
    <xf numFmtId="0" fontId="178" fillId="45" borderId="57" xfId="4123" applyFont="1" applyFill="1" applyBorder="1" applyAlignment="1">
      <alignment vertical="center"/>
    </xf>
    <xf numFmtId="300" fontId="0" fillId="0" borderId="9" xfId="4124" applyNumberFormat="1" applyFont="1" applyFill="1" applyBorder="1" applyAlignment="1">
      <alignment vertical="center"/>
    </xf>
    <xf numFmtId="300" fontId="0" fillId="0" borderId="81" xfId="4124" applyNumberFormat="1" applyFont="1" applyFill="1" applyBorder="1" applyAlignment="1">
      <alignment vertical="center"/>
    </xf>
    <xf numFmtId="300" fontId="0" fillId="0" borderId="5" xfId="4124" applyNumberFormat="1" applyFont="1" applyFill="1" applyBorder="1" applyAlignment="1">
      <alignment vertical="center"/>
    </xf>
    <xf numFmtId="0" fontId="0" fillId="0" borderId="82" xfId="4124" applyNumberFormat="1" applyFont="1" applyFill="1" applyBorder="1" applyAlignment="1">
      <alignment vertical="center"/>
    </xf>
    <xf numFmtId="0" fontId="0" fillId="0" borderId="49" xfId="4124" applyNumberFormat="1" applyFont="1" applyFill="1" applyBorder="1" applyAlignment="1">
      <alignment vertical="center"/>
    </xf>
    <xf numFmtId="300" fontId="0" fillId="0" borderId="49" xfId="4124" applyNumberFormat="1" applyFont="1" applyFill="1" applyBorder="1" applyAlignment="1">
      <alignment vertical="center"/>
    </xf>
    <xf numFmtId="300" fontId="0" fillId="0" borderId="83" xfId="4124" applyNumberFormat="1" applyFont="1" applyFill="1" applyBorder="1" applyAlignment="1">
      <alignment vertical="center"/>
    </xf>
    <xf numFmtId="300" fontId="0" fillId="0" borderId="84" xfId="4124" applyNumberFormat="1" applyFont="1" applyFill="1" applyBorder="1" applyAlignment="1">
      <alignment vertical="center"/>
    </xf>
    <xf numFmtId="0" fontId="176" fillId="45" borderId="3" xfId="4123" applyFont="1" applyFill="1" applyBorder="1" applyAlignment="1">
      <alignment vertical="center"/>
    </xf>
    <xf numFmtId="300" fontId="0" fillId="0" borderId="24" xfId="4124" applyNumberFormat="1" applyFont="1" applyFill="1" applyBorder="1" applyAlignment="1">
      <alignment vertical="center"/>
    </xf>
    <xf numFmtId="0" fontId="5" fillId="45" borderId="5" xfId="4123" applyFill="1" applyBorder="1" applyAlignment="1">
      <alignment horizontal="right" vertical="center"/>
    </xf>
    <xf numFmtId="0" fontId="178" fillId="45" borderId="85" xfId="4123" applyFont="1" applyFill="1" applyBorder="1" applyAlignment="1">
      <alignment vertical="center"/>
    </xf>
    <xf numFmtId="1" fontId="179" fillId="51" borderId="0" xfId="4123" applyNumberFormat="1" applyFont="1" applyFill="1" applyAlignment="1">
      <alignment vertical="center"/>
    </xf>
    <xf numFmtId="0" fontId="176" fillId="51" borderId="0" xfId="4123" applyFont="1" applyFill="1" applyAlignment="1">
      <alignment vertical="center"/>
    </xf>
    <xf numFmtId="0" fontId="176" fillId="0" borderId="0" xfId="4123" applyFont="1" applyAlignment="1">
      <alignment vertical="center"/>
    </xf>
    <xf numFmtId="0" fontId="5" fillId="0" borderId="0" xfId="4123" applyAlignment="1">
      <alignment horizontal="center" vertical="center"/>
    </xf>
    <xf numFmtId="0" fontId="5" fillId="0" borderId="0" xfId="4123"/>
    <xf numFmtId="9" fontId="0" fillId="0" borderId="0" xfId="4124" applyFont="1" applyFill="1" applyBorder="1" applyAlignment="1">
      <alignment vertical="center" wrapText="1"/>
    </xf>
    <xf numFmtId="9" fontId="5" fillId="0" borderId="0" xfId="4123" applyNumberFormat="1" applyAlignment="1">
      <alignment vertical="center"/>
    </xf>
    <xf numFmtId="0" fontId="5" fillId="51" borderId="0" xfId="4123" applyFill="1" applyAlignment="1">
      <alignment vertical="center"/>
    </xf>
    <xf numFmtId="41" fontId="0" fillId="0" borderId="0" xfId="4125" applyFont="1" applyFill="1" applyBorder="1" applyAlignment="1">
      <alignment vertical="center" wrapText="1"/>
    </xf>
    <xf numFmtId="0" fontId="5" fillId="44" borderId="0" xfId="4123" applyFill="1" applyAlignment="1">
      <alignment vertical="center"/>
    </xf>
    <xf numFmtId="9" fontId="5" fillId="51" borderId="0" xfId="4123" applyNumberFormat="1" applyFill="1" applyAlignment="1">
      <alignment vertical="center"/>
    </xf>
    <xf numFmtId="0" fontId="164" fillId="0" borderId="0" xfId="4123" applyFont="1" applyAlignment="1">
      <alignment vertical="center"/>
    </xf>
    <xf numFmtId="0" fontId="175" fillId="51" borderId="0" xfId="4123" applyFont="1" applyFill="1" applyAlignment="1">
      <alignment vertical="center"/>
    </xf>
    <xf numFmtId="9" fontId="0" fillId="0" borderId="0" xfId="4124" applyFont="1" applyAlignment="1">
      <alignment vertical="center"/>
    </xf>
    <xf numFmtId="41" fontId="5" fillId="0" borderId="0" xfId="4123" applyNumberFormat="1" applyAlignment="1">
      <alignment vertical="center"/>
    </xf>
    <xf numFmtId="9" fontId="5" fillId="44" borderId="0" xfId="4123" applyNumberFormat="1" applyFill="1" applyAlignment="1">
      <alignment vertical="center"/>
    </xf>
    <xf numFmtId="9" fontId="5" fillId="44" borderId="2" xfId="4123" applyNumberFormat="1" applyFill="1" applyBorder="1" applyAlignment="1">
      <alignment horizontal="left" vertical="center" wrapText="1"/>
    </xf>
    <xf numFmtId="0" fontId="176" fillId="0" borderId="2" xfId="4123" applyFont="1" applyBorder="1" applyAlignment="1">
      <alignment vertical="center"/>
    </xf>
    <xf numFmtId="0" fontId="5" fillId="0" borderId="2" xfId="4123" applyBorder="1" applyAlignment="1">
      <alignment horizontal="center" vertical="center"/>
    </xf>
    <xf numFmtId="41" fontId="0" fillId="51" borderId="0" xfId="4125" applyFont="1" applyFill="1" applyBorder="1" applyAlignment="1">
      <alignment vertical="center" wrapText="1"/>
    </xf>
    <xf numFmtId="0" fontId="5" fillId="0" borderId="0" xfId="4123" applyAlignment="1">
      <alignment vertical="center" wrapText="1"/>
    </xf>
    <xf numFmtId="300" fontId="5" fillId="44" borderId="2" xfId="4123" applyNumberFormat="1" applyFill="1" applyBorder="1" applyAlignment="1">
      <alignment horizontal="left" vertical="center"/>
    </xf>
    <xf numFmtId="0" fontId="5" fillId="0" borderId="59" xfId="4123" applyBorder="1" applyAlignment="1">
      <alignment vertical="center"/>
    </xf>
    <xf numFmtId="0" fontId="5" fillId="0" borderId="86" xfId="4123" applyBorder="1" applyAlignment="1">
      <alignment vertical="center"/>
    </xf>
    <xf numFmtId="0" fontId="5" fillId="0" borderId="87" xfId="4123" applyBorder="1" applyAlignment="1">
      <alignment vertical="center"/>
    </xf>
    <xf numFmtId="174" fontId="180" fillId="0" borderId="86" xfId="4126" applyNumberFormat="1" applyFont="1" applyFill="1" applyBorder="1" applyAlignment="1" applyProtection="1">
      <alignment vertical="center"/>
      <protection locked="0"/>
    </xf>
    <xf numFmtId="9" fontId="5" fillId="0" borderId="86" xfId="4123" applyNumberFormat="1" applyBorder="1" applyAlignment="1">
      <alignment vertical="center" wrapText="1"/>
    </xf>
    <xf numFmtId="0" fontId="5" fillId="51" borderId="88" xfId="4123" applyFill="1" applyBorder="1" applyAlignment="1">
      <alignment vertical="center" wrapText="1"/>
    </xf>
    <xf numFmtId="0" fontId="176" fillId="0" borderId="0" xfId="4123" applyFont="1" applyAlignment="1">
      <alignment horizontal="left" vertical="center" wrapText="1"/>
    </xf>
    <xf numFmtId="0" fontId="176" fillId="45" borderId="2" xfId="4123" applyFont="1" applyFill="1" applyBorder="1" applyAlignment="1">
      <alignment vertical="center"/>
    </xf>
    <xf numFmtId="0" fontId="176" fillId="45" borderId="2" xfId="4123" applyFont="1" applyFill="1" applyBorder="1" applyAlignment="1">
      <alignment horizontal="center" vertical="center"/>
    </xf>
    <xf numFmtId="0" fontId="179" fillId="0" borderId="0" xfId="4123" applyFont="1" applyAlignment="1">
      <alignment vertical="center"/>
    </xf>
    <xf numFmtId="174" fontId="180" fillId="0" borderId="89" xfId="4126" applyNumberFormat="1" applyFont="1" applyFill="1" applyBorder="1" applyAlignment="1" applyProtection="1">
      <alignment vertical="center"/>
      <protection locked="0"/>
    </xf>
    <xf numFmtId="9" fontId="5" fillId="0" borderId="90" xfId="4123" applyNumberFormat="1" applyBorder="1" applyAlignment="1">
      <alignment vertical="center" wrapText="1"/>
    </xf>
    <xf numFmtId="0" fontId="5" fillId="51" borderId="91" xfId="4123" applyFill="1" applyBorder="1" applyAlignment="1">
      <alignment vertical="center" wrapText="1"/>
    </xf>
    <xf numFmtId="174" fontId="180" fillId="0" borderId="90" xfId="4126" applyNumberFormat="1" applyFont="1" applyFill="1" applyBorder="1" applyAlignment="1" applyProtection="1">
      <alignment vertical="center"/>
      <protection locked="0"/>
    </xf>
    <xf numFmtId="0" fontId="5" fillId="51" borderId="92" xfId="4123" applyFill="1" applyBorder="1" applyAlignment="1">
      <alignment vertical="center" wrapText="1"/>
    </xf>
    <xf numFmtId="9" fontId="5" fillId="0" borderId="93" xfId="4123" applyNumberFormat="1" applyBorder="1" applyAlignment="1">
      <alignment vertical="center" wrapText="1"/>
    </xf>
    <xf numFmtId="0" fontId="5" fillId="51" borderId="94" xfId="4123" applyFill="1" applyBorder="1" applyAlignment="1">
      <alignment vertical="center" wrapText="1"/>
    </xf>
    <xf numFmtId="174" fontId="180" fillId="0" borderId="95" xfId="4126" applyNumberFormat="1" applyFont="1" applyFill="1" applyBorder="1" applyAlignment="1" applyProtection="1">
      <alignment vertical="center"/>
      <protection locked="0"/>
    </xf>
    <xf numFmtId="0" fontId="5" fillId="51" borderId="96" xfId="4123" applyFill="1" applyBorder="1" applyAlignment="1">
      <alignment vertical="center" wrapText="1"/>
    </xf>
    <xf numFmtId="0" fontId="5" fillId="0" borderId="97" xfId="4123" applyBorder="1" applyAlignment="1">
      <alignment vertical="center"/>
    </xf>
    <xf numFmtId="0" fontId="5" fillId="0" borderId="98" xfId="4123" applyBorder="1" applyAlignment="1">
      <alignment vertical="center"/>
    </xf>
    <xf numFmtId="0" fontId="5" fillId="51" borderId="99" xfId="4123" applyFill="1" applyBorder="1" applyAlignment="1">
      <alignment vertical="center"/>
    </xf>
    <xf numFmtId="0" fontId="180" fillId="0" borderId="98" xfId="4123" applyFont="1" applyBorder="1" applyAlignment="1">
      <alignment horizontal="center" vertical="center"/>
    </xf>
    <xf numFmtId="0" fontId="5" fillId="51" borderId="100" xfId="4123" applyFill="1" applyBorder="1" applyAlignment="1">
      <alignment vertical="center" wrapText="1"/>
    </xf>
    <xf numFmtId="41" fontId="0" fillId="0" borderId="0" xfId="4125" applyFont="1" applyAlignment="1">
      <alignment vertical="center"/>
    </xf>
    <xf numFmtId="9" fontId="5" fillId="44" borderId="59" xfId="4123" applyNumberFormat="1" applyFill="1" applyBorder="1" applyAlignment="1">
      <alignment vertical="center"/>
    </xf>
    <xf numFmtId="9" fontId="5" fillId="44" borderId="9" xfId="4123" applyNumberFormat="1" applyFill="1" applyBorder="1" applyAlignment="1">
      <alignment vertical="center"/>
    </xf>
    <xf numFmtId="9" fontId="5" fillId="44" borderId="55" xfId="4123" applyNumberFormat="1" applyFill="1" applyBorder="1" applyAlignment="1">
      <alignment vertical="center"/>
    </xf>
    <xf numFmtId="9" fontId="5" fillId="44" borderId="8" xfId="4123" applyNumberFormat="1" applyFill="1" applyBorder="1" applyAlignment="1">
      <alignment vertical="center"/>
    </xf>
    <xf numFmtId="9" fontId="5" fillId="44" borderId="54" xfId="4123" applyNumberFormat="1" applyFill="1" applyBorder="1" applyAlignment="1">
      <alignment vertical="center"/>
    </xf>
    <xf numFmtId="9" fontId="179" fillId="44" borderId="0" xfId="4123" applyNumberFormat="1" applyFont="1" applyFill="1" applyAlignment="1">
      <alignment vertical="center"/>
    </xf>
    <xf numFmtId="0" fontId="5" fillId="0" borderId="58" xfId="4123" applyBorder="1" applyAlignment="1">
      <alignment horizontal="center" vertical="center"/>
    </xf>
    <xf numFmtId="0" fontId="5" fillId="0" borderId="60" xfId="4123" applyBorder="1" applyAlignment="1">
      <alignment horizontal="center" vertical="center"/>
    </xf>
    <xf numFmtId="0" fontId="5" fillId="0" borderId="57" xfId="4123" applyBorder="1" applyAlignment="1">
      <alignment horizontal="center" vertical="center"/>
    </xf>
    <xf numFmtId="0" fontId="176" fillId="0" borderId="50" xfId="4123" applyFont="1" applyBorder="1" applyAlignment="1">
      <alignment vertical="center"/>
    </xf>
    <xf numFmtId="41" fontId="0" fillId="44" borderId="0" xfId="4125" applyFont="1" applyFill="1" applyBorder="1" applyAlignment="1">
      <alignment vertical="center"/>
    </xf>
    <xf numFmtId="0" fontId="176" fillId="0" borderId="0" xfId="4123" applyFont="1" applyAlignment="1">
      <alignment vertical="center" wrapText="1"/>
    </xf>
    <xf numFmtId="0" fontId="181" fillId="0" borderId="0" xfId="4123" applyFont="1" applyAlignment="1">
      <alignment vertical="center"/>
    </xf>
    <xf numFmtId="0" fontId="5" fillId="45" borderId="0" xfId="4123" applyFill="1" applyAlignment="1">
      <alignment vertical="center"/>
    </xf>
    <xf numFmtId="0" fontId="176" fillId="45" borderId="0" xfId="4123" applyFont="1" applyFill="1" applyAlignment="1">
      <alignment vertical="center"/>
    </xf>
    <xf numFmtId="0" fontId="176" fillId="45" borderId="0" xfId="4123" applyFont="1" applyFill="1" applyAlignment="1">
      <alignment horizontal="center" vertical="center"/>
    </xf>
    <xf numFmtId="0" fontId="182" fillId="0" borderId="0" xfId="4123" applyFont="1"/>
    <xf numFmtId="0" fontId="50" fillId="0" borderId="0" xfId="4123" applyFont="1"/>
    <xf numFmtId="0" fontId="183" fillId="0" borderId="0" xfId="4123" applyFont="1"/>
    <xf numFmtId="0" fontId="150" fillId="0" borderId="0" xfId="4123" applyFont="1"/>
    <xf numFmtId="0" fontId="150" fillId="44" borderId="0" xfId="4123" applyFont="1" applyFill="1"/>
    <xf numFmtId="0" fontId="184" fillId="0" borderId="0" xfId="4123" applyFont="1"/>
    <xf numFmtId="0" fontId="183" fillId="0" borderId="0" xfId="4123" applyFont="1" applyAlignment="1">
      <alignment horizontal="right"/>
    </xf>
    <xf numFmtId="300" fontId="183" fillId="0" borderId="0" xfId="4124" applyNumberFormat="1" applyFont="1" applyFill="1" applyBorder="1"/>
    <xf numFmtId="9" fontId="50" fillId="0" borderId="0" xfId="4123" applyNumberFormat="1" applyFont="1"/>
    <xf numFmtId="9" fontId="183" fillId="0" borderId="0" xfId="4123" applyNumberFormat="1" applyFont="1"/>
    <xf numFmtId="174" fontId="183" fillId="0" borderId="0" xfId="4126" applyNumberFormat="1" applyFont="1" applyFill="1" applyBorder="1"/>
    <xf numFmtId="0" fontId="183" fillId="0" borderId="0" xfId="4123" quotePrefix="1" applyFont="1"/>
    <xf numFmtId="0" fontId="185" fillId="0" borderId="2" xfId="4123" applyFont="1" applyBorder="1" applyAlignment="1">
      <alignment horizontal="left"/>
    </xf>
    <xf numFmtId="0" fontId="185" fillId="0" borderId="52" xfId="4123" applyFont="1" applyBorder="1" applyAlignment="1">
      <alignment horizontal="center"/>
    </xf>
    <xf numFmtId="9" fontId="186" fillId="60" borderId="101" xfId="4123" applyNumberFormat="1" applyFont="1" applyFill="1" applyBorder="1" applyAlignment="1">
      <alignment horizontal="center"/>
    </xf>
    <xf numFmtId="0" fontId="185" fillId="0" borderId="62" xfId="4123" applyFont="1" applyBorder="1" applyAlignment="1">
      <alignment horizontal="center"/>
    </xf>
    <xf numFmtId="0" fontId="182" fillId="0" borderId="0" xfId="4123" applyFont="1" applyAlignment="1">
      <alignment horizontal="center"/>
    </xf>
    <xf numFmtId="0" fontId="185" fillId="0" borderId="3" xfId="4123" applyFont="1" applyBorder="1"/>
    <xf numFmtId="0" fontId="185" fillId="0" borderId="102" xfId="4123" applyFont="1" applyBorder="1"/>
    <xf numFmtId="0" fontId="185" fillId="0" borderId="21" xfId="4123" applyFont="1" applyBorder="1" applyAlignment="1">
      <alignment horizontal="center"/>
    </xf>
    <xf numFmtId="0" fontId="182" fillId="61" borderId="103" xfId="4123" applyFont="1" applyFill="1" applyBorder="1" applyAlignment="1">
      <alignment horizontal="center"/>
    </xf>
    <xf numFmtId="0" fontId="182" fillId="0" borderId="104" xfId="4123" applyFont="1" applyBorder="1" applyAlignment="1">
      <alignment horizontal="center"/>
    </xf>
    <xf numFmtId="0" fontId="182" fillId="0" borderId="104" xfId="4123" applyFont="1" applyBorder="1"/>
    <xf numFmtId="174" fontId="183" fillId="0" borderId="104" xfId="4126" applyNumberFormat="1" applyFont="1" applyFill="1" applyBorder="1"/>
    <xf numFmtId="0" fontId="182" fillId="0" borderId="105" xfId="4123" applyFont="1" applyBorder="1" applyAlignment="1">
      <alignment horizontal="center"/>
    </xf>
    <xf numFmtId="0" fontId="182" fillId="0" borderId="105" xfId="4123" applyFont="1" applyBorder="1"/>
    <xf numFmtId="174" fontId="183" fillId="0" borderId="105" xfId="4126" applyNumberFormat="1" applyFont="1" applyFill="1" applyBorder="1"/>
    <xf numFmtId="0" fontId="182" fillId="0" borderId="106" xfId="4123" applyFont="1" applyBorder="1" applyAlignment="1">
      <alignment horizontal="center"/>
    </xf>
    <xf numFmtId="0" fontId="182" fillId="0" borderId="106" xfId="4123" applyFont="1" applyBorder="1"/>
    <xf numFmtId="174" fontId="183" fillId="0" borderId="106" xfId="4126" applyNumberFormat="1" applyFont="1" applyFill="1" applyBorder="1"/>
    <xf numFmtId="174" fontId="183" fillId="0" borderId="0" xfId="4123" applyNumberFormat="1" applyFont="1"/>
    <xf numFmtId="0" fontId="50" fillId="0" borderId="0" xfId="4123" quotePrefix="1" applyFont="1"/>
    <xf numFmtId="166" fontId="172" fillId="43" borderId="0" xfId="3851" applyNumberFormat="1" applyFont="1" applyFill="1" applyAlignment="1">
      <alignment horizontal="right"/>
    </xf>
    <xf numFmtId="166" fontId="183" fillId="0" borderId="106" xfId="4103" applyFont="1" applyBorder="1"/>
    <xf numFmtId="9" fontId="166" fillId="51" borderId="0" xfId="2" applyFont="1" applyFill="1"/>
    <xf numFmtId="166" fontId="50" fillId="0" borderId="0" xfId="4103" applyFont="1" applyAlignment="1">
      <alignment horizontal="center" vertical="center"/>
    </xf>
    <xf numFmtId="166" fontId="150" fillId="0" borderId="0" xfId="3877" applyNumberFormat="1" applyFont="1"/>
    <xf numFmtId="166" fontId="50" fillId="0" borderId="0" xfId="3877" applyNumberFormat="1" applyFont="1"/>
    <xf numFmtId="166" fontId="50" fillId="0" borderId="0" xfId="0" applyNumberFormat="1" applyFont="1" applyFill="1"/>
    <xf numFmtId="166" fontId="50" fillId="0" borderId="0" xfId="0" applyNumberFormat="1" applyFont="1"/>
    <xf numFmtId="166" fontId="150" fillId="0" borderId="0" xfId="0" applyNumberFormat="1" applyFont="1"/>
    <xf numFmtId="0" fontId="50" fillId="0" borderId="0" xfId="4117" applyFont="1" applyBorder="1"/>
    <xf numFmtId="0" fontId="156" fillId="0" borderId="0" xfId="4117" applyFont="1" applyBorder="1"/>
    <xf numFmtId="0" fontId="156" fillId="0" borderId="0" xfId="4117" applyFont="1" applyBorder="1" applyAlignment="1"/>
    <xf numFmtId="14" fontId="156" fillId="0" borderId="0" xfId="4117" applyNumberFormat="1" applyFont="1" applyBorder="1" applyAlignment="1"/>
    <xf numFmtId="0" fontId="187" fillId="0" borderId="0" xfId="4117" applyFont="1"/>
    <xf numFmtId="0" fontId="50" fillId="0" borderId="58" xfId="4117" applyFont="1" applyBorder="1"/>
    <xf numFmtId="0" fontId="150" fillId="0" borderId="57" xfId="4117" applyFont="1" applyBorder="1" applyAlignment="1">
      <alignment horizontal="left"/>
    </xf>
    <xf numFmtId="41" fontId="0" fillId="0" borderId="0" xfId="4121" applyFont="1" applyBorder="1"/>
    <xf numFmtId="0" fontId="50" fillId="0" borderId="8" xfId="4117" applyFont="1" applyBorder="1" applyAlignment="1">
      <alignment horizontal="left" vertical="justify" wrapText="1"/>
    </xf>
    <xf numFmtId="174" fontId="0" fillId="0" borderId="0" xfId="4127" applyNumberFormat="1" applyFont="1" applyFill="1" applyBorder="1" applyAlignment="1" applyProtection="1">
      <alignment horizontal="right"/>
      <protection locked="0"/>
    </xf>
    <xf numFmtId="0" fontId="50" fillId="0" borderId="54" xfId="4117" applyFont="1" applyBorder="1"/>
    <xf numFmtId="41" fontId="0" fillId="0" borderId="0" xfId="4121" applyFont="1" applyFill="1" applyBorder="1"/>
    <xf numFmtId="0" fontId="50" fillId="0" borderId="8" xfId="4117" applyFont="1" applyBorder="1"/>
    <xf numFmtId="9" fontId="0" fillId="0" borderId="0" xfId="4121" applyNumberFormat="1" applyFont="1" applyBorder="1"/>
    <xf numFmtId="0" fontId="50" fillId="0" borderId="54" xfId="4117" applyFont="1" applyBorder="1" applyAlignment="1">
      <alignment horizontal="left" vertical="center" indent="1"/>
    </xf>
    <xf numFmtId="0" fontId="50" fillId="0" borderId="0" xfId="4117" applyFont="1" applyBorder="1" applyAlignment="1">
      <alignment horizontal="left" vertical="center" indent="1"/>
    </xf>
    <xf numFmtId="174" fontId="0" fillId="0" borderId="0" xfId="4127" applyNumberFormat="1" applyFont="1" applyFill="1" applyBorder="1" applyAlignment="1" applyProtection="1">
      <alignment horizontal="center"/>
      <protection locked="0"/>
    </xf>
    <xf numFmtId="0" fontId="50" fillId="0" borderId="54" xfId="4117" applyFont="1" applyBorder="1" applyAlignment="1">
      <alignment horizontal="left" indent="1"/>
    </xf>
    <xf numFmtId="0" fontId="50" fillId="0" borderId="0" xfId="4117" applyFont="1" applyBorder="1" applyAlignment="1">
      <alignment horizontal="left" indent="1"/>
    </xf>
    <xf numFmtId="0" fontId="150" fillId="0" borderId="54" xfId="4117" applyFont="1" applyBorder="1" applyAlignment="1">
      <alignment horizontal="left"/>
    </xf>
    <xf numFmtId="174" fontId="0" fillId="0" borderId="0" xfId="4127" applyNumberFormat="1" applyFont="1" applyBorder="1"/>
    <xf numFmtId="0" fontId="50" fillId="0" borderId="54" xfId="4117" applyFont="1" applyFill="1" applyBorder="1" applyAlignment="1" applyProtection="1">
      <alignment horizontal="left" indent="1"/>
    </xf>
    <xf numFmtId="0" fontId="50" fillId="0" borderId="0" xfId="4117" applyFont="1" applyFill="1" applyBorder="1" applyAlignment="1" applyProtection="1">
      <alignment horizontal="left" indent="1"/>
    </xf>
    <xf numFmtId="0" fontId="0" fillId="0" borderId="8" xfId="4121" applyNumberFormat="1" applyFont="1" applyBorder="1" applyAlignment="1">
      <alignment horizontal="left"/>
    </xf>
    <xf numFmtId="0" fontId="50" fillId="0" borderId="9" xfId="4117" applyFont="1" applyBorder="1" applyAlignment="1">
      <alignment horizontal="left" indent="1"/>
    </xf>
    <xf numFmtId="0" fontId="150" fillId="0" borderId="107" xfId="4117" applyFont="1" applyBorder="1" applyAlignment="1">
      <alignment horizontal="left"/>
    </xf>
    <xf numFmtId="0" fontId="50" fillId="0" borderId="107" xfId="4117" applyFont="1" applyBorder="1"/>
    <xf numFmtId="9" fontId="150" fillId="0" borderId="8" xfId="4121" applyNumberFormat="1" applyFont="1" applyBorder="1"/>
    <xf numFmtId="310" fontId="150" fillId="0" borderId="59" xfId="4121" applyNumberFormat="1" applyFont="1" applyBorder="1"/>
    <xf numFmtId="0" fontId="50" fillId="0" borderId="55" xfId="4117" applyFont="1" applyBorder="1"/>
    <xf numFmtId="0" fontId="50" fillId="0" borderId="9" xfId="4117" applyFont="1" applyBorder="1"/>
    <xf numFmtId="0" fontId="50" fillId="0" borderId="59" xfId="4117" applyFont="1" applyBorder="1"/>
    <xf numFmtId="0" fontId="150" fillId="0" borderId="57" xfId="4117" applyFont="1" applyBorder="1"/>
    <xf numFmtId="0" fontId="50" fillId="0" borderId="60" xfId="4117" applyFont="1" applyBorder="1"/>
    <xf numFmtId="0" fontId="150" fillId="0" borderId="0" xfId="4117" applyFont="1" applyBorder="1" applyAlignment="1">
      <alignment horizontal="left"/>
    </xf>
    <xf numFmtId="0" fontId="150" fillId="0" borderId="54" xfId="4117" applyFont="1" applyFill="1" applyBorder="1" applyAlignment="1" applyProtection="1">
      <alignment horizontal="left" indent="1"/>
    </xf>
    <xf numFmtId="0" fontId="150" fillId="0" borderId="0" xfId="4117" applyFont="1" applyFill="1" applyBorder="1" applyAlignment="1" applyProtection="1">
      <alignment horizontal="left" indent="1"/>
    </xf>
    <xf numFmtId="0" fontId="150" fillId="0" borderId="0" xfId="4128" applyFont="1"/>
    <xf numFmtId="0" fontId="50" fillId="0" borderId="0" xfId="4128"/>
    <xf numFmtId="0" fontId="150" fillId="0" borderId="0" xfId="4128" applyFont="1" applyAlignment="1">
      <alignment vertical="center"/>
    </xf>
    <xf numFmtId="0" fontId="169" fillId="0" borderId="0" xfId="4128" applyFont="1"/>
    <xf numFmtId="0" fontId="50" fillId="0" borderId="0" xfId="4128" applyAlignment="1">
      <alignment vertical="center"/>
    </xf>
    <xf numFmtId="0" fontId="169" fillId="0" borderId="0" xfId="4128" applyFont="1" applyAlignment="1">
      <alignment horizontal="center"/>
    </xf>
    <xf numFmtId="0" fontId="50" fillId="0" borderId="0" xfId="4128" quotePrefix="1" applyAlignment="1">
      <alignment horizontal="center"/>
    </xf>
    <xf numFmtId="9" fontId="189" fillId="0" borderId="0" xfId="4129" applyNumberFormat="1" applyFont="1"/>
    <xf numFmtId="0" fontId="50" fillId="0" borderId="0" xfId="4128" applyAlignment="1">
      <alignment horizontal="center"/>
    </xf>
    <xf numFmtId="41" fontId="0" fillId="44" borderId="0" xfId="4129" applyFont="1" applyFill="1" applyAlignment="1">
      <alignment vertical="center"/>
    </xf>
    <xf numFmtId="9" fontId="50" fillId="0" borderId="0" xfId="4128" applyNumberFormat="1" applyAlignment="1">
      <alignment horizontal="center"/>
    </xf>
    <xf numFmtId="0" fontId="150" fillId="43" borderId="0" xfId="4128" applyFont="1" applyFill="1"/>
    <xf numFmtId="0" fontId="50" fillId="43" borderId="0" xfId="4128" applyFill="1"/>
    <xf numFmtId="41" fontId="0" fillId="44" borderId="0" xfId="4129" applyFont="1" applyFill="1"/>
    <xf numFmtId="10" fontId="189" fillId="0" borderId="0" xfId="4129" applyNumberFormat="1" applyFont="1"/>
    <xf numFmtId="41" fontId="190" fillId="0" borderId="0" xfId="4128" applyNumberFormat="1" applyFont="1"/>
    <xf numFmtId="41" fontId="191" fillId="0" borderId="0" xfId="4128" applyNumberFormat="1" applyFont="1"/>
    <xf numFmtId="41" fontId="192" fillId="0" borderId="0" xfId="4128" applyNumberFormat="1" applyFont="1"/>
    <xf numFmtId="0" fontId="150" fillId="0" borderId="3" xfId="4128" applyFont="1" applyBorder="1" applyAlignment="1">
      <alignment horizontal="center"/>
    </xf>
    <xf numFmtId="0" fontId="150" fillId="0" borderId="1" xfId="4128" applyFont="1" applyBorder="1" applyAlignment="1">
      <alignment horizontal="center"/>
    </xf>
    <xf numFmtId="0" fontId="152" fillId="0" borderId="108" xfId="4128" applyFont="1" applyBorder="1" applyAlignment="1">
      <alignment horizontal="center"/>
    </xf>
    <xf numFmtId="41" fontId="193" fillId="0" borderId="0" xfId="4128" applyNumberFormat="1" applyFont="1"/>
    <xf numFmtId="0" fontId="150" fillId="0" borderId="107" xfId="4128" applyFont="1" applyBorder="1"/>
    <xf numFmtId="0" fontId="152" fillId="0" borderId="0" xfId="4128" applyFont="1"/>
    <xf numFmtId="0" fontId="151" fillId="0" borderId="0" xfId="4128" applyFont="1"/>
    <xf numFmtId="41" fontId="152" fillId="44" borderId="0" xfId="4128" applyNumberFormat="1" applyFont="1" applyFill="1"/>
    <xf numFmtId="41" fontId="152" fillId="0" borderId="84" xfId="4128" applyNumberFormat="1" applyFont="1" applyBorder="1"/>
    <xf numFmtId="41" fontId="152" fillId="0" borderId="49" xfId="4128" applyNumberFormat="1" applyFont="1" applyBorder="1"/>
    <xf numFmtId="41" fontId="152" fillId="0" borderId="82" xfId="4128" applyNumberFormat="1" applyFont="1" applyBorder="1"/>
    <xf numFmtId="41" fontId="152" fillId="0" borderId="109" xfId="4128" applyNumberFormat="1" applyFont="1" applyBorder="1" applyAlignment="1">
      <alignment vertical="center"/>
    </xf>
    <xf numFmtId="41" fontId="152" fillId="0" borderId="0" xfId="4128" applyNumberFormat="1" applyFont="1"/>
    <xf numFmtId="41" fontId="194" fillId="0" borderId="0" xfId="4128" applyNumberFormat="1" applyFont="1"/>
    <xf numFmtId="41" fontId="152" fillId="0" borderId="24" xfId="4128" applyNumberFormat="1" applyFont="1" applyBorder="1"/>
    <xf numFmtId="41" fontId="152" fillId="0" borderId="50" xfId="4128" applyNumberFormat="1" applyFont="1" applyBorder="1"/>
    <xf numFmtId="41" fontId="152" fillId="0" borderId="110" xfId="4128" applyNumberFormat="1" applyFont="1" applyBorder="1"/>
    <xf numFmtId="41" fontId="152" fillId="0" borderId="111" xfId="4128" applyNumberFormat="1" applyFont="1" applyBorder="1" applyAlignment="1">
      <alignment vertical="center"/>
    </xf>
    <xf numFmtId="41" fontId="0" fillId="0" borderId="0" xfId="4129" applyFont="1"/>
    <xf numFmtId="41" fontId="189" fillId="0" borderId="0" xfId="4128" applyNumberFormat="1" applyFont="1"/>
    <xf numFmtId="0" fontId="150" fillId="0" borderId="9" xfId="4128" applyFont="1" applyBorder="1"/>
    <xf numFmtId="0" fontId="50" fillId="0" borderId="9" xfId="4128" applyBorder="1"/>
    <xf numFmtId="0" fontId="150" fillId="0" borderId="9" xfId="4128" applyFont="1" applyBorder="1" applyAlignment="1">
      <alignment horizontal="center" vertical="center"/>
    </xf>
    <xf numFmtId="0" fontId="150" fillId="0" borderId="9" xfId="4128" applyFont="1" applyBorder="1" applyAlignment="1">
      <alignment horizontal="center"/>
    </xf>
    <xf numFmtId="0" fontId="152" fillId="0" borderId="112" xfId="4128" applyFont="1" applyBorder="1" applyAlignment="1">
      <alignment horizontal="center"/>
    </xf>
    <xf numFmtId="0" fontId="150" fillId="0" borderId="0" xfId="4128" applyFont="1" applyAlignment="1">
      <alignment horizontal="center"/>
    </xf>
    <xf numFmtId="0" fontId="50" fillId="0" borderId="0" xfId="4128" applyAlignment="1">
      <alignment horizontal="center" vertical="center"/>
    </xf>
    <xf numFmtId="0" fontId="152" fillId="0" borderId="107" xfId="4128" applyFont="1" applyBorder="1"/>
    <xf numFmtId="0" fontId="50" fillId="0" borderId="0" xfId="4128" quotePrefix="1"/>
    <xf numFmtId="9" fontId="188" fillId="44" borderId="0" xfId="4128" applyNumberFormat="1" applyFont="1" applyFill="1"/>
    <xf numFmtId="0" fontId="195" fillId="0" borderId="0" xfId="4128" applyFont="1"/>
    <xf numFmtId="0" fontId="195" fillId="0" borderId="0" xfId="4128" applyFont="1" applyAlignment="1">
      <alignment vertical="center"/>
    </xf>
    <xf numFmtId="168" fontId="195" fillId="0" borderId="0" xfId="4130" applyFont="1"/>
    <xf numFmtId="0" fontId="196" fillId="0" borderId="0" xfId="4128" applyFont="1"/>
    <xf numFmtId="41" fontId="0" fillId="0" borderId="0" xfId="4129" applyFont="1" applyAlignment="1">
      <alignment vertical="center"/>
    </xf>
    <xf numFmtId="41" fontId="151" fillId="0" borderId="0" xfId="4129" applyFont="1" applyAlignment="1">
      <alignment vertical="center"/>
    </xf>
    <xf numFmtId="41" fontId="152" fillId="0" borderId="107" xfId="4128" applyNumberFormat="1" applyFont="1" applyBorder="1" applyAlignment="1">
      <alignment vertical="center"/>
    </xf>
    <xf numFmtId="41" fontId="50" fillId="0" borderId="0" xfId="4128" applyNumberFormat="1" applyAlignment="1">
      <alignment vertical="center"/>
    </xf>
    <xf numFmtId="41" fontId="50" fillId="0" borderId="0" xfId="4128" applyNumberFormat="1"/>
    <xf numFmtId="41" fontId="50" fillId="43" borderId="0" xfId="4128" applyNumberFormat="1" applyFill="1" applyAlignment="1">
      <alignment vertical="center"/>
    </xf>
    <xf numFmtId="41" fontId="50" fillId="43" borderId="0" xfId="4128" applyNumberFormat="1" applyFill="1"/>
    <xf numFmtId="0" fontId="150" fillId="0" borderId="1" xfId="4128" applyFont="1" applyBorder="1"/>
    <xf numFmtId="41" fontId="150" fillId="0" borderId="1" xfId="4128" applyNumberFormat="1" applyFont="1" applyBorder="1" applyAlignment="1">
      <alignment vertical="center"/>
    </xf>
    <xf numFmtId="41" fontId="152" fillId="0" borderId="113" xfId="4128" applyNumberFormat="1" applyFont="1" applyBorder="1" applyAlignment="1">
      <alignment vertical="center"/>
    </xf>
    <xf numFmtId="168" fontId="197" fillId="0" borderId="107" xfId="4130" applyFont="1" applyFill="1" applyBorder="1"/>
    <xf numFmtId="168" fontId="195" fillId="43" borderId="0" xfId="4130" applyFont="1" applyFill="1" applyBorder="1"/>
    <xf numFmtId="41" fontId="50" fillId="0" borderId="0" xfId="4128" quotePrefix="1" applyNumberFormat="1" applyAlignment="1">
      <alignment vertical="center"/>
    </xf>
    <xf numFmtId="0" fontId="50" fillId="0" borderId="50" xfId="4128" applyBorder="1"/>
    <xf numFmtId="9" fontId="0" fillId="0" borderId="50" xfId="4131" applyFont="1" applyBorder="1"/>
    <xf numFmtId="41" fontId="0" fillId="0" borderId="50" xfId="4129" applyFont="1" applyBorder="1" applyAlignment="1">
      <alignment vertical="center"/>
    </xf>
    <xf numFmtId="41" fontId="0" fillId="43" borderId="0" xfId="4129" applyFont="1" applyFill="1" applyBorder="1" applyAlignment="1">
      <alignment vertical="center"/>
    </xf>
    <xf numFmtId="41" fontId="150" fillId="0" borderId="113" xfId="4128" applyNumberFormat="1" applyFont="1" applyBorder="1" applyAlignment="1">
      <alignment vertical="center"/>
    </xf>
    <xf numFmtId="41" fontId="150" fillId="43" borderId="0" xfId="4128" applyNumberFormat="1" applyFont="1" applyFill="1" applyAlignment="1">
      <alignment vertical="center"/>
    </xf>
    <xf numFmtId="41" fontId="150" fillId="0" borderId="0" xfId="4128" applyNumberFormat="1" applyFont="1" applyAlignment="1">
      <alignment vertical="center"/>
    </xf>
    <xf numFmtId="41" fontId="150" fillId="0" borderId="107" xfId="4128" applyNumberFormat="1" applyFont="1" applyBorder="1" applyAlignment="1">
      <alignment vertical="center"/>
    </xf>
    <xf numFmtId="0" fontId="198" fillId="0" borderId="0" xfId="4128" applyFont="1"/>
    <xf numFmtId="0" fontId="199" fillId="0" borderId="0" xfId="4128" applyFont="1"/>
    <xf numFmtId="9" fontId="198" fillId="0" borderId="0" xfId="4131" applyFont="1" applyAlignment="1">
      <alignment vertical="center"/>
    </xf>
    <xf numFmtId="9" fontId="198" fillId="0" borderId="107" xfId="4131" applyFont="1" applyFill="1" applyBorder="1" applyAlignment="1">
      <alignment vertical="center"/>
    </xf>
    <xf numFmtId="9" fontId="198" fillId="43" borderId="0" xfId="4131" applyFont="1" applyFill="1" applyBorder="1" applyAlignment="1">
      <alignment vertical="center"/>
    </xf>
    <xf numFmtId="41" fontId="50" fillId="0" borderId="50" xfId="4128" applyNumberFormat="1" applyBorder="1" applyAlignment="1">
      <alignment vertical="center"/>
    </xf>
    <xf numFmtId="38" fontId="151" fillId="0" borderId="0" xfId="4128" applyNumberFormat="1" applyFont="1" applyAlignment="1">
      <alignment vertical="center"/>
    </xf>
    <xf numFmtId="38" fontId="150" fillId="0" borderId="107" xfId="4128" applyNumberFormat="1" applyFont="1" applyBorder="1" applyAlignment="1">
      <alignment vertical="center"/>
    </xf>
    <xf numFmtId="38" fontId="50" fillId="43" borderId="0" xfId="4128" applyNumberFormat="1" applyFill="1" applyAlignment="1">
      <alignment vertical="center"/>
    </xf>
    <xf numFmtId="41" fontId="50" fillId="0" borderId="0" xfId="4129" applyFont="1" applyFill="1"/>
    <xf numFmtId="41" fontId="0" fillId="43" borderId="0" xfId="4129" applyFont="1" applyFill="1" applyBorder="1"/>
    <xf numFmtId="38" fontId="50" fillId="43" borderId="0" xfId="4128" applyNumberFormat="1" applyFill="1"/>
    <xf numFmtId="0" fontId="50" fillId="49" borderId="52" xfId="4128" applyFill="1" applyBorder="1"/>
    <xf numFmtId="38" fontId="50" fillId="49" borderId="52" xfId="4128" applyNumberFormat="1" applyFill="1" applyBorder="1" applyAlignment="1">
      <alignment vertical="center"/>
    </xf>
    <xf numFmtId="38" fontId="150" fillId="0" borderId="114" xfId="4128" applyNumberFormat="1" applyFont="1" applyBorder="1" applyAlignment="1">
      <alignment vertical="center"/>
    </xf>
    <xf numFmtId="38" fontId="50" fillId="0" borderId="50" xfId="4128" applyNumberFormat="1" applyBorder="1"/>
    <xf numFmtId="166" fontId="150" fillId="0" borderId="111" xfId="4130" applyNumberFormat="1" applyFont="1" applyFill="1" applyBorder="1"/>
    <xf numFmtId="38" fontId="50" fillId="0" borderId="0" xfId="4128" applyNumberFormat="1"/>
    <xf numFmtId="38" fontId="150" fillId="0" borderId="107" xfId="4128" applyNumberFormat="1" applyFont="1" applyBorder="1"/>
    <xf numFmtId="174" fontId="164" fillId="0" borderId="0" xfId="4130" applyNumberFormat="1" applyFont="1"/>
    <xf numFmtId="311" fontId="164" fillId="0" borderId="0" xfId="4130" applyNumberFormat="1" applyFont="1"/>
    <xf numFmtId="174" fontId="200" fillId="0" borderId="107" xfId="4130" applyNumberFormat="1" applyFont="1" applyFill="1" applyBorder="1"/>
    <xf numFmtId="0" fontId="188" fillId="0" borderId="0" xfId="4128" applyFont="1"/>
    <xf numFmtId="38" fontId="188" fillId="0" borderId="0" xfId="4128" applyNumberFormat="1" applyFont="1"/>
    <xf numFmtId="174" fontId="201" fillId="0" borderId="0" xfId="4130" applyNumberFormat="1" applyFont="1"/>
    <xf numFmtId="311" fontId="201" fillId="0" borderId="0" xfId="4130" applyNumberFormat="1" applyFont="1"/>
    <xf numFmtId="174" fontId="202" fillId="0" borderId="107" xfId="4130" applyNumberFormat="1" applyFont="1" applyFill="1" applyBorder="1"/>
    <xf numFmtId="0" fontId="188" fillId="0" borderId="0" xfId="4128" applyFont="1" applyAlignment="1">
      <alignment vertical="center"/>
    </xf>
    <xf numFmtId="0" fontId="203" fillId="0" borderId="107" xfId="4128" applyFont="1" applyBorder="1"/>
    <xf numFmtId="0" fontId="152" fillId="0" borderId="84" xfId="4128" applyFont="1" applyBorder="1"/>
    <xf numFmtId="0" fontId="152" fillId="0" borderId="49" xfId="4128" applyFont="1" applyBorder="1"/>
    <xf numFmtId="0" fontId="152" fillId="0" borderId="5" xfId="4128" applyFont="1" applyBorder="1"/>
    <xf numFmtId="38" fontId="152" fillId="0" borderId="116" xfId="4128" applyNumberFormat="1" applyFont="1" applyBorder="1"/>
    <xf numFmtId="41" fontId="50" fillId="0" borderId="0" xfId="4128" applyNumberFormat="1" applyAlignment="1">
      <alignment horizontal="right" vertical="center"/>
    </xf>
    <xf numFmtId="9" fontId="152" fillId="0" borderId="116" xfId="4131" applyFont="1" applyBorder="1"/>
    <xf numFmtId="0" fontId="152" fillId="0" borderId="24" xfId="4128" applyFont="1" applyBorder="1"/>
    <xf numFmtId="0" fontId="152" fillId="0" borderId="50" xfId="4128" applyFont="1" applyBorder="1"/>
    <xf numFmtId="0" fontId="169" fillId="0" borderId="0" xfId="4128" applyFont="1" applyAlignment="1">
      <alignment horizontal="center" vertical="center"/>
    </xf>
    <xf numFmtId="174" fontId="50" fillId="63" borderId="0" xfId="4128" applyNumberFormat="1" applyFill="1" applyAlignment="1">
      <alignment vertical="center"/>
    </xf>
    <xf numFmtId="174" fontId="50" fillId="0" borderId="0" xfId="4128" applyNumberFormat="1" applyAlignment="1">
      <alignment vertical="center"/>
    </xf>
    <xf numFmtId="174" fontId="50" fillId="0" borderId="0" xfId="4128" applyNumberFormat="1"/>
    <xf numFmtId="0" fontId="150" fillId="0" borderId="118" xfId="4128" applyFont="1" applyBorder="1"/>
    <xf numFmtId="0" fontId="50" fillId="0" borderId="118" xfId="4128" applyBorder="1"/>
    <xf numFmtId="174" fontId="150" fillId="0" borderId="118" xfId="4128" applyNumberFormat="1" applyFont="1" applyBorder="1" applyAlignment="1">
      <alignment vertical="center"/>
    </xf>
    <xf numFmtId="174" fontId="150" fillId="0" borderId="119" xfId="4128" applyNumberFormat="1" applyFont="1" applyBorder="1" applyAlignment="1">
      <alignment vertical="center"/>
    </xf>
    <xf numFmtId="174" fontId="150" fillId="0" borderId="0" xfId="4128" applyNumberFormat="1" applyFont="1" applyAlignment="1">
      <alignment vertical="center"/>
    </xf>
    <xf numFmtId="0" fontId="150" fillId="0" borderId="112" xfId="4128" applyFont="1" applyBorder="1"/>
    <xf numFmtId="41" fontId="188" fillId="0" borderId="0" xfId="4128" applyNumberFormat="1" applyFont="1" applyAlignment="1">
      <alignment vertical="center"/>
    </xf>
    <xf numFmtId="41" fontId="188" fillId="0" borderId="0" xfId="4128" applyNumberFormat="1" applyFont="1"/>
    <xf numFmtId="0" fontId="150" fillId="0" borderId="0" xfId="4128" applyFont="1" applyBorder="1"/>
    <xf numFmtId="0" fontId="150" fillId="44" borderId="0" xfId="4128" applyFont="1" applyFill="1" applyBorder="1"/>
    <xf numFmtId="0" fontId="186" fillId="44" borderId="0" xfId="4128" applyFont="1" applyFill="1" applyBorder="1" applyAlignment="1">
      <alignment horizontal="right" vertical="top"/>
    </xf>
    <xf numFmtId="9" fontId="50" fillId="0" borderId="0" xfId="4128" applyNumberFormat="1"/>
    <xf numFmtId="300" fontId="152" fillId="62" borderId="115" xfId="4128" applyNumberFormat="1" applyFont="1" applyFill="1" applyBorder="1"/>
    <xf numFmtId="168" fontId="152" fillId="0" borderId="117" xfId="4130" applyNumberFormat="1" applyFont="1" applyBorder="1"/>
    <xf numFmtId="41" fontId="152" fillId="0" borderId="5" xfId="4128" applyNumberFormat="1" applyFont="1" applyBorder="1"/>
    <xf numFmtId="41" fontId="152" fillId="0" borderId="0" xfId="4128" applyNumberFormat="1" applyFont="1" applyBorder="1"/>
    <xf numFmtId="41" fontId="152" fillId="0" borderId="8" xfId="4128" applyNumberFormat="1" applyFont="1" applyBorder="1"/>
    <xf numFmtId="9" fontId="152" fillId="44" borderId="0" xfId="2" applyFont="1" applyFill="1"/>
    <xf numFmtId="0" fontId="152" fillId="0" borderId="0" xfId="4128" applyFont="1" applyBorder="1"/>
    <xf numFmtId="300" fontId="152" fillId="62" borderId="116" xfId="4128" applyNumberFormat="1" applyFont="1" applyFill="1" applyBorder="1"/>
    <xf numFmtId="41" fontId="152" fillId="0" borderId="107" xfId="4128" applyNumberFormat="1" applyFont="1" applyBorder="1"/>
    <xf numFmtId="38" fontId="150" fillId="0" borderId="8" xfId="4121" applyNumberFormat="1" applyFont="1" applyBorder="1"/>
    <xf numFmtId="0" fontId="50" fillId="0" borderId="0" xfId="4117" quotePrefix="1" applyFont="1" applyBorder="1" applyAlignment="1">
      <alignment horizontal="left" indent="1"/>
    </xf>
    <xf numFmtId="0" fontId="204" fillId="0" borderId="0" xfId="4132" applyFont="1" applyBorder="1"/>
    <xf numFmtId="0" fontId="2" fillId="0" borderId="0" xfId="4132"/>
    <xf numFmtId="0" fontId="205" fillId="0" borderId="0" xfId="4132" applyFont="1" applyBorder="1"/>
    <xf numFmtId="9" fontId="206" fillId="44" borderId="0" xfId="4132" applyNumberFormat="1" applyFont="1" applyFill="1" applyBorder="1"/>
    <xf numFmtId="0" fontId="206" fillId="0" borderId="0" xfId="4132" applyFont="1" applyBorder="1" applyAlignment="1">
      <alignment horizontal="left"/>
    </xf>
    <xf numFmtId="0" fontId="176" fillId="51" borderId="0" xfId="4132" applyFont="1" applyFill="1"/>
    <xf numFmtId="0" fontId="207" fillId="0" borderId="0" xfId="4132" applyFont="1" applyBorder="1"/>
    <xf numFmtId="0" fontId="206" fillId="0" borderId="0" xfId="4132" applyFont="1" applyBorder="1" applyAlignment="1">
      <alignment horizontal="center"/>
    </xf>
    <xf numFmtId="0" fontId="208" fillId="45" borderId="2" xfId="4132" applyFont="1" applyFill="1" applyBorder="1" applyAlignment="1">
      <alignment horizontal="center"/>
    </xf>
    <xf numFmtId="0" fontId="208" fillId="45" borderId="51" xfId="4132" applyFont="1" applyFill="1" applyBorder="1" applyAlignment="1">
      <alignment horizontal="center"/>
    </xf>
    <xf numFmtId="0" fontId="208" fillId="45" borderId="2" xfId="4132" applyFont="1" applyFill="1" applyBorder="1" applyAlignment="1">
      <alignment horizontal="center" wrapText="1"/>
    </xf>
    <xf numFmtId="0" fontId="208" fillId="0" borderId="2" xfId="4132" applyFont="1" applyBorder="1" applyAlignment="1">
      <alignment horizontal="center"/>
    </xf>
    <xf numFmtId="0" fontId="208" fillId="0" borderId="2" xfId="4132" applyFont="1" applyBorder="1"/>
    <xf numFmtId="174" fontId="180" fillId="0" borderId="2" xfId="4133" applyNumberFormat="1" applyFont="1" applyFill="1" applyBorder="1" applyProtection="1">
      <protection locked="0"/>
    </xf>
    <xf numFmtId="174" fontId="180" fillId="51" borderId="2" xfId="4133" applyNumberFormat="1" applyFont="1" applyFill="1" applyBorder="1" applyAlignment="1" applyProtection="1">
      <alignment vertical="center"/>
      <protection locked="0"/>
    </xf>
    <xf numFmtId="9" fontId="2" fillId="51" borderId="2" xfId="4132" applyNumberFormat="1" applyFill="1" applyBorder="1"/>
    <xf numFmtId="174" fontId="181" fillId="0" borderId="2" xfId="4132" applyNumberFormat="1" applyFont="1" applyBorder="1"/>
    <xf numFmtId="174" fontId="2" fillId="0" borderId="2" xfId="4132" applyNumberFormat="1" applyBorder="1"/>
    <xf numFmtId="0" fontId="2" fillId="0" borderId="2" xfId="4132" applyBorder="1"/>
    <xf numFmtId="174" fontId="2" fillId="0" borderId="0" xfId="4132" applyNumberFormat="1"/>
    <xf numFmtId="174" fontId="180" fillId="51" borderId="2" xfId="4133" applyNumberFormat="1" applyFont="1" applyFill="1" applyBorder="1" applyProtection="1">
      <protection locked="0"/>
    </xf>
    <xf numFmtId="41" fontId="0" fillId="0" borderId="2" xfId="4134" applyFont="1" applyBorder="1"/>
    <xf numFmtId="299" fontId="0" fillId="0" borderId="2" xfId="4133" applyNumberFormat="1" applyFont="1" applyBorder="1"/>
    <xf numFmtId="0" fontId="2" fillId="0" borderId="0" xfId="4132" applyBorder="1"/>
    <xf numFmtId="0" fontId="208" fillId="0" borderId="0" xfId="4132" applyFont="1" applyBorder="1" applyAlignment="1">
      <alignment horizontal="center"/>
    </xf>
    <xf numFmtId="0" fontId="208" fillId="0" borderId="0" xfId="4132" applyFont="1" applyBorder="1"/>
    <xf numFmtId="174" fontId="180" fillId="0" borderId="0" xfId="4133" applyNumberFormat="1" applyFont="1" applyFill="1" applyBorder="1" applyProtection="1">
      <protection locked="0"/>
    </xf>
    <xf numFmtId="9" fontId="2" fillId="0" borderId="0" xfId="4132" applyNumberFormat="1" applyFill="1" applyBorder="1"/>
    <xf numFmtId="299" fontId="0" fillId="0" borderId="0" xfId="4133" applyNumberFormat="1" applyFont="1" applyBorder="1"/>
    <xf numFmtId="174" fontId="2" fillId="0" borderId="0" xfId="4132" applyNumberFormat="1" applyBorder="1"/>
    <xf numFmtId="174" fontId="208" fillId="0" borderId="2" xfId="4133" applyNumberFormat="1" applyFont="1" applyFill="1" applyBorder="1" applyProtection="1">
      <protection locked="0"/>
    </xf>
    <xf numFmtId="9" fontId="176" fillId="0" borderId="2" xfId="4132" applyNumberFormat="1" applyFont="1" applyFill="1" applyBorder="1"/>
    <xf numFmtId="299" fontId="176" fillId="0" borderId="2" xfId="4133" applyNumberFormat="1" applyFont="1" applyBorder="1"/>
    <xf numFmtId="0" fontId="176" fillId="0" borderId="2" xfId="4132" applyFont="1" applyBorder="1"/>
    <xf numFmtId="0" fontId="176" fillId="0" borderId="2" xfId="4132" applyFont="1" applyBorder="1" applyAlignment="1">
      <alignment horizontal="center"/>
    </xf>
    <xf numFmtId="0" fontId="206" fillId="0" borderId="2" xfId="4132" applyFont="1" applyBorder="1"/>
    <xf numFmtId="41" fontId="0" fillId="51" borderId="2" xfId="4134" applyFont="1" applyFill="1" applyBorder="1"/>
    <xf numFmtId="0" fontId="2" fillId="0" borderId="0" xfId="4132" applyAlignment="1">
      <alignment horizontal="left"/>
    </xf>
    <xf numFmtId="0" fontId="50" fillId="0" borderId="0" xfId="4132" applyFont="1"/>
    <xf numFmtId="41" fontId="0" fillId="0" borderId="0" xfId="4134" applyFont="1"/>
    <xf numFmtId="0" fontId="2" fillId="0" borderId="103" xfId="4132" applyBorder="1"/>
    <xf numFmtId="174" fontId="209" fillId="0" borderId="62" xfId="4132" applyNumberFormat="1" applyFont="1" applyBorder="1"/>
    <xf numFmtId="0" fontId="2" fillId="0" borderId="57" xfId="4132" applyBorder="1" applyAlignment="1">
      <alignment horizontal="center" vertical="center"/>
    </xf>
    <xf numFmtId="41" fontId="0" fillId="0" borderId="103" xfId="4134" applyFont="1" applyBorder="1" applyAlignment="1">
      <alignment horizontal="center" vertical="center"/>
    </xf>
    <xf numFmtId="41" fontId="0" fillId="0" borderId="61" xfId="4134" applyFont="1" applyBorder="1"/>
    <xf numFmtId="0" fontId="2" fillId="0" borderId="103" xfId="4132" applyBorder="1" applyAlignment="1">
      <alignment horizontal="center"/>
    </xf>
    <xf numFmtId="1" fontId="2" fillId="0" borderId="103" xfId="4132" applyNumberFormat="1" applyBorder="1" applyAlignment="1">
      <alignment horizontal="center" vertical="center"/>
    </xf>
    <xf numFmtId="0" fontId="208" fillId="45" borderId="103" xfId="4132" applyFont="1" applyFill="1" applyBorder="1" applyAlignment="1">
      <alignment horizontal="center"/>
    </xf>
    <xf numFmtId="0" fontId="210" fillId="64" borderId="2" xfId="4135" applyNumberFormat="1" applyFont="1" applyFill="1" applyBorder="1" applyAlignment="1">
      <alignment horizontal="left" vertical="center"/>
    </xf>
    <xf numFmtId="312" fontId="211" fillId="65" borderId="2" xfId="4132" applyNumberFormat="1" applyFont="1" applyFill="1" applyBorder="1" applyAlignment="1">
      <alignment vertical="center"/>
    </xf>
    <xf numFmtId="0" fontId="208" fillId="0" borderId="120" xfId="4132" applyFont="1" applyBorder="1" applyAlignment="1">
      <alignment horizontal="center"/>
    </xf>
    <xf numFmtId="0" fontId="208" fillId="0" borderId="121" xfId="4132" applyFont="1" applyBorder="1"/>
    <xf numFmtId="174" fontId="23" fillId="0" borderId="121" xfId="4133" applyNumberFormat="1" applyFont="1" applyFill="1" applyBorder="1" applyProtection="1">
      <protection locked="0"/>
    </xf>
    <xf numFmtId="174" fontId="180" fillId="0" borderId="121" xfId="4133" applyNumberFormat="1" applyFont="1" applyFill="1" applyBorder="1" applyProtection="1">
      <protection locked="0"/>
    </xf>
    <xf numFmtId="312" fontId="211" fillId="43" borderId="2" xfId="4132" applyNumberFormat="1" applyFont="1" applyFill="1" applyBorder="1" applyAlignment="1">
      <alignment vertical="center"/>
    </xf>
    <xf numFmtId="174" fontId="23" fillId="0" borderId="0" xfId="4133" applyNumberFormat="1" applyFont="1" applyFill="1" applyBorder="1" applyProtection="1">
      <protection locked="0"/>
    </xf>
    <xf numFmtId="0" fontId="176" fillId="0" borderId="103" xfId="4132" applyFont="1" applyBorder="1"/>
    <xf numFmtId="0" fontId="208" fillId="0" borderId="103" xfId="4132" applyFont="1" applyFill="1" applyBorder="1"/>
    <xf numFmtId="174" fontId="209" fillId="0" borderId="103" xfId="4132" applyNumberFormat="1" applyFont="1" applyBorder="1"/>
    <xf numFmtId="0" fontId="176" fillId="0" borderId="0" xfId="4132" applyFont="1" applyBorder="1"/>
    <xf numFmtId="0" fontId="208" fillId="0" borderId="0" xfId="4132" applyFont="1" applyFill="1" applyBorder="1"/>
    <xf numFmtId="174" fontId="209" fillId="0" borderId="0" xfId="4132" applyNumberFormat="1" applyFont="1" applyBorder="1"/>
    <xf numFmtId="9" fontId="206" fillId="44" borderId="0" xfId="4132" applyNumberFormat="1" applyFont="1" applyFill="1" applyBorder="1" applyAlignment="1">
      <alignment horizontal="center" vertical="center"/>
    </xf>
    <xf numFmtId="9" fontId="206" fillId="0" borderId="0" xfId="4132" applyNumberFormat="1" applyFont="1" applyFill="1" applyBorder="1"/>
    <xf numFmtId="0" fontId="206" fillId="44" borderId="0" xfId="4132" applyNumberFormat="1" applyFont="1" applyFill="1" applyBorder="1" applyAlignment="1">
      <alignment horizontal="center" vertical="center"/>
    </xf>
    <xf numFmtId="41" fontId="212" fillId="0" borderId="0" xfId="4134" applyFont="1" applyFill="1" applyBorder="1"/>
    <xf numFmtId="174" fontId="213" fillId="0" borderId="0" xfId="4132" applyNumberFormat="1" applyFont="1" applyBorder="1"/>
    <xf numFmtId="300" fontId="150" fillId="0" borderId="58" xfId="4121" applyNumberFormat="1" applyFont="1" applyBorder="1"/>
    <xf numFmtId="300" fontId="150" fillId="0" borderId="8" xfId="4121" applyNumberFormat="1" applyFont="1" applyBorder="1"/>
    <xf numFmtId="313" fontId="206" fillId="0" borderId="0" xfId="4134" quotePrefix="1" applyNumberFormat="1" applyFont="1" applyFill="1" applyBorder="1"/>
    <xf numFmtId="314" fontId="206" fillId="44" borderId="0" xfId="4132" applyNumberFormat="1" applyFont="1" applyFill="1" applyBorder="1" applyAlignment="1">
      <alignment horizontal="center" vertical="center"/>
    </xf>
    <xf numFmtId="166" fontId="180" fillId="0" borderId="2" xfId="4103" applyFont="1" applyFill="1" applyBorder="1" applyProtection="1">
      <protection locked="0"/>
    </xf>
    <xf numFmtId="9" fontId="50" fillId="0" borderId="0" xfId="2" applyFont="1" applyAlignment="1">
      <alignment horizontal="right"/>
    </xf>
    <xf numFmtId="166" fontId="2" fillId="0" borderId="0" xfId="4103" applyFont="1"/>
    <xf numFmtId="9" fontId="2" fillId="0" borderId="0" xfId="2" applyFont="1"/>
    <xf numFmtId="0" fontId="214" fillId="0" borderId="0" xfId="4128" applyFont="1"/>
    <xf numFmtId="41" fontId="195" fillId="0" borderId="0" xfId="4128" applyNumberFormat="1" applyFont="1"/>
    <xf numFmtId="0" fontId="0" fillId="0" borderId="2" xfId="0" applyBorder="1"/>
    <xf numFmtId="41" fontId="0" fillId="0" borderId="2" xfId="4129" applyFont="1" applyBorder="1"/>
    <xf numFmtId="41" fontId="0" fillId="0" borderId="2" xfId="0" applyNumberFormat="1" applyBorder="1"/>
    <xf numFmtId="9" fontId="0" fillId="0" borderId="2" xfId="0" applyNumberFormat="1" applyBorder="1"/>
    <xf numFmtId="41" fontId="50" fillId="44" borderId="0" xfId="4128" applyNumberFormat="1" applyFill="1" applyAlignment="1">
      <alignment vertical="center"/>
    </xf>
    <xf numFmtId="41" fontId="50" fillId="44" borderId="0" xfId="4128" quotePrefix="1" applyNumberFormat="1" applyFill="1" applyAlignment="1">
      <alignment vertical="center"/>
    </xf>
    <xf numFmtId="1" fontId="176" fillId="51" borderId="0" xfId="4132" applyNumberFormat="1" applyFont="1" applyFill="1"/>
    <xf numFmtId="0" fontId="1" fillId="0" borderId="54" xfId="4117" applyFont="1" applyBorder="1"/>
    <xf numFmtId="0" fontId="151" fillId="0" borderId="0" xfId="4128" applyFont="1" applyBorder="1"/>
    <xf numFmtId="166" fontId="151" fillId="0" borderId="49" xfId="4103" applyFont="1" applyBorder="1"/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quotePrefix="1" applyAlignment="1">
      <alignment horizontal="right"/>
    </xf>
    <xf numFmtId="166" fontId="0" fillId="0" borderId="0" xfId="2030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102" xfId="0" applyBorder="1"/>
    <xf numFmtId="166" fontId="0" fillId="0" borderId="2" xfId="2030" applyFont="1" applyBorder="1"/>
    <xf numFmtId="9" fontId="50" fillId="43" borderId="0" xfId="2" applyFont="1" applyFill="1" applyAlignment="1">
      <alignment vertical="center"/>
    </xf>
    <xf numFmtId="0" fontId="156" fillId="0" borderId="0" xfId="4117" applyFont="1" applyBorder="1" applyAlignment="1">
      <alignment horizontal="right"/>
    </xf>
    <xf numFmtId="0" fontId="50" fillId="0" borderId="0" xfId="4117" applyFont="1" applyFill="1" applyBorder="1" applyAlignment="1" applyProtection="1">
      <alignment horizontal="left" indent="1"/>
    </xf>
    <xf numFmtId="0" fontId="150" fillId="0" borderId="54" xfId="4117" applyFont="1" applyFill="1" applyBorder="1" applyAlignment="1" applyProtection="1">
      <alignment horizontal="left" indent="1"/>
    </xf>
    <xf numFmtId="0" fontId="150" fillId="0" borderId="0" xfId="4117" applyFont="1" applyFill="1" applyBorder="1" applyAlignment="1" applyProtection="1">
      <alignment horizontal="left" indent="1"/>
    </xf>
    <xf numFmtId="0" fontId="150" fillId="0" borderId="55" xfId="4117" applyFont="1" applyFill="1" applyBorder="1" applyAlignment="1" applyProtection="1">
      <alignment horizontal="left" indent="1"/>
    </xf>
    <xf numFmtId="0" fontId="150" fillId="0" borderId="9" xfId="4117" applyFont="1" applyFill="1" applyBorder="1" applyAlignment="1" applyProtection="1">
      <alignment horizontal="left" indent="1"/>
    </xf>
    <xf numFmtId="0" fontId="150" fillId="0" borderId="0" xfId="4117" applyFont="1" applyBorder="1" applyAlignment="1">
      <alignment horizontal="center"/>
    </xf>
    <xf numFmtId="0" fontId="50" fillId="0" borderId="0" xfId="4117" applyFont="1" applyBorder="1" applyAlignment="1">
      <alignment horizontal="center"/>
    </xf>
    <xf numFmtId="0" fontId="150" fillId="0" borderId="0" xfId="4117" applyFont="1" applyBorder="1" applyAlignment="1">
      <alignment horizontal="left"/>
    </xf>
    <xf numFmtId="0" fontId="150" fillId="0" borderId="57" xfId="4117" applyFont="1" applyFill="1" applyBorder="1" applyAlignment="1" applyProtection="1">
      <alignment horizontal="left" indent="1"/>
    </xf>
    <xf numFmtId="0" fontId="150" fillId="0" borderId="60" xfId="4117" applyFont="1" applyFill="1" applyBorder="1" applyAlignment="1" applyProtection="1">
      <alignment horizontal="left" indent="1"/>
    </xf>
    <xf numFmtId="0" fontId="150" fillId="0" borderId="60" xfId="4117" applyFont="1" applyBorder="1" applyAlignment="1">
      <alignment horizontal="center"/>
    </xf>
    <xf numFmtId="0" fontId="50" fillId="0" borderId="0" xfId="4117" applyFont="1" applyBorder="1" applyAlignment="1">
      <alignment horizontal="left" indent="1"/>
    </xf>
    <xf numFmtId="0" fontId="50" fillId="0" borderId="0" xfId="4117" quotePrefix="1" applyFont="1" applyBorder="1" applyAlignment="1">
      <alignment horizontal="left" indent="1"/>
    </xf>
    <xf numFmtId="0" fontId="50" fillId="0" borderId="54" xfId="4117" applyFont="1" applyBorder="1" applyAlignment="1">
      <alignment horizontal="left" vertical="center" indent="1"/>
    </xf>
    <xf numFmtId="0" fontId="50" fillId="0" borderId="0" xfId="4117" applyFont="1" applyBorder="1" applyAlignment="1">
      <alignment horizontal="left" vertical="center" indent="1"/>
    </xf>
    <xf numFmtId="0" fontId="156" fillId="0" borderId="61" xfId="4117" applyFont="1" applyBorder="1" applyAlignment="1">
      <alignment horizontal="center"/>
    </xf>
    <xf numFmtId="0" fontId="156" fillId="0" borderId="62" xfId="4117" applyFont="1" applyBorder="1" applyAlignment="1">
      <alignment horizontal="center"/>
    </xf>
    <xf numFmtId="0" fontId="156" fillId="0" borderId="56" xfId="4117" applyFont="1" applyBorder="1" applyAlignment="1">
      <alignment horizontal="center"/>
    </xf>
    <xf numFmtId="0" fontId="50" fillId="0" borderId="57" xfId="4117" applyFont="1" applyBorder="1" applyAlignment="1">
      <alignment horizontal="left" indent="1"/>
    </xf>
    <xf numFmtId="0" fontId="50" fillId="0" borderId="60" xfId="4117" applyFont="1" applyBorder="1" applyAlignment="1">
      <alignment horizontal="left" indent="1"/>
    </xf>
    <xf numFmtId="0" fontId="150" fillId="0" borderId="60" xfId="4117" applyFont="1" applyBorder="1" applyAlignment="1">
      <alignment horizontal="left"/>
    </xf>
    <xf numFmtId="0" fontId="149" fillId="49" borderId="9" xfId="0" applyFont="1" applyFill="1" applyBorder="1" applyAlignment="1">
      <alignment horizontal="center"/>
    </xf>
    <xf numFmtId="0" fontId="159" fillId="49" borderId="9" xfId="0" applyFont="1" applyFill="1" applyBorder="1" applyAlignment="1">
      <alignment horizontal="center"/>
    </xf>
    <xf numFmtId="41" fontId="150" fillId="0" borderId="1" xfId="4128" applyNumberFormat="1" applyFont="1" applyBorder="1" applyAlignment="1">
      <alignment horizontal="center"/>
    </xf>
    <xf numFmtId="0" fontId="150" fillId="0" borderId="1" xfId="4128" applyFont="1" applyBorder="1" applyAlignment="1">
      <alignment horizontal="center"/>
    </xf>
    <xf numFmtId="0" fontId="50" fillId="0" borderId="2" xfId="4117" applyBorder="1" applyAlignment="1">
      <alignment horizontal="center" vertical="center" wrapText="1"/>
    </xf>
    <xf numFmtId="0" fontId="50" fillId="0" borderId="51" xfId="4117" applyBorder="1" applyAlignment="1">
      <alignment horizontal="center" vertical="center"/>
    </xf>
    <xf numFmtId="0" fontId="50" fillId="0" borderId="4" xfId="4117" applyBorder="1" applyAlignment="1">
      <alignment horizontal="center" vertical="center"/>
    </xf>
    <xf numFmtId="0" fontId="50" fillId="0" borderId="27" xfId="4117" applyBorder="1" applyAlignment="1">
      <alignment horizontal="center" vertical="center"/>
    </xf>
    <xf numFmtId="0" fontId="176" fillId="0" borderId="0" xfId="4123" applyFont="1" applyAlignment="1">
      <alignment horizontal="left" vertical="center" wrapText="1"/>
    </xf>
    <xf numFmtId="0" fontId="5" fillId="0" borderId="0" xfId="4123" applyAlignment="1">
      <alignment horizontal="center" vertical="center"/>
    </xf>
  </cellXfs>
  <cellStyles count="4136">
    <cellStyle name="_x000a_386grabber=M" xfId="3" xr:uid="{00000000-0005-0000-0000-000000000000}"/>
    <cellStyle name="_x000a_shell=progma" xfId="4" xr:uid="{00000000-0005-0000-0000-000001000000}"/>
    <cellStyle name="%" xfId="5" xr:uid="{00000000-0005-0000-0000-000002000000}"/>
    <cellStyle name="?" xfId="6" xr:uid="{00000000-0005-0000-0000-000003000000}"/>
    <cellStyle name="?Q\?1@" xfId="7" xr:uid="{00000000-0005-0000-0000-000004000000}"/>
    <cellStyle name="]_x000a__x000a_Width=1032_x000a__x000a_Height=776_x000a__x000a__x000a__x000a_[Customize]_x000a__x000a_PositionTAB=1_x000a__x000a_PositionMouse=1_x000a__x000a_AutoTAB=1_x000a__x000a_Edit.CaretWidth=2_x000a__x000a_ListCursor=1_x000a__x000a__x000a_" xfId="8" xr:uid="{00000000-0005-0000-0000-000005000000}"/>
    <cellStyle name="]_x000d__x000a_Width=1032_x000d__x000a_Height=776_x000d__x000a__x000d__x000a_[Customize]_x000d__x000a_PositionTAB=1_x000d__x000a_PositionMouse=1_x000d__x000a_AutoTAB=1_x000d__x000a_Edit.CaretWidth=2_x000d__x000a_ListCursor=1_x000d__x000a__x000d_" xfId="9" xr:uid="{00000000-0005-0000-0000-000006000000}"/>
    <cellStyle name="_01___Services (RFP) Single IN Rev. PA1A___edited by RIDWAN" xfId="10" xr:uid="{00000000-0005-0000-0000-000007000000}"/>
    <cellStyle name="_1 MgW R3 (205) SPMS cost" xfId="11" xr:uid="{00000000-0005-0000-0000-000008000000}"/>
    <cellStyle name="_2007 Detailed Budget Capex" xfId="12" xr:uid="{00000000-0005-0000-0000-000009000000}"/>
    <cellStyle name="_2007 Detailed Budget Capex_v4" xfId="13" xr:uid="{00000000-0005-0000-0000-00000A000000}"/>
    <cellStyle name="_2007 Detailed Budget Capex_v8" xfId="14" xr:uid="{00000000-0005-0000-0000-00000B000000}"/>
    <cellStyle name="_2G ML Dimensioning (Final)" xfId="15" xr:uid="{00000000-0005-0000-0000-00000C000000}"/>
    <cellStyle name="_2G ML Dimensioning (Final)_Summary of Payment 10 Nov 2008" xfId="16" xr:uid="{00000000-0005-0000-0000-00000D000000}"/>
    <cellStyle name="_3g RAN" xfId="17" xr:uid="{00000000-0005-0000-0000-00000E000000}"/>
    <cellStyle name="_3g RAN_Summary of Payment 10 Nov 2008" xfId="18" xr:uid="{00000000-0005-0000-0000-00000F000000}"/>
    <cellStyle name="_3G SITE PLAN SOLO AREA" xfId="19" xr:uid="{00000000-0005-0000-0000-000010000000}"/>
    <cellStyle name="_3G SITE PLAN SOLO AREA_Summary of Payment 10 Nov 2008" xfId="20" xr:uid="{00000000-0005-0000-0000-000011000000}"/>
    <cellStyle name="_3G site rollout 2007 aop v1 (2)" xfId="21" xr:uid="{00000000-0005-0000-0000-000012000000}"/>
    <cellStyle name="_3G SYSTEM SUPPORT Rev PA2OK" xfId="22" xr:uid="{00000000-0005-0000-0000-000013000000}"/>
    <cellStyle name="_3G SYSTEM SUPPORT Rev PA2OK_Summary of Payment 10 Nov 2008" xfId="23" xr:uid="{00000000-0005-0000-0000-000014000000}"/>
    <cellStyle name="_3G_ISAT SUPPORT Rev PA1" xfId="24" xr:uid="{00000000-0005-0000-0000-000015000000}"/>
    <cellStyle name="_3G_ISAT SUPPORT Rev PA1_Summary of Payment 10 Nov 2008" xfId="25" xr:uid="{00000000-0005-0000-0000-000016000000}"/>
    <cellStyle name="_4. MSC-HLR-MGW-GSN-MPBN Dimensioning (Final)" xfId="26" xr:uid="{00000000-0005-0000-0000-000017000000}"/>
    <cellStyle name="_4. MSC-HLR-MGW-GSN-MPBN Dimensioning (Final)_Summary of Payment 10 Nov 2008" xfId="27" xr:uid="{00000000-0005-0000-0000-000018000000}"/>
    <cellStyle name="_438-1 Jabotabek BSS Capacity Upgrade Q4 2006 - BoQ for Services Calculation" xfId="28" xr:uid="{00000000-0005-0000-0000-000019000000}"/>
    <cellStyle name="_438-1 Jabotabek BSS Capacity Upgrade Q4 2006 - BoQ for Services Calculation_Summary of Payment 10 Nov 2008" xfId="29" xr:uid="{00000000-0005-0000-0000-00001A000000}"/>
    <cellStyle name="_Aceh Scenario02A" xfId="30" xr:uid="{00000000-0005-0000-0000-00001B000000}"/>
    <cellStyle name="_Aceh Scenario02B" xfId="31" xr:uid="{00000000-0005-0000-0000-00001C000000}"/>
    <cellStyle name="_Actual Local Material Cost-revB" xfId="32" xr:uid="{00000000-0005-0000-0000-00001D000000}"/>
    <cellStyle name="_Actual Local Material Cost-revB_Summary of Payment 10 Nov 2008" xfId="33" xr:uid="{00000000-0005-0000-0000-00001E000000}"/>
    <cellStyle name="_add dTRU and sTRU_Rev D BoQ+SoW Summary" xfId="34" xr:uid="{00000000-0005-0000-0000-00001F000000}"/>
    <cellStyle name="_add dTRU and sTRU_Rev D BoQ+SoW Summary_Summary of Payment 10 Nov 2008" xfId="35" xr:uid="{00000000-0005-0000-0000-000020000000}"/>
    <cellStyle name="_Add Link RO 2006 Batch 3 (PA1) (4)" xfId="36" xr:uid="{00000000-0005-0000-0000-000021000000}"/>
    <cellStyle name="_Add Link RO 2006 Batch 3 (PA1) (4)_Summary of Payment 10 Nov 2008" xfId="37" xr:uid="{00000000-0005-0000-0000-000022000000}"/>
    <cellStyle name="_Additional Work Outer Jabo Dismantling" xfId="38" xr:uid="{00000000-0005-0000-0000-000023000000}"/>
    <cellStyle name="_Additional Work Outer Jabo Dismantling_Summary of Payment 10 Nov 2008" xfId="39" xr:uid="{00000000-0005-0000-0000-000024000000}"/>
    <cellStyle name="_All Site List" xfId="40" xr:uid="{00000000-0005-0000-0000-000025000000}"/>
    <cellStyle name="_Annex 5 - Detail BoQ Batch 1 + Local (by Rizky)" xfId="41" xr:uid="{00000000-0005-0000-0000-000026000000}"/>
    <cellStyle name="_Annex 5 - Detail BoQ Batch 1 + Local (by Rizky) rev B (2)" xfId="42" xr:uid="{00000000-0005-0000-0000-000027000000}"/>
    <cellStyle name="_Annex 5 - Detail BoQ Batch 1 + Local (by Rizky) rev B (2)_Summary of Payment 10 Nov 2008" xfId="43" xr:uid="{00000000-0005-0000-0000-000028000000}"/>
    <cellStyle name="_Annex 5 - Detail BoQ Batch 1 + Local (by Rizky)_Summary of Payment 10 Nov 2008" xfId="44" xr:uid="{00000000-0005-0000-0000-000029000000}"/>
    <cellStyle name="_ANNEX II  LINK PERFORMANCE 44 HOPS BACKBONE DUAL POLARIZED KALIMANTAN PONTIANAK-BANJARMASIN (2)" xfId="45" xr:uid="{00000000-0005-0000-0000-00002A000000}"/>
    <cellStyle name="_ANNEX II  LINK PERFORMANCE 44 HOPS BACKBONE DUAL POLARIZED KALIMANTAN PONTIANAK-BANJARMASIN (2)_Summary of Payment 10 Nov 2008" xfId="46" xr:uid="{00000000-0005-0000-0000-00002B000000}"/>
    <cellStyle name="_Annex.4 Detail BoQ Batch 2A + Local Material rev B" xfId="47" xr:uid="{00000000-0005-0000-0000-00002C000000}"/>
    <cellStyle name="_Annex.4 Detail BoQ Batch 2A + Local Material rev B_Summary of Payment 10 Nov 2008" xfId="48" xr:uid="{00000000-0005-0000-0000-00002D000000}"/>
    <cellStyle name="_AQUA PROJECTION_Final Value" xfId="49" xr:uid="{00000000-0005-0000-0000-00002E000000}"/>
    <cellStyle name="_ATNDTND Services for Indosat 3G expansion 2007_Rev C 140407" xfId="50" xr:uid="{00000000-0005-0000-0000-00002F000000}"/>
    <cellStyle name="_ATNDTND Services for Indosat 3G expansion 2007_Rev C 140407_Summary of Payment 10 Nov 2008" xfId="51" xr:uid="{00000000-0005-0000-0000-000030000000}"/>
    <cellStyle name="_ATNDTND Services for Indosat 3G expansion 2007_RevA" xfId="52" xr:uid="{00000000-0005-0000-0000-000031000000}"/>
    <cellStyle name="_ATNDTND Services for Indosat 3G expansion 2007_RevA_Summary of Payment 10 Nov 2008" xfId="53" xr:uid="{00000000-0005-0000-0000-000032000000}"/>
    <cellStyle name="_ATNDTND Services for Indosat 3G expansion 2007_RevB" xfId="54" xr:uid="{00000000-0005-0000-0000-000033000000}"/>
    <cellStyle name="_ATNDTND Services for Indosat 3G expansion 2007_RevB_Summary of Payment 10 Nov 2008" xfId="55" xr:uid="{00000000-0005-0000-0000-000034000000}"/>
    <cellStyle name="_BATCH 2A_Outer Jabotabek_BJK23-BJK30 (89 Sites) Rev. PA2 (EID)" xfId="56" xr:uid="{00000000-0005-0000-0000-000035000000}"/>
    <cellStyle name="_BATCH 2A_Outer Jabotabek_BJK23-BJK30 (89 Sites) Rev. PA3 (EID)" xfId="57" xr:uid="{00000000-0005-0000-0000-000036000000}"/>
    <cellStyle name="_Batch2 (MN-HC)" xfId="58" xr:uid="{00000000-0005-0000-0000-000037000000}"/>
    <cellStyle name="_Batch2 (MN-TN)" xfId="59" xr:uid="{00000000-0005-0000-0000-000038000000}"/>
    <cellStyle name="_Batch3 (MN-HC)" xfId="60" xr:uid="{00000000-0005-0000-0000-000039000000}"/>
    <cellStyle name="_Batch3 (MN-TN)" xfId="61" xr:uid="{00000000-0005-0000-0000-00003A000000}"/>
    <cellStyle name="_BDJ" xfId="62" xr:uid="{00000000-0005-0000-0000-00003B000000}"/>
    <cellStyle name="_Book2" xfId="63" xr:uid="{00000000-0005-0000-0000-00003C000000}"/>
    <cellStyle name="_Book2 (4)" xfId="64" xr:uid="{00000000-0005-0000-0000-00003D000000}"/>
    <cellStyle name="_BoQ" xfId="65" xr:uid="{00000000-0005-0000-0000-00003E000000}"/>
    <cellStyle name="_BoQ Excelcomindo STM-64" xfId="66" xr:uid="{00000000-0005-0000-0000-00003F000000}"/>
    <cellStyle name="_BoQ Indosat 3 August 2006" xfId="67" xr:uid="{00000000-0005-0000-0000-000040000000}"/>
    <cellStyle name="_BoQ Indosat Jun 24 (4) 280606 09.15 pm" xfId="68" xr:uid="{00000000-0005-0000-0000-000041000000}"/>
    <cellStyle name="_BoQ Indosat Jun 24 (6)" xfId="69" xr:uid="{00000000-0005-0000-0000-000042000000}"/>
    <cellStyle name="_BoQ Jasa revision Rev A (2)" xfId="70" xr:uid="{00000000-0005-0000-0000-000043000000}"/>
    <cellStyle name="_BOQ LOCAL MATERIAL  SITES WCDMA INDOSAT PROJECT 2007 PREORDER revA (3)" xfId="71" xr:uid="{00000000-0005-0000-0000-000044000000}"/>
    <cellStyle name="_BOQ LOCAL MATERIAL  SITES WCDMA INDOSAT PROJECT 2007 PREORDER revA (3)_Summary of Payment 10 Nov 2008" xfId="72" xr:uid="{00000000-0005-0000-0000-000045000000}"/>
    <cellStyle name="_BOQ LOCAL MATERIAL  SITES WCDMA INDOSAT PROJECT 2007 PREORDER revB_Sourcing" xfId="73" xr:uid="{00000000-0005-0000-0000-000046000000}"/>
    <cellStyle name="_BOQ LOCAL MATERIAL  SITES WCDMA INDOSAT PROJECT 2007 PREORDER revB_Sourcing_Summary of Payment 10 Nov 2008" xfId="74" xr:uid="{00000000-0005-0000-0000-000047000000}"/>
    <cellStyle name="_BOQ LOCAL MATERIAL WCDMA INDOSAT PROJECT_revB" xfId="75" xr:uid="{00000000-0005-0000-0000-000048000000}"/>
    <cellStyle name="_BOQ LOCAL MATERIAL WCDMA INDOSAT PROJECT_revB_Summary of Payment 10 Nov 2008" xfId="76" xr:uid="{00000000-0005-0000-0000-000049000000}"/>
    <cellStyle name="_Boq Material Local and additional rev" xfId="77" xr:uid="{00000000-0005-0000-0000-00004A000000}"/>
    <cellStyle name="_BoQ O&amp;M BSS Capacity Upgrade 2007" xfId="78" xr:uid="{00000000-0005-0000-0000-00004B000000}"/>
    <cellStyle name="_BoQ O&amp;M BSS Capacity Upgrade 2007_Summary of Payment 10 Nov 2008" xfId="79" xr:uid="{00000000-0005-0000-0000-00004C000000}"/>
    <cellStyle name="_BoQ Revision C Check and ReCheck" xfId="80" xr:uid="{00000000-0005-0000-0000-00004D000000}"/>
    <cellStyle name="_BoQ Revision C Check and ReCheck (7)" xfId="81" xr:uid="{00000000-0005-0000-0000-00004E000000}"/>
    <cellStyle name="_BoQ Revision C Check and ReCheck (7)_Summary of Payment 10 Nov 2008" xfId="82" xr:uid="{00000000-0005-0000-0000-00004F000000}"/>
    <cellStyle name="_BoQ Revision C Check and ReCheck_Summary of Payment 10 Nov 2008" xfId="83" xr:uid="{00000000-0005-0000-0000-000050000000}"/>
    <cellStyle name="_BOQ RFP Transmission Upgrade Batch 1 (4)" xfId="84" xr:uid="{00000000-0005-0000-0000-000051000000}"/>
    <cellStyle name="_BOQ RFP Transmission Upgrade Batch 1 (4)_Summary of Payment 10 Nov 2008" xfId="85" xr:uid="{00000000-0005-0000-0000-000052000000}"/>
    <cellStyle name="_BOQ RFP Transmission Upgrade Batch 1 (5)" xfId="86" xr:uid="{00000000-0005-0000-0000-000053000000}"/>
    <cellStyle name="_BOQ RFP Transmission Upgrade Batch 1 (5)_Summary of Payment 10 Nov 2008" xfId="87" xr:uid="{00000000-0005-0000-0000-000054000000}"/>
    <cellStyle name="_BoQ RNC Sumarry x1 &amp; x3" xfId="88" xr:uid="{00000000-0005-0000-0000-000055000000}"/>
    <cellStyle name="_BOQ Roll Out 2007 (EBJ-Modified) PA3" xfId="89" xr:uid="{00000000-0005-0000-0000-000056000000}"/>
    <cellStyle name="_BOQ Roll Out 2007 (EBJ-Modified) PA3_Summary of Payment 10 Nov 2008" xfId="90" xr:uid="{00000000-0005-0000-0000-000057000000}"/>
    <cellStyle name="_BOQ Roll Out 2007 (EBJ-Modified) PA4A" xfId="91" xr:uid="{00000000-0005-0000-0000-000058000000}"/>
    <cellStyle name="_BOQ Roll Out 2007 (EBJ-Modified) PA4A_Summary of Payment 10 Nov 2008" xfId="92" xr:uid="{00000000-0005-0000-0000-000059000000}"/>
    <cellStyle name="_BOQ Roll Out 2007 (EBJ-Modified) PA6" xfId="93" xr:uid="{00000000-0005-0000-0000-00005A000000}"/>
    <cellStyle name="_BOQ Roll Out 2007 (EBJ-Modified) PA6_Summary of Payment 10 Nov 2008" xfId="94" xr:uid="{00000000-0005-0000-0000-00005B000000}"/>
    <cellStyle name="_BoQ Shelter_rev.2(fromPak.Toto9-5-06)" xfId="95" xr:uid="{00000000-0005-0000-0000-00005C000000}"/>
    <cellStyle name="_BoQ Summary 3G 2007 MINI-LINK  RXI- PA1 (3)" xfId="96" xr:uid="{00000000-0005-0000-0000-00005D000000}"/>
    <cellStyle name="_BoQ Summary 3G 2007 MINI-LINK  RXI- PA1 (3)_Summary of Payment 10 Nov 2008" xfId="97" xr:uid="{00000000-0005-0000-0000-00005E000000}"/>
    <cellStyle name="_BOQ SUMMARY PR#2" xfId="98" xr:uid="{00000000-0005-0000-0000-00005F000000}"/>
    <cellStyle name="_BOQ SUMMARY PR#2_Summary of Payment 10 Nov 2008" xfId="99" xr:uid="{00000000-0005-0000-0000-000060000000}"/>
    <cellStyle name="_BoQ Total 600 Sites 3G 2007 Temporary PA3" xfId="100" xr:uid="{00000000-0005-0000-0000-000061000000}"/>
    <cellStyle name="_BoQ Total 600 Sites 3G 2007 Temporary PA3 (2)" xfId="101" xr:uid="{00000000-0005-0000-0000-000062000000}"/>
    <cellStyle name="_BoQ Total 600 Sites 3G 2007 Temporary PA3 (2)_Summary of Payment 10 Nov 2008" xfId="102" xr:uid="{00000000-0005-0000-0000-000063000000}"/>
    <cellStyle name="_BoQ Total 600 Sites 3G 2007 Temporary PA3 1" xfId="103" xr:uid="{00000000-0005-0000-0000-000064000000}"/>
    <cellStyle name="_BoQ Total 600 Sites 3G 2007 Temporary PA3 1_Summary of Payment 10 Nov 2008" xfId="104" xr:uid="{00000000-0005-0000-0000-000065000000}"/>
    <cellStyle name="_BoQ Total 600 Sites 3G 2007 Temporary PA3_Summary of Payment 10 Nov 2008" xfId="105" xr:uid="{00000000-0005-0000-0000-000066000000}"/>
    <cellStyle name="_BOQ TRM Kalimantan RO 2006 - Batch 3 (2)" xfId="106" xr:uid="{00000000-0005-0000-0000-000067000000}"/>
    <cellStyle name="_BOQ TRM Kalimantan RO 2006 - Batch 3 (2)_Summary of Payment 10 Nov 2008" xfId="107" xr:uid="{00000000-0005-0000-0000-000068000000}"/>
    <cellStyle name="_BoQ TRM Summary 3G Expansion 2007-PA2" xfId="108" xr:uid="{00000000-0005-0000-0000-000069000000}"/>
    <cellStyle name="_BoQ TRM Summary 3G Expansion 2007-PA2_Summary of Payment 10 Nov 2008" xfId="109" xr:uid="{00000000-0005-0000-0000-00006A000000}"/>
    <cellStyle name="_BoQ TRM Summary Mobile BTS 2007 (2)" xfId="110" xr:uid="{00000000-0005-0000-0000-00006B000000}"/>
    <cellStyle name="_BoQ TRM Summary Mobile BTS 2007 (2)_Summary of Payment 10 Nov 2008" xfId="111" xr:uid="{00000000-0005-0000-0000-00006C000000}"/>
    <cellStyle name="_BoQ_Summary of Payment 10 Nov 2008" xfId="112" xr:uid="{00000000-0005-0000-0000-00006D000000}"/>
    <cellStyle name="_BSC BoQ Likely Case" xfId="113" xr:uid="{00000000-0005-0000-0000-00006E000000}"/>
    <cellStyle name="_BSC BoQ Likely Case_Summary of Payment 10 Nov 2008" xfId="114" xr:uid="{00000000-0005-0000-0000-00006F000000}"/>
    <cellStyle name="_BSS Roll Out 2007" xfId="115" xr:uid="{00000000-0005-0000-0000-000070000000}"/>
    <cellStyle name="_BTS Jabotabek ISAT" xfId="116" xr:uid="{00000000-0005-0000-0000-000071000000}"/>
    <cellStyle name="_Budget 2006" xfId="117" xr:uid="{00000000-0005-0000-0000-000072000000}"/>
    <cellStyle name="_BUDGET STP 2008" xfId="118" xr:uid="{00000000-0005-0000-0000-000073000000}"/>
    <cellStyle name="_Budgetary BoQ- Backbone Upgrade Kalimantan (2)" xfId="119" xr:uid="{00000000-0005-0000-0000-000074000000}"/>
    <cellStyle name="_Budgetary BoQ- Backbone Upgrade Kalimantan (2)_Summary of Payment 10 Nov 2008" xfId="120" xr:uid="{00000000-0005-0000-0000-000075000000}"/>
    <cellStyle name="_Budgetary BoQ- Backbone Upgrade Kalimantan (7)" xfId="121" xr:uid="{00000000-0005-0000-0000-000076000000}"/>
    <cellStyle name="_Budgetary BoQ- Backbone Upgrade Kalimantan (7)_Summary of Payment 10 Nov 2008" xfId="122" xr:uid="{00000000-0005-0000-0000-000077000000}"/>
    <cellStyle name="_Budidharma Jakarta_Final" xfId="123" xr:uid="{00000000-0005-0000-0000-000078000000}"/>
    <cellStyle name="_BUGS_Hutch 7+3_PA8" xfId="124" xr:uid="{00000000-0005-0000-0000-000079000000}"/>
    <cellStyle name="_CAC NERA Spare Parts_no price" xfId="125" xr:uid="{00000000-0005-0000-0000-00007A000000}"/>
    <cellStyle name="_CAC NERA Spare Parts_no price_Summary of Payment 10 Nov 2008" xfId="126" xr:uid="{00000000-0005-0000-0000-00007B000000}"/>
    <cellStyle name="_Celcom Business Case Rev PA1" xfId="127" xr:uid="{00000000-0005-0000-0000-00007C000000}"/>
    <cellStyle name="_CME Prediction outer Jabotabek Rev.B _ 9 March 2005 ARSU" xfId="128" xr:uid="{00000000-0005-0000-0000-00007D000000}"/>
    <cellStyle name="_CME Prediction outer Jabotabek Rev.B _ 9 March 2005 ARSU_Summary of Payment 10 Nov 2008" xfId="129" xr:uid="{00000000-0005-0000-0000-00007E000000}"/>
    <cellStyle name="_CND_CNPI_Indosat Expansion Y2007-NTC_Price Proposal_070413_Rev A_" xfId="130" xr:uid="{00000000-0005-0000-0000-00007F000000}"/>
    <cellStyle name="_console danar 120906" xfId="131" xr:uid="{00000000-0005-0000-0000-000080000000}"/>
    <cellStyle name="_Consolidated Projection" xfId="132" xr:uid="{00000000-0005-0000-0000-000081000000}"/>
    <cellStyle name="_Contoh RND Calculation" xfId="133" xr:uid="{00000000-0005-0000-0000-000082000000}"/>
    <cellStyle name="_Contoh RND Calculation_Summary of Payment 10 Nov 2008" xfId="134" xr:uid="{00000000-0005-0000-0000-000083000000}"/>
    <cellStyle name="_Copy of Copy of Mega Safe_07July06" xfId="135" xr:uid="{00000000-0005-0000-0000-000084000000}"/>
    <cellStyle name="_Copy of Cost calculation HCPT 2G MO Kalimantan 030507 rev 3A final with revised CME" xfId="136" xr:uid="{00000000-0005-0000-0000-000085000000}"/>
    <cellStyle name="_Copy of Cost calculation HCPT 2G MO Kalimantan 030507 rev 3A final with revised CME_Summary of Payment 10 Nov 2008" xfId="137" xr:uid="{00000000-0005-0000-0000-000086000000}"/>
    <cellStyle name="_Copy of Site Handler 010708" xfId="138" xr:uid="{00000000-0005-0000-0000-000087000000}"/>
    <cellStyle name="_Copy of SSSPMS ISAT-3G Exp 2007 Rev J" xfId="139" xr:uid="{00000000-0005-0000-0000-000088000000}"/>
    <cellStyle name="_Copy of SSSPMS ISAT-3G Exp 2007 Rev J_Summary of Payment 10 Nov 2008" xfId="140" xr:uid="{00000000-0005-0000-0000-000089000000}"/>
    <cellStyle name="_Copy of SUMMARY SITE HANDLER" xfId="141" xr:uid="{00000000-0005-0000-0000-00008A000000}"/>
    <cellStyle name="_Copy of TND services for Indosat Q3 RevA" xfId="142" xr:uid="{00000000-0005-0000-0000-00008B000000}"/>
    <cellStyle name="_Copy of TND services for Indosat Q3 RevA_Summary of Payment 10 Nov 2008" xfId="143" xr:uid="{00000000-0005-0000-0000-00008C000000}"/>
    <cellStyle name="_Cost calculation HCPT 2G MO Kalimantan 010507 rev 3 final with CME" xfId="144" xr:uid="{00000000-0005-0000-0000-00008D000000}"/>
    <cellStyle name="_Cost calculation HCPT 2G MO Kalimantan 010507 rev 3 final with CME_Summary of Payment 10 Nov 2008" xfId="145" xr:uid="{00000000-0005-0000-0000-00008E000000}"/>
    <cellStyle name="_Cost calculation HCPT 2G MO Kalimantan 190407" xfId="146" xr:uid="{00000000-0005-0000-0000-00008F000000}"/>
    <cellStyle name="_Cost calculation HCPT 2G MO Kalimantan 190407_Summary of Payment 10 Nov 2008" xfId="147" xr:uid="{00000000-0005-0000-0000-000090000000}"/>
    <cellStyle name="_Cost calculation HCPT 2G MO Kalimantan 260407 rev 1 final" xfId="148" xr:uid="{00000000-0005-0000-0000-000091000000}"/>
    <cellStyle name="_Cost calculation HCPT 2G MO Kalimantan 260407 rev 1 final with CME" xfId="149" xr:uid="{00000000-0005-0000-0000-000092000000}"/>
    <cellStyle name="_Cost calculation HCPT 2G MO Kalimantan 260407 rev 1 final with CME_Summary of Payment 10 Nov 2008" xfId="150" xr:uid="{00000000-0005-0000-0000-000093000000}"/>
    <cellStyle name="_Cost calculation HCPT 2G MO Kalimantan 260407 rev 1 final_Summary of Payment 10 Nov 2008" xfId="151" xr:uid="{00000000-0005-0000-0000-000094000000}"/>
    <cellStyle name="_CR HSDPA Bali-BPP (2)" xfId="152" xr:uid="{00000000-0005-0000-0000-000095000000}"/>
    <cellStyle name="_CR HSDPA Bali-BPP (2)_Summary of Payment 10 Nov 2008" xfId="153" xr:uid="{00000000-0005-0000-0000-000096000000}"/>
    <cellStyle name="_Customer Support_Indosat_FWA Migration 2007_rev PA1" xfId="154" xr:uid="{00000000-0005-0000-0000-000097000000}"/>
    <cellStyle name="_Customer Support_Indosat_FWA Migration 2007_rev PA1_Summary of Payment 10 Nov 2008" xfId="155" xr:uid="{00000000-0005-0000-0000-000098000000}"/>
    <cellStyle name="_Customer Support_ISAT_PS Expansion 2007_Rev PA1 " xfId="156" xr:uid="{00000000-0005-0000-0000-000099000000}"/>
    <cellStyle name="_Customer Support_ISAT-Single IN Free Talk_Rev PA1" xfId="157" xr:uid="{00000000-0005-0000-0000-00009A000000}"/>
    <cellStyle name="_Customer Support_ISAT-Single IN Free Talk_Rev PA2" xfId="158" xr:uid="{00000000-0005-0000-0000-00009B000000}"/>
    <cellStyle name="_Customer Support_ISAT-Single IN Free Talk_Rev PA2 (2)" xfId="159" xr:uid="{00000000-0005-0000-0000-00009C000000}"/>
    <cellStyle name="_Customer Support_NTS-East Java_Rev.PA1" xfId="160" xr:uid="{00000000-0005-0000-0000-00009D000000}"/>
    <cellStyle name="_Customer Support_NTS-East Java_Rev.PA1_Summary of Payment 10 Nov 2008" xfId="161" xr:uid="{00000000-0005-0000-0000-00009E000000}"/>
    <cellStyle name="_Customer Support-ISAT-Upgrade PDH - Kalimantan - Rev.PA5" xfId="162" xr:uid="{00000000-0005-0000-0000-00009F000000}"/>
    <cellStyle name="_Customer Support-ISAT-Upgrade PDH - Kalimantan - Rev.PA5_Summary of Payment 10 Nov 2008" xfId="163" xr:uid="{00000000-0005-0000-0000-0000A0000000}"/>
    <cellStyle name="_DCN Implementation-Schedule install LAN hub 040408_batch1" xfId="164" xr:uid="{00000000-0005-0000-0000-0000A1000000}"/>
    <cellStyle name="_Delivery Cost ISAT FWA Migration 2007" xfId="165" xr:uid="{00000000-0005-0000-0000-0000A2000000}"/>
    <cellStyle name="_Delivery Cost ISAT FWA Migration 2007_Summary of Payment 10 Nov 2008" xfId="166" xr:uid="{00000000-0005-0000-0000-0000A3000000}"/>
    <cellStyle name="_Delivery cost ML_ISAT BSS upgr_EDGE RO2007" xfId="167" xr:uid="{00000000-0005-0000-0000-0000A4000000}"/>
    <cellStyle name="_Delivery cost ML_ISAT BSS upgr_EDGE RO2007_Summary of Payment 10 Nov 2008" xfId="168" xr:uid="{00000000-0005-0000-0000-0000A5000000}"/>
    <cellStyle name="_Delivery cost ML_ISAT Kalimantan080307 (2)" xfId="169" xr:uid="{00000000-0005-0000-0000-0000A6000000}"/>
    <cellStyle name="_Delivery cost ML_ISAT Kalimantan080307 (2)_Summary of Payment 10 Nov 2008" xfId="170" xr:uid="{00000000-0005-0000-0000-0000A7000000}"/>
    <cellStyle name="_Delivery Cost MW System" xfId="171" xr:uid="{00000000-0005-0000-0000-0000A8000000}"/>
    <cellStyle name="_Delivery Cost MW System_Summary of Payment 10 Nov 2008" xfId="172" xr:uid="{00000000-0005-0000-0000-0000A9000000}"/>
    <cellStyle name="_Delivery Cost TRM Jbtk 3G Upgrade 2007" xfId="173" xr:uid="{00000000-0005-0000-0000-0000AA000000}"/>
    <cellStyle name="_Delivery Cost TRM Jbtk 3G Upgrade 2007_Summary of Payment 10 Nov 2008" xfId="174" xr:uid="{00000000-0005-0000-0000-0000AB000000}"/>
    <cellStyle name="_Delivery Cost TRM Jbtk OM BSS Upgrade 2007" xfId="175" xr:uid="{00000000-0005-0000-0000-0000AC000000}"/>
    <cellStyle name="_Delivery Cost TRM Jbtk OM BSS Upgrade 2007_Summary of Payment 10 Nov 2008" xfId="176" xr:uid="{00000000-0005-0000-0000-0000AD000000}"/>
    <cellStyle name="_Dimensioning Summary Mandara" xfId="177" xr:uid="{00000000-0005-0000-0000-0000AE000000}"/>
    <cellStyle name="_Dismantled Ex. Dualpole Rev B" xfId="178" xr:uid="{00000000-0005-0000-0000-0000AF000000}"/>
    <cellStyle name="_EID-I-07-0743-A Indosat Reuse Ex IM3-BoQ (2)" xfId="179" xr:uid="{00000000-0005-0000-0000-0000B0000000}"/>
    <cellStyle name="_EID-I-07-0743-A Indosat Reuse Ex IM3-BoQ (2)_Summary of Payment 10 Nov 2008" xfId="180" xr:uid="{00000000-0005-0000-0000-0000B1000000}"/>
    <cellStyle name="_EID-I-07-079-1-1 Uen Rev  A BSS Jabotabek Upgrade Plan 2007 - 5 BSC No SW" xfId="181" xr:uid="{00000000-0005-0000-0000-0000B2000000}"/>
    <cellStyle name="_EID-I-07-079-1-1 Uen Rev  A BSS Jabotabek Upgrade Plan 2007 - 5 BSC No SW (2)" xfId="182" xr:uid="{00000000-0005-0000-0000-0000B3000000}"/>
    <cellStyle name="_EID-I-07-079-1-1 Uen Rev  A BSS Jabotabek Upgrade Plan 2007 - 5 BSC No SW (2)_Summary of Payment 10 Nov 2008" xfId="183" xr:uid="{00000000-0005-0000-0000-0000B4000000}"/>
    <cellStyle name="_EID-I-07-079-1-1 Uen Rev  A BSS Jabotabek Upgrade Plan 2007 - 5 BSC No SW_Summary of Payment 10 Nov 2008" xfId="184" xr:uid="{00000000-0005-0000-0000-0000B5000000}"/>
    <cellStyle name="_ELS CSR COSTING TEMPLATE Rev PA3" xfId="185" xr:uid="{00000000-0005-0000-0000-0000B6000000}"/>
    <cellStyle name="_ELS Mhr estimation OSA 2007-Rev.A" xfId="186" xr:uid="{00000000-0005-0000-0000-0000B7000000}"/>
    <cellStyle name="_ELS Mhr estimation OSA 2007-Rev.A_Summary of Payment 10 Nov 2008" xfId="187" xr:uid="{00000000-0005-0000-0000-0000B8000000}"/>
    <cellStyle name="_Ericsson greenfield IDS  Firewall" xfId="188" xr:uid="{00000000-0005-0000-0000-0000B9000000}"/>
    <cellStyle name="_ET4-1 ISAT BDJ (2)" xfId="189" xr:uid="{00000000-0005-0000-0000-0000BA000000}"/>
    <cellStyle name="_EXERCISE rev PA5" xfId="190" xr:uid="{00000000-0005-0000-0000-0000BB000000}"/>
    <cellStyle name="_Feeder calculation for Batch 5_RevA" xfId="191" xr:uid="{00000000-0005-0000-0000-0000BC000000}"/>
    <cellStyle name="_Feeder calculation for Batch 5_RevA_Summary of Payment 10 Nov 2008" xfId="192" xr:uid="{00000000-0005-0000-0000-0000BD000000}"/>
    <cellStyle name="_FWA EXpansion" xfId="193" xr:uid="{00000000-0005-0000-0000-0000BE000000}"/>
    <cellStyle name="_General Plan 2007_BIB_HCPT_PROJECT_PA3_050607" xfId="194" xr:uid="{00000000-0005-0000-0000-0000BF000000}"/>
    <cellStyle name="_HCPT BoQ_170407_SITAC_CME_MODULAR PRICE" xfId="195" xr:uid="{00000000-0005-0000-0000-0000C0000000}"/>
    <cellStyle name="_HCPT BoQ_SITAC_CME_MODULAR PRICE_PA1_050607 (2)" xfId="196" xr:uid="{00000000-0005-0000-0000-0000C1000000}"/>
    <cellStyle name="_HCPT MS Business Case Rev PA2" xfId="197" xr:uid="{00000000-0005-0000-0000-0000C2000000}"/>
    <cellStyle name="_HCPT_NTC_RAN__Price Proposal_20070628_RevB" xfId="198" xr:uid="{00000000-0005-0000-0000-0000C3000000}"/>
    <cellStyle name="_HCPT_NTC_RAN__Price Proposal_20070628_RevB_Summary of Payment 10 Nov 2008" xfId="199" xr:uid="{00000000-0005-0000-0000-0000C4000000}"/>
    <cellStyle name="_HCPT_NTC_RAN__Price Proposal_20070709_RevD" xfId="200" xr:uid="{00000000-0005-0000-0000-0000C5000000}"/>
    <cellStyle name="_HCPT_NTC_RAN__Price Proposal_20070709_RevD_Summary of Payment 10 Nov 2008" xfId="201" xr:uid="{00000000-0005-0000-0000-0000C6000000}"/>
    <cellStyle name="_HCPT_NTC_RAN_NPO_Price Proposal_20070419_RevA" xfId="202" xr:uid="{00000000-0005-0000-0000-0000C7000000}"/>
    <cellStyle name="_HCPT_NTC_RAN_NPO_Price Proposal_20070419_RevA_Summary of Payment 10 Nov 2008" xfId="203" xr:uid="{00000000-0005-0000-0000-0000C8000000}"/>
    <cellStyle name="_HCPT_NTC_TND_Price Proposal_20070419_RevA" xfId="204" xr:uid="{00000000-0005-0000-0000-0000C9000000}"/>
    <cellStyle name="_HCPT_NTC_TND_Price Proposal_20070419_RevA_Summary of Payment 10 Nov 2008" xfId="205" xr:uid="{00000000-0005-0000-0000-0000CA000000}"/>
    <cellStyle name="_HCPT-Summary BoQ" xfId="206" xr:uid="{00000000-0005-0000-0000-0000CB000000}"/>
    <cellStyle name="_Ida Quote05-0027 MAXIS-LIPPOTEL Support  PA1" xfId="207" xr:uid="{00000000-0005-0000-0000-0000CC000000}"/>
    <cellStyle name="_Ida Quote05-0027 MAXIS-LIPPOTEL Support  PA1_Summary of Payment 10 Nov 2008" xfId="208" xr:uid="{00000000-0005-0000-0000-0000CD000000}"/>
    <cellStyle name="_IM3linkCJtobedismantled(RO06)" xfId="209" xr:uid="{00000000-0005-0000-0000-0000CE000000}"/>
    <cellStyle name="_IM3linkCJtobedismantled(RO06)_Summary of Payment 10 Nov 2008" xfId="210" xr:uid="{00000000-0005-0000-0000-0000CF000000}"/>
    <cellStyle name="_IM3linkCJtobedismantled_TND_TNI services Rev A" xfId="211" xr:uid="{00000000-0005-0000-0000-0000D0000000}"/>
    <cellStyle name="_IM3linkCJtobedismantled_TND_TNI services Rev A_Summary of Payment 10 Nov 2008" xfId="212" xr:uid="{00000000-0005-0000-0000-0000D1000000}"/>
    <cellStyle name="_IN Suscribers Forecast" xfId="213" xr:uid="{00000000-0005-0000-0000-0000D2000000}"/>
    <cellStyle name="_India FOBO NOC Services Rev Pa1" xfId="214" xr:uid="{00000000-0005-0000-0000-0000D3000000}"/>
    <cellStyle name="_Indosat - SS &amp; SPMS MSS Rev PA1300506" xfId="215" xr:uid="{00000000-0005-0000-0000-0000D4000000}"/>
    <cellStyle name="_Indosat Capacity Upgrade 2007 BSC  OSS-RC2 2 SW Rev  PA1 (180107)" xfId="216" xr:uid="{00000000-0005-0000-0000-0000D5000000}"/>
    <cellStyle name="_Indosat Capacity Upgrade 2007 BSC  OSS-RC2 2 SW Rev  PA1 (180107) (2)" xfId="217" xr:uid="{00000000-0005-0000-0000-0000D6000000}"/>
    <cellStyle name="_Indosat Capacity Upgrade 2007 BSC  OSS-RC2 2 SW Rev  PA1 (180107) (2)_Summary of Payment 10 Nov 2008" xfId="218" xr:uid="{00000000-0005-0000-0000-0000D7000000}"/>
    <cellStyle name="_Indosat Capacity Upgrade 2007 BSC  OSS-RC2 2 SW Rev  PA1 (180107)_Summary of Payment 10 Nov 2008" xfId="219" xr:uid="{00000000-0005-0000-0000-0000D8000000}"/>
    <cellStyle name="_Indosat Data OSA 2006-rev A" xfId="220" xr:uid="{00000000-0005-0000-0000-0000D9000000}"/>
    <cellStyle name="_Indosat Jabotabek BSS RO 2007 BSC BTS  OSS-RC SoW Rev PA1 (261106) (2)" xfId="221" xr:uid="{00000000-0005-0000-0000-0000DA000000}"/>
    <cellStyle name="_Indosat Jabotabek BSS RO 2007 BSC BTS  OSS-RC SoW Rev PA1 (261106) (2)_Summary of Payment 10 Nov 2008" xfId="222" xr:uid="{00000000-0005-0000-0000-0000DB000000}"/>
    <cellStyle name="_Indosat Jabotabek BSS RO 2007 BSC BTS  OSS-RC SoW Rev PA1 (261106) (4)" xfId="223" xr:uid="{00000000-0005-0000-0000-0000DC000000}"/>
    <cellStyle name="_Indosat Jabotabek BSS RO 2007 BSC BTS  OSS-RC SoW Rev PA1 (261106) (4)_Summary of Payment 10 Nov 2008" xfId="224" xr:uid="{00000000-0005-0000-0000-0000DD000000}"/>
    <cellStyle name="_Indosat Jabotabek BSS Roll Out 2006 - BSC SoW (19 May 2006) (2)" xfId="225" xr:uid="{00000000-0005-0000-0000-0000DE000000}"/>
    <cellStyle name="_Indosat Jabotabek BSS Roll Out 2006 - BSC SoW (19 May 2006) (2)_Summary of Payment 10 Nov 2008" xfId="226" xr:uid="{00000000-0005-0000-0000-0000DF000000}"/>
    <cellStyle name="_Indosat Jabotabek BSS Roll Out 2006 - BTS  DAS SoW (19 May 2006) (2)" xfId="227" xr:uid="{00000000-0005-0000-0000-0000E0000000}"/>
    <cellStyle name="_Indosat Jabotabek BSS Roll Out 2006 - BTS  DAS SoW (19 May 2006) (2)_Summary of Payment 10 Nov 2008" xfId="228" xr:uid="{00000000-0005-0000-0000-0000E1000000}"/>
    <cellStyle name="_Indosat Jabotabek Up To Capacity Upgrade 2007 BSC HW SoW Rev PA1 (180107) (2)" xfId="229" xr:uid="{00000000-0005-0000-0000-0000E2000000}"/>
    <cellStyle name="_Indosat Jabotabek Up To Capacity Upgrade 2007 BSC HW SoW Rev PA1 (180107) (2)_Summary of Payment 10 Nov 2008" xfId="230" xr:uid="{00000000-0005-0000-0000-0000E3000000}"/>
    <cellStyle name="_Indosat Jabotabek Up To Capacity Upgrade 2007 BSC HW SoW Rev PA1 (180107) (3)" xfId="231" xr:uid="{00000000-0005-0000-0000-0000E4000000}"/>
    <cellStyle name="_Indosat Jabotabek Up To Capacity Upgrade 2007 BSC HW SoW Rev PA1 (180107) (3)_Summary of Payment 10 Nov 2008" xfId="232" xr:uid="{00000000-0005-0000-0000-0000E5000000}"/>
    <cellStyle name="_Indosat Kalimantan (RO 2006)" xfId="233" xr:uid="{00000000-0005-0000-0000-0000E6000000}"/>
    <cellStyle name="_Indosat MSS Rev PA2" xfId="234" xr:uid="{00000000-0005-0000-0000-0000E7000000}"/>
    <cellStyle name="_Indosat MSS Rev PA2 130506" xfId="235" xr:uid="{00000000-0005-0000-0000-0000E8000000}"/>
    <cellStyle name="_Indosat MSS Rev PA3" xfId="236" xr:uid="{00000000-0005-0000-0000-0000E9000000}"/>
    <cellStyle name="_Indosat MSS Rev PA3 SS &amp; SPMS" xfId="237" xr:uid="{00000000-0005-0000-0000-0000EA000000}"/>
    <cellStyle name="_Indosat MSS Rev PA5 SS &amp; SPMS" xfId="238" xr:uid="{00000000-0005-0000-0000-0000EB000000}"/>
    <cellStyle name="_Indosat O&amp;M TRX Only Upgrade (58 Sites) - Phase 1 Rev. PA1" xfId="239" xr:uid="{00000000-0005-0000-0000-0000EC000000}"/>
    <cellStyle name="_Indosat O&amp;M TRX Upgrade (223 Sites) - Phase 2B Rev. PA2 (EID)" xfId="240" xr:uid="{00000000-0005-0000-0000-0000ED000000}"/>
    <cellStyle name="_Indosat O&amp;M TRX Upgrade (223 Sites) - Phase 2B Rev. PA2 (EID)_Summary of Payment 10 Nov 2008" xfId="241" xr:uid="{00000000-0005-0000-0000-0000EE000000}"/>
    <cellStyle name="_Indosat O&amp;M TRX Upgrade Q4 2006 Site List + SoW + BoQ Rev. PA1 (181006)" xfId="242" xr:uid="{00000000-0005-0000-0000-0000EF000000}"/>
    <cellStyle name="_Indosat OM BSS Capacity Upgrade 2007 Transmission BoQ-RD (3)" xfId="243" xr:uid="{00000000-0005-0000-0000-0000F0000000}"/>
    <cellStyle name="_Indosat OM BSS Capacity Upgrade 2007 Transmission BoQ-RD (3)_Summary of Payment 10 Nov 2008" xfId="244" xr:uid="{00000000-0005-0000-0000-0000F1000000}"/>
    <cellStyle name="_Indosat OM BSS Capacity Upgrade 2007 Transmission BoQ-RD (4)" xfId="245" xr:uid="{00000000-0005-0000-0000-0000F2000000}"/>
    <cellStyle name="_Indosat OM BSS Capacity Upgrade 2007 Transmission BoQ-RD (4)_Summary of Payment 10 Nov 2008" xfId="246" xr:uid="{00000000-0005-0000-0000-0000F3000000}"/>
    <cellStyle name="_Indosat OM BSS Capacity Upgrade 2007 Transmission BoQ-Rev B" xfId="247" xr:uid="{00000000-0005-0000-0000-0000F4000000}"/>
    <cellStyle name="_Indosat OM BSS Capacity Upgrade 2007 Transmission BoQ-Rev B_Summary of Payment 10 Nov 2008" xfId="248" xr:uid="{00000000-0005-0000-0000-0000F5000000}"/>
    <cellStyle name="_Indosat OM TRX Only Upgrade (58 Sites) - Phase 1 Rev  PA1 (2)" xfId="249" xr:uid="{00000000-0005-0000-0000-0000F6000000}"/>
    <cellStyle name="_Indosat OM TRX Upgrade (223 Sites) - Phase 2B Rev  PA1 (EID) (2)" xfId="250" xr:uid="{00000000-0005-0000-0000-0000F7000000}"/>
    <cellStyle name="_Indosat OM TRX Upgrade (223 Sites) - Phase 2B Rev  PA1 (EID) (2)_Summary of Payment 10 Nov 2008" xfId="251" xr:uid="{00000000-0005-0000-0000-0000F8000000}"/>
    <cellStyle name="_Indosat OM TRX Upgrade (223 Sites) - Phase 2B Rev  PA3 (EID)" xfId="252" xr:uid="{00000000-0005-0000-0000-0000F9000000}"/>
    <cellStyle name="_Indosat OM TRX Upgrade (223 Sites) - Phase 2B Rev  PA3 (EID) (3)" xfId="253" xr:uid="{00000000-0005-0000-0000-0000FA000000}"/>
    <cellStyle name="_Indosat OM TRX Upgrade (223 Sites) - Phase 2B Rev  PA3 (EID) (3)_Summary of Payment 10 Nov 2008" xfId="254" xr:uid="{00000000-0005-0000-0000-0000FB000000}"/>
    <cellStyle name="_Indosat OM TRX Upgrade (223 Sites) - Phase 2B Rev  PA3 (EID)_Summary of Payment 10 Nov 2008" xfId="255" xr:uid="{00000000-0005-0000-0000-0000FC000000}"/>
    <cellStyle name="_Indosat OM TRX Upgrade Q4 2006 Site List + SoW + BoQ Rev  PA1 (181006) (4)" xfId="256" xr:uid="{00000000-0005-0000-0000-0000FD000000}"/>
    <cellStyle name="_Indosat OM TRX Upgrade Q4 2006 Site List + SoW + BoQ Rev  PA4 (011106)" xfId="257" xr:uid="{00000000-0005-0000-0000-0000FE000000}"/>
    <cellStyle name="_Indosat OM TRX Upgrade Q4 2006 Site List + SoW + BoQ Rev  PA4 (011106) (3)" xfId="258" xr:uid="{00000000-0005-0000-0000-0000FF000000}"/>
    <cellStyle name="_Indosat Q2 2007 Capacity Upgrade - BSC Upgrades (200407) Rev  PA2 (2)" xfId="259" xr:uid="{00000000-0005-0000-0000-000000010000}"/>
    <cellStyle name="_Indosat Q2 2007 Capacity Upgrade - BSC Upgrades (200407) Rev  PA2 (2)_Summary of Payment 10 Nov 2008" xfId="260" xr:uid="{00000000-0005-0000-0000-000001010000}"/>
    <cellStyle name="_Indosat Q3 2007 Capacity Upgrade - BSC Upgrades Proposed (230507) Rev  PA1 (2)" xfId="261" xr:uid="{00000000-0005-0000-0000-000002010000}"/>
    <cellStyle name="_Indosat Q3 2007 Capacity Upgrade - BSC Upgrades Proposed (230507) Rev  PA1 (2)_Summary of Payment 10 Nov 2008" xfId="262" xr:uid="{00000000-0005-0000-0000-000003010000}"/>
    <cellStyle name="_Indosat Q3 2007 Capacity Upgrade_BSC R11  OSS-RC3 1 SW_Rev  PA3 (230507) (2)" xfId="263" xr:uid="{00000000-0005-0000-0000-000004010000}"/>
    <cellStyle name="_Indosat Q3 2007 Capacity Upgrade_BSC R11  OSS-RC3 1 SW_Rev  PA3 (230507) (2)_Summary of Payment 10 Nov 2008" xfId="264" xr:uid="{00000000-0005-0000-0000-000005010000}"/>
    <cellStyle name="_Indosat SPMS Bus Case Rev PA2" xfId="265" xr:uid="{00000000-0005-0000-0000-000006010000}"/>
    <cellStyle name="_Indosat SPMS OuterJab PA1" xfId="266" xr:uid="{00000000-0005-0000-0000-000007010000}"/>
    <cellStyle name="_Indosat SS Bus Case Rev PA1" xfId="267" xr:uid="{00000000-0005-0000-0000-000008010000}"/>
    <cellStyle name="_Indosat SS Bus Case Rev PA1 (2)" xfId="268" xr:uid="{00000000-0005-0000-0000-000009010000}"/>
    <cellStyle name="_Indosat_Minilink_Jabotabek_200605_Rev.PA1" xfId="269" xr:uid="{00000000-0005-0000-0000-00000A010000}"/>
    <cellStyle name="_Indosat_Minilink_Jabotabek_200607_Rev.PA2" xfId="270" xr:uid="{00000000-0005-0000-0000-00000B010000}"/>
    <cellStyle name="_Indosat_Minilink_Kalimantan_200605_Rev.PA1SSand SPMS" xfId="271" xr:uid="{00000000-0005-0000-0000-00000C010000}"/>
    <cellStyle name="_Indosat_Minilink_Kalimantan_200607_Rev.PA1" xfId="272" xr:uid="{00000000-0005-0000-0000-00000D010000}"/>
    <cellStyle name="_Indosat_Minilink_Kalimantan_200607_Rev.PA2" xfId="273" xr:uid="{00000000-0005-0000-0000-00000E010000}"/>
    <cellStyle name="_INVOICE_STP-TPP_Tower_Lease_TELKOM" xfId="274" xr:uid="{00000000-0005-0000-0000-00000F010000}"/>
    <cellStyle name="_ISAT 3G Trial - RND Cost" xfId="275" xr:uid="{00000000-0005-0000-0000-000010010000}"/>
    <cellStyle name="_ISAT 3G Trial - RND Cost_Summary of Payment 10 Nov 2008" xfId="276" xr:uid="{00000000-0005-0000-0000-000011010000}"/>
    <cellStyle name="_ISAT 3G Trial - RND Cost2" xfId="277" xr:uid="{00000000-0005-0000-0000-000012010000}"/>
    <cellStyle name="_ISAT 3G Trial - RND Cost2_Summary of Payment 10 Nov 2008" xfId="278" xr:uid="{00000000-0005-0000-0000-000013010000}"/>
    <cellStyle name="_Isat BPN MSC-S" xfId="279" xr:uid="{00000000-0005-0000-0000-000014010000}"/>
    <cellStyle name="_Isat BSC (1)" xfId="280" xr:uid="{00000000-0005-0000-0000-000015010000}"/>
    <cellStyle name="_Isat BSC (2)" xfId="281" xr:uid="{00000000-0005-0000-0000-000016010000}"/>
    <cellStyle name="_Isat BSC (7)" xfId="282" xr:uid="{00000000-0005-0000-0000-000017010000}"/>
    <cellStyle name="_ISAT FOR NODAL" xfId="283" xr:uid="{00000000-0005-0000-0000-000018010000}"/>
    <cellStyle name="_ISAT HLR Semarang and Bandung_2006July14_PA1" xfId="284" xr:uid="{00000000-0005-0000-0000-000019010000}"/>
    <cellStyle name="_ISAT HLR Semarang and Bandung_2006July14_PA1_Summary of Payment 10 Nov 2008" xfId="285" xr:uid="{00000000-0005-0000-0000-00001A010000}"/>
    <cellStyle name="_I-SAT Jabotabek  BSS Expansion Cost (BSS only)  rev PA1 NOM" xfId="286" xr:uid="{00000000-0005-0000-0000-00001B010000}"/>
    <cellStyle name="_I-SAT Jabotabek  BSS Expansion Cost (BSS only)  rev PA1 NOM_Summary of Payment 10 Nov 2008" xfId="287" xr:uid="{00000000-0005-0000-0000-00001C010000}"/>
    <cellStyle name="_I-SAT Jabotabek  BSS Expansion Cost (BSS only)  rev PA3" xfId="288" xr:uid="{00000000-0005-0000-0000-00001D010000}"/>
    <cellStyle name="_I-SAT Jabotabek  BSS Expansion Cost (BSS only)  rev PA3_Summary of Payment 10 Nov 2008" xfId="289" xr:uid="{00000000-0005-0000-0000-00001E010000}"/>
    <cellStyle name="_I-SAT Jabotabek  BSS Expansion Cost +TRM  revPA1 NOM" xfId="290" xr:uid="{00000000-0005-0000-0000-00001F010000}"/>
    <cellStyle name="_I-SAT Jabotabek  BSS Expansion Cost +TRM  revPA1 NOM_Summary of Payment 10 Nov 2008" xfId="291" xr:uid="{00000000-0005-0000-0000-000020010000}"/>
    <cellStyle name="_ISAT Jabotabek BTS (1x4) (2)" xfId="292" xr:uid="{00000000-0005-0000-0000-000021010000}"/>
    <cellStyle name="_I-SAT Jbtk BSS Expansion (Transmission only)  rev PA2 NOM" xfId="293" xr:uid="{00000000-0005-0000-0000-000022010000}"/>
    <cellStyle name="_I-SAT Jbtk BSS Expansion (Transmission only)  rev PA2 NOM_Summary of Payment 10 Nov 2008" xfId="294" xr:uid="{00000000-0005-0000-0000-000023010000}"/>
    <cellStyle name="_ISAT Kalimantan - TND New PDH Dual Polorized Rev PA1" xfId="295" xr:uid="{00000000-0005-0000-0000-000024010000}"/>
    <cellStyle name="_ISAT Kalimantan - TND New PDH Dual Polorized Rev PA1_Summary of Payment 10 Nov 2008" xfId="296" xr:uid="{00000000-0005-0000-0000-000025010000}"/>
    <cellStyle name="_ISAT Kalimantan - TND New PDH Rev PA1" xfId="297" xr:uid="{00000000-0005-0000-0000-000026010000}"/>
    <cellStyle name="_ISAT Kalimantan - TND New PDH Rev PA1_Summary of Payment 10 Nov 2008" xfId="298" xr:uid="{00000000-0005-0000-0000-000027010000}"/>
    <cellStyle name="_ISAT Kalimantan - TND PDH Swap Upgrade Rev PA1" xfId="299" xr:uid="{00000000-0005-0000-0000-000028010000}"/>
    <cellStyle name="_ISAT Kalimantan - TND PDH Swap Upgrade Rev PA1_Summary of Payment 10 Nov 2008" xfId="300" xr:uid="{00000000-0005-0000-0000-000029010000}"/>
    <cellStyle name="_Isat Kalimantan MGW" xfId="301" xr:uid="{00000000-0005-0000-0000-00002A010000}"/>
    <cellStyle name="_ISAT Matrix Hybrid Phase 1a rev.PA1" xfId="302" xr:uid="{00000000-0005-0000-0000-00002B010000}"/>
    <cellStyle name="_Isat MGW (2)" xfId="303" xr:uid="{00000000-0005-0000-0000-00002C010000}"/>
    <cellStyle name="_Isat MGW (4)" xfId="304" xr:uid="{00000000-0005-0000-0000-00002D010000}"/>
    <cellStyle name="_Isat MGW (6)" xfId="305" xr:uid="{00000000-0005-0000-0000-00002E010000}"/>
    <cellStyle name="_Isat MSC (2)" xfId="306" xr:uid="{00000000-0005-0000-0000-00002F010000}"/>
    <cellStyle name="_Isat MSC (4)" xfId="307" xr:uid="{00000000-0005-0000-0000-000030010000}"/>
    <cellStyle name="_ISAT MSS_3G CND Pricing Rev A (19 Jun 2006)" xfId="308" xr:uid="{00000000-0005-0000-0000-000031010000}"/>
    <cellStyle name="_ISAT MSS_3G CND Pricing Rev A (19 Jun 2006)_Summary of Payment 10 Nov 2008" xfId="309" xr:uid="{00000000-0005-0000-0000-000032010000}"/>
    <cellStyle name="_ISAT MSS_3G CND Pricing_2006June07_Rev A+" xfId="310" xr:uid="{00000000-0005-0000-0000-000033010000}"/>
    <cellStyle name="_ISAT MSS_3G CND Pricing_2006June07_Rev A+_Summary of Payment 10 Nov 2008" xfId="311" xr:uid="{00000000-0005-0000-0000-000034010000}"/>
    <cellStyle name="_ISAT MSS_3G NTC Price_2006June07_Rev A" xfId="312" xr:uid="{00000000-0005-0000-0000-000035010000}"/>
    <cellStyle name="_ISAT MSS_3G NTC Price_2006June07_Rev A_Summary of Payment 10 Nov 2008" xfId="313" xr:uid="{00000000-0005-0000-0000-000036010000}"/>
    <cellStyle name="_ISAT MW PDH Kalimantan RO 2006 - Scope Of Work R1" xfId="314" xr:uid="{00000000-0005-0000-0000-000037010000}"/>
    <cellStyle name="_ISAT NEW SITE Q1+Q2" xfId="315" xr:uid="{00000000-0005-0000-0000-000038010000}"/>
    <cellStyle name="_ISAT PON (HC Upgrade)" xfId="316" xr:uid="{00000000-0005-0000-0000-000039010000}"/>
    <cellStyle name="_ISAT PON (TN upgrade)" xfId="317" xr:uid="{00000000-0005-0000-0000-00003A010000}"/>
    <cellStyle name="_ISAT Q2_07 BSC Capacity Upgrade_NTC Price_20070529_Rev A" xfId="318" xr:uid="{00000000-0005-0000-0000-00003B010000}"/>
    <cellStyle name="_ISAT Q3_07 BSC Capacity Upgrade_NTC Price_20070529_Rev B" xfId="319" xr:uid="{00000000-0005-0000-0000-00003C010000}"/>
    <cellStyle name="_Isat RBS 2206 (1000)" xfId="320" xr:uid="{00000000-0005-0000-0000-00003D010000}"/>
    <cellStyle name="_Isat RBS 2206 (200)" xfId="321" xr:uid="{00000000-0005-0000-0000-00003E010000}"/>
    <cellStyle name="_Isat RBS 2206 (300)" xfId="322" xr:uid="{00000000-0005-0000-0000-00003F010000}"/>
    <cellStyle name="_ISAT RO 2006_SACME_230506 Rev N5" xfId="323" xr:uid="{00000000-0005-0000-0000-000040010000}"/>
    <cellStyle name="_ISAT RO 2006_SACME_230506 Rev N5_Summary of Payment 10 Nov 2008" xfId="324" xr:uid="{00000000-0005-0000-0000-000041010000}"/>
    <cellStyle name="_ISAT SWAP TN" xfId="325" xr:uid="{00000000-0005-0000-0000-000042010000}"/>
    <cellStyle name="_ISAT TRX Expansion" xfId="326" xr:uid="{00000000-0005-0000-0000-000043010000}"/>
    <cellStyle name="_ISAT TRX Expansion Batch 2 Rev A" xfId="327" xr:uid="{00000000-0005-0000-0000-000044010000}"/>
    <cellStyle name="_ISAT TRX Expansion Batch 2 Rev A_Summary of Payment 10 Nov 2008" xfId="328" xr:uid="{00000000-0005-0000-0000-000045010000}"/>
    <cellStyle name="_ISAT TRX Expansion Phase 2A Rev A" xfId="329" xr:uid="{00000000-0005-0000-0000-000046010000}"/>
    <cellStyle name="_ISAT TRX Expansion Phase 2A Rev A_Summary of Payment 10 Nov 2008" xfId="330" xr:uid="{00000000-0005-0000-0000-000047010000}"/>
    <cellStyle name="_ISAT TRX Expansion Phase 2B Rev A" xfId="331" xr:uid="{00000000-0005-0000-0000-000048010000}"/>
    <cellStyle name="_ISAT TRX Expansion Phase 2B Rev A_Summary of Payment 10 Nov 2008" xfId="332" xr:uid="{00000000-0005-0000-0000-000049010000}"/>
    <cellStyle name="_ISAT TRX Expansion Rev A" xfId="333" xr:uid="{00000000-0005-0000-0000-00004A010000}"/>
    <cellStyle name="_ISAT TRX Expansion Rev A_Summary of Payment 10 Nov 2008" xfId="334" xr:uid="{00000000-0005-0000-0000-00004B010000}"/>
    <cellStyle name="_ISAT TRX Expansion Rev B" xfId="335" xr:uid="{00000000-0005-0000-0000-00004C010000}"/>
    <cellStyle name="_ISAT TRX Expansion Rev B_Summary of Payment 10 Nov 2008" xfId="336" xr:uid="{00000000-0005-0000-0000-00004D010000}"/>
    <cellStyle name="_ISAT TRX Expansion Rev C" xfId="337" xr:uid="{00000000-0005-0000-0000-00004E010000}"/>
    <cellStyle name="_ISAT TRX Expansion Rev C_Summary of Payment 10 Nov 2008" xfId="338" xr:uid="{00000000-0005-0000-0000-00004F010000}"/>
    <cellStyle name="_ISAT TRX Expansion Rev D" xfId="339" xr:uid="{00000000-0005-0000-0000-000050010000}"/>
    <cellStyle name="_ISAT TRX Expansion Rev D_Summary of Payment 10 Nov 2008" xfId="340" xr:uid="{00000000-0005-0000-0000-000051010000}"/>
    <cellStyle name="_ISAT TRX Expansion_Summary of Payment 10 Nov 2008" xfId="341" xr:uid="{00000000-0005-0000-0000-000052010000}"/>
    <cellStyle name="_ISAT_EDGE_Activation" xfId="342" xr:uid="{00000000-0005-0000-0000-000053010000}"/>
    <cellStyle name="_ISAT_EDGE_Activation_Summary of Payment 10 Nov 2008" xfId="343" xr:uid="{00000000-0005-0000-0000-000054010000}"/>
    <cellStyle name="_ISAT_NTC services for 5 Mobile BTS  RevA" xfId="344" xr:uid="{00000000-0005-0000-0000-000055010000}"/>
    <cellStyle name="_ISAT_NTC services for 5 Mobile BTS  RevA_Summary of Payment 10 Nov 2008" xfId="345" xr:uid="{00000000-0005-0000-0000-000056010000}"/>
    <cellStyle name="_ISAT_NTC_Services_ PDH_35 hops_20070613 RevA" xfId="346" xr:uid="{00000000-0005-0000-0000-000057010000}"/>
    <cellStyle name="_ISAT_NTC_Services_ PDH_35 hops_20070613 RevA_Summary of Payment 10 Nov 2008" xfId="347" xr:uid="{00000000-0005-0000-0000-000058010000}"/>
    <cellStyle name="_ISAT_PSM Audit TRM RO2007_Rev PA1" xfId="348" xr:uid="{00000000-0005-0000-0000-000059010000}"/>
    <cellStyle name="_ISAT_Turnkey RO 2006_SACME cost proposal_020506_final submission-Rev01" xfId="349" xr:uid="{00000000-0005-0000-0000-00005A010000}"/>
    <cellStyle name="_ISAT_Turnkey RO 2006_SACME cost proposal_020506_final submission-Rev01_Summary of Payment 10 Nov 2008" xfId="350" xr:uid="{00000000-0005-0000-0000-00005B010000}"/>
    <cellStyle name="_ISAT_Turnkey RO 2006_SACME cost proposal_080506_final submission-RevB" xfId="351" xr:uid="{00000000-0005-0000-0000-00005C010000}"/>
    <cellStyle name="_ISAT_Turnkey RO 2006_SACME cost proposal_080506_final submission-RevB_Summary of Payment 10 Nov 2008" xfId="352" xr:uid="{00000000-0005-0000-0000-00005D010000}"/>
    <cellStyle name="_ISAT_Turnkey RO 2006_SACME cost proposal_110506_final submission-Rev I (by EDP &amp; Colenfo)" xfId="353" xr:uid="{00000000-0005-0000-0000-00005E010000}"/>
    <cellStyle name="_ISAT_Turnkey RO 2006_SACME cost proposal_110506_final submission-Rev I (by EDP &amp; Colenfo)_Summary of Payment 10 Nov 2008" xfId="354" xr:uid="{00000000-0005-0000-0000-00005F010000}"/>
    <cellStyle name="_ISAT_Turnkey RO 2006_SACME Rev- H (by Colenfo)" xfId="355" xr:uid="{00000000-0005-0000-0000-000060010000}"/>
    <cellStyle name="_ISAT_Turnkey RO 2006_SACME Rev- H (by Colenfo)_Summary of Payment 10 Nov 2008" xfId="356" xr:uid="{00000000-0005-0000-0000-000061010000}"/>
    <cellStyle name="_ISAT-3GupgradeCost2007RevA Broto" xfId="357" xr:uid="{00000000-0005-0000-0000-000062010000}"/>
    <cellStyle name="_ISAT-3GupgradeCost2007RevA Broto_Summary of Payment 10 Nov 2008" xfId="358" xr:uid="{00000000-0005-0000-0000-000063010000}"/>
    <cellStyle name="_ISAT-3GupgradeCost2007RevC" xfId="359" xr:uid="{00000000-0005-0000-0000-000064010000}"/>
    <cellStyle name="_ISAT-3GupgradeCost2007RevC_Summary of Payment 10 Nov 2008" xfId="360" xr:uid="{00000000-0005-0000-0000-000065010000}"/>
    <cellStyle name="_ISAT-BSS cap Rev A" xfId="361" xr:uid="{00000000-0005-0000-0000-000066010000}"/>
    <cellStyle name="_ISAT-BSS cap Rev A_Summary of Payment 10 Nov 2008" xfId="362" xr:uid="{00000000-0005-0000-0000-000067010000}"/>
    <cellStyle name="_ISAT-BSS cap Rev C" xfId="363" xr:uid="{00000000-0005-0000-0000-000068010000}"/>
    <cellStyle name="_ISAT-BSS cap Rev C_Summary of Payment 10 Nov 2008" xfId="364" xr:uid="{00000000-0005-0000-0000-000069010000}"/>
    <cellStyle name="_ISAT-BSS cap Rev D" xfId="365" xr:uid="{00000000-0005-0000-0000-00006A010000}"/>
    <cellStyle name="_ISAT-BSS cap Rev D_Summary of Payment 10 Nov 2008" xfId="366" xr:uid="{00000000-0005-0000-0000-00006B010000}"/>
    <cellStyle name="_ISAT-KalimantanMLupgraderevA" xfId="367" xr:uid="{00000000-0005-0000-0000-00006C010000}"/>
    <cellStyle name="_ISAT-KalimantanMLupgraderevA_Summary of Payment 10 Nov 2008" xfId="368" xr:uid="{00000000-0005-0000-0000-00006D010000}"/>
    <cellStyle name="_ISAT-Q3 ML Cap upgrade REv A" xfId="369" xr:uid="{00000000-0005-0000-0000-00006E010000}"/>
    <cellStyle name="_ISAT-Q3 ML Cap upgrade REv A_Summary of Payment 10 Nov 2008" xfId="370" xr:uid="{00000000-0005-0000-0000-00006F010000}"/>
    <cellStyle name="_ISAT-Transit+MSCRevA" xfId="371" xr:uid="{00000000-0005-0000-0000-000070010000}"/>
    <cellStyle name="_ISAT-Transit+MSCRevA_Summary of Payment 10 Nov 2008" xfId="372" xr:uid="{00000000-0005-0000-0000-000071010000}"/>
    <cellStyle name="_Jabodetabek" xfId="373" xr:uid="{00000000-0005-0000-0000-000072010000}"/>
    <cellStyle name="_Jabotabek (New Q1)" xfId="374" xr:uid="{00000000-0005-0000-0000-000073010000}"/>
    <cellStyle name="_Jabotabek (Swap Q1)" xfId="375" xr:uid="{00000000-0005-0000-0000-000074010000}"/>
    <cellStyle name="_Jabotabek Banten RO2006 Ericsson 250406" xfId="376" xr:uid="{00000000-0005-0000-0000-000075010000}"/>
    <cellStyle name="_Jabotabek Banten RO2006 Ericsson 250406_Summary of Payment 10 Nov 2008" xfId="377" xr:uid="{00000000-0005-0000-0000-000076010000}"/>
    <cellStyle name="_Jabotabek BoQ 2007 RevB" xfId="378" xr:uid="{00000000-0005-0000-0000-000077010000}"/>
    <cellStyle name="_Jabotabek BoQ 2007 RevB_Summary of Payment 10 Nov 2008" xfId="379" xr:uid="{00000000-0005-0000-0000-000078010000}"/>
    <cellStyle name="_Jabotabek ISAT Q1" xfId="380" xr:uid="{00000000-0005-0000-0000-000079010000}"/>
    <cellStyle name="_Jabotabek ISAT Q2" xfId="381" xr:uid="{00000000-0005-0000-0000-00007A010000}"/>
    <cellStyle name="_Jabotabek ISAT Swap Q1" xfId="382" xr:uid="{00000000-0005-0000-0000-00007B010000}"/>
    <cellStyle name="_Jabotabek ISAT Swap Q2" xfId="383" xr:uid="{00000000-0005-0000-0000-00007C010000}"/>
    <cellStyle name="_Jalin-USD 20 Juta 10 Nov 2008" xfId="384" xr:uid="{00000000-0005-0000-0000-00007D010000}"/>
    <cellStyle name="_Kalimantan (Q1)" xfId="385" xr:uid="{00000000-0005-0000-0000-00007E010000}"/>
    <cellStyle name="_Kalimantan (Q2)" xfId="386" xr:uid="{00000000-0005-0000-0000-00007F010000}"/>
    <cellStyle name="_Kalimantan 2007 (Swap)" xfId="387" xr:uid="{00000000-0005-0000-0000-000080010000}"/>
    <cellStyle name="_Kalimantan Cell List Q1 edited by reza PA1 (2)" xfId="388" xr:uid="{00000000-0005-0000-0000-000081010000}"/>
    <cellStyle name="_Kalimantan Cell List Q1 edited by reza PA1 (2)_Summary of Payment 10 Nov 2008" xfId="389" xr:uid="{00000000-0005-0000-0000-000082010000}"/>
    <cellStyle name="_Kalimantan RO 2007 - 2G new  upgrade RO2007 (2)" xfId="390" xr:uid="{00000000-0005-0000-0000-000083010000}"/>
    <cellStyle name="_Kalimantan RO 2007 - 2G new  upgrade RO2007 (2)_Summary of Payment 10 Nov 2008" xfId="391" xr:uid="{00000000-0005-0000-0000-000084010000}"/>
    <cellStyle name="_List Site 3G RO2007 010507" xfId="392" xr:uid="{00000000-0005-0000-0000-000085010000}"/>
    <cellStyle name="_List Site 3G RO2007 010507_Summary of Payment 10 Nov 2008" xfId="393" xr:uid="{00000000-0005-0000-0000-000086010000}"/>
    <cellStyle name="_List Site 3G RO2007 v 1 8 (2)" xfId="394" xr:uid="{00000000-0005-0000-0000-000087010000}"/>
    <cellStyle name="_List Site 3G RO2007 v 1 8 (2)_Summary of Payment 10 Nov 2008" xfId="395" xr:uid="{00000000-0005-0000-0000-000088010000}"/>
    <cellStyle name="_List Site 3G RO2007 v 1 9" xfId="396" xr:uid="{00000000-0005-0000-0000-000089010000}"/>
    <cellStyle name="_List Site 3G RO2007 v 1 9_Summary of Payment 10 Nov 2008" xfId="397" xr:uid="{00000000-0005-0000-0000-00008A010000}"/>
    <cellStyle name="_List Site 3G RO2007 v 1.9+++" xfId="398" xr:uid="{00000000-0005-0000-0000-00008B010000}"/>
    <cellStyle name="_List Site 3G RO2007 v 1.9+++_Summary of Payment 10 Nov 2008" xfId="399" xr:uid="{00000000-0005-0000-0000-00008C010000}"/>
    <cellStyle name="_List Site 3G RO2007 v 1.9++++" xfId="400" xr:uid="{00000000-0005-0000-0000-00008D010000}"/>
    <cellStyle name="_List Site 3G RO2007 v 1.9++++_Summary of Payment 10 Nov 2008" xfId="401" xr:uid="{00000000-0005-0000-0000-00008E010000}"/>
    <cellStyle name="_List Swap-Upgrade 3G 2nd stage-Jkt '06 241 sites DRM (minus batch 2B) PA8b Scope Of Work" xfId="402" xr:uid="{00000000-0005-0000-0000-00008F010000}"/>
    <cellStyle name="_List Swap-Upgrade 3G 2nd stage-Jkt '06 241 sites DRM (minus batch 2B) PA8b Scope Of Work (3)" xfId="403" xr:uid="{00000000-0005-0000-0000-000090010000}"/>
    <cellStyle name="_List Swap-Upgrade 3G 2nd stage-Jkt '06 241 sites DRM (minus batch 2B) PA8b Scope Of Work (3)_Summary of Payment 10 Nov 2008" xfId="404" xr:uid="{00000000-0005-0000-0000-000091010000}"/>
    <cellStyle name="_List Swap-Upgrade 3G 2nd stage-Jkt '06 241 sites DRM (minus batch 2B) PA8b Scope Of Work _TND services Rev B" xfId="405" xr:uid="{00000000-0005-0000-0000-000092010000}"/>
    <cellStyle name="_List Swap-Upgrade 3G 2nd stage-Jkt '06 241 sites DRM (minus batch 2B) PA8b Scope Of Work _TND services Rev B_Summary of Payment 10 Nov 2008" xfId="406" xr:uid="{00000000-0005-0000-0000-000093010000}"/>
    <cellStyle name="_List Swap-Upgrade 3G 2nd stage-Jkt '06 241 sites DRM (minus batch 2B) PA8b Scope Of Work _TND services Rev C+" xfId="407" xr:uid="{00000000-0005-0000-0000-000094010000}"/>
    <cellStyle name="_List Swap-Upgrade 3G 2nd stage-Jkt '06 241 sites DRM (minus batch 2B) PA8b Scope Of Work _TND services Rev C+_Summary of Payment 10 Nov 2008" xfId="408" xr:uid="{00000000-0005-0000-0000-000095010000}"/>
    <cellStyle name="_List Swap-Upgrade 3G 2nd stage-Jkt '06 241 sites DRM (minus batch 2B) PA8b Scope Of Work_Summary of Payment 10 Nov 2008" xfId="409" xr:uid="{00000000-0005-0000-0000-000096010000}"/>
    <cellStyle name="_LIST-INVOICE-EID_UP-DATE_080408" xfId="410" xr:uid="{00000000-0005-0000-0000-000097010000}"/>
    <cellStyle name="_Local Material for ML" xfId="411" xr:uid="{00000000-0005-0000-0000-000098010000}"/>
    <cellStyle name="_Local Material for ML_Summary of Payment 10 Nov 2008" xfId="412" xr:uid="{00000000-0005-0000-0000-000099010000}"/>
    <cellStyle name="_Local Material review" xfId="413" xr:uid="{00000000-0005-0000-0000-00009A010000}"/>
    <cellStyle name="_Local Material review_Summary of Payment 10 Nov 2008" xfId="414" xr:uid="{00000000-0005-0000-0000-00009B010000}"/>
    <cellStyle name="_Managed Services Business Case 20051208 (Hutch-3+7 circles) - F1" xfId="415" xr:uid="{00000000-0005-0000-0000-00009C010000}"/>
    <cellStyle name="_Marconi (2)" xfId="416" xr:uid="{00000000-0005-0000-0000-00009D010000}"/>
    <cellStyle name="_Matrix Hybrid Phase 1a PA1" xfId="417" xr:uid="{00000000-0005-0000-0000-00009E010000}"/>
    <cellStyle name="_Maxis malaysia - FO and BO Split" xfId="418" xr:uid="{00000000-0005-0000-0000-00009F010000}"/>
    <cellStyle name="_Maxis Nodes_PA7" xfId="419" xr:uid="{00000000-0005-0000-0000-0000A0010000}"/>
    <cellStyle name="_Maxis Nodes_PA7_Summary of Payment 10 Nov 2008" xfId="420" xr:uid="{00000000-0005-0000-0000-0000A1010000}"/>
    <cellStyle name="_Maxis Transformation Budget" xfId="421" xr:uid="{00000000-0005-0000-0000-0000A2010000}"/>
    <cellStyle name="_Maxis Transition Budget" xfId="422" xr:uid="{00000000-0005-0000-0000-0000A3010000}"/>
    <cellStyle name="_Maxis_SS_Cost_E1_PA1" xfId="423" xr:uid="{00000000-0005-0000-0000-0000A4010000}"/>
    <cellStyle name="_Maxis_SS_Cost_E1_PA1_Summary of Payment 10 Nov 2008" xfId="424" xr:uid="{00000000-0005-0000-0000-0000A5010000}"/>
    <cellStyle name="_Maxis_SS_Cost_PA1" xfId="425" xr:uid="{00000000-0005-0000-0000-0000A6010000}"/>
    <cellStyle name="_Maxis_SS_Cost_PA1_Summary of Payment 10 Nov 2008" xfId="426" xr:uid="{00000000-0005-0000-0000-0000A7010000}"/>
    <cellStyle name="_Medan Scanario02B" xfId="427" xr:uid="{00000000-0005-0000-0000-0000A8010000}"/>
    <cellStyle name="_Medan Scenario02A" xfId="428" xr:uid="{00000000-0005-0000-0000-0000A9010000}"/>
    <cellStyle name="_Mega Safe_07July06" xfId="429" xr:uid="{00000000-0005-0000-0000-0000AA010000}"/>
    <cellStyle name="_ML HC  TN (2)" xfId="430" xr:uid="{00000000-0005-0000-0000-0000AB010000}"/>
    <cellStyle name="_ML HC Isat" xfId="431" xr:uid="{00000000-0005-0000-0000-0000AC010000}"/>
    <cellStyle name="_ML TN Isat" xfId="432" xr:uid="{00000000-0005-0000-0000-0000AD010000}"/>
    <cellStyle name="_Mobile RBS2007_RevPA1" xfId="433" xr:uid="{00000000-0005-0000-0000-0000AE010000}"/>
    <cellStyle name="_Mobile RBS2007_RevPA1_Summary of Payment 10 Nov 2008" xfId="434" xr:uid="{00000000-0005-0000-0000-0000AF010000}"/>
    <cellStyle name="_Mobile Softswitch Summary PA3" xfId="435" xr:uid="{00000000-0005-0000-0000-0000B0010000}"/>
    <cellStyle name="_MSC APZ21233" xfId="436" xr:uid="{00000000-0005-0000-0000-0000B1010000}"/>
    <cellStyle name="_MSC Implementation Rev PA1 (CND)" xfId="437" xr:uid="{00000000-0005-0000-0000-0000B2010000}"/>
    <cellStyle name="_MSC Implementation Rev PA1 (CND)_Summary of Payment 10 Nov 2008" xfId="438" xr:uid="{00000000-0005-0000-0000-0000B3010000}"/>
    <cellStyle name="_Mux Summary" xfId="439" xr:uid="{00000000-0005-0000-0000-0000B4010000}"/>
    <cellStyle name="_New Link Jabotabek ISAT" xfId="440" xr:uid="{00000000-0005-0000-0000-0000B5010000}"/>
    <cellStyle name="_NEW SOW BSS EXPANSION 2006 Rev C" xfId="441" xr:uid="{00000000-0005-0000-0000-0000B6010000}"/>
    <cellStyle name="_NEW SOW BSS EXPANSION 2006 Rev C_Summary of Payment 10 Nov 2008" xfId="442" xr:uid="{00000000-0005-0000-0000-0000B7010000}"/>
    <cellStyle name="_New Transmission Requirement Batch 2B (2)" xfId="443" xr:uid="{00000000-0005-0000-0000-0000B8010000}"/>
    <cellStyle name="_New Transmission Requirement Batch 2B (2)_Summary of Payment 10 Nov 2008" xfId="444" xr:uid="{00000000-0005-0000-0000-0000B9010000}"/>
    <cellStyle name="_New Transmission Requirement Batch 2B _ From Services" xfId="445" xr:uid="{00000000-0005-0000-0000-0000BA010000}"/>
    <cellStyle name="_New Transmission Requirement Batch 2B _ From Services Rev B" xfId="446" xr:uid="{00000000-0005-0000-0000-0000BB010000}"/>
    <cellStyle name="_New Transmission Requirement Batch 2B _ From Services Rev B_Summary of Payment 10 Nov 2008" xfId="447" xr:uid="{00000000-0005-0000-0000-0000BC010000}"/>
    <cellStyle name="_New Transmission Requirement Batch 2B _ From Services_Summary of Payment 10 Nov 2008" xfId="448" xr:uid="{00000000-0005-0000-0000-0000BD010000}"/>
    <cellStyle name="_NMS" xfId="449" xr:uid="{00000000-0005-0000-0000-0000BE010000}"/>
    <cellStyle name="_NPI for Lebaran05 Rev B" xfId="450" xr:uid="{00000000-0005-0000-0000-0000BF010000}"/>
    <cellStyle name="_NPI for Lebaran05 Rev B_Summary of Payment 10 Nov 2008" xfId="451" xr:uid="{00000000-0005-0000-0000-0000C0010000}"/>
    <cellStyle name="_NTC BSS Turnkey 2007 Rev A" xfId="452" xr:uid="{00000000-0005-0000-0000-0000C1010000}"/>
    <cellStyle name="_NTC BSS Turnkey 2007 Rev A_Summary of Payment 10 Nov 2008" xfId="453" xr:uid="{00000000-0005-0000-0000-0000C2010000}"/>
    <cellStyle name="_NTC Indosat 3G Expansion 2007 Rev A" xfId="454" xr:uid="{00000000-0005-0000-0000-0000C3010000}"/>
    <cellStyle name="_NTC Indosat 3G Expansion 2007 Rev A_Summary of Payment 10 Nov 2008" xfId="455" xr:uid="{00000000-0005-0000-0000-0000C4010000}"/>
    <cellStyle name="_NTC Indosat 3G Expansion 2007 Rev B (2)" xfId="456" xr:uid="{00000000-0005-0000-0000-0000C5010000}"/>
    <cellStyle name="_NTC Indosat 3G Expansion 2007 Rev B (2)_Summary of Payment 10 Nov 2008" xfId="457" xr:uid="{00000000-0005-0000-0000-0000C6010000}"/>
    <cellStyle name="_NTC Indosat 3G Expansion 2007 Rev D" xfId="458" xr:uid="{00000000-0005-0000-0000-0000C7010000}"/>
    <cellStyle name="_NTC Indosat 3G Expansion 2007 Rev D_Summary of Payment 10 Nov 2008" xfId="459" xr:uid="{00000000-0005-0000-0000-0000C8010000}"/>
    <cellStyle name="_NTC Indosat 3G Expansion 2007 RevF" xfId="460" xr:uid="{00000000-0005-0000-0000-0000C9010000}"/>
    <cellStyle name="_NTC Indosat 3G Expansion 2007 RevF_Summary of Payment 10 Nov 2008" xfId="461" xr:uid="{00000000-0005-0000-0000-0000CA010000}"/>
    <cellStyle name="_NTC Indosat 3G Expansion 2007 RevG (2)" xfId="462" xr:uid="{00000000-0005-0000-0000-0000CB010000}"/>
    <cellStyle name="_NTC Indosat 3G Expansion 2007 RevG (2)_Summary of Payment 10 Nov 2008" xfId="463" xr:uid="{00000000-0005-0000-0000-0000CC010000}"/>
    <cellStyle name="_NTC Indosat 3G Expansion 2007 RevH" xfId="464" xr:uid="{00000000-0005-0000-0000-0000CD010000}"/>
    <cellStyle name="_NTC Indosat 3G Expansion 2007 RevH_Summary of Payment 10 Nov 2008" xfId="465" xr:uid="{00000000-0005-0000-0000-0000CE010000}"/>
    <cellStyle name="_NTC Indosat 3G Expansion 2007 RevI" xfId="466" xr:uid="{00000000-0005-0000-0000-0000CF010000}"/>
    <cellStyle name="_NTC Indosat 3G Expansion 2007 RevI_Summary of Payment 10 Nov 2008" xfId="467" xr:uid="{00000000-0005-0000-0000-0000D0010000}"/>
    <cellStyle name="_NTC Services for FWA Migration RevG" xfId="468" xr:uid="{00000000-0005-0000-0000-0000D1010000}"/>
    <cellStyle name="_NTC Services for FWA Migration RevG_Summary of Payment 10 Nov 2008" xfId="469" xr:uid="{00000000-0005-0000-0000-0000D2010000}"/>
    <cellStyle name="_NTS -GRAND TOTAL SERVICE SUMMARY PH 1-6_PA61" xfId="470" xr:uid="{00000000-0005-0000-0000-0000D3010000}"/>
    <cellStyle name="_NTS MGW SPMS Cost" xfId="471" xr:uid="{00000000-0005-0000-0000-0000D4010000}"/>
    <cellStyle name="_NTS MSC SPMS Cost" xfId="472" xr:uid="{00000000-0005-0000-0000-0000D5010000}"/>
    <cellStyle name="_NTS PS SPMS Cost" xfId="473" xr:uid="{00000000-0005-0000-0000-0000D6010000}"/>
    <cellStyle name="_NTS SERVICE SUMMARY WP1-2 15 Sept 05 PA3" xfId="474" xr:uid="{00000000-0005-0000-0000-0000D7010000}"/>
    <cellStyle name="_O&amp;M BSS Capacity Upgrade 2007 Transmission BoQ Summary" xfId="475" xr:uid="{00000000-0005-0000-0000-0000D8010000}"/>
    <cellStyle name="_O&amp;M BSS Capacity Upgrade 2007 Transmission BoQ Summary_Summary of Payment 10 Nov 2008" xfId="476" xr:uid="{00000000-0005-0000-0000-0000D9010000}"/>
    <cellStyle name="_O&amp;M with cost" xfId="477" xr:uid="{00000000-0005-0000-0000-0000DA010000}"/>
    <cellStyle name="_Offshoring Cost Rev Pa1" xfId="478" xr:uid="{00000000-0005-0000-0000-0000DB010000}"/>
    <cellStyle name="_om assist cost_010306" xfId="479" xr:uid="{00000000-0005-0000-0000-0000DC010000}"/>
    <cellStyle name="_OM Service Summary PA1" xfId="480" xr:uid="{00000000-0005-0000-0000-0000DD010000}"/>
    <cellStyle name="_OpEx savings (Template)" xfId="481" xr:uid="{00000000-0005-0000-0000-0000DE010000}"/>
    <cellStyle name="_Optional Offer-BoQ TRM Summary 3G Expansion 2007-PA1" xfId="482" xr:uid="{00000000-0005-0000-0000-0000DF010000}"/>
    <cellStyle name="_Optional Offer-BoQ TRM Summary 3G Expansion 2007-PA1_Summary of Payment 10 Nov 2008" xfId="483" xr:uid="{00000000-0005-0000-0000-0000E0010000}"/>
    <cellStyle name="_OSA 5-MSC Rev.A" xfId="484" xr:uid="{00000000-0005-0000-0000-0000E1010000}"/>
    <cellStyle name="_OSA 5-MSC Rev.A_Summary of Payment 10 Nov 2008" xfId="485" xr:uid="{00000000-0005-0000-0000-0000E2010000}"/>
    <cellStyle name="_OSA MSS Rev.A1" xfId="486" xr:uid="{00000000-0005-0000-0000-0000E3010000}"/>
    <cellStyle name="_OSA MSS Rev.A1_Summary of Payment 10 Nov 2008" xfId="487" xr:uid="{00000000-0005-0000-0000-0000E4010000}"/>
    <cellStyle name="_PO Services 24 Nov Rev A plus item code" xfId="488" xr:uid="{00000000-0005-0000-0000-0000E5010000}"/>
    <cellStyle name="_ProductImport Services 20060627" xfId="489" xr:uid="{00000000-0005-0000-0000-0000E6010000}"/>
    <cellStyle name="_Projection DR Inti (20-06-06)" xfId="490" xr:uid="{00000000-0005-0000-0000-0000E7010000}"/>
    <cellStyle name="_Proyeksi BDJ 030706" xfId="491" xr:uid="{00000000-0005-0000-0000-0000E8010000}"/>
    <cellStyle name="_Q1 MINI-LINK ISAT Kalimantan (2)" xfId="492" xr:uid="{00000000-0005-0000-0000-0000E9010000}"/>
    <cellStyle name="_Q2 MINI-LINK ISAT Kalimantan (2)" xfId="493" xr:uid="{00000000-0005-0000-0000-0000EA010000}"/>
    <cellStyle name="_Quote05-0027 Maxis-LIPPO Network Audit Cost PA1" xfId="494" xr:uid="{00000000-0005-0000-0000-0000EB010000}"/>
    <cellStyle name="_Quote05-0027 Maxis-LIPPO Network Audit Cost PA1_Summary of Payment 10 Nov 2008" xfId="495" xr:uid="{00000000-0005-0000-0000-0000EC010000}"/>
    <cellStyle name="_Quote05-0115 Mandara TRM-090905  Rev B" xfId="496" xr:uid="{00000000-0005-0000-0000-0000ED010000}"/>
    <cellStyle name="_Quote06-0021 ISAT-MW Kalimantan RO 2006 Rev D 120706" xfId="497" xr:uid="{00000000-0005-0000-0000-0000EE010000}"/>
    <cellStyle name="_Quote06-0021 ISAT-MW Kalimantan RO 2006 Rev E 190706" xfId="498" xr:uid="{00000000-0005-0000-0000-0000EF010000}"/>
    <cellStyle name="_Quote06-0055 ISAT-MSC Sumatera Rev PA" xfId="499" xr:uid="{00000000-0005-0000-0000-0000F0010000}"/>
    <cellStyle name="_Quote06-0085 ISAT-OM TRX Upgrade 050706 (2)" xfId="500" xr:uid="{00000000-0005-0000-0000-0000F1010000}"/>
    <cellStyle name="_Quote06-0153 ISAT-TRANSMISSION Jbtk RO 2007 Rev PA8 121206" xfId="501" xr:uid="{00000000-0005-0000-0000-0000F2010000}"/>
    <cellStyle name="_Quote06-0162 ISAT-Transmissions Jbtk O&amp;M BSS Upgrade 2007" xfId="502" xr:uid="{00000000-0005-0000-0000-0000F3010000}"/>
    <cellStyle name="_Quote06-0163 ISAT-O&amp;M BSS Capacity Upgrade 2007 Rev.PA4 180107 notok" xfId="503" xr:uid="{00000000-0005-0000-0000-0000F4010000}"/>
    <cellStyle name="_Quote07-0060 HCPT 2G GSM1800 Rev. PB3 090707" xfId="504" xr:uid="{00000000-0005-0000-0000-0000F5010000}"/>
    <cellStyle name="_Radio Network Design (RND)" xfId="505" xr:uid="{00000000-0005-0000-0000-0000F6010000}"/>
    <cellStyle name="_Radio Network Design (RND) without Tools" xfId="506" xr:uid="{00000000-0005-0000-0000-0000F7010000}"/>
    <cellStyle name="_Radio Network Design (RND) without Tools_Summary of Payment 10 Nov 2008" xfId="507" xr:uid="{00000000-0005-0000-0000-0000F8010000}"/>
    <cellStyle name="_Radio Network Design (RND)_Summary of Payment 10 Nov 2008" xfId="508" xr:uid="{00000000-0005-0000-0000-0000F9010000}"/>
    <cellStyle name="_RAN_Indosat 3G Expansion 2007 Rev C" xfId="509" xr:uid="{00000000-0005-0000-0000-0000FA010000}"/>
    <cellStyle name="_RAN_Indosat 3G Expansion 2007 Rev C_Summary of Payment 10 Nov 2008" xfId="510" xr:uid="{00000000-0005-0000-0000-0000FB010000}"/>
    <cellStyle name="_RAN_Indosat 3G Expansion 2007 Rev D (2)" xfId="511" xr:uid="{00000000-0005-0000-0000-0000FC010000}"/>
    <cellStyle name="_RAN_Indosat 3G Expansion 2007 Rev D (2)_Summary of Payment 10 Nov 2008" xfId="512" xr:uid="{00000000-0005-0000-0000-0000FD010000}"/>
    <cellStyle name="_RAN_Indosat 3G Expansion 2007 Rev D 140407" xfId="513" xr:uid="{00000000-0005-0000-0000-0000FE010000}"/>
    <cellStyle name="_RAN_Indosat 3G Expansion 2007 Rev D 140407_Summary of Payment 10 Nov 2008" xfId="514" xr:uid="{00000000-0005-0000-0000-0000FF010000}"/>
    <cellStyle name="_RAN_Indosat 3G Expansion 2007 RevA" xfId="515" xr:uid="{00000000-0005-0000-0000-000000020000}"/>
    <cellStyle name="_RAN_Indosat 3G Expansion 2007 RevA_Summary of Payment 10 Nov 2008" xfId="516" xr:uid="{00000000-0005-0000-0000-000001020000}"/>
    <cellStyle name="_RBS Jabotabek ISAT" xfId="517" xr:uid="{00000000-0005-0000-0000-000002020000}"/>
    <cellStyle name="_RBS01" xfId="518" xr:uid="{00000000-0005-0000-0000-000003020000}"/>
    <cellStyle name="_Replacement RBS - CME Additional" xfId="519" xr:uid="{00000000-0005-0000-0000-000004020000}"/>
    <cellStyle name="_Replacement RBS - CME Additional_Summary of Payment 10 Nov 2008" xfId="520" xr:uid="{00000000-0005-0000-0000-000005020000}"/>
    <cellStyle name="_Rev A 2G Optimisation for WCDMA Project Surabaya" xfId="521" xr:uid="{00000000-0005-0000-0000-000006020000}"/>
    <cellStyle name="_Rev A 2G Optimisation for WCDMA Project Surabaya_Summary of Payment 10 Nov 2008" xfId="522" xr:uid="{00000000-0005-0000-0000-000007020000}"/>
    <cellStyle name="_Rev A Dismantle Nokia" xfId="523" xr:uid="{00000000-0005-0000-0000-000008020000}"/>
    <cellStyle name="_Rev A Dismantle Nokia_Summary of Payment 10 Nov 2008" xfId="524" xr:uid="{00000000-0005-0000-0000-000009020000}"/>
    <cellStyle name="_Rev A Network Consulting Services Full Turnkey 2007 Projects (2)" xfId="525" xr:uid="{00000000-0005-0000-0000-00000A020000}"/>
    <cellStyle name="_Rev A Network Consulting Services Full Turnkey 2007 Projects (2)_Summary of Payment 10 Nov 2008" xfId="526" xr:uid="{00000000-0005-0000-0000-00000B020000}"/>
    <cellStyle name="_Rev A NTC Services for FWA Migration" xfId="527" xr:uid="{00000000-0005-0000-0000-00000C020000}"/>
    <cellStyle name="_Rev A NTC Services for FWA Migration_Summary of Payment 10 Nov 2008" xfId="528" xr:uid="{00000000-0005-0000-0000-00000D020000}"/>
    <cellStyle name="_Rev A NTS WCDMA RND+Optim East Java (Hutomo)" xfId="529" xr:uid="{00000000-0005-0000-0000-00000E020000}"/>
    <cellStyle name="_Rev A NTS WCDMA RND+Optim East Java (Hutomo)_Summary of Payment 10 Nov 2008" xfId="530" xr:uid="{00000000-0005-0000-0000-00000F020000}"/>
    <cellStyle name="_Rev A Q2 Radio Network Capacity Management Services" xfId="531" xr:uid="{00000000-0005-0000-0000-000010020000}"/>
    <cellStyle name="_Rev A Q2 Radio Network Capacity Management Services_Summary of Payment 10 Nov 2008" xfId="532" xr:uid="{00000000-0005-0000-0000-000011020000}"/>
    <cellStyle name="_Rev A RND Services Excelcom Sumatra" xfId="533" xr:uid="{00000000-0005-0000-0000-000012020000}"/>
    <cellStyle name="_Rev A RND Services Excelcom Sumatra_Summary of Payment 10 Nov 2008" xfId="534" xr:uid="{00000000-0005-0000-0000-000013020000}"/>
    <cellStyle name="_Rev A RND Services Indosat RO 2006" xfId="535" xr:uid="{00000000-0005-0000-0000-000014020000}"/>
    <cellStyle name="_Rev A RND Services Indosat RO 2006_Summary of Payment 10 Nov 2008" xfId="536" xr:uid="{00000000-0005-0000-0000-000015020000}"/>
    <cellStyle name="_Rev A RNPOC Services Indosat RO 2006 for Revquote A8" xfId="537" xr:uid="{00000000-0005-0000-0000-000016020000}"/>
    <cellStyle name="_Rev A RNPOC Services Indosat RO 2006 for Revquote A8_Summary of Payment 10 Nov 2008" xfId="538" xr:uid="{00000000-0005-0000-0000-000017020000}"/>
    <cellStyle name="_Rev A TND Services Excelcom Sumatra" xfId="539" xr:uid="{00000000-0005-0000-0000-000018020000}"/>
    <cellStyle name="_Rev A TND Services Excelcom Sumatra_Summary of Payment 10 Nov 2008" xfId="540" xr:uid="{00000000-0005-0000-0000-000019020000}"/>
    <cellStyle name="_Rev A WCDMA-HSDPA RAN Jakarta" xfId="541" xr:uid="{00000000-0005-0000-0000-00001A020000}"/>
    <cellStyle name="_Rev A WCDMA-HSDPA RAN Jakarta_Summary of Payment 10 Nov 2008" xfId="542" xr:uid="{00000000-0005-0000-0000-00001B020000}"/>
    <cellStyle name="_Rev A WCDMA-HSDPA RAN Semarang and Yogya" xfId="543" xr:uid="{00000000-0005-0000-0000-00001C020000}"/>
    <cellStyle name="_Rev A WCDMA-HSDPA RAN Semarang and Yogya_Summary of Payment 10 Nov 2008" xfId="544" xr:uid="{00000000-0005-0000-0000-00001D020000}"/>
    <cellStyle name="_Rev A WCDMA-HSDPA RAN Surabaya" xfId="545" xr:uid="{00000000-0005-0000-0000-00001E020000}"/>
    <cellStyle name="_Rev A WCDMA-HSDPA RAN Surabaya_Summary of Payment 10 Nov 2008" xfId="546" xr:uid="{00000000-0005-0000-0000-00001F020000}"/>
    <cellStyle name="_Rev A1 Network Consulting Services Full Turnkey 2006 Projects" xfId="547" xr:uid="{00000000-0005-0000-0000-000020020000}"/>
    <cellStyle name="_Rev A1 Network Consulting Services Full Turnkey 2006 Projects_Summary of Payment 10 Nov 2008" xfId="548" xr:uid="{00000000-0005-0000-0000-000021020000}"/>
    <cellStyle name="_Rev A1 Radio Network Capacity Management Services" xfId="549" xr:uid="{00000000-0005-0000-0000-000022020000}"/>
    <cellStyle name="_Rev A1 Radio Network Capacity Management Services_Summary of Payment 10 Nov 2008" xfId="550" xr:uid="{00000000-0005-0000-0000-000023020000}"/>
    <cellStyle name="_Rev A2 NTC Services for FWA Migration" xfId="551" xr:uid="{00000000-0005-0000-0000-000024020000}"/>
    <cellStyle name="_Rev A2 NTC Services for FWA Migration_Summary of Payment 10 Nov 2008" xfId="552" xr:uid="{00000000-0005-0000-0000-000025020000}"/>
    <cellStyle name="_Rev B 2G Optimisation for WCDMA Project Jakarta" xfId="553" xr:uid="{00000000-0005-0000-0000-000026020000}"/>
    <cellStyle name="_Rev B 2G Optimisation for WCDMA Project Jakarta_Summary of Payment 10 Nov 2008" xfId="554" xr:uid="{00000000-0005-0000-0000-000027020000}"/>
    <cellStyle name="_Rev B MSC HLR GPRS Expansion" xfId="555" xr:uid="{00000000-0005-0000-0000-000028020000}"/>
    <cellStyle name="_Rev B MSC HLR GPRS Expansion_Summary of Payment 10 Nov 2008" xfId="556" xr:uid="{00000000-0005-0000-0000-000029020000}"/>
    <cellStyle name="_Rev B Network Consulting Services Full Turnkey 2006 Projects" xfId="557" xr:uid="{00000000-0005-0000-0000-00002A020000}"/>
    <cellStyle name="_Rev B Network Consulting Services Full Turnkey 2006 Projects_Summary of Payment 10 Nov 2008" xfId="558" xr:uid="{00000000-0005-0000-0000-00002B020000}"/>
    <cellStyle name="_Rev B RND Services Indosat RO 2006" xfId="559" xr:uid="{00000000-0005-0000-0000-00002C020000}"/>
    <cellStyle name="_Rev B RND Services Indosat RO 2006_Summary of Payment 10 Nov 2008" xfId="560" xr:uid="{00000000-0005-0000-0000-00002D020000}"/>
    <cellStyle name="_Rev B WCDMA-HSDPA RAN Jakarta" xfId="561" xr:uid="{00000000-0005-0000-0000-00002E020000}"/>
    <cellStyle name="_Rev B WCDMA-HSDPA RAN Jakarta_Summary of Payment 10 Nov 2008" xfId="562" xr:uid="{00000000-0005-0000-0000-00002F020000}"/>
    <cellStyle name="_Rev B WCDMA-HSDPA RAN Surabaya" xfId="563" xr:uid="{00000000-0005-0000-0000-000030020000}"/>
    <cellStyle name="_Rev B WCDMA-HSDPA RAN Surabaya_Summary of Payment 10 Nov 2008" xfId="564" xr:uid="{00000000-0005-0000-0000-000031020000}"/>
    <cellStyle name="_Rev C - Radio Network Capacity Management Services" xfId="565" xr:uid="{00000000-0005-0000-0000-000032020000}"/>
    <cellStyle name="_Rev C - Radio Network Capacity Management Services_Summary of Payment 10 Nov 2008" xfId="566" xr:uid="{00000000-0005-0000-0000-000033020000}"/>
    <cellStyle name="_Rev C Manhour Services for Lebaran 2005" xfId="567" xr:uid="{00000000-0005-0000-0000-000034020000}"/>
    <cellStyle name="_Rev C Manhour Services for Lebaran 2005_Summary of Payment 10 Nov 2008" xfId="568" xr:uid="{00000000-0005-0000-0000-000035020000}"/>
    <cellStyle name="_Rev C MSC HLR GPRS Expansion" xfId="569" xr:uid="{00000000-0005-0000-0000-000036020000}"/>
    <cellStyle name="_Rev C MSC HLR GPRS Expansion_Summary of Payment 10 Nov 2008" xfId="570" xr:uid="{00000000-0005-0000-0000-000037020000}"/>
    <cellStyle name="_Rev C Network Consulting Services Full Turnkey 2007 Projects" xfId="571" xr:uid="{00000000-0005-0000-0000-000038020000}"/>
    <cellStyle name="_Rev C Network Consulting Services Full Turnkey 2007 Projects_Summary of Payment 10 Nov 2008" xfId="572" xr:uid="{00000000-0005-0000-0000-000039020000}"/>
    <cellStyle name="_Rev C NTC Services for FWA Migration (with filter installation)" xfId="573" xr:uid="{00000000-0005-0000-0000-00003A020000}"/>
    <cellStyle name="_Rev C NTC Services for FWA Migration (with filter installation)_Summary of Payment 10 Nov 2008" xfId="574" xr:uid="{00000000-0005-0000-0000-00003B020000}"/>
    <cellStyle name="_Rev C RND Services Indosat RO 2006" xfId="575" xr:uid="{00000000-0005-0000-0000-00003C020000}"/>
    <cellStyle name="_Rev C RND Services Indosat RO 2006_Summary of Payment 10 Nov 2008" xfId="576" xr:uid="{00000000-0005-0000-0000-00003D020000}"/>
    <cellStyle name="_Rev C WCDMA-HSDPA RAN Jakarta" xfId="577" xr:uid="{00000000-0005-0000-0000-00003E020000}"/>
    <cellStyle name="_Rev C WCDMA-HSDPA RAN Jakarta_Summary of Payment 10 Nov 2008" xfId="578" xr:uid="{00000000-0005-0000-0000-00003F020000}"/>
    <cellStyle name="_Rev C WCDMA-HSDPA RAN Surabaya" xfId="579" xr:uid="{00000000-0005-0000-0000-000040020000}"/>
    <cellStyle name="_Rev C WCDMA-HSDPA RAN Surabaya_Summary of Payment 10 Nov 2008" xfId="580" xr:uid="{00000000-0005-0000-0000-000041020000}"/>
    <cellStyle name="_Rev D MSC HLR GPRS Expansion" xfId="581" xr:uid="{00000000-0005-0000-0000-000042020000}"/>
    <cellStyle name="_Rev D MSC HLR GPRS Expansion_Summary of Payment 10 Nov 2008" xfId="582" xr:uid="{00000000-0005-0000-0000-000043020000}"/>
    <cellStyle name="_Rev D Network Consulting Services Full Turnkey 2007 Projects" xfId="583" xr:uid="{00000000-0005-0000-0000-000044020000}"/>
    <cellStyle name="_Rev D Network Consulting Services Full Turnkey 2007 Projects_Summary of Payment 10 Nov 2008" xfId="584" xr:uid="{00000000-0005-0000-0000-000045020000}"/>
    <cellStyle name="_Rev D NTC Services for FWA Migration (2)" xfId="585" xr:uid="{00000000-0005-0000-0000-000046020000}"/>
    <cellStyle name="_Rev D NTC Services for FWA Migration (2)_Summary of Payment 10 Nov 2008" xfId="586" xr:uid="{00000000-0005-0000-0000-000047020000}"/>
    <cellStyle name="_Rev D Radio Network Capacity Management Services" xfId="587" xr:uid="{00000000-0005-0000-0000-000048020000}"/>
    <cellStyle name="_Rev D Radio Network Capacity Management Services (2)" xfId="588" xr:uid="{00000000-0005-0000-0000-000049020000}"/>
    <cellStyle name="_Rev D Radio Network Capacity Management Services (2)_Summary of Payment 10 Nov 2008" xfId="589" xr:uid="{00000000-0005-0000-0000-00004A020000}"/>
    <cellStyle name="_Rev D Radio Network Capacity Management Services_Summary of Payment 10 Nov 2008" xfId="590" xr:uid="{00000000-0005-0000-0000-00004B020000}"/>
    <cellStyle name="_Rev E WCDMA-HSDPA RAN Surabaya" xfId="591" xr:uid="{00000000-0005-0000-0000-00004C020000}"/>
    <cellStyle name="_Rev E WCDMA-HSDPA RAN Surabaya_Summary of Payment 10 Nov 2008" xfId="592" xr:uid="{00000000-0005-0000-0000-00004D020000}"/>
    <cellStyle name="_Rev F RND Services Indosat RO 2006 for Revquote A8" xfId="593" xr:uid="{00000000-0005-0000-0000-00004E020000}"/>
    <cellStyle name="_Rev F RND Services Indosat RO 2006 for Revquote A8_Summary of Payment 10 Nov 2008" xfId="594" xr:uid="{00000000-0005-0000-0000-00004F020000}"/>
    <cellStyle name="_Rev F WCDMA-HSDPA RAN Jakarta" xfId="595" xr:uid="{00000000-0005-0000-0000-000050020000}"/>
    <cellStyle name="_Rev F WCDMA-HSDPA RAN Jakarta_Summary of Payment 10 Nov 2008" xfId="596" xr:uid="{00000000-0005-0000-0000-000051020000}"/>
    <cellStyle name="_Rev I RND Services Indosat RO 2006" xfId="597" xr:uid="{00000000-0005-0000-0000-000052020000}"/>
    <cellStyle name="_Rev I RND Services Indosat RO 2006_Summary of Payment 10 Nov 2008" xfId="598" xr:uid="{00000000-0005-0000-0000-000053020000}"/>
    <cellStyle name="_Rev N4-ISAT RO 2006_SACME_190506 (by EDPColrah)" xfId="599" xr:uid="{00000000-0005-0000-0000-000054020000}"/>
    <cellStyle name="_Rev N4-ISAT RO 2006_SACME_190506 (by EDPColrah)_Summary of Payment 10 Nov 2008" xfId="600" xr:uid="{00000000-0005-0000-0000-000055020000}"/>
    <cellStyle name="_Rev N5-ISAT RO 2006_SACME_230506" xfId="601" xr:uid="{00000000-0005-0000-0000-000056020000}"/>
    <cellStyle name="_Rev N5-ISAT RO 2006_SACME_230506_Summary of Payment 10 Nov 2008" xfId="602" xr:uid="{00000000-0005-0000-0000-000057020000}"/>
    <cellStyle name="_Rev PA ISAT 4 Sites" xfId="603" xr:uid="{00000000-0005-0000-0000-000058020000}"/>
    <cellStyle name="_Rev PA ISAT 4 Sites_Summary of Payment 10 Nov 2008" xfId="604" xr:uid="{00000000-0005-0000-0000-000059020000}"/>
    <cellStyle name="_Rev PD Network Consulting Services Full Turnkey 2006 Projects" xfId="605" xr:uid="{00000000-0005-0000-0000-00005A020000}"/>
    <cellStyle name="_Rev PD Network Consulting Services Full Turnkey 2006 Projects_Summary of Payment 10 Nov 2008" xfId="606" xr:uid="{00000000-0005-0000-0000-00005B020000}"/>
    <cellStyle name="_Rev PD WCDMA-HSDPA RAN Jakarta" xfId="607" xr:uid="{00000000-0005-0000-0000-00005C020000}"/>
    <cellStyle name="_Rev PD WCDMA-HSDPA RAN Jakarta_Summary of Payment 10 Nov 2008" xfId="608" xr:uid="{00000000-0005-0000-0000-00005D020000}"/>
    <cellStyle name="_Rev PD WCDMA-HSDPA RAN Surabaya" xfId="609" xr:uid="{00000000-0005-0000-0000-00005E020000}"/>
    <cellStyle name="_Rev PD WCDMA-HSDPA RAN Surabaya_Summary of Payment 10 Nov 2008" xfId="610" xr:uid="{00000000-0005-0000-0000-00005F020000}"/>
    <cellStyle name="_Rev PD2 RND Services Indosat RO 2006" xfId="611" xr:uid="{00000000-0005-0000-0000-000060020000}"/>
    <cellStyle name="_Rev PD2 RND Services Indosat RO 2006_Summary of Payment 10 Nov 2008" xfId="612" xr:uid="{00000000-0005-0000-0000-000061020000}"/>
    <cellStyle name="_Rev PE WCDMA-HSDPA RAN Jakarta" xfId="613" xr:uid="{00000000-0005-0000-0000-000062020000}"/>
    <cellStyle name="_Rev PE WCDMA-HSDPA RAN Jakarta_Summary of Payment 10 Nov 2008" xfId="614" xr:uid="{00000000-0005-0000-0000-000063020000}"/>
    <cellStyle name="_Rev PE2 Network Consulting Services Full Turnkey 2006 Projects" xfId="615" xr:uid="{00000000-0005-0000-0000-000064020000}"/>
    <cellStyle name="_Rev PE2 Network Consulting Services Full Turnkey 2006 Projects_Summary of Payment 10 Nov 2008" xfId="616" xr:uid="{00000000-0005-0000-0000-000065020000}"/>
    <cellStyle name="_RNC Summary Rev PB" xfId="617" xr:uid="{00000000-0005-0000-0000-000066020000}"/>
    <cellStyle name="_RND 20May052 Revisi dari Uut" xfId="618" xr:uid="{00000000-0005-0000-0000-000067020000}"/>
    <cellStyle name="_RNPI TSel Rev PA1" xfId="619" xr:uid="{00000000-0005-0000-0000-000068020000}"/>
    <cellStyle name="_RO2007 Site List" xfId="620" xr:uid="{00000000-0005-0000-0000-000069020000}"/>
    <cellStyle name="_RO2007 Site List_Summary of Payment 10 Nov 2008" xfId="621" xr:uid="{00000000-0005-0000-0000-00006A020000}"/>
    <cellStyle name="_Routing Site list EDGE RO2007 revisi PA3 (2)" xfId="622" xr:uid="{00000000-0005-0000-0000-00006B020000}"/>
    <cellStyle name="_Routing Site list EDGE RO2007 revisi PA3 (2)_Summary of Payment 10 Nov 2008" xfId="623" xr:uid="{00000000-0005-0000-0000-00006C020000}"/>
    <cellStyle name="_RPG3 (3)" xfId="624" xr:uid="{00000000-0005-0000-0000-00006D020000}"/>
    <cellStyle name="_RPG3 (3)_Summary of Payment 10 Nov 2008" xfId="625" xr:uid="{00000000-0005-0000-0000-00006E020000}"/>
    <cellStyle name="_Scope of Work PA1 -190106" xfId="626" xr:uid="{00000000-0005-0000-0000-00006F020000}"/>
    <cellStyle name="_Scope of Work PA1 -190106 - XL Sumatera" xfId="627" xr:uid="{00000000-0005-0000-0000-000070020000}"/>
    <cellStyle name="_Scope of Work PA1 -190106_Summary of Payment 10 Nov 2008" xfId="628" xr:uid="{00000000-0005-0000-0000-000071020000}"/>
    <cellStyle name="_service Quotation for BOQ SUMMARY PR#2 Rev A" xfId="629" xr:uid="{00000000-0005-0000-0000-000072020000}"/>
    <cellStyle name="_service Quotation for BOQ SUMMARY PR#2 Rev A_Summary of Payment 10 Nov 2008" xfId="630" xr:uid="{00000000-0005-0000-0000-000073020000}"/>
    <cellStyle name="_Service quotation for EDGE 317 Sites Jabotabek  Nov 06 Rev A" xfId="631" xr:uid="{00000000-0005-0000-0000-000074020000}"/>
    <cellStyle name="_Service quotation for EDGE 317 Sites Jabotabek  Nov 06 Rev A_Summary of Payment 10 Nov 2008" xfId="632" xr:uid="{00000000-0005-0000-0000-000075020000}"/>
    <cellStyle name="_service Quotation for Upgrade PDH Minilink Scope Pontianak-Banjarmasin Rev A" xfId="633" xr:uid="{00000000-0005-0000-0000-000076020000}"/>
    <cellStyle name="_service Quotation for Upgrade PDH Minilink Scope Pontianak-Banjarmasin Rev A_Summary of Payment 10 Nov 2008" xfId="634" xr:uid="{00000000-0005-0000-0000-000077020000}"/>
    <cellStyle name="_Service Support - ISAT - Transmission Upgrade Batch 1 _Rev PA1" xfId="635" xr:uid="{00000000-0005-0000-0000-000078020000}"/>
    <cellStyle name="_Service Support - ISAT - Transmission Upgrade Batch 1 _Rev PA1_Summary of Payment 10 Nov 2008" xfId="636" xr:uid="{00000000-0005-0000-0000-000079020000}"/>
    <cellStyle name="_Service Support - ISAT - Transmission Upgrade Batch 1 _Rev PA2" xfId="637" xr:uid="{00000000-0005-0000-0000-00007A020000}"/>
    <cellStyle name="_Service Support - ISAT - Transmission Upgrade Batch 1 _Rev PA2_Summary of Payment 10 Nov 2008" xfId="638" xr:uid="{00000000-0005-0000-0000-00007B020000}"/>
    <cellStyle name="_Service Support - ISAT - Transmission Upgrade Batch 1 _Rev.PA2" xfId="639" xr:uid="{00000000-0005-0000-0000-00007C020000}"/>
    <cellStyle name="_Service Support - ISAT - Transmission Upgrade Batch 1 _Rev.PA2_Summary of Payment 10 Nov 2008" xfId="640" xr:uid="{00000000-0005-0000-0000-00007D020000}"/>
    <cellStyle name="_Service Support - ISAT - Transmission Upgrade Batch 2 _Rev PA1" xfId="641" xr:uid="{00000000-0005-0000-0000-00007E020000}"/>
    <cellStyle name="_Service Support - ISAT - Transmission Upgrade Batch 2 _Rev PA1_Summary of Payment 10 Nov 2008" xfId="642" xr:uid="{00000000-0005-0000-0000-00007F020000}"/>
    <cellStyle name="_Services  Mandara Rev PA2" xfId="643" xr:uid="{00000000-0005-0000-0000-000080020000}"/>
    <cellStyle name="_Services for ISAT Decongestion Kalimantan RO 2007 Rev A" xfId="644" xr:uid="{00000000-0005-0000-0000-000081020000}"/>
    <cellStyle name="_Services for ISAT Decongestion Kalimantan RO 2007 Rev A_Summary of Payment 10 Nov 2008" xfId="645" xr:uid="{00000000-0005-0000-0000-000082020000}"/>
    <cellStyle name="_Services for PDH Kalimantan RO 2007 -  Rev B 10jan07" xfId="646" xr:uid="{00000000-0005-0000-0000-000083020000}"/>
    <cellStyle name="_Services for PDH Kalimantan RO 2007 -  Rev B 10jan07_Summary of Payment 10 Nov 2008" xfId="647" xr:uid="{00000000-0005-0000-0000-000084020000}"/>
    <cellStyle name="_Services Jabotabek phase 2B  Rev A" xfId="648" xr:uid="{00000000-0005-0000-0000-000085020000}"/>
    <cellStyle name="_Services Jabotabek phase 2B  Rev A TND" xfId="649" xr:uid="{00000000-0005-0000-0000-000086020000}"/>
    <cellStyle name="_Services Jabotabek phase 2B  Rev A TND_Summary of Payment 10 Nov 2008" xfId="650" xr:uid="{00000000-0005-0000-0000-000087020000}"/>
    <cellStyle name="_Services Jabotabek RO 2006 Rev B" xfId="651" xr:uid="{00000000-0005-0000-0000-000088020000}"/>
    <cellStyle name="_Services Kalimantan" xfId="652" xr:uid="{00000000-0005-0000-0000-000089020000}"/>
    <cellStyle name="_Services quotation Add Link RO 2006 Batch 3 (PA1) Kal  Rev B" xfId="653" xr:uid="{00000000-0005-0000-0000-00008A020000}"/>
    <cellStyle name="_Services quotation Add Link RO 2006 Batch 3 (PA1) Kal  Rev B_Summary of Payment 10 Nov 2008" xfId="654" xr:uid="{00000000-0005-0000-0000-00008B020000}"/>
    <cellStyle name="_Services quotation Add Link RO 2006 Batch 3 (PA1) Kalimantan Rev A" xfId="655" xr:uid="{00000000-0005-0000-0000-00008C020000}"/>
    <cellStyle name="_Services quotation Add Link RO 2006 Batch 3 (PA1) Kalimantan Rev A_Summary of Payment 10 Nov 2008" xfId="656" xr:uid="{00000000-0005-0000-0000-00008D020000}"/>
    <cellStyle name="_Services Quotation for Summary BoQ 2007 Q1 Rev A (2)" xfId="657" xr:uid="{00000000-0005-0000-0000-00008E020000}"/>
    <cellStyle name="_Services Quotation for Summary BoQ 2007 Q1 Rev A (2)_Summary of Payment 10 Nov 2008" xfId="658" xr:uid="{00000000-0005-0000-0000-00008F020000}"/>
    <cellStyle name="_Services Quotation for Summary BoQ 2007 Q1 Rev A (4)" xfId="659" xr:uid="{00000000-0005-0000-0000-000090020000}"/>
    <cellStyle name="_Services Quotation for Summary BoQ 2007 Q1 Rev A (4)_Summary of Payment 10 Nov 2008" xfId="660" xr:uid="{00000000-0005-0000-0000-000091020000}"/>
    <cellStyle name="_Services Quotation for Summary BoQ 2007 Q1-Q4 expansion &amp; upgrade Rev D 8 dec 2006" xfId="661" xr:uid="{00000000-0005-0000-0000-000092020000}"/>
    <cellStyle name="_Services Quotation for Summary BoQ 2007 Q1-Q4 expansion &amp; upgrade Rev D 8 dec 2006_Summary of Payment 10 Nov 2008" xfId="662" xr:uid="{00000000-0005-0000-0000-000093020000}"/>
    <cellStyle name="_Services Summary PA2" xfId="663" xr:uid="{00000000-0005-0000-0000-000094020000}"/>
    <cellStyle name="_Services Summary PA3" xfId="664" xr:uid="{00000000-0005-0000-0000-000095020000}"/>
    <cellStyle name="_ServiceSupport_ISAT_MSS Surabaya Upgrade_Rev.PA2" xfId="665" xr:uid="{00000000-0005-0000-0000-000096020000}"/>
    <cellStyle name="_SGSN ISAT (JKT-BDO)" xfId="666" xr:uid="{00000000-0005-0000-0000-000097020000}"/>
    <cellStyle name="_SGSN R7 ISAT-BDJ" xfId="667" xr:uid="{00000000-0005-0000-0000-000098020000}"/>
    <cellStyle name="_SitacCME Standard Manhour (proposed for ISAT BSS RO 2007) (3)" xfId="668" xr:uid="{00000000-0005-0000-0000-000099020000}"/>
    <cellStyle name="_Site List Estimate 2007 RBS BBS Dimensionig 100 Sites" xfId="669" xr:uid="{00000000-0005-0000-0000-00009A020000}"/>
    <cellStyle name="_Site List Estimate 2007 RBS BBS Dimensionig 100 Sites_Minus batch 5" xfId="670" xr:uid="{00000000-0005-0000-0000-00009B020000}"/>
    <cellStyle name="_Site List Estimate 2007 RBS BBS Dimensionig 100 Sites_Minus batch 5_Summary of Payment 10 Nov 2008" xfId="671" xr:uid="{00000000-0005-0000-0000-00009C020000}"/>
    <cellStyle name="_Site List Estimate 2007 RBS BBS Dimensionig 100 Sites_Summary of Payment 10 Nov 2008" xfId="672" xr:uid="{00000000-0005-0000-0000-00009D020000}"/>
    <cellStyle name="_Site List Estimate 2007 RBS BBS Dimensionig 683 Sites (4)" xfId="673" xr:uid="{00000000-0005-0000-0000-00009E020000}"/>
    <cellStyle name="_Site List Estimate 2007 RBS BBS Dimensionig 683 Sites (4)_Summary of Payment 10 Nov 2008" xfId="674" xr:uid="{00000000-0005-0000-0000-00009F020000}"/>
    <cellStyle name="_Site List Terbaru Per 622pm (4)" xfId="675" xr:uid="{00000000-0005-0000-0000-0000A0020000}"/>
    <cellStyle name="_Site List Terbaru Per 622pm (4)_Summary of Payment 10 Nov 2008" xfId="676" xr:uid="{00000000-0005-0000-0000-0000A1020000}"/>
    <cellStyle name="_Site List Terbaru Per 622pm (7)" xfId="677" xr:uid="{00000000-0005-0000-0000-0000A2020000}"/>
    <cellStyle name="_Site List Terbaru Per 622pm (7)_Summary of Payment 10 Nov 2008" xfId="678" xr:uid="{00000000-0005-0000-0000-0000A3020000}"/>
    <cellStyle name="_Softswitch Support Rev PA1" xfId="679" xr:uid="{00000000-0005-0000-0000-0000A4020000}"/>
    <cellStyle name="_Softswitch Support Rev PA3" xfId="680" xr:uid="{00000000-0005-0000-0000-0000A5020000}"/>
    <cellStyle name="_Softswitch Support Rev PA4" xfId="681" xr:uid="{00000000-0005-0000-0000-0000A6020000}"/>
    <cellStyle name="_Softswitch Support Rev PA5" xfId="682" xr:uid="{00000000-0005-0000-0000-0000A7020000}"/>
    <cellStyle name="_SOW Inner Jabotabek RFQ MW Jabotabek RO 2006" xfId="683" xr:uid="{00000000-0005-0000-0000-0000A8020000}"/>
    <cellStyle name="_Spare PO 2005 &amp; PO 2004 --- by rdp" xfId="684" xr:uid="{00000000-0005-0000-0000-0000A9020000}"/>
    <cellStyle name="_SPMS 30 Sites Rev PA1" xfId="685" xr:uid="{00000000-0005-0000-0000-0000AA020000}"/>
    <cellStyle name="_SPMS 81 Sites Rev PA1" xfId="686" xr:uid="{00000000-0005-0000-0000-0000AB020000}"/>
    <cellStyle name="_SPMS Cost - XL Sumatera" xfId="687" xr:uid="{00000000-0005-0000-0000-0000AC020000}"/>
    <cellStyle name="_SPMS cost exercise 4 (MPBN)" xfId="688" xr:uid="{00000000-0005-0000-0000-0000AD020000}"/>
    <cellStyle name="_SPMS Cost Rev PA1" xfId="689" xr:uid="{00000000-0005-0000-0000-0000AE020000}"/>
    <cellStyle name="_SPMS Cost TRM Jabotabek Isat 2006 (133 Hops)" xfId="690" xr:uid="{00000000-0005-0000-0000-0000AF020000}"/>
    <cellStyle name="_SPMS HLR PA1" xfId="691" xr:uid="{00000000-0005-0000-0000-0000B0020000}"/>
    <cellStyle name="_SPMS HLR PA1_Summary of Payment 10 Nov 2008" xfId="692" xr:uid="{00000000-0005-0000-0000-0000B1020000}"/>
    <cellStyle name="_SPMS Indosat Summary PA3" xfId="693" xr:uid="{00000000-0005-0000-0000-0000B2020000}"/>
    <cellStyle name="_SPMS Indosat Summary PA3_Summary of Payment 10 Nov 2008" xfId="694" xr:uid="{00000000-0005-0000-0000-0000B3020000}"/>
    <cellStyle name="_SPMS Indosat Swap PA1" xfId="695" xr:uid="{00000000-0005-0000-0000-0000B4020000}"/>
    <cellStyle name="_SPMS Indosat Swap PA1_Summary of Payment 10 Nov 2008" xfId="696" xr:uid="{00000000-0005-0000-0000-0000B5020000}"/>
    <cellStyle name="_SPMS Input" xfId="697" xr:uid="{00000000-0005-0000-0000-0000B6020000}"/>
    <cellStyle name="_SPMS Mega.0809051" xfId="698" xr:uid="{00000000-0005-0000-0000-0000B7020000}"/>
    <cellStyle name="_SPMS Tsel 3G" xfId="699" xr:uid="{00000000-0005-0000-0000-0000B8020000}"/>
    <cellStyle name="_SPMS XL Rev PA1" xfId="700" xr:uid="{00000000-0005-0000-0000-0000B9020000}"/>
    <cellStyle name="_SPMS-SPRS  XL Rev PA2" xfId="701" xr:uid="{00000000-0005-0000-0000-0000BA020000}"/>
    <cellStyle name="_SPMS-SPRS  XL Rev PA3" xfId="702" xr:uid="{00000000-0005-0000-0000-0000BB020000}"/>
    <cellStyle name="_SS &amp; SPMS Indosat Minilink Jbtk 200605 Rev.PA1" xfId="703" xr:uid="{00000000-0005-0000-0000-0000BC020000}"/>
    <cellStyle name="_SS 30 Sites Rev PA1" xfId="704" xr:uid="{00000000-0005-0000-0000-0000BD020000}"/>
    <cellStyle name="_SS 81 Sites Rev PA1" xfId="705" xr:uid="{00000000-0005-0000-0000-0000BE020000}"/>
    <cellStyle name="_SS Huawei Rev PA1" xfId="706" xr:uid="{00000000-0005-0000-0000-0000BF020000}"/>
    <cellStyle name="_SS Indosat Summary PA2" xfId="707" xr:uid="{00000000-0005-0000-0000-0000C0020000}"/>
    <cellStyle name="_SS Indosat Summary PA2_Summary of Payment 10 Nov 2008" xfId="708" xr:uid="{00000000-0005-0000-0000-0000C1020000}"/>
    <cellStyle name="_SS Indosat Swap PA1" xfId="709" xr:uid="{00000000-0005-0000-0000-0000C2020000}"/>
    <cellStyle name="_SS Western PA1" xfId="710" xr:uid="{00000000-0005-0000-0000-0000C3020000}"/>
    <cellStyle name="_SS Western PA1_Summary of Payment 10 Nov 2008" xfId="711" xr:uid="{00000000-0005-0000-0000-0000C4020000}"/>
    <cellStyle name="_ss_in" xfId="712" xr:uid="{00000000-0005-0000-0000-0000C5020000}"/>
    <cellStyle name="_SSSPMS ISAT-3G Exp  2007 Rev  D" xfId="713" xr:uid="{00000000-0005-0000-0000-0000C6020000}"/>
    <cellStyle name="_SSSPMS ISAT-3G Exp  2007 Rev  D_Summary of Payment 10 Nov 2008" xfId="714" xr:uid="{00000000-0005-0000-0000-0000C7020000}"/>
    <cellStyle name="_SSSPMS ISAT-3G Exp  2007 Rev  F" xfId="715" xr:uid="{00000000-0005-0000-0000-0000C8020000}"/>
    <cellStyle name="_SSSPMS ISAT-3G Exp  2007 Rev  F_Summary of Payment 10 Nov 2008" xfId="716" xr:uid="{00000000-0005-0000-0000-0000C9020000}"/>
    <cellStyle name="_SSSPMS ISAT-3G Exp  2007 Rev  G Split Jbdtk-Solo" xfId="717" xr:uid="{00000000-0005-0000-0000-0000CA020000}"/>
    <cellStyle name="_SSSPMS ISAT-3G Exp  2007 Rev  G Split Jbdtk-Solo_Summary of Payment 10 Nov 2008" xfId="718" xr:uid="{00000000-0005-0000-0000-0000CB020000}"/>
    <cellStyle name="_SSSPMS ISAT-3G Exp  2007 Rev F" xfId="719" xr:uid="{00000000-0005-0000-0000-0000CC020000}"/>
    <cellStyle name="_SSSPMS ISAT-3G Exp  2007 Rev F_Summary of Payment 10 Nov 2008" xfId="720" xr:uid="{00000000-0005-0000-0000-0000CD020000}"/>
    <cellStyle name="_SSSPMS ISAT-3G Exp  2007 Rev.G 040507" xfId="721" xr:uid="{00000000-0005-0000-0000-0000CE020000}"/>
    <cellStyle name="_SSSPMS ISAT-3G Exp  2007 Rev.G 040507_Summary of Payment 10 Nov 2008" xfId="722" xr:uid="{00000000-0005-0000-0000-0000CF020000}"/>
    <cellStyle name="_SSSPMS ISAT-3G Exp 2007 Rev H (2)" xfId="723" xr:uid="{00000000-0005-0000-0000-0000D0020000}"/>
    <cellStyle name="_SSSPMS ISAT-3G Exp 2007 Rev H (2)_Summary of Payment 10 Nov 2008" xfId="724" xr:uid="{00000000-0005-0000-0000-0000D1020000}"/>
    <cellStyle name="_SSSPMS ISAT-3G Exp 2007 Rev L" xfId="725" xr:uid="{00000000-0005-0000-0000-0000D2020000}"/>
    <cellStyle name="_SSSPMS ISAT-3G Exp 2007 Rev L_Summary of Payment 10 Nov 2008" xfId="726" xr:uid="{00000000-0005-0000-0000-0000D3020000}"/>
    <cellStyle name="_SSSPMS ISAT-3G Exp 2007 Rev.G" xfId="727" xr:uid="{00000000-0005-0000-0000-0000D4020000}"/>
    <cellStyle name="_SSSPMS ISAT-3G Exp 2007 Rev.G_Summary of Payment 10 Nov 2008" xfId="728" xr:uid="{00000000-0005-0000-0000-0000D5020000}"/>
    <cellStyle name="_STP Invoice Plan Batch 1-Rev2_a" xfId="729" xr:uid="{00000000-0005-0000-0000-0000D6020000}"/>
    <cellStyle name="_STP Invoice Plan Batch 1-Rev2_a_Summary of Payment 10 Nov 2008" xfId="730" xr:uid="{00000000-0005-0000-0000-0000D7020000}"/>
    <cellStyle name="_Sumatrabackbone Rev PA2" xfId="731" xr:uid="{00000000-0005-0000-0000-0000D8020000}"/>
    <cellStyle name="_Summary" xfId="732" xr:uid="{00000000-0005-0000-0000-0000D9020000}"/>
    <cellStyle name="_Summary BoQ 2007 RC (2)" xfId="733" xr:uid="{00000000-0005-0000-0000-0000DA020000}"/>
    <cellStyle name="_Summary BoQ 2007 RC (2)_Summary of Payment 10 Nov 2008" xfId="734" xr:uid="{00000000-0005-0000-0000-0000DB020000}"/>
    <cellStyle name="_Summary BoQ 2007 RE (2)" xfId="735" xr:uid="{00000000-0005-0000-0000-0000DC020000}"/>
    <cellStyle name="_Summary BoQ 2007 RE (2)_Summary of Payment 10 Nov 2008" xfId="736" xr:uid="{00000000-0005-0000-0000-0000DD020000}"/>
    <cellStyle name="_Summary BoQ 2007 Rev H" xfId="737" xr:uid="{00000000-0005-0000-0000-0000DE020000}"/>
    <cellStyle name="_Summary BoQ 2007 Rev H_Summary of Payment 10 Nov 2008" xfId="738" xr:uid="{00000000-0005-0000-0000-0000DF020000}"/>
    <cellStyle name="_Summary for EDGE 317 Sites Nov 06 PA1 (4)" xfId="739" xr:uid="{00000000-0005-0000-0000-0000E0020000}"/>
    <cellStyle name="_Summary for EDGE 317 Sites Nov 06 PA1 (4)_Summary of Payment 10 Nov 2008" xfId="740" xr:uid="{00000000-0005-0000-0000-0000E1020000}"/>
    <cellStyle name="_Summary Indosat PDH Kalimantan" xfId="741" xr:uid="{00000000-0005-0000-0000-0000E2020000}"/>
    <cellStyle name="_SUMMARY NPOC New" xfId="742" xr:uid="{00000000-0005-0000-0000-0000E3020000}"/>
    <cellStyle name="_SUMMARY NPOC New_Summary of Payment 10 Nov 2008" xfId="743" xr:uid="{00000000-0005-0000-0000-0000E4020000}"/>
    <cellStyle name="_SUMMARY SITE HANDLER" xfId="744" xr:uid="{00000000-0005-0000-0000-0000E5020000}"/>
    <cellStyle name="_Summary TRM 3G RO 2007 335 sites RB" xfId="745" xr:uid="{00000000-0005-0000-0000-0000E6020000}"/>
    <cellStyle name="_Summary TRM 3G RO 2007 335 sites RB (4)" xfId="746" xr:uid="{00000000-0005-0000-0000-0000E7020000}"/>
    <cellStyle name="_Summary TRM 3G RO 2007 335 sites RB (4)_Summary of Payment 10 Nov 2008" xfId="747" xr:uid="{00000000-0005-0000-0000-0000E8020000}"/>
    <cellStyle name="_Summary TRM 3G RO 2007 335 sites RB_Summary of Payment 10 Nov 2008" xfId="748" xr:uid="{00000000-0005-0000-0000-0000E9020000}"/>
    <cellStyle name="_Summary TRM BoQ Trending Q3 PA1" xfId="749" xr:uid="{00000000-0005-0000-0000-0000EA020000}"/>
    <cellStyle name="_Summary TRM BoQ Trending Q3 PA1_Summary of Payment 10 Nov 2008" xfId="750" xr:uid="{00000000-0005-0000-0000-0000EB020000}"/>
    <cellStyle name="_Summary_Summary of Payment 10 Nov 2008" xfId="751" xr:uid="{00000000-0005-0000-0000-0000EC020000}"/>
    <cellStyle name="_Support 315 Sites Rev PA1" xfId="752" xr:uid="{00000000-0005-0000-0000-0000ED020000}"/>
    <cellStyle name="_Support 315 Sites Rev PA1 (2)" xfId="753" xr:uid="{00000000-0005-0000-0000-0000EE020000}"/>
    <cellStyle name="_Support 315 Sites Rev PA3" xfId="754" xr:uid="{00000000-0005-0000-0000-0000EF020000}"/>
    <cellStyle name="_Support 3G Exp Rev PA1" xfId="755" xr:uid="{00000000-0005-0000-0000-0000F0020000}"/>
    <cellStyle name="_Support 3G Exp Rev PA2" xfId="756" xr:uid="{00000000-0005-0000-0000-0000F1020000}"/>
    <cellStyle name="_Support 3G Exp Rev PA3" xfId="757" xr:uid="{00000000-0005-0000-0000-0000F2020000}"/>
    <cellStyle name="_Support 3G Exp Rev PA3 (2)" xfId="758" xr:uid="{00000000-0005-0000-0000-0000F3020000}"/>
    <cellStyle name="_Support CoreExp06 Rev PA1" xfId="759" xr:uid="{00000000-0005-0000-0000-0000F4020000}"/>
    <cellStyle name="_Support CoreExp06 Rev PA2 (2)" xfId="760" xr:uid="{00000000-0005-0000-0000-0000F5020000}"/>
    <cellStyle name="_Support FWA Kalimantan Rev PA1" xfId="761" xr:uid="{00000000-0005-0000-0000-0000F6020000}"/>
    <cellStyle name="_Support FWA Kalimantan Rev PA1_Summary of Payment 10 Nov 2008" xfId="762" xr:uid="{00000000-0005-0000-0000-0000F7020000}"/>
    <cellStyle name="_Support GPRS CoreNetwExp06 Rev PA2" xfId="763" xr:uid="{00000000-0005-0000-0000-0000F8020000}"/>
    <cellStyle name="_Support GPRS Medan Rev PA2" xfId="764" xr:uid="{00000000-0005-0000-0000-0000F9020000}"/>
    <cellStyle name="_Support HLR CoreNetwExp06 Rev PA2" xfId="765" xr:uid="{00000000-0005-0000-0000-0000FA020000}"/>
    <cellStyle name="_Support HLR_AuC Indosat rev PA1" xfId="766" xr:uid="{00000000-0005-0000-0000-0000FB020000}"/>
    <cellStyle name="_Support HLR_AuC Indosat rev PA2" xfId="767" xr:uid="{00000000-0005-0000-0000-0000FC020000}"/>
    <cellStyle name="_Support HLR_AuC Indosat rev PA3 17July06" xfId="768" xr:uid="{00000000-0005-0000-0000-0000FD020000}"/>
    <cellStyle name="_Support HLR_AuC Indosat rev PA4" xfId="769" xr:uid="{00000000-0005-0000-0000-0000FE020000}"/>
    <cellStyle name="_Support HLR_AuC Indosat rev PA4 170706" xfId="770" xr:uid="{00000000-0005-0000-0000-0000FF020000}"/>
    <cellStyle name="_Support HSDPA Rev PA3" xfId="771" xr:uid="{00000000-0005-0000-0000-000000030000}"/>
    <cellStyle name="_Support INDOSAT BSS_CME rev PA2" xfId="772" xr:uid="{00000000-0005-0000-0000-000001030000}"/>
    <cellStyle name="_Support INDOSAT BSS_CME rev PA4" xfId="773" xr:uid="{00000000-0005-0000-0000-000002030000}"/>
    <cellStyle name="_Support MSC CoreNetwExp06 Rev PA2" xfId="774" xr:uid="{00000000-0005-0000-0000-000003030000}"/>
    <cellStyle name="_Support MW ISAT Kalimantan Rev PA1" xfId="775" xr:uid="{00000000-0005-0000-0000-000004030000}"/>
    <cellStyle name="_Support MW ISAT Kalimantan Rev PA1_Summary of Payment 10 Nov 2008" xfId="776" xr:uid="{00000000-0005-0000-0000-000005030000}"/>
    <cellStyle name="_Support MW ISAT Kalimantan Rev PA2" xfId="777" xr:uid="{00000000-0005-0000-0000-000006030000}"/>
    <cellStyle name="_Support MW ISAT Kalimantan Rev PA2_Summary of Payment 10 Nov 2008" xfId="778" xr:uid="{00000000-0005-0000-0000-000007030000}"/>
    <cellStyle name="_Support MW ISAT Kalimantan Rev PA3" xfId="779" xr:uid="{00000000-0005-0000-0000-000008030000}"/>
    <cellStyle name="_Support MW ISAT Kalimantan Rev PA3_Summary of Payment 10 Nov 2008" xfId="780" xr:uid="{00000000-0005-0000-0000-000009030000}"/>
    <cellStyle name="_Support Nokia Swap Rev PA1" xfId="781" xr:uid="{00000000-0005-0000-0000-00000A030000}"/>
    <cellStyle name="_Support Rev PA2" xfId="782" xr:uid="{00000000-0005-0000-0000-00000B030000}"/>
    <cellStyle name="_Support Service_ISAT_MSS Expansion Java_Rev.PA7" xfId="783" xr:uid="{00000000-0005-0000-0000-00000C030000}"/>
    <cellStyle name="_Support Services_TSEL 2G MSS Project_Rev.PA1" xfId="784" xr:uid="{00000000-0005-0000-0000-00000D030000}"/>
    <cellStyle name="_Support SingleIN Rev PA2" xfId="785" xr:uid="{00000000-0005-0000-0000-00000E030000}"/>
    <cellStyle name="_Support SingleIN Rev PA3" xfId="786" xr:uid="{00000000-0005-0000-0000-00000F030000}"/>
    <cellStyle name="_Support Telkom RMJ Rev PA1" xfId="787" xr:uid="{00000000-0005-0000-0000-000010030000}"/>
    <cellStyle name="_Support Telkom RMJ Rev PA2OK" xfId="788" xr:uid="{00000000-0005-0000-0000-000011030000}"/>
    <cellStyle name="_Support Telkom RMJ Rev PA3" xfId="789" xr:uid="{00000000-0005-0000-0000-000012030000}"/>
    <cellStyle name="_Support Telkom RMJ Rev PA4" xfId="790" xr:uid="{00000000-0005-0000-0000-000013030000}"/>
    <cellStyle name="_Support Telkom RMJ Rev PA6" xfId="791" xr:uid="{00000000-0005-0000-0000-000014030000}"/>
    <cellStyle name="_Support TSel Rev PA1" xfId="792" xr:uid="{00000000-0005-0000-0000-000015030000}"/>
    <cellStyle name="_Support WCDMA Indosat - BDG_SMG_YGY rev PA1" xfId="793" xr:uid="{00000000-0005-0000-0000-000016030000}"/>
    <cellStyle name="_Support WCDMA Indosat - Semarang &amp; Yogya Rev PA4" xfId="794" xr:uid="{00000000-0005-0000-0000-000017030000}"/>
    <cellStyle name="_Support WCDMA Indosat - Semarang &amp; Yogya Rev PA5" xfId="795" xr:uid="{00000000-0005-0000-0000-000018030000}"/>
    <cellStyle name="_Support WCDMA Indosat - Semarang &amp; Yogya Rev PA5260906" xfId="796" xr:uid="{00000000-0005-0000-0000-000019030000}"/>
    <cellStyle name="_Support WCDMA Indosat rev PA2" xfId="797" xr:uid="{00000000-0005-0000-0000-00001A030000}"/>
    <cellStyle name="_Support WCDMA Indosat rev PA2 (2)" xfId="798" xr:uid="{00000000-0005-0000-0000-00001B030000}"/>
    <cellStyle name="_Support WCDMA Indosat rev PA4" xfId="799" xr:uid="{00000000-0005-0000-0000-00001C030000}"/>
    <cellStyle name="_Support WCDMA Indosat rev PA5" xfId="800" xr:uid="{00000000-0005-0000-0000-00001D030000}"/>
    <cellStyle name="_Support WCDMA Indosat rev PA5 (2)" xfId="801" xr:uid="{00000000-0005-0000-0000-00001E030000}"/>
    <cellStyle name="_Support WCDMA Indosat rev PA6" xfId="802" xr:uid="{00000000-0005-0000-0000-00001F030000}"/>
    <cellStyle name="_Support WCDMA Indosat rev PA7" xfId="803" xr:uid="{00000000-0005-0000-0000-000020030000}"/>
    <cellStyle name="_Support__Summary BoQ Core NTS 2006 PA4__RevPA2" xfId="804" xr:uid="{00000000-0005-0000-0000-000021030000}"/>
    <cellStyle name="_support_excelcom_Rev PA2" xfId="805" xr:uid="{00000000-0005-0000-0000-000022030000}"/>
    <cellStyle name="_Support_ISAT 4 RBS_RevPA1" xfId="806" xr:uid="{00000000-0005-0000-0000-000023030000}"/>
    <cellStyle name="_Support_ISAT 4 RBS_RevPA1_Summary of Payment 10 Nov 2008" xfId="807" xr:uid="{00000000-0005-0000-0000-000024030000}"/>
    <cellStyle name="_Support_ISAT BATCH 2A_Rev.PA1" xfId="808" xr:uid="{00000000-0005-0000-0000-000025030000}"/>
    <cellStyle name="_Support_ISAT BATCH 2A_Rev.PA1_0150 Batch3" xfId="809" xr:uid="{00000000-0005-0000-0000-000026030000}"/>
    <cellStyle name="_Support_ISAT BATCH 2A_Rev.PA1_0150 Batch3_Summary of Payment 10 Nov 2008" xfId="810" xr:uid="{00000000-0005-0000-0000-000027030000}"/>
    <cellStyle name="_Support_ISAT BATCH 2A_Rev.PA1_1" xfId="811" xr:uid="{00000000-0005-0000-0000-000028030000}"/>
    <cellStyle name="_Support_ISAT BATCH 2A_Rev.PA1_3G Exp 07 Training PA1" xfId="812" xr:uid="{00000000-0005-0000-0000-000029030000}"/>
    <cellStyle name="_Support_ISAT BATCH 2A_Rev.PA1_3G Exp 07 Training PA1_Summary of Payment 10 Nov 2008" xfId="813" xr:uid="{00000000-0005-0000-0000-00002A030000}"/>
    <cellStyle name="_Support_ISAT BATCH 2A_Rev.PA1_BBS (Battery Backup Systems)" xfId="814" xr:uid="{00000000-0005-0000-0000-00002B030000}"/>
    <cellStyle name="_Support_ISAT BATCH 2A_Rev.PA1_BBS (Battery Backup Systems)_Summary of Payment 10 Nov 2008" xfId="815" xr:uid="{00000000-0005-0000-0000-00002C030000}"/>
    <cellStyle name="_Support_ISAT BATCH 2A_Rev.PA1_BoQ Revision C Check and ReCheck (7)" xfId="816" xr:uid="{00000000-0005-0000-0000-00002D030000}"/>
    <cellStyle name="_Support_ISAT BATCH 2A_Rev.PA1_Customer Support_Indosat_FWA Migration 2007_rev PA1" xfId="817" xr:uid="{00000000-0005-0000-0000-00002E030000}"/>
    <cellStyle name="_Support_ISAT BATCH 2A_Rev.PA1_Delivery and Warehouse Cost 3G RAN exp 2007 ISAT Jabodetabek Rev C" xfId="818" xr:uid="{00000000-0005-0000-0000-00002F030000}"/>
    <cellStyle name="_Support_ISAT BATCH 2A_Rev.PA1_Delivery and Warehouse Cost 3G RAN exp 2007 ISAT Jabodetabek Rev C (2)" xfId="819" xr:uid="{00000000-0005-0000-0000-000030030000}"/>
    <cellStyle name="_Support_ISAT BATCH 2A_Rev.PA1_Delivery and Warehouse Cost 3G RAN exp 2007 ISAT RevA" xfId="820" xr:uid="{00000000-0005-0000-0000-000031030000}"/>
    <cellStyle name="_Support_ISAT BATCH 2A_Rev.PA1_Delivery and Warehouse Cost 3G RAN exp 2007 ISAT RevB" xfId="821" xr:uid="{00000000-0005-0000-0000-000032030000}"/>
    <cellStyle name="_Support_ISAT BATCH 2A_Rev.PA1_Delivery and Warehouse Cost 3G RAN exp 2007 ISAT Solo Rev C" xfId="822" xr:uid="{00000000-0005-0000-0000-000033030000}"/>
    <cellStyle name="_Support_ISAT BATCH 2A_Rev.PA1_Delivery and Warehouse Cost 3G RAN exp 2007 ISAT Solo Rev C (2)" xfId="823" xr:uid="{00000000-0005-0000-0000-000034030000}"/>
    <cellStyle name="_Support_ISAT BATCH 2A_Rev.PA1_Delivery and Warehouse Cost 3G RAN Indosat 3G Sukabumi  Cirebon 2007" xfId="824" xr:uid="{00000000-0005-0000-0000-000035030000}"/>
    <cellStyle name="_Support_ISAT BATCH 2A_Rev.PA1_Delivery and Warehouse Cost Trans 3G exp RO 2007 Rev E" xfId="825" xr:uid="{00000000-0005-0000-0000-000036030000}"/>
    <cellStyle name="_Support_ISAT BATCH 2A_Rev.PA1_Delivery and Warehouse Cost Trans 3G exp RO 2007 Rev F" xfId="826" xr:uid="{00000000-0005-0000-0000-000037030000}"/>
    <cellStyle name="_Support_ISAT BATCH 2A_Rev.PA1_Delivery and Warehouse Cost Trans 3G exp RO 2007 RevA" xfId="827" xr:uid="{00000000-0005-0000-0000-000038030000}"/>
    <cellStyle name="_Support_ISAT BATCH 2A_Rev.PA1_Delivery Cost ISAT FWA Migration 2007" xfId="828" xr:uid="{00000000-0005-0000-0000-000039030000}"/>
    <cellStyle name="_Support_ISAT BATCH 2A_Rev.PA1_EID-I-07-0743-A Indosat Reuse Ex IM3-BoQ (2)" xfId="829" xr:uid="{00000000-0005-0000-0000-00003A030000}"/>
    <cellStyle name="_Support_ISAT BATCH 2A_Rev.PA1_ISAT - TRM Capacity Upgrade Q3- 2007" xfId="830" xr:uid="{00000000-0005-0000-0000-00003B030000}"/>
    <cellStyle name="_Support_ISAT BATCH 2A_Rev.PA1_ISAT_NTC_Services_ PDH_35 hops_20070613 RevA" xfId="831" xr:uid="{00000000-0005-0000-0000-00003C030000}"/>
    <cellStyle name="_Support_ISAT BATCH 2A_Rev.PA1_ISAT_PSM Audit TRM RO2007_Rev PA1" xfId="832" xr:uid="{00000000-0005-0000-0000-00003D030000}"/>
    <cellStyle name="_Support_ISAT BATCH 2A_Rev.PA1_ISAT_PSM Audit TRM RO2007_Rev PA1_Summary of Payment 10 Nov 2008" xfId="833" xr:uid="{00000000-0005-0000-0000-00003E030000}"/>
    <cellStyle name="_Support_ISAT BATCH 2A_Rev.PA1_ISAT-Q3 ML Cap upgrade REv A" xfId="834" xr:uid="{00000000-0005-0000-0000-00003F030000}"/>
    <cellStyle name="_Support_ISAT BATCH 2A_Rev.PA1_ITC PRICING 2007 130407" xfId="835" xr:uid="{00000000-0005-0000-0000-000040030000}"/>
    <cellStyle name="_Support_ISAT BATCH 2A_Rev.PA1_ITC PRICING 2007 130407 OKE" xfId="836" xr:uid="{00000000-0005-0000-0000-000041030000}"/>
    <cellStyle name="_Support_ISAT BATCH 2A_Rev.PA1_ITC PRICING 2007 130407 OKE_Summary of Payment 10 Nov 2008" xfId="837" xr:uid="{00000000-0005-0000-0000-000042030000}"/>
    <cellStyle name="_Support_ISAT BATCH 2A_Rev.PA1_ITC PRICING 2007 130407_Summary of Payment 10 Nov 2008" xfId="838" xr:uid="{00000000-0005-0000-0000-000043030000}"/>
    <cellStyle name="_Support_ISAT BATCH 2A_Rev.PA1_Mobile_BTS_Rev_EAGUROT" xfId="839" xr:uid="{00000000-0005-0000-0000-000044030000}"/>
    <cellStyle name="_Support_ISAT BATCH 2A_Rev.PA1_New_Implementation" xfId="840" xr:uid="{00000000-0005-0000-0000-000045030000}"/>
    <cellStyle name="_Support_ISAT BATCH 2A_Rev.PA1_New_Implementation_CORE _PB2_240507" xfId="841" xr:uid="{00000000-0005-0000-0000-000046030000}"/>
    <cellStyle name="_Support_ISAT BATCH 2A_Rev.PA1_New_Implementation_CORE _PB2_240507_Summary of Payment 10 Nov 2008" xfId="842" xr:uid="{00000000-0005-0000-0000-000047030000}"/>
    <cellStyle name="_Support_ISAT BATCH 2A_Rev.PA1_New_Implementation_Summary of Payment 10 Nov 2008" xfId="843" xr:uid="{00000000-0005-0000-0000-000048030000}"/>
    <cellStyle name="_Support_ISAT BATCH 2A_Rev.PA1_New_RBS_3G" xfId="844" xr:uid="{00000000-0005-0000-0000-000049030000}"/>
    <cellStyle name="_Support_ISAT BATCH 2A_Rev.PA1_New_RBS_3G_Summary of Payment 10 Nov 2008" xfId="845" xr:uid="{00000000-0005-0000-0000-00004A030000}"/>
    <cellStyle name="_Support_ISAT BATCH 2A_Rev.PA1_Quote06-0060 HCPT Unit Cost-Price for OSS 190607" xfId="846" xr:uid="{00000000-0005-0000-0000-00004B030000}"/>
    <cellStyle name="_Support_ISAT BATCH 2A_Rev.PA1_Quote06-0060 HCPT Unit Cost-Price for OSS 190607 (2)" xfId="847" xr:uid="{00000000-0005-0000-0000-00004C030000}"/>
    <cellStyle name="_Support_ISAT BATCH 2A_Rev.PA1_Quote06-0085 ISAT-OM TRX UPGRADE  PHASE2B- Quote Rev PC 140806 OK" xfId="848" xr:uid="{00000000-0005-0000-0000-00004D030000}"/>
    <cellStyle name="_Support_ISAT BATCH 2A_Rev.PA1_Quote06-0085 ISAT-OM TRX UPGRADE  PHASE2B- Quote Rev PC 140806 OK_Summary of Payment 10 Nov 2008" xfId="849" xr:uid="{00000000-0005-0000-0000-00004E030000}"/>
    <cellStyle name="_Support_ISAT BATCH 2A_Rev.PA1_Quote06-0087INDOSAT- WCDMA HSDPA Rev.E 271206" xfId="850" xr:uid="{00000000-0005-0000-0000-00004F030000}"/>
    <cellStyle name="_Support_ISAT BATCH 2A_Rev.PA1_Quote06-0087INDOSAT- WCDMA HSDPA Rev.E 271206_Summary of Payment 10 Nov 2008" xfId="851" xr:uid="{00000000-0005-0000-0000-000050030000}"/>
    <cellStyle name="_Support_ISAT BATCH 2A_Rev.PA1_Quote06-0087ISAT- WCDMA HSDPA-Bandung Rev. E 091106" xfId="852" xr:uid="{00000000-0005-0000-0000-000051030000}"/>
    <cellStyle name="_Support_ISAT BATCH 2A_Rev.PA1_Quote06-0087ISAT- WCDMA HSDPA-Bandung Rev. E 091106_Summary of Payment 10 Nov 2008" xfId="853" xr:uid="{00000000-0005-0000-0000-000052030000}"/>
    <cellStyle name="_Support_ISAT BATCH 2A_Rev.PA1_Quote06-0101 NTS-CORE &amp; IN TENDER Rev.PB 270706" xfId="854" xr:uid="{00000000-0005-0000-0000-000053030000}"/>
    <cellStyle name="_Support_ISAT BATCH 2A_Rev.PA1_Quote06-0101 NTS-CORE &amp; IN TENDER Rev.PB 270706_Summary of Payment 10 Nov 2008" xfId="855" xr:uid="{00000000-0005-0000-0000-000054030000}"/>
    <cellStyle name="_Support_ISAT BATCH 2A_Rev.PA1_Quote06-0132 ISAT- TRM UPGRADE Batch 2 Rev. PA 021006" xfId="856" xr:uid="{00000000-0005-0000-0000-000055030000}"/>
    <cellStyle name="_Support_ISAT BATCH 2A_Rev.PA1_Quote06-0132 ISAT- TRM UPGRADE Batch 2 Rev. PA 021006_Summary of Payment 10 Nov 2008" xfId="857" xr:uid="{00000000-0005-0000-0000-000056030000}"/>
    <cellStyle name="_Support_ISAT BATCH 2A_Rev.PA1_Quote06-0138 ISAT-BSS Capacity Upgrade -  TRX UPGRADE Batch 4  Rev.PA2 311006" xfId="858" xr:uid="{00000000-0005-0000-0000-000057030000}"/>
    <cellStyle name="_Support_ISAT BATCH 2A_Rev.PA1_Quote06-0138 ISAT-BSS Capacity Upgrade 2006 Rev.PA 131006 okeh" xfId="859" xr:uid="{00000000-0005-0000-0000-000058030000}"/>
    <cellStyle name="_Support_ISAT BATCH 2A_Rev.PA1_Quote06-0138 ISAT-BSS Capacity Upgrade MW SYSTEM Rev.PA1 011106" xfId="860" xr:uid="{00000000-0005-0000-0000-000059030000}"/>
    <cellStyle name="_Support_ISAT BATCH 2A_Rev.PA1_Quote06-0138 ISAT-BSS Capacity Upgrade MW SYSTEM Rev.PA1 011106_Summary of Payment 10 Nov 2008" xfId="861" xr:uid="{00000000-0005-0000-0000-00005A030000}"/>
    <cellStyle name="_Support_ISAT BATCH 2A_Rev.PA1_Quote06-0138 ISAT-BSS Capacity Upgrade-BSS SYSTEM- Batch 4 Rev.PA2 311006" xfId="862" xr:uid="{00000000-0005-0000-0000-00005B030000}"/>
    <cellStyle name="_Support_ISAT BATCH 2A_Rev.PA1_Quote06-0139 ISAT- UPGRADE PDH ML Pntianak-Bnjmsn Rev.PA 131006" xfId="863" xr:uid="{00000000-0005-0000-0000-00005C030000}"/>
    <cellStyle name="_Support_ISAT BATCH 2A_Rev.PA1_Quote06-0139 ISAT- UPGRADE PDH ML Pntianak-Bnjmsn Rev.PA 131006_Summary of Payment 10 Nov 2008" xfId="864" xr:uid="{00000000-0005-0000-0000-00005D030000}"/>
    <cellStyle name="_Support_ISAT BATCH 2A_Rev.PA1_Quote06-0149  XLCOM BSS OSS SW Upgrade Rev. PA. 141106" xfId="865" xr:uid="{00000000-0005-0000-0000-00005E030000}"/>
    <cellStyle name="_Support_ISAT BATCH 2A_Rev.PA1_Quote06-0149  XLCOM BSS OSS SW Upgrade Rev. PA. 141106_Summary of Payment 10 Nov 2008" xfId="866" xr:uid="{00000000-0005-0000-0000-00005F030000}"/>
    <cellStyle name="_Support_ISAT BATCH 2A_Rev.PA1_Quote06-0153 ISAT-TRANSMISSION Jbtk RO 2007 Rev PA8 121206 " xfId="867" xr:uid="{00000000-0005-0000-0000-000060030000}"/>
    <cellStyle name="_Support_ISAT BATCH 2A_Rev.PA1_Quote06-0154 ISAT- Activation EDGE Features Rev.PA1 211106" xfId="868" xr:uid="{00000000-0005-0000-0000-000061030000}"/>
    <cellStyle name="_Support_ISAT BATCH 2A_Rev.PA1_Quote06-0154 ISAT- Activation EDGE Features Rev.PA1 211106_Summary of Payment 10 Nov 2008" xfId="869" xr:uid="{00000000-0005-0000-0000-000062030000}"/>
    <cellStyle name="_Support_ISAT BATCH 2A_Rev.PA1_Quote06-0162 ISAT-TRM Jbtk OM BSS Upgrade 2007 Rev A 291106" xfId="870" xr:uid="{00000000-0005-0000-0000-000063030000}"/>
    <cellStyle name="_Support_ISAT BATCH 2A_Rev.PA1_Quote06-0163 ISAT-O&amp;M BSS Capacity Upgrade 2007 Rev.PA3 291106 ok" xfId="871" xr:uid="{00000000-0005-0000-0000-000064030000}"/>
    <cellStyle name="_Support_ISAT BATCH 2A_Rev.PA1_Quote06-0163 ISAT-O&amp;M BSS Capacity Upgrade 2007 Rev.PA4 180107 notok" xfId="872" xr:uid="{00000000-0005-0000-0000-000065030000}"/>
    <cellStyle name="_Support_ISAT BATCH 2A_Rev.PA1_Quote06-0163 ISAT-O&amp;M BSS Capacity Upgrade 2007 Rev.PA4 230107" xfId="873" xr:uid="{00000000-0005-0000-0000-000066030000}"/>
    <cellStyle name="_Support_ISAT BATCH 2A_Rev.PA1_Quote06-0163 ISAT-O&amp;M BSS Capacity Upgrade 2007 Rev.PA5 120207" xfId="874" xr:uid="{00000000-0005-0000-0000-000067030000}"/>
    <cellStyle name="_Support_ISAT BATCH 2A_Rev.PA1_Quote06-0164  XLCOM BSS OSS SW Upgrade Rev. PA. 141106" xfId="875" xr:uid="{00000000-0005-0000-0000-000068030000}"/>
    <cellStyle name="_Support_ISAT BATCH 2A_Rev.PA1_Quote06-0164  XLCOM BSS OSS SW Upgrade Rev. PA. 141106_Summary of Payment 10 Nov 2008" xfId="876" xr:uid="{00000000-0005-0000-0000-000069030000}"/>
    <cellStyle name="_Support_ISAT BATCH 2A_Rev.PA1_Quote06-0170  TELKOMSEL BSC-TRC Expansion Rev.PA1 061206" xfId="877" xr:uid="{00000000-0005-0000-0000-00006A030000}"/>
    <cellStyle name="_Support_ISAT BATCH 2A_Rev.PA1_Quote06-0170  TELKOMSEL BSC-TRC Expansion Rev.PA1 061206_Summary of Payment 10 Nov 2008" xfId="878" xr:uid="{00000000-0005-0000-0000-00006B030000}"/>
    <cellStyle name="_Support_ISAT BATCH 2A_Rev.PA1_Quote06-0172 ISAT SGSN Rev. PA5 040107" xfId="879" xr:uid="{00000000-0005-0000-0000-00006C030000}"/>
    <cellStyle name="_Support_ISAT BATCH 2A_Rev.PA1_Quote06-0172 ISAT SGSN Rev. PA5 040107_Summary of Payment 10 Nov 2008" xfId="880" xr:uid="{00000000-0005-0000-0000-00006D030000}"/>
    <cellStyle name="_Support_ISAT BATCH 2A_Rev.PA1_Quote06-0177 TELKOMSEL-  Rev. PA1 271206" xfId="881" xr:uid="{00000000-0005-0000-0000-00006E030000}"/>
    <cellStyle name="_Support_ISAT BATCH 2A_Rev.PA1_Quote07-0001 ISAT-PDH MW KAL  RO2007 (ex  Batch-3 RO2006) Rev  PA3 100107 (8)" xfId="882" xr:uid="{00000000-0005-0000-0000-00006F030000}"/>
    <cellStyle name="_Support_ISAT BATCH 2A_Rev.PA1_Quote07-0001 ISAT-PDH MW KAL  RO2007 (ex  Batch-3 RO2006) Rev  PA3 100107 (8)_Summary of Payment 10 Nov 2008" xfId="883" xr:uid="{00000000-0005-0000-0000-000070030000}"/>
    <cellStyle name="_Support_ISAT BATCH 2A_Rev.PA1_Quote07-0001 ISAT-PDH MW KAL. RO2007 (ex. Batch-3 RO2006) Rev. PA3 100107 belum disubmit" xfId="884" xr:uid="{00000000-0005-0000-0000-000071030000}"/>
    <cellStyle name="_Support_ISAT BATCH 2A_Rev.PA1_Quote07-0001 ISAT-PDH MW KAL. RO2007 (ex. Batch-3 RO2006) Rev. PA3 100107 belum disubmit_Summary of Payment 10 Nov 2008" xfId="885" xr:uid="{00000000-0005-0000-0000-000072030000}"/>
    <cellStyle name="_Support_ISAT BATCH 2A_Rev.PA1_Quote07-0002 ISAT- OSS ADD. SCOPE  2007 Rev.PA1 160107" xfId="886" xr:uid="{00000000-0005-0000-0000-000073030000}"/>
    <cellStyle name="_Support_ISAT BATCH 2A_Rev.PA1_Quote07-0003 ISAT-PDH  KALIMANTAN RO-2007    Rev. PA1 090107" xfId="887" xr:uid="{00000000-0005-0000-0000-000074030000}"/>
    <cellStyle name="_Support_ISAT BATCH 2A_Rev.PA1_Quote07-0003 ISAT-PDH  KALIMANTAN RO-2007    Rev. PA1 090107_Summary of Payment 10 Nov 2008" xfId="888" xr:uid="{00000000-0005-0000-0000-000075030000}"/>
    <cellStyle name="_Support_ISAT BATCH 2A_Rev.PA1_Quote07-0008 ISAT- 3G TRANSMISSIONS 2007 Rev.PA1 250107" xfId="889" xr:uid="{00000000-0005-0000-0000-000076030000}"/>
    <cellStyle name="_Support_ISAT BATCH 2A_Rev.PA1_Quote07-0016 NTS-EAST JAVA PROJECT Rev. PA3 to Verdi" xfId="890" xr:uid="{00000000-0005-0000-0000-000077030000}"/>
    <cellStyle name="_Support_ISAT BATCH 2A_Rev.PA1_Quote07-0018 TELKOMSEL- SGSN&amp;GGSN SW UPGRADE Rev.PA2 220207" xfId="891" xr:uid="{00000000-0005-0000-0000-000078030000}"/>
    <cellStyle name="_Support_ISAT BATCH 2A_Rev.PA1_Quote07-0018 TELKOMSEL- SGSN&amp;GGSN SW UPGRADE Rev.PA2 220207_Summary of Payment 10 Nov 2008" xfId="892" xr:uid="{00000000-0005-0000-0000-000079030000}"/>
    <cellStyle name="_Support_ISAT BATCH 2A_Rev.PA1_Quote07-0028 ISAT-PDH KAL  BSS Upgrades  EDGE Q1-RO 2007 Rev PA1 140307   (2)" xfId="893" xr:uid="{00000000-0005-0000-0000-00007A030000}"/>
    <cellStyle name="_Support_ISAT BATCH 2A_Rev.PA1_Quote07-0028 ISAT-PDH KAL. BSS Upgrades &amp; EDGE Q1-RO 2007 Rev.PA1 130307  " xfId="894" xr:uid="{00000000-0005-0000-0000-00007B030000}"/>
    <cellStyle name="_Support_ISAT BATCH 2A_Rev.PA1_Quote07-0028 ISAT-PDH KAL. BSS Upgrades &amp; EDGE Q1-RO 2007 Rev.PA1 140307  " xfId="895" xr:uid="{00000000-0005-0000-0000-00007C030000}"/>
    <cellStyle name="_Support_ISAT BATCH 2A_Rev.PA1_Quote07-0035 ISAT-OM BSS Capacity Upg. Q2-2007 Rev.PA3 040407" xfId="896" xr:uid="{00000000-0005-0000-0000-00007D030000}"/>
    <cellStyle name="_Support_ISAT BATCH 2A_Rev.PA1_Quote07-0035 ISAT-OM BSS Capacity Upg. Q2-2007 Rev.PA3 050407" xfId="897" xr:uid="{00000000-0005-0000-0000-00007E030000}"/>
    <cellStyle name="_Support_ISAT BATCH 2A_Rev.PA1_Quote07-0045 XL-COM HLR Upgrade HW-SW APZ 50  Rev.A 030407" xfId="898" xr:uid="{00000000-0005-0000-0000-00007F030000}"/>
    <cellStyle name="_Support_ISAT BATCH 2A_Rev.PA1_Quote07-0061 ISAT-3G EXP.2007 Rev.PA1 130407 CORE" xfId="899" xr:uid="{00000000-0005-0000-0000-000080030000}"/>
    <cellStyle name="_Support_ISAT BATCH 2A_Rev.PA1_Quote07-0061 ISAT-3G EXPANSION 2007 Rev PA1 160407" xfId="900" xr:uid="{00000000-0005-0000-0000-000081030000}"/>
    <cellStyle name="_Support_ISAT BATCH 2A_Rev.PA1_Quote07-0061 ISAT-3G EXPANSION 2007 Rev PA1 160407 pak peter" xfId="901" xr:uid="{00000000-0005-0000-0000-000082030000}"/>
    <cellStyle name="_Support_ISAT BATCH 2A_Rev.PA1_Quote07-0061 ISAT-3G EXPANSION 2007 Rev PA2 140407" xfId="902" xr:uid="{00000000-0005-0000-0000-000083030000}"/>
    <cellStyle name="_Support_ISAT BATCH 2A_Rev.PA1_Quote07-0061 ISAT-3G EXPANSION 2007 Rev. PL 230407" xfId="903" xr:uid="{00000000-0005-0000-0000-000084030000}"/>
    <cellStyle name="_Support_ISAT BATCH 2A_Rev.PA1_Quote07-0061 ISAT-3G EXPANSION 2007 Rev. PL 230407_Summary of Payment 10 Nov 2008" xfId="904" xr:uid="{00000000-0005-0000-0000-000085030000}"/>
    <cellStyle name="_Support_ISAT BATCH 2A_Rev.PA1_Quote07-0072 ISAT-OM BSS Cap. Upg. Q3-2007 Rev  PA1. 250507 Oke" xfId="905" xr:uid="{00000000-0005-0000-0000-000086030000}"/>
    <cellStyle name="_Support_ISAT BATCH 2A_Rev.PA1_Quote07-0077 ISAT TRM Capacity Upgrade Q3- 2007 Rev.PA1" xfId="906" xr:uid="{00000000-0005-0000-0000-000087030000}"/>
    <cellStyle name="_Support_ISAT BATCH 2A_Rev.PA1_Quote07-0077 ISAT TRM Capacity Upgrade Q3- 2007 Rev.PA1_Summary of Payment 10 Nov 2008" xfId="907" xr:uid="{00000000-0005-0000-0000-000088030000}"/>
    <cellStyle name="_Support_ISAT BATCH 2A_Rev.PA1_Quote07-0078 ISAT-TRM Relocation from Jatim to Kalimantan Rev.PA1 130607" xfId="908" xr:uid="{00000000-0005-0000-0000-000089030000}"/>
    <cellStyle name="_Support_ISAT BATCH 2A_Rev.PA1_Quote07-0078 ISAT-TRM Relocation from Jatim to Kalimantan Rev.PA1 130607_Summary of Payment 10 Nov 2008" xfId="909" xr:uid="{00000000-0005-0000-0000-00008A030000}"/>
    <cellStyle name="_Support_ISAT BATCH 2A_Rev.PA1_RPG3 (3)" xfId="910" xr:uid="{00000000-0005-0000-0000-00008B030000}"/>
    <cellStyle name="_Support_ISAT BATCH 2A_Rev.PA1_Summary of Payment 10 Nov 2008" xfId="911" xr:uid="{00000000-0005-0000-0000-00008C030000}"/>
    <cellStyle name="_Support_ISAT BATCH 2A_Rev.PA1_Support Service_ISAT_OSS-Additional HW_Rev PA1" xfId="912" xr:uid="{00000000-0005-0000-0000-00008D030000}"/>
    <cellStyle name="_Support_ISAT BATCH 2A_Rev.PA1_Support Service_ISAT_OSS-Additional HW_Rev PA1_Summary of Payment 10 Nov 2008" xfId="913" xr:uid="{00000000-0005-0000-0000-00008E030000}"/>
    <cellStyle name="_Support_ISAT BATCH 2A_Rev.PA1_Support_ISAT BATCH 2A_Rev.PA2 250706" xfId="914" xr:uid="{00000000-0005-0000-0000-00008F030000}"/>
    <cellStyle name="_Support_ISAT BATCH 2A_Rev.PA1_Support_ISAT BATCH 2B_Rev PA1" xfId="915" xr:uid="{00000000-0005-0000-0000-000090030000}"/>
    <cellStyle name="_Support_ISAT BATCH 2A_Rev.PA1_Support_ISAT BATCH 2B_Rev PA2" xfId="916" xr:uid="{00000000-0005-0000-0000-000091030000}"/>
    <cellStyle name="_Support_ISAT BATCH 2A_Rev.PA1_Support_ISAT BATCH 2B_Rev PA4" xfId="917" xr:uid="{00000000-0005-0000-0000-000092030000}"/>
    <cellStyle name="_Support_ISAT BATCH 2A_Rev.PA1_Support_ISAT_2G Kalimantan_Rev.PA1" xfId="918" xr:uid="{00000000-0005-0000-0000-000093030000}"/>
    <cellStyle name="_Support_ISAT BATCH 2A_Rev.PA1_Support_ISAT_2G Kalimantan_Rev.PA1_Summary of Payment 10 Nov 2008" xfId="919" xr:uid="{00000000-0005-0000-0000-000094030000}"/>
    <cellStyle name="_Support_ISAT BATCH 2A_Rev.PA1_Support_ISAT_2G Sumatera_Rev.PA2" xfId="920" xr:uid="{00000000-0005-0000-0000-000095030000}"/>
    <cellStyle name="_Support_ISAT BATCH 2A_Rev.PA1_Support_ISAT_2G Sumatera_Rev.PA2_Summary of Payment 10 Nov 2008" xfId="921" xr:uid="{00000000-0005-0000-0000-000096030000}"/>
    <cellStyle name="_Support_ISAT BATCH 2A_Rev.PA1_Support_ISAT_2G Sumatera_Rev.PAX" xfId="922" xr:uid="{00000000-0005-0000-0000-000097030000}"/>
    <cellStyle name="_Support_ISAT BATCH 2A_Rev.PA1_Support_ISAT_2G Sumatera_Rev.PAX_Summary of Payment 10 Nov 2008" xfId="923" xr:uid="{00000000-0005-0000-0000-000098030000}"/>
    <cellStyle name="_Support_ISAT BATCH 2A_Rev.PA1_Support_ISAT_Jabotabek BSS Roll Out 2007_Rev.PA3" xfId="924" xr:uid="{00000000-0005-0000-0000-000099030000}"/>
    <cellStyle name="_Support_ISAT BATCH 2A_Rev.PA1_Support_ISAT_Jabotabek BSS Roll Out 2007_Rev.PA3_Summary of Payment 10 Nov 2008" xfId="925" xr:uid="{00000000-0005-0000-0000-00009A030000}"/>
    <cellStyle name="_Support_ISAT BATCH 2A_Rev.PA1_Support_ISAT_Preliminary Jabotabek BSS Roll Out 2007_Rev PA1" xfId="926" xr:uid="{00000000-0005-0000-0000-00009B030000}"/>
    <cellStyle name="_Support_ISAT BATCH 2A_Rev.PA1_Support_ISAT_Preliminary Jabotabek BSS Roll Out 2007_Rev PA1_Summary of Payment 10 Nov 2008" xfId="927" xr:uid="{00000000-0005-0000-0000-00009C030000}"/>
    <cellStyle name="_Support_ISAT BATCH 2A_Rev.PA1_Support_ISAT_Preliminary Jabotabek BSS Roll Out 2007_Rev PA2" xfId="928" xr:uid="{00000000-0005-0000-0000-00009D030000}"/>
    <cellStyle name="_Support_ISAT BATCH 2A_Rev.PA1_Support_ISAT_Preliminary Jabotabek BSS Roll Out 2007_Rev PA2_Summary of Payment 10 Nov 2008" xfId="929" xr:uid="{00000000-0005-0000-0000-00009E030000}"/>
    <cellStyle name="_Support_ISAT BATCH 2A_Rev.PA1_Support_ISAT-Transmission for BSS &amp; OM Upgrade 2007_Rev.PA2" xfId="930" xr:uid="{00000000-0005-0000-0000-00009F030000}"/>
    <cellStyle name="_Support_ISAT BATCH 2A_Rev.PA1_Support-ISAT-Upgrade PDH Minilinik Scope Pontianak - Banjarmasin-Rev PA1" xfId="931" xr:uid="{00000000-0005-0000-0000-0000A0030000}"/>
    <cellStyle name="_Support_ISAT BATCH 2A_Rev.PA1_Support-ISAT-Upgrade PDH Minilinik Scope Pontianak - Banjarmasin-Rev PA3 (2)" xfId="932" xr:uid="{00000000-0005-0000-0000-0000A1030000}"/>
    <cellStyle name="_Support_ISAT BATCH 2A_Rev.PA1_TPR Template" xfId="933" xr:uid="{00000000-0005-0000-0000-0000A2030000}"/>
    <cellStyle name="_Support_ISAT BATCH 2A_Rev.PA1_TPR Template_Summary of Payment 10 Nov 2008" xfId="934" xr:uid="{00000000-0005-0000-0000-0000A3030000}"/>
    <cellStyle name="_Support_ISAT BATCH 2A_Rev.PA1_TRA TRH Magazine" xfId="935" xr:uid="{00000000-0005-0000-0000-0000A4030000}"/>
    <cellStyle name="_Support_ISAT BATCH 2A_Rev.PA1_TRA TRH Magazine_Summary of Payment 10 Nov 2008" xfId="936" xr:uid="{00000000-0005-0000-0000-0000A5030000}"/>
    <cellStyle name="_Support_ISAT BATCH 2A_Rev.PA1_Training List PA6" xfId="937" xr:uid="{00000000-0005-0000-0000-0000A6030000}"/>
    <cellStyle name="_Support_ISAT BATCH 2A_Rev.PA1_Training List PA6_Summary of Payment 10 Nov 2008" xfId="938" xr:uid="{00000000-0005-0000-0000-0000A7030000}"/>
    <cellStyle name="_Support_ISAT BATCH 2A_Rev.PA1_Transmission Upgrade Batch 2 _Rev.PA2" xfId="939" xr:uid="{00000000-0005-0000-0000-0000A8030000}"/>
    <cellStyle name="_Support_ISAT BATCH 2A_Rev.PA1_Transmission Upgrade Batch 3 _Rev.PA2" xfId="940" xr:uid="{00000000-0005-0000-0000-0000A9030000}"/>
    <cellStyle name="_Support_ISAT BATCH 2A_Rev.PA1_Trending_Jan07_Ver1 3_BoQ_Summary_All_RevA (18 Jan 2007)" xfId="941" xr:uid="{00000000-0005-0000-0000-0000AA030000}"/>
    <cellStyle name="_Support_ISAT BATCH 2A_Rev.PA1_Trending_Jan07_Ver1 3_BoQ_Summary_All_RevA (18 Jan 2007)_Summary of Payment 10 Nov 2008" xfId="942" xr:uid="{00000000-0005-0000-0000-0000AB030000}"/>
    <cellStyle name="_Support_ISAT BATCH 2A_Rev.PA1_Trending_Jan07_Ver1 3_BoQ_Summary_All_RevA1" xfId="943" xr:uid="{00000000-0005-0000-0000-0000AC030000}"/>
    <cellStyle name="_Support_ISAT BATCH 2A_Rev.PA1_Trending_Jan07_Ver1 3_BoQ_Summary_All_RevA1_Summary of Payment 10 Nov 2008" xfId="944" xr:uid="{00000000-0005-0000-0000-0000AD030000}"/>
    <cellStyle name="_Support_ISAT BATCH 2A_Rev.PA1_Upgrade_Activity" xfId="945" xr:uid="{00000000-0005-0000-0000-0000AE030000}"/>
    <cellStyle name="_Support_ISAT BATCH 2A_Rev.PA1_Upgrade_Activity_PB2_130607" xfId="946" xr:uid="{00000000-0005-0000-0000-0000AF030000}"/>
    <cellStyle name="_Support_ISAT BATCH 2A_Rev.PA1_Upgrade_Activity_PB2_130607_Summary of Payment 10 Nov 2008" xfId="947" xr:uid="{00000000-0005-0000-0000-0000B0030000}"/>
    <cellStyle name="_Support_ISAT BATCH 2A_Rev.PA1_Upgrade_Activity_Summary of Payment 10 Nov 2008" xfId="948" xr:uid="{00000000-0005-0000-0000-0000B1030000}"/>
    <cellStyle name="_Support_ISAT BATCH 2A_Rev.PA2 250706" xfId="949" xr:uid="{00000000-0005-0000-0000-0000B2030000}"/>
    <cellStyle name="_Support_ISAT BATCH 2A_Rev.PA2 250706_Summary of Payment 10 Nov 2008" xfId="950" xr:uid="{00000000-0005-0000-0000-0000B3030000}"/>
    <cellStyle name="_Support_ISAT BATCH 2B_Rev PA1" xfId="951" xr:uid="{00000000-0005-0000-0000-0000B4030000}"/>
    <cellStyle name="_Support_ISAT BATCH 2B_Rev PA1_Summary of Payment 10 Nov 2008" xfId="952" xr:uid="{00000000-0005-0000-0000-0000B5030000}"/>
    <cellStyle name="_Support_ISAT BATCH 2B_Rev PA2" xfId="953" xr:uid="{00000000-0005-0000-0000-0000B6030000}"/>
    <cellStyle name="_Support_ISAT BATCH 2B_Rev PA2_Summary of Payment 10 Nov 2008" xfId="954" xr:uid="{00000000-0005-0000-0000-0000B7030000}"/>
    <cellStyle name="_Support_ISAT BATCH 2B_Rev PA4" xfId="955" xr:uid="{00000000-0005-0000-0000-0000B8030000}"/>
    <cellStyle name="_Support_ISAT BATCH 2B_Rev PA4_Summary of Payment 10 Nov 2008" xfId="956" xr:uid="{00000000-0005-0000-0000-0000B9030000}"/>
    <cellStyle name="_Support_ISAT_2G Kalimantan_Rev.PA1" xfId="957" xr:uid="{00000000-0005-0000-0000-0000BA030000}"/>
    <cellStyle name="_Support_ISAT_2G Sumatera_Rev.PA2" xfId="958" xr:uid="{00000000-0005-0000-0000-0000BB030000}"/>
    <cellStyle name="_Support_ISAT_2G Sumatera_Rev.PAX" xfId="959" xr:uid="{00000000-0005-0000-0000-0000BC030000}"/>
    <cellStyle name="_Support_ISAT_BATCH 4_RevPA5" xfId="960" xr:uid="{00000000-0005-0000-0000-0000BD030000}"/>
    <cellStyle name="_Support_ISAT_BATCH 4_RevPA5_Summary of Payment 10 Nov 2008" xfId="961" xr:uid="{00000000-0005-0000-0000-0000BE030000}"/>
    <cellStyle name="_Support_ISAT_BATCH 4_RevPA6" xfId="962" xr:uid="{00000000-0005-0000-0000-0000BF030000}"/>
    <cellStyle name="_Support_ISAT_BATCH 4_RevPA6_Summary of Payment 10 Nov 2008" xfId="963" xr:uid="{00000000-0005-0000-0000-0000C0030000}"/>
    <cellStyle name="_Support_ISAT_BSC_Upgrade_Jul2006 Rev PA1 (2)" xfId="964" xr:uid="{00000000-0005-0000-0000-0000C1030000}"/>
    <cellStyle name="_Support_ISAT_BSC_Upgrade_Jul2006 Rev PA1 (2)_Summary of Payment 10 Nov 2008" xfId="965" xr:uid="{00000000-0005-0000-0000-0000C2030000}"/>
    <cellStyle name="_Support_ISAT_BSC_Upgrade_Jul2006 Rev PA2 (3)" xfId="966" xr:uid="{00000000-0005-0000-0000-0000C3030000}"/>
    <cellStyle name="_Support_ISAT_BSC_Upgrade_Jul2006 Rev PA2 (3)_Summary of Payment 10 Nov 2008" xfId="967" xr:uid="{00000000-0005-0000-0000-0000C4030000}"/>
    <cellStyle name="_Support_ISAT_BSC_Upgrade_Jul2006 Rev PA3" xfId="968" xr:uid="{00000000-0005-0000-0000-0000C5030000}"/>
    <cellStyle name="_Support_ISAT_BSC_Upgrade_Jul2006 Rev PA3_Summary of Payment 10 Nov 2008" xfId="969" xr:uid="{00000000-0005-0000-0000-0000C6030000}"/>
    <cellStyle name="_Support_ISAT_BSC_Upgrade_Jul2006 Rev PA4" xfId="970" xr:uid="{00000000-0005-0000-0000-0000C7030000}"/>
    <cellStyle name="_Support_ISAT_BSC_Upgrade_Jul2006 Rev PA4_Summary of Payment 10 Nov 2008" xfId="971" xr:uid="{00000000-0005-0000-0000-0000C8030000}"/>
    <cellStyle name="_Support_ISAT_CoreNetwork_Aug06_Rev.PA6" xfId="972" xr:uid="{00000000-0005-0000-0000-0000C9030000}"/>
    <cellStyle name="_Support_ISAT_Estimate 2007 RBS BBS Dimensionig 683 Sites_RevPA1" xfId="973" xr:uid="{00000000-0005-0000-0000-0000CA030000}"/>
    <cellStyle name="_Support_ISAT_Estimate 2007 RBS BBS Dimensionig 683 Sites_RevPA1_Summary of Payment 10 Nov 2008" xfId="974" xr:uid="{00000000-0005-0000-0000-0000CB030000}"/>
    <cellStyle name="_Support_ISAT_Estimate 2007 RBS BBS_RevPA4" xfId="975" xr:uid="{00000000-0005-0000-0000-0000CC030000}"/>
    <cellStyle name="_Support_ISAT_Estimate 2007 RBS BBS_RevPA4_Summary of Payment 10 Nov 2008" xfId="976" xr:uid="{00000000-0005-0000-0000-0000CD030000}"/>
    <cellStyle name="_Support_ISAT_MGW-MSC_Jul06_Rev.PA2" xfId="977" xr:uid="{00000000-0005-0000-0000-0000CE030000}"/>
    <cellStyle name="_Support_ISAT_O&amp;M BSS Capacity Upgrade 2007_Rev.PA1" xfId="978" xr:uid="{00000000-0005-0000-0000-0000CF030000}"/>
    <cellStyle name="_Support_ISAT_O&amp;M BSS Capacity Upgrade 2007_Rev.PA1_Summary of Payment 10 Nov 2008" xfId="979" xr:uid="{00000000-0005-0000-0000-0000D0030000}"/>
    <cellStyle name="_Support_ISAT_O&amp;M BSS Capacity Upgrade 2007_Rev.PA2xls" xfId="980" xr:uid="{00000000-0005-0000-0000-0000D1030000}"/>
    <cellStyle name="_Support_ISAT_O&amp;M BSS Capacity Upgrade 2007_Rev.PA2xls_Summary of Payment 10 Nov 2008" xfId="981" xr:uid="{00000000-0005-0000-0000-0000D2030000}"/>
    <cellStyle name="_Support_ISAT_O&amp;M BSS Capacity Upgrade 2007_Rev.PA7" xfId="982" xr:uid="{00000000-0005-0000-0000-0000D3030000}"/>
    <cellStyle name="_Support_ISAT_O&amp;M BSS Capacity Upgrade 2007_Rev.PA7_Summary of Payment 10 Nov 2008" xfId="983" xr:uid="{00000000-0005-0000-0000-0000D4030000}"/>
    <cellStyle name="_Support_ISAT_OM BSS Capacity Upgrade 2007_Rev PA4" xfId="984" xr:uid="{00000000-0005-0000-0000-0000D5030000}"/>
    <cellStyle name="_Support_ISAT_OM BSS Capacity Upgrade 2007_Rev PA4_Summary of Payment 10 Nov 2008" xfId="985" xr:uid="{00000000-0005-0000-0000-0000D6030000}"/>
    <cellStyle name="_Support_ISAT_TRM EDGE Rev PA1" xfId="986" xr:uid="{00000000-0005-0000-0000-0000D7030000}"/>
    <cellStyle name="_Support_ISAT_TRM EDGE Rev PA1_Summary of Payment 10 Nov 2008" xfId="987" xr:uid="{00000000-0005-0000-0000-0000D8030000}"/>
    <cellStyle name="_Support_ISAT_TRM EDGE Rev PA2" xfId="988" xr:uid="{00000000-0005-0000-0000-0000D9030000}"/>
    <cellStyle name="_Support_ISAT_TRM EDGE Rev PA2_Summary of Payment 10 Nov 2008" xfId="989" xr:uid="{00000000-0005-0000-0000-0000DA030000}"/>
    <cellStyle name="_Support_ISAT_TRM EDGE Rev PA3" xfId="990" xr:uid="{00000000-0005-0000-0000-0000DB030000}"/>
    <cellStyle name="_Support_ISAT_TRM EDGE Rev PA3_Summary of Payment 10 Nov 2008" xfId="991" xr:uid="{00000000-0005-0000-0000-0000DC030000}"/>
    <cellStyle name="_Support_ISAT-Mini-Link Jabotabek RO 2007_PA1 (3)" xfId="992" xr:uid="{00000000-0005-0000-0000-0000DD030000}"/>
    <cellStyle name="_Support_ISAT-Mini-Link Jabotabek RO 2007_PA1 (3)_Summary of Payment 10 Nov 2008" xfId="993" xr:uid="{00000000-0005-0000-0000-0000DE030000}"/>
    <cellStyle name="_Support_ISAT-Mini-Link Jabotabek RO 2007_PA2" xfId="994" xr:uid="{00000000-0005-0000-0000-0000DF030000}"/>
    <cellStyle name="_Support_ISAT-Mini-Link Jabotabek RO 2007_PA2_Summary of Payment 10 Nov 2008" xfId="995" xr:uid="{00000000-0005-0000-0000-0000E0030000}"/>
    <cellStyle name="_Support_ISAT-Mini-Link Jabotabek RO 2007_PA4" xfId="996" xr:uid="{00000000-0005-0000-0000-0000E1030000}"/>
    <cellStyle name="_Support_ISAT-Mini-Link Jabotabek RO 2007_PA4_Summary of Payment 10 Nov 2008" xfId="997" xr:uid="{00000000-0005-0000-0000-0000E2030000}"/>
    <cellStyle name="_Support_ISAT-Mini-Link Jabotabek RO 2007_PA6" xfId="998" xr:uid="{00000000-0005-0000-0000-0000E3030000}"/>
    <cellStyle name="_Support_ISAT-Mini-Link Jabotabek RO 2007_PA6_Summary of Payment 10 Nov 2008" xfId="999" xr:uid="{00000000-0005-0000-0000-0000E4030000}"/>
    <cellStyle name="_Support_ISAT-PDH Kalimantan RO 2007_PA3" xfId="1000" xr:uid="{00000000-0005-0000-0000-0000E5030000}"/>
    <cellStyle name="_Support_ISAT-PDH Kalimantan RO 2007_PA3_Summary of Payment 10 Nov 2008" xfId="1001" xr:uid="{00000000-0005-0000-0000-0000E6030000}"/>
    <cellStyle name="_Support_ISAT-PDH Kalimantan RO 2007_PA4" xfId="1002" xr:uid="{00000000-0005-0000-0000-0000E7030000}"/>
    <cellStyle name="_Support_ISAT-PDH Kalimantan RO 2007_PA4_Summary of Payment 10 Nov 2008" xfId="1003" xr:uid="{00000000-0005-0000-0000-0000E8030000}"/>
    <cellStyle name="_Support_ISAT-Transmission for BSS  OM Upgrade 2007_Rev PA2" xfId="1004" xr:uid="{00000000-0005-0000-0000-0000E9030000}"/>
    <cellStyle name="_Support_ISAT-Transmission for BSS  OM Upgrade 2007_Rev PA2_Summary of Payment 10 Nov 2008" xfId="1005" xr:uid="{00000000-0005-0000-0000-0000EA030000}"/>
    <cellStyle name="_Support_ISAT-Transmission for BSS  OM Upgrade 2007_Rev PA3" xfId="1006" xr:uid="{00000000-0005-0000-0000-0000EB030000}"/>
    <cellStyle name="_Support_ISAT-Transmission for BSS  OM Upgrade 2007_Rev PA3_Summary of Payment 10 Nov 2008" xfId="1007" xr:uid="{00000000-0005-0000-0000-0000EC030000}"/>
    <cellStyle name="_Support_ISAT-Transmission for BSS &amp; OM Upgrade 2007_Rev.PA2" xfId="1008" xr:uid="{00000000-0005-0000-0000-0000ED030000}"/>
    <cellStyle name="_Support_ISAT-Transmission for BSS &amp; OM Upgrade 2007_Rev.PA2_Summary of Payment 10 Nov 2008" xfId="1009" xr:uid="{00000000-0005-0000-0000-0000EE030000}"/>
    <cellStyle name="_Support_ISAT-TRM 3G 2007_PA2" xfId="1010" xr:uid="{00000000-0005-0000-0000-0000EF030000}"/>
    <cellStyle name="_Support_ISAT-TRM 3G 2007_PA2_Summary of Payment 10 Nov 2008" xfId="1011" xr:uid="{00000000-0005-0000-0000-0000F0030000}"/>
    <cellStyle name="_Support_MTNLBroadband Expansion Sys_HW support costing" xfId="1012" xr:uid="{00000000-0005-0000-0000-0000F1030000}"/>
    <cellStyle name="_Support_Reliance_Pricing_01-04-2005_Rev_D" xfId="1013" xr:uid="{00000000-0005-0000-0000-0000F2030000}"/>
    <cellStyle name="_Support_Tata_VSNL_Pricing_02-04-2005_Rev_A" xfId="1014" xr:uid="{00000000-0005-0000-0000-0000F3030000}"/>
    <cellStyle name="_support_telkom_ML Mgr_RevPA2" xfId="1015" xr:uid="{00000000-0005-0000-0000-0000F4030000}"/>
    <cellStyle name="_Support_XL_HLR UPGRADE_Rev PA2" xfId="1016" xr:uid="{00000000-0005-0000-0000-0000F5030000}"/>
    <cellStyle name="_Support_XL_HLR UPGRADE_Rev.PA1" xfId="1017" xr:uid="{00000000-0005-0000-0000-0000F6030000}"/>
    <cellStyle name="_Support_XL_MSS Expansion 2007_Rev.PA1" xfId="1018" xr:uid="{00000000-0005-0000-0000-0000F7030000}"/>
    <cellStyle name="_Support-ISAT-ML-3G 2nd stage-Jkt '06 241 sites DRM_rev.PA1" xfId="1019" xr:uid="{00000000-0005-0000-0000-0000F8030000}"/>
    <cellStyle name="_Support-ISAT-ML-3G 2nd stage-Jkt '06 241 sites DRM_rev.PA1_Summary of Payment 10 Nov 2008" xfId="1020" xr:uid="{00000000-0005-0000-0000-0000F9030000}"/>
    <cellStyle name="_Support-ISAT-Upgrade PDH Minilinik Scope Pontianak - Banjarmasin-Rev PA1" xfId="1021" xr:uid="{00000000-0005-0000-0000-0000FA030000}"/>
    <cellStyle name="_Support-ISAT-Upgrade PDH Minilinik Scope Pontianak - Banjarmasin-Rev PA1_Summary of Payment 10 Nov 2008" xfId="1022" xr:uid="{00000000-0005-0000-0000-0000FB030000}"/>
    <cellStyle name="_Support-ISAT-Upgrade PDH Minilinik Scope Pontianak - Banjarmasin-Rev PA3 (2)" xfId="1023" xr:uid="{00000000-0005-0000-0000-0000FC030000}"/>
    <cellStyle name="_Support-ISAT-Upgrade PDH Minilinik Scope Pontianak - Banjarmasin-Rev PA3 (2)_Summary of Payment 10 Nov 2008" xfId="1024" xr:uid="{00000000-0005-0000-0000-0000FD030000}"/>
    <cellStyle name="_Swap Jabotabek ISAT" xfId="1025" xr:uid="{00000000-0005-0000-0000-0000FE030000}"/>
    <cellStyle name="_Swap Upgrade Jabotabek Isat" xfId="1026" xr:uid="{00000000-0005-0000-0000-0000FF030000}"/>
    <cellStyle name="_SYSTEM SUPPORT Rev PA1" xfId="1027" xr:uid="{00000000-0005-0000-0000-000000040000}"/>
    <cellStyle name="_SYSTEM SUPPORT Rev PA1_Summary of Payment 10 Nov 2008" xfId="1028" xr:uid="{00000000-0005-0000-0000-000001040000}"/>
    <cellStyle name="_System Support Rev PA8" xfId="1029" xr:uid="{00000000-0005-0000-0000-000002040000}"/>
    <cellStyle name="_System Support XL Rev PA1" xfId="1030" xr:uid="{00000000-0005-0000-0000-000003040000}"/>
    <cellStyle name="_System Support XL Rev PA2" xfId="1031" xr:uid="{00000000-0005-0000-0000-000004040000}"/>
    <cellStyle name="_System Support XL Rev PA3" xfId="1032" xr:uid="{00000000-0005-0000-0000-000005040000}"/>
    <cellStyle name="_TELKOM Divre 1 R1" xfId="1033" xr:uid="{00000000-0005-0000-0000-000006040000}"/>
    <cellStyle name="_Telkom SPRS Divre 2 PA1" xfId="1034" xr:uid="{00000000-0005-0000-0000-000007040000}"/>
    <cellStyle name="_Telkom_SACME_Cost Proposal_VM_190506" xfId="1035" xr:uid="{00000000-0005-0000-0000-000008040000}"/>
    <cellStyle name="_Telkom_SACME_Cost Proposal_VM_240506_rev. B" xfId="1036" xr:uid="{00000000-0005-0000-0000-000009040000}"/>
    <cellStyle name="_Telkomsel Project 2007_Tower Strengthening Sumbagut" xfId="1037" xr:uid="{00000000-0005-0000-0000-00000A040000}"/>
    <cellStyle name="_TND &amp; System Support" xfId="1038" xr:uid="{00000000-0005-0000-0000-00000B040000}"/>
    <cellStyle name="_TND for Maxis Rev C" xfId="1039" xr:uid="{00000000-0005-0000-0000-00000C040000}"/>
    <cellStyle name="_TND OM BSS Capacity Upgrade 2007 TRM Rev A" xfId="1040" xr:uid="{00000000-0005-0000-0000-00000D040000}"/>
    <cellStyle name="_TND OM BSS Capacity Upgrade 2007 TRM Rev A_Summary of Payment 10 Nov 2008" xfId="1041" xr:uid="{00000000-0005-0000-0000-00000E040000}"/>
    <cellStyle name="_TND service price NTS 3G East Java Ph12" xfId="1042" xr:uid="{00000000-0005-0000-0000-00000F040000}"/>
    <cellStyle name="_TND service price NTS 3G East Java Ph12_Summary of Payment 10 Nov 2008" xfId="1043" xr:uid="{00000000-0005-0000-0000-000010040000}"/>
    <cellStyle name="_TND service price Telkomsel Backbone option1" xfId="1044" xr:uid="{00000000-0005-0000-0000-000011040000}"/>
    <cellStyle name="_TND service price Telkomsel Backbone option1_Summary of Payment 10 Nov 2008" xfId="1045" xr:uid="{00000000-0005-0000-0000-000012040000}"/>
    <cellStyle name="_TND service price Telkomsel Backbone option2" xfId="1046" xr:uid="{00000000-0005-0000-0000-000013040000}"/>
    <cellStyle name="_TND service price Telkomsel Backbone option2_Summary of Payment 10 Nov 2008" xfId="1047" xr:uid="{00000000-0005-0000-0000-000014040000}"/>
    <cellStyle name="_TND Services for Indosat FWA Migration" xfId="1048" xr:uid="{00000000-0005-0000-0000-000015040000}"/>
    <cellStyle name="_TND Services for Indosat FWA Migration_Summary of Payment 10 Nov 2008" xfId="1049" xr:uid="{00000000-0005-0000-0000-000016040000}"/>
    <cellStyle name="_TND services for transmission upgrade Batch 1 3G" xfId="1050" xr:uid="{00000000-0005-0000-0000-000017040000}"/>
    <cellStyle name="_TND services for transmission upgrade Batch 1 3G_Summary of Payment 10 Nov 2008" xfId="1051" xr:uid="{00000000-0005-0000-0000-000018040000}"/>
    <cellStyle name="_TND Services planning price for 3 months TELKOMSEL BACKBONE project (2)" xfId="1052" xr:uid="{00000000-0005-0000-0000-000019040000}"/>
    <cellStyle name="_TND Services planning price for 3 months TELKOMSEL BACKBONE project (2)_Summary of Payment 10 Nov 2008" xfId="1053" xr:uid="{00000000-0005-0000-0000-00001A040000}"/>
    <cellStyle name="_TND services Rev A" xfId="1054" xr:uid="{00000000-0005-0000-0000-00001B040000}"/>
    <cellStyle name="_TND services Rev A_Summary of Payment 10 Nov 2008" xfId="1055" xr:uid="{00000000-0005-0000-0000-00001C040000}"/>
    <cellStyle name="_TND Summary BoQ 2007 Q1 Rev C 29 nov 06" xfId="1056" xr:uid="{00000000-0005-0000-0000-00001D040000}"/>
    <cellStyle name="_TND Summary BoQ 2007 Q1 Rev C 29 nov 06_Summary of Payment 10 Nov 2008" xfId="1057" xr:uid="{00000000-0005-0000-0000-00001E040000}"/>
    <cellStyle name="_TND_Service_Cost_New Template 2" xfId="1058" xr:uid="{00000000-0005-0000-0000-00001F040000}"/>
    <cellStyle name="_Total SoW 2G Q1 &amp; Q2 2007" xfId="1059" xr:uid="{00000000-0005-0000-0000-000020040000}"/>
    <cellStyle name="_Total SoW 2G Q1 &amp; Q2 2007_Summary of Payment 10 Nov 2008" xfId="1060" xr:uid="{00000000-0005-0000-0000-000021040000}"/>
    <cellStyle name="_Training GSM_Softswitch Rev PA1" xfId="1061" xr:uid="{00000000-0005-0000-0000-000022040000}"/>
    <cellStyle name="_Training GSM_Softswitch Rev PA2 Scenario3" xfId="1062" xr:uid="{00000000-0005-0000-0000-000023040000}"/>
    <cellStyle name="_Transmision Boq CAC rev PA5 (EK)" xfId="1063" xr:uid="{00000000-0005-0000-0000-000024040000}"/>
    <cellStyle name="_Transmission Boq Summary - HSDPA x1 (PA2) (3)" xfId="1064" xr:uid="{00000000-0005-0000-0000-000025040000}"/>
    <cellStyle name="_Transmission Boq Summary - HSDPA x1 (PA2) (3)_Summary of Payment 10 Nov 2008" xfId="1065" xr:uid="{00000000-0005-0000-0000-000026040000}"/>
    <cellStyle name="_Transmission Upgrade Batch 2 _Rev.PA2" xfId="1066" xr:uid="{00000000-0005-0000-0000-000027040000}"/>
    <cellStyle name="_Transmission Upgrade Batch 2 _Rev.PA2_Summary of Payment 10 Nov 2008" xfId="1067" xr:uid="{00000000-0005-0000-0000-000028040000}"/>
    <cellStyle name="_Transmission Upgrade Batch 3 _Rev.PA2" xfId="1068" xr:uid="{00000000-0005-0000-0000-000029040000}"/>
    <cellStyle name="_Transmission Upgrade Batch 3 _Rev.PA2_Summary of Payment 10 Nov 2008" xfId="1069" xr:uid="{00000000-0005-0000-0000-00002A040000}"/>
    <cellStyle name="_Trending_2007_Trm edited (2)" xfId="1070" xr:uid="{00000000-0005-0000-0000-00002B040000}"/>
    <cellStyle name="_Trending_2007_Trm edited (2)_Summary of Payment 10 Nov 2008" xfId="1071" xr:uid="{00000000-0005-0000-0000-00002C040000}"/>
    <cellStyle name="_Trending_Jan07_Ver1 3_BoQ_Indra_RevA (2)" xfId="1072" xr:uid="{00000000-0005-0000-0000-00002D040000}"/>
    <cellStyle name="_Trending_Jan07_Ver1 3_BoQ_Indra_RevA (2)_Summary of Payment 10 Nov 2008" xfId="1073" xr:uid="{00000000-0005-0000-0000-00002E040000}"/>
    <cellStyle name="_Trending_Jan07_Ver1 3_BoQ_Summary_All" xfId="1074" xr:uid="{00000000-0005-0000-0000-00002F040000}"/>
    <cellStyle name="_Trending_Jan07_Ver1 3_BoQ_Summary_All (2)" xfId="1075" xr:uid="{00000000-0005-0000-0000-000030040000}"/>
    <cellStyle name="_Trending_Jan07_Ver1 3_BoQ_Summary_All (2)_Summary of Payment 10 Nov 2008" xfId="1076" xr:uid="{00000000-0005-0000-0000-000031040000}"/>
    <cellStyle name="_Trending_Jan07_Ver1 3_BoQ_Summary_All_RevA (18 Jan 2007)" xfId="1077" xr:uid="{00000000-0005-0000-0000-000032040000}"/>
    <cellStyle name="_Trending_Jan07_Ver1 3_BoQ_Summary_All_RevA (18 Jan 2007) (4)" xfId="1078" xr:uid="{00000000-0005-0000-0000-000033040000}"/>
    <cellStyle name="_Trending_Jan07_Ver1 3_BoQ_Summary_All_RevA (18 Jan 2007) (4)_Summary of Payment 10 Nov 2008" xfId="1079" xr:uid="{00000000-0005-0000-0000-000034040000}"/>
    <cellStyle name="_Trending_Jan07_Ver1 3_BoQ_Summary_All_RevA (18 Jan 2007)_Summary of Payment 10 Nov 2008" xfId="1080" xr:uid="{00000000-0005-0000-0000-000035040000}"/>
    <cellStyle name="_Trending_Jan07_Ver1 3_BoQ_Summary_All_RevA1" xfId="1081" xr:uid="{00000000-0005-0000-0000-000036040000}"/>
    <cellStyle name="_Trending_Jan07_Ver1 3_BoQ_Summary_All_RevA1_Summary of Payment 10 Nov 2008" xfId="1082" xr:uid="{00000000-0005-0000-0000-000037040000}"/>
    <cellStyle name="_Trending_Jan07_Ver1 3_BoQ_Summary_All_Summary of Payment 10 Nov 2008" xfId="1083" xr:uid="{00000000-0005-0000-0000-000038040000}"/>
    <cellStyle name="_Trending_Plan_Q2_ver1 0_BoQ Summary_Use RBS 2206 V2 + BBS4500 (20 April 2007)_150 Rank_RevA_Internal" xfId="1084" xr:uid="{00000000-0005-0000-0000-000039040000}"/>
    <cellStyle name="_Trending_Plan_Q2_ver1 0_BoQ Summary_Use RBS 2206 V2 + BBS4500 (20 April 2007)_150 Rank_RevA_Internal (2)" xfId="1085" xr:uid="{00000000-0005-0000-0000-00003A040000}"/>
    <cellStyle name="_Trending_Plan_Q2_ver1 0_BoQ Summary_Use RBS 2206 V2 + BBS4500 (20 April 2007)_150 Rank_RevA_Internal (2)_Summary of Payment 10 Nov 2008" xfId="1086" xr:uid="{00000000-0005-0000-0000-00003B040000}"/>
    <cellStyle name="_Trending_Plan_Q2_ver1 0_BoQ Summary_Use RBS 2206 V2 + BBS4500 (20 April 2007)_150 Rank_RevA_Internal_Summary of Payment 10 Nov 2008" xfId="1087" xr:uid="{00000000-0005-0000-0000-00003C040000}"/>
    <cellStyle name="_Trending_Plan_Q2_ver1 0_BoQ Summary_Use RBS 2206 V2 + BBS4500 (20 March 2007)" xfId="1088" xr:uid="{00000000-0005-0000-0000-00003D040000}"/>
    <cellStyle name="_Trending_Plan_Q2_ver1 0_BoQ Summary_Use RBS 2206 V2 + BBS4500 (20 March 2007) (3)" xfId="1089" xr:uid="{00000000-0005-0000-0000-00003E040000}"/>
    <cellStyle name="_Trending_Plan_Q2_ver1 0_BoQ Summary_Use RBS 2206 V2 + BBS4500 (20 March 2007) (3)_Summary of Payment 10 Nov 2008" xfId="1090" xr:uid="{00000000-0005-0000-0000-00003F040000}"/>
    <cellStyle name="_Trending_Plan_Q2_ver1 0_BoQ Summary_Use RBS 2206 V2 + BBS4500 (20 March 2007)_200 Rank" xfId="1091" xr:uid="{00000000-0005-0000-0000-000040040000}"/>
    <cellStyle name="_Trending_Plan_Q2_ver1 0_BoQ Summary_Use RBS 2206 V2 + BBS4500 (20 March 2007)_200 Rank (2)" xfId="1092" xr:uid="{00000000-0005-0000-0000-000041040000}"/>
    <cellStyle name="_Trending_Plan_Q2_ver1 0_BoQ Summary_Use RBS 2206 V2 + BBS4500 (20 March 2007)_200 Rank (2)_Summary of Payment 10 Nov 2008" xfId="1093" xr:uid="{00000000-0005-0000-0000-000042040000}"/>
    <cellStyle name="_Trending_Plan_Q2_ver1 0_BoQ Summary_Use RBS 2206 V2 + BBS4500 (20 March 2007)_200 Rank_Summary of Payment 10 Nov 2008" xfId="1094" xr:uid="{00000000-0005-0000-0000-000043040000}"/>
    <cellStyle name="_Trending_Plan_Q2_ver1 0_BoQ Summary_Use RBS 2206 V2 + BBS4500 (20 March 2007)_Summary of Payment 10 Nov 2008" xfId="1095" xr:uid="{00000000-0005-0000-0000-000044040000}"/>
    <cellStyle name="_Trending_Q3_Ver1 0_1_BoQ Summary_Rev A" xfId="1096" xr:uid="{00000000-0005-0000-0000-000045040000}"/>
    <cellStyle name="_Trending_Q3_Ver1 0_1_BoQ Summary_Rev A (5)" xfId="1097" xr:uid="{00000000-0005-0000-0000-000046040000}"/>
    <cellStyle name="_Trending_Q3_Ver1 0_1_BoQ Summary_Rev A (5)_Summary of Payment 10 Nov 2008" xfId="1098" xr:uid="{00000000-0005-0000-0000-000047040000}"/>
    <cellStyle name="_Trending_Q3_Ver1 0_1_BoQ Summary_Rev A_Summary of Payment 10 Nov 2008" xfId="1099" xr:uid="{00000000-0005-0000-0000-000048040000}"/>
    <cellStyle name="_TRM Dismantled IM3 Hops1" xfId="1100" xr:uid="{00000000-0005-0000-0000-000049040000}"/>
    <cellStyle name="_TRM Kalimantan SoW 2G Q1  Q2 2007 Rev A 7dec06 TND" xfId="1101" xr:uid="{00000000-0005-0000-0000-00004A040000}"/>
    <cellStyle name="_TRM Kalimantan SoW 2G Q1  Q2 2007 Rev A 7dec06 TND_Summary of Payment 10 Nov 2008" xfId="1102" xr:uid="{00000000-0005-0000-0000-00004B040000}"/>
    <cellStyle name="_TRM Support Rev PA1" xfId="1103" xr:uid="{00000000-0005-0000-0000-00004C040000}"/>
    <cellStyle name="_TRM Support Rev PA1_Summary of Payment 10 Nov 2008" xfId="1104" xr:uid="{00000000-0005-0000-0000-00004D040000}"/>
    <cellStyle name="_TRM Support Rev PA2" xfId="1105" xr:uid="{00000000-0005-0000-0000-00004E040000}"/>
    <cellStyle name="_TRM Support Rev PA2_Summary of Payment 10 Nov 2008" xfId="1106" xr:uid="{00000000-0005-0000-0000-00004F040000}"/>
    <cellStyle name="_TSC - MGW Bdg Isat (rev)" xfId="1107" xr:uid="{00000000-0005-0000-0000-000050040000}"/>
    <cellStyle name="_TSC - MGW Jkt Isat (2)" xfId="1108" xr:uid="{00000000-0005-0000-0000-000051040000}"/>
    <cellStyle name="_UP-GRADE ISAT Kalimantan (2)" xfId="1109" xr:uid="{00000000-0005-0000-0000-000052040000}"/>
    <cellStyle name="_Upgrade PDH Minilinik Scope Pontianak - Banjarmasin (3)" xfId="1110" xr:uid="{00000000-0005-0000-0000-000053040000}"/>
    <cellStyle name="_Upgrade PDH Minilinik Scope Pontianak - Banjarmasin (3)_Summary of Payment 10 Nov 2008" xfId="1111" xr:uid="{00000000-0005-0000-0000-000054040000}"/>
    <cellStyle name="_Upgrade PDH Minilinik Scope Pontianak - Banjarmasin (4)" xfId="1112" xr:uid="{00000000-0005-0000-0000-000055040000}"/>
    <cellStyle name="_Upgrade PDH Minilinik Scope Pontianak - Banjarmasin (4)_Summary of Payment 10 Nov 2008" xfId="1113" xr:uid="{00000000-0005-0000-0000-000056040000}"/>
    <cellStyle name="_Upgrade RBS Isat Scen 1" xfId="1114" xr:uid="{00000000-0005-0000-0000-000057040000}"/>
    <cellStyle name="_Upgrade RBS Isat Scen 2" xfId="1115" xr:uid="{00000000-0005-0000-0000-000058040000}"/>
    <cellStyle name="_Upgrade TN" xfId="1116" xr:uid="{00000000-0005-0000-0000-000059040000}"/>
    <cellStyle name="_Upgrade TNT to HC" xfId="1117" xr:uid="{00000000-0005-0000-0000-00005A040000}"/>
    <cellStyle name="_Upside BC MSS Sumatera" xfId="1118" xr:uid="{00000000-0005-0000-0000-00005B040000}"/>
    <cellStyle name="_Upside BC MSS Sumatera_Summary of Payment 10 Nov 2008" xfId="1119" xr:uid="{00000000-0005-0000-0000-00005C040000}"/>
    <cellStyle name="_Verdi Summary - MSS Sumatra 2006 - PA3" xfId="1120" xr:uid="{00000000-0005-0000-0000-00005D040000}"/>
    <cellStyle name="_Verdi Summary - MSS Sumatra 2006 - PA3 (2)" xfId="1121" xr:uid="{00000000-0005-0000-0000-00005E040000}"/>
    <cellStyle name="_Verdi Summary - MSS Sumatra 2006 - PA3 (2)_Summary of Payment 10 Nov 2008" xfId="1122" xr:uid="{00000000-0005-0000-0000-00005F040000}"/>
    <cellStyle name="_Verdi Summary - MSS Sumatra 2006 - PA3_Summary of Payment 10 Nov 2008" xfId="1123" xr:uid="{00000000-0005-0000-0000-000060040000}"/>
    <cellStyle name="_Verdi Summary - MSS Sumatra 2006 - PA5 (2)" xfId="1124" xr:uid="{00000000-0005-0000-0000-000061040000}"/>
    <cellStyle name="_Verdi Summary - MSS Sumatra 2006 - PA5 (2)_Summary of Payment 10 Nov 2008" xfId="1125" xr:uid="{00000000-0005-0000-0000-000062040000}"/>
    <cellStyle name="_Verdi Summary PA1" xfId="1126" xr:uid="{00000000-0005-0000-0000-000063040000}"/>
    <cellStyle name="_Weekly cash flow Oct_Des 2008 - summary" xfId="1127" xr:uid="{00000000-0005-0000-0000-000064040000}"/>
    <cellStyle name="_Weekly cash flow Oct_Des 2008 - summary 7 Nov 2008" xfId="1128" xr:uid="{00000000-0005-0000-0000-000065040000}"/>
    <cellStyle name="_WP1 Services P1" xfId="1129" xr:uid="{00000000-0005-0000-0000-000066040000}"/>
    <cellStyle name="_XL Reparenting services quotation" xfId="1130" xr:uid="{00000000-0005-0000-0000-000067040000}"/>
    <cellStyle name="_XL Reparenting services quotation_Summary of Payment 10 Nov 2008" xfId="1131" xr:uid="{00000000-0005-0000-0000-000068040000}"/>
    <cellStyle name="_XL-Indosat-NTS-References Prices" xfId="1132" xr:uid="{00000000-0005-0000-0000-000069040000}"/>
    <cellStyle name="_XXX PDH Kalimantan RO 2007 -  BOQ Price Rev  B nO pRICE" xfId="1133" xr:uid="{00000000-0005-0000-0000-00006A040000}"/>
    <cellStyle name="_XXX PDH Kalimantan RO 2007 -  BOQ Price Rev  B nO pRICE_Summary of Payment 10 Nov 2008" xfId="1134" xr:uid="{00000000-0005-0000-0000-00006B040000}"/>
    <cellStyle name="‚" xfId="1135" xr:uid="{00000000-0005-0000-0000-00006C040000}"/>
    <cellStyle name="‚_AREA  AP. JEMBER  PLANT A2" xfId="1136" xr:uid="{00000000-0005-0000-0000-00006D040000}"/>
    <cellStyle name="‚_BOOK1" xfId="1137" xr:uid="{00000000-0005-0000-0000-00006E040000}"/>
    <cellStyle name="„" xfId="1138" xr:uid="{00000000-0005-0000-0000-00006F040000}"/>
    <cellStyle name="„_AREA  AP. JEMBER  PLANT A2" xfId="1139" xr:uid="{00000000-0005-0000-0000-000070040000}"/>
    <cellStyle name="„_BOOK1" xfId="1140" xr:uid="{00000000-0005-0000-0000-000071040000}"/>
    <cellStyle name="–¢’è‹`" xfId="1141" xr:uid="{00000000-0005-0000-0000-000072040000}"/>
    <cellStyle name="£" xfId="1142" xr:uid="{00000000-0005-0000-0000-000073040000}"/>
    <cellStyle name="£_Projection_DVLA_DWL_091006-rev1" xfId="1143" xr:uid="{00000000-0005-0000-0000-000074040000}"/>
    <cellStyle name="£_Projection_GK" xfId="1144" xr:uid="{00000000-0005-0000-0000-000075040000}"/>
    <cellStyle name="€" xfId="1145" xr:uid="{00000000-0005-0000-0000-000076040000}"/>
    <cellStyle name="…" xfId="1146" xr:uid="{00000000-0005-0000-0000-000077040000}"/>
    <cellStyle name="…_AREA  AP. JEMBER  PLANT A2" xfId="1147" xr:uid="{00000000-0005-0000-0000-000078040000}"/>
    <cellStyle name="…_BOOK1" xfId="1148" xr:uid="{00000000-0005-0000-0000-000079040000}"/>
    <cellStyle name="†" xfId="1149" xr:uid="{00000000-0005-0000-0000-00007A040000}"/>
    <cellStyle name="†_AREA  AP. JEMBER  PLANT A2" xfId="1150" xr:uid="{00000000-0005-0000-0000-00007B040000}"/>
    <cellStyle name="†_BOOK1" xfId="1151" xr:uid="{00000000-0005-0000-0000-00007C040000}"/>
    <cellStyle name="‡" xfId="1152" xr:uid="{00000000-0005-0000-0000-00007D040000}"/>
    <cellStyle name="‡__OKUPANSI JT 'A' 040400" xfId="1153" xr:uid="{00000000-0005-0000-0000-00007E040000}"/>
    <cellStyle name="‡__OKUPANSI JT 'A' 2000 (EDIT)" xfId="1154" xr:uid="{00000000-0005-0000-0000-00007F040000}"/>
    <cellStyle name="‡_9809-gar" xfId="1155" xr:uid="{00000000-0005-0000-0000-000080040000}"/>
    <cellStyle name="‡_9809-gar_april_01" xfId="1156" xr:uid="{00000000-0005-0000-0000-000081040000}"/>
    <cellStyle name="‡_9809-gar_real_inves_06_2001_web" xfId="1157" xr:uid="{00000000-0005-0000-0000-000082040000}"/>
    <cellStyle name="‡_aki rural" xfId="1158" xr:uid="{00000000-0005-0000-0000-000083040000}"/>
    <cellStyle name="‡_april_01" xfId="1159" xr:uid="{00000000-0005-0000-0000-000084040000}"/>
    <cellStyle name="‡_BCOPSARokt.xls Chart 5" xfId="1160" xr:uid="{00000000-0005-0000-0000-000085040000}"/>
    <cellStyle name="‡_BCOPSARokt.xls Chart 5_april_01" xfId="1161" xr:uid="{00000000-0005-0000-0000-000086040000}"/>
    <cellStyle name="‡_BCOPSARokt.xls Chart 5_real_inves_06_2001_web" xfId="1162" xr:uid="{00000000-0005-0000-0000-000087040000}"/>
    <cellStyle name="‡_BCOPSARokt.xls Chart 6" xfId="1163" xr:uid="{00000000-0005-0000-0000-000088040000}"/>
    <cellStyle name="‡_BCOPSARokt.xls Chart 6_april_01" xfId="1164" xr:uid="{00000000-0005-0000-0000-000089040000}"/>
    <cellStyle name="‡_BCOPSARokt.xls Chart 6_real_inves_06_2001_web" xfId="1165" xr:uid="{00000000-0005-0000-0000-00008A040000}"/>
    <cellStyle name="‡_BCOPSARokt.xls Chart 7" xfId="1166" xr:uid="{00000000-0005-0000-0000-00008B040000}"/>
    <cellStyle name="‡_BCOPSARokt.xls Chart 7_april_01" xfId="1167" xr:uid="{00000000-0005-0000-0000-00008C040000}"/>
    <cellStyle name="‡_BCOPSARokt.xls Chart 7_real_inves_06_2001_web" xfId="1168" xr:uid="{00000000-0005-0000-0000-00008D040000}"/>
    <cellStyle name="‡_BCOPSARokt.xls Chart 8" xfId="1169" xr:uid="{00000000-0005-0000-0000-00008E040000}"/>
    <cellStyle name="‡_BCOPSARokt.xls Chart 8_april_01" xfId="1170" xr:uid="{00000000-0005-0000-0000-00008F040000}"/>
    <cellStyle name="‡_BCOPSARokt.xls Chart 8_real_inves_06_2001_web" xfId="1171" xr:uid="{00000000-0005-0000-0000-000090040000}"/>
    <cellStyle name="‡_BOOK1" xfId="1172" xr:uid="{00000000-0005-0000-0000-000091040000}"/>
    <cellStyle name="‡_BOOK1_1" xfId="1173" xr:uid="{00000000-0005-0000-0000-000092040000}"/>
    <cellStyle name="‡_BOOK1_1_ANGGARAN  RKAP  JR TH. 2001" xfId="1174" xr:uid="{00000000-0005-0000-0000-000093040000}"/>
    <cellStyle name="‡_BOOK1_1_HASIL ASSESMENT INVESTASI JT.2001 (1)" xfId="1175" xr:uid="{00000000-0005-0000-0000-000094040000}"/>
    <cellStyle name="‡_BOOK1_2" xfId="1176" xr:uid="{00000000-0005-0000-0000-000095040000}"/>
    <cellStyle name="‡_BOOK1_2_ANGGARAN  RKAP  JR TH. 2001" xfId="1177" xr:uid="{00000000-0005-0000-0000-000096040000}"/>
    <cellStyle name="‡_BOOK1_2_april_01" xfId="1178" xr:uid="{00000000-0005-0000-0000-000097040000}"/>
    <cellStyle name="‡_BOOK1_2_HASIL ASSESMENT INVESTASI JT.2001 (1)" xfId="1179" xr:uid="{00000000-0005-0000-0000-000098040000}"/>
    <cellStyle name="‡_BOOK1_3" xfId="1180" xr:uid="{00000000-0005-0000-0000-000099040000}"/>
    <cellStyle name="‡_BOOK1_ANGGARAN  RKAP  JR TH. 2001" xfId="1181" xr:uid="{00000000-0005-0000-0000-00009A040000}"/>
    <cellStyle name="‡_BOOK1_BOOK1" xfId="1182" xr:uid="{00000000-0005-0000-0000-00009B040000}"/>
    <cellStyle name="‡_BOOK1_Distribusi Tgt Opr 2003 Rev Flexy - Pembangunan0" xfId="1183" xr:uid="{00000000-0005-0000-0000-00009C040000}"/>
    <cellStyle name="‡_BOOK1_Form TS_2004_1_Cps" xfId="1184" xr:uid="{00000000-0005-0000-0000-00009D040000}"/>
    <cellStyle name="‡_BOOK1_Form TS_2004_1_LampND" xfId="1185" xr:uid="{00000000-0005-0000-0000-00009E040000}"/>
    <cellStyle name="‡_BOOK1_HASIL ASSESMENT INVESTASI JT.2001 (1)" xfId="1186" xr:uid="{00000000-0005-0000-0000-00009F040000}"/>
    <cellStyle name="‡_BOOK1_LUD" xfId="1187" xr:uid="{00000000-0005-0000-0000-0000A0040000}"/>
    <cellStyle name="‡_BOOK1_OKPI" xfId="1188" xr:uid="{00000000-0005-0000-0000-0000A1040000}"/>
    <cellStyle name="‡_BOOK1_PB TW 2002 Divre V.xls Chart 1" xfId="1189" xr:uid="{00000000-0005-0000-0000-0000A2040000}"/>
    <cellStyle name="‡_BOOK1_PB TW 2002 Divre V.xls Chart 2" xfId="1190" xr:uid="{00000000-0005-0000-0000-0000A3040000}"/>
    <cellStyle name="‡_BOOK1_PB TW 2002 Divre V.xls Chart 3" xfId="1191" xr:uid="{00000000-0005-0000-0000-0000A4040000}"/>
    <cellStyle name="‡_BOOK1_PB TW 2002 Divre V.xls Chart 4" xfId="1192" xr:uid="{00000000-0005-0000-0000-0000A5040000}"/>
    <cellStyle name="‡_BOOK1_PLDT" xfId="1193" xr:uid="{00000000-0005-0000-0000-0000A6040000}"/>
    <cellStyle name="‡_BOOK1_real_inves_06_2001_web" xfId="1194" xr:uid="{00000000-0005-0000-0000-0000A7040000}"/>
    <cellStyle name="‡_BOOK1_RKAP-2001_divre2" xfId="1195" xr:uid="{00000000-0005-0000-0000-0000A8040000}"/>
    <cellStyle name="‡_BOOK1_Roll Out POTS Divre V 2001 cab 20% mas" xfId="1196" xr:uid="{00000000-0005-0000-0000-0000A9040000}"/>
    <cellStyle name="‡_BOOK1_Roll Out POTS Divre V 2001 cab 20% mas_april_01" xfId="1197" xr:uid="{00000000-0005-0000-0000-0000AA040000}"/>
    <cellStyle name="‡_BOOK1_SAP Ver 0 Revisi2 Sent VALUE.xls Chart 1" xfId="1198" xr:uid="{00000000-0005-0000-0000-0000AB040000}"/>
    <cellStyle name="‡_BOOK1_SAP Ver 0 Revisi2 Sent VALUE.xls Chart 1-1" xfId="1199" xr:uid="{00000000-0005-0000-0000-0000AC040000}"/>
    <cellStyle name="‡_BOOK1_SAP Ver 0 Revisi2 Sent VALUE.xls Chart 1-2" xfId="1200" xr:uid="{00000000-0005-0000-0000-0000AD040000}"/>
    <cellStyle name="‡_BOOK1_SAP Ver 0 Revisi2 Sent VALUE.xls Chart 1-3" xfId="1201" xr:uid="{00000000-0005-0000-0000-0000AE040000}"/>
    <cellStyle name="‡_BOOK1_SAP Ver 0 Revisi2 Sent VALUE.xls Chart 1-4" xfId="1202" xr:uid="{00000000-0005-0000-0000-0000AF040000}"/>
    <cellStyle name="‡_BOOK1_SAP Ver 0 Revisi2 Sent VALUE.xls Chart 1-5" xfId="1203" xr:uid="{00000000-0005-0000-0000-0000B0040000}"/>
    <cellStyle name="‡_BOOK1_Simulasi Produksi Pulsa v16" xfId="1204" xr:uid="{00000000-0005-0000-0000-0000B1040000}"/>
    <cellStyle name="‡_BOOK1_SPPS_JUL00" xfId="1205" xr:uid="{00000000-0005-0000-0000-0000B2040000}"/>
    <cellStyle name="‡_BOOK1_SPPS0700-MN" xfId="1206" xr:uid="{00000000-0005-0000-0000-0000B3040000}"/>
    <cellStyle name="‡_BOOK1_SPPS0700-MN-new" xfId="1207" xr:uid="{00000000-0005-0000-0000-0000B4040000}"/>
    <cellStyle name="‡_BOOK1_Target LIS&amp;L252 2002 Corporate STTF 6040" xfId="1208" xr:uid="{00000000-0005-0000-0000-0000B5040000}"/>
    <cellStyle name="‡_BOOK1_Target Pemasaran 2002 Per STO.xls Chart 1" xfId="1209" xr:uid="{00000000-0005-0000-0000-0000B6040000}"/>
    <cellStyle name="‡_BOOK1_Target Pemasaran 2002 Per STO.xls Chart 1-1" xfId="1210" xr:uid="{00000000-0005-0000-0000-0000B7040000}"/>
    <cellStyle name="‡_BOOK1_Target Pemasaran 2002 Per STO.xls Chart 1-2" xfId="1211" xr:uid="{00000000-0005-0000-0000-0000B8040000}"/>
    <cellStyle name="‡_BOOK1_Target Pemasaran 2002 Per STO.xls Chart 1-3" xfId="1212" xr:uid="{00000000-0005-0000-0000-0000B9040000}"/>
    <cellStyle name="‡_BOOK1_Target Pemasaran 2002 Per STO.xls Chart 1-4" xfId="1213" xr:uid="{00000000-0005-0000-0000-0000BA040000}"/>
    <cellStyle name="‡_BOOK1_Target Pemasaran 2002 Per STO.xls Chart 1-5" xfId="1214" xr:uid="{00000000-0005-0000-0000-0000BB040000}"/>
    <cellStyle name="‡_BOOK1_Target_D04_final" xfId="1215" xr:uid="{00000000-0005-0000-0000-0000BC040000}"/>
    <cellStyle name="‡_BOOK1_TS D07 Retarget-selesai 13 APRIL 2004" xfId="1216" xr:uid="{00000000-0005-0000-0000-0000BD040000}"/>
    <cellStyle name="‡_BOOK1_TS_2004_isiver_1" xfId="1217" xr:uid="{00000000-0005-0000-0000-0000BE040000}"/>
    <cellStyle name="‡_BOOK1_TS-BISNIS-D4-2003" xfId="1218" xr:uid="{00000000-0005-0000-0000-0000BF040000}"/>
    <cellStyle name="‡_BOOK1_TS-OKPI-DIVRE 2-2004_kes_final" xfId="1219" xr:uid="{00000000-0005-0000-0000-0000C0040000}"/>
    <cellStyle name="‡_BOOK1_TS-OKPI-DIVRE-2003" xfId="1220" xr:uid="{00000000-0005-0000-0000-0000C1040000}"/>
    <cellStyle name="‡_BOOK1_USUL INVES 2002 DG REVENUE" xfId="1221" xr:uid="{00000000-0005-0000-0000-0000C2040000}"/>
    <cellStyle name="‡_BOOK1_Usulan_Investasi_2002_divre5" xfId="1222" xr:uid="{00000000-0005-0000-0000-0000C3040000}"/>
    <cellStyle name="‡_DAFTAR REKAP JT USULAN BARU" xfId="1223" xr:uid="{00000000-0005-0000-0000-0000C4040000}"/>
    <cellStyle name="‡_Distribusi Tgt Opr 2003 Rev Flexy - Pembangunan0" xfId="1224" xr:uid="{00000000-0005-0000-0000-0000C5040000}"/>
    <cellStyle name="‡_EIT 10 AGT 2000" xfId="1225" xr:uid="{00000000-0005-0000-0000-0000C6040000}"/>
    <cellStyle name="‡_ESTIM4" xfId="1226" xr:uid="{00000000-0005-0000-0000-0000C7040000}"/>
    <cellStyle name="‡_ESTIM4_Rekap BoQ Capex MSOAN NAD Thn 2006" xfId="1227" xr:uid="{00000000-0005-0000-0000-0000C8040000}"/>
    <cellStyle name="‡_ESTIMASI_RKA_2002_Rev ws" xfId="1228" xr:uid="{00000000-0005-0000-0000-0000C9040000}"/>
    <cellStyle name="‡_Fitur KLIP_2001" xfId="1229" xr:uid="{00000000-0005-0000-0000-0000CA040000}"/>
    <cellStyle name="‡_Form TS_2004_1_Cps" xfId="1230" xr:uid="{00000000-0005-0000-0000-0000CB040000}"/>
    <cellStyle name="‡_Form TS_2004_1_LampND" xfId="1231" xr:uid="{00000000-0005-0000-0000-0000CC040000}"/>
    <cellStyle name="‡_form_usulan_rka99" xfId="1232" xr:uid="{00000000-0005-0000-0000-0000CD040000}"/>
    <cellStyle name="‡_form_usulan_rka99_Estimasi Des 2000" xfId="1233" xr:uid="{00000000-0005-0000-0000-0000CE040000}"/>
    <cellStyle name="‡_form_usulan_rka99_Estimasi Des 2000_HASIL ASSESMENT INVESTASI JT.2001 (1)" xfId="1234" xr:uid="{00000000-0005-0000-0000-0000CF040000}"/>
    <cellStyle name="‡_form_usulan_rka99_HASIL ASSESMENT INVESTASI JT.2001 (1)" xfId="1235" xr:uid="{00000000-0005-0000-0000-0000D0040000}"/>
    <cellStyle name="‡_form_usulan_rka99_SPPS0700-MN" xfId="1236" xr:uid="{00000000-0005-0000-0000-0000D1040000}"/>
    <cellStyle name="‡_form_usulan_rka99_SPPS0700-MN_HASIL ASSESMENT INVESTASI JT.2001 (1)" xfId="1237" xr:uid="{00000000-0005-0000-0000-0000D2040000}"/>
    <cellStyle name="‡_FormUji (1)" xfId="1238" xr:uid="{00000000-0005-0000-0000-0000D3040000}"/>
    <cellStyle name="‡_Juni-Minggu-4_real_phisik_06_pemb" xfId="1239" xr:uid="{00000000-0005-0000-0000-0000D4040000}"/>
    <cellStyle name="‡_JUST_SENTRAL_15M" xfId="1240" xr:uid="{00000000-0005-0000-0000-0000D5040000}"/>
    <cellStyle name="‡_JUST_SENTRAL_15M_april_01" xfId="1241" xr:uid="{00000000-0005-0000-0000-0000D6040000}"/>
    <cellStyle name="‡_KEBUT LIST PROJECT 2001" xfId="1242" xr:uid="{00000000-0005-0000-0000-0000D7040000}"/>
    <cellStyle name="‡_KEBUT LIST PROJECT 2001 JR" xfId="1243" xr:uid="{00000000-0005-0000-0000-0000D8040000}"/>
    <cellStyle name="‡_LampLUD" xfId="1244" xr:uid="{00000000-0005-0000-0000-0000D9040000}"/>
    <cellStyle name="‡_LUD" xfId="1245" xr:uid="{00000000-0005-0000-0000-0000DA040000}"/>
    <cellStyle name="‡_mon-t2001" xfId="1246" xr:uid="{00000000-0005-0000-0000-0000DB040000}"/>
    <cellStyle name="‡_NEGS" xfId="1247" xr:uid="{00000000-0005-0000-0000-0000DC040000}"/>
    <cellStyle name="‡_NEGS_1" xfId="1248" xr:uid="{00000000-0005-0000-0000-0000DD040000}"/>
    <cellStyle name="‡_NEGS_ANGGARAN  RKAP  JR TH. 2001" xfId="1249" xr:uid="{00000000-0005-0000-0000-0000DE040000}"/>
    <cellStyle name="‡_NEGS_BOOK1" xfId="1250" xr:uid="{00000000-0005-0000-0000-0000DF040000}"/>
    <cellStyle name="‡_NEGS_BOOK1_HASIL ASSESMENT INVESTASI JT.2001 (1)" xfId="1251" xr:uid="{00000000-0005-0000-0000-0000E0040000}"/>
    <cellStyle name="‡_NEGS_Estimasi Des 2000" xfId="1252" xr:uid="{00000000-0005-0000-0000-0000E1040000}"/>
    <cellStyle name="‡_NEGS_HASIL ASSESMENT INVESTASI JT.2001 (1)" xfId="1253" xr:uid="{00000000-0005-0000-0000-0000E2040000}"/>
    <cellStyle name="‡_NEGS_Pend2001-rata2-bedahari-2000-sar21814-pend-323-fix-new" xfId="1254" xr:uid="{00000000-0005-0000-0000-0000E3040000}"/>
    <cellStyle name="‡_NEGS_PERSONAL" xfId="1255" xr:uid="{00000000-0005-0000-0000-0000E4040000}"/>
    <cellStyle name="‡_NEGS_Rate 2000" xfId="1256" xr:uid="{00000000-0005-0000-0000-0000E5040000}"/>
    <cellStyle name="‡_NEGS_Rekap BoQ Capex MSOAN NAD Thn 2006" xfId="1257" xr:uid="{00000000-0005-0000-0000-0000E6040000}"/>
    <cellStyle name="‡_NEGS_SAP Ver 0 Revisi2 Sent VALUE.xls Chart 1" xfId="1258" xr:uid="{00000000-0005-0000-0000-0000E7040000}"/>
    <cellStyle name="‡_NEGS_SAP Ver 0 Revisi2 Sent VALUE.xls Chart 1-1" xfId="1259" xr:uid="{00000000-0005-0000-0000-0000E8040000}"/>
    <cellStyle name="‡_NEGS_SAP Ver 0 Revisi2 Sent VALUE.xls Chart 1-2" xfId="1260" xr:uid="{00000000-0005-0000-0000-0000E9040000}"/>
    <cellStyle name="‡_NEGS_SAP Ver 0 Revisi2 Sent VALUE.xls Chart 1-3" xfId="1261" xr:uid="{00000000-0005-0000-0000-0000EA040000}"/>
    <cellStyle name="‡_NEGS_SAP Ver 0 Revisi2 Sent VALUE.xls Chart 1-4" xfId="1262" xr:uid="{00000000-0005-0000-0000-0000EB040000}"/>
    <cellStyle name="‡_NEGS_SAP Ver 0 Revisi2 Sent VALUE.xls Chart 1-5" xfId="1263" xr:uid="{00000000-0005-0000-0000-0000EC040000}"/>
    <cellStyle name="‡_NEGS_Simulasi Produksi Pulsa v16" xfId="1264" xr:uid="{00000000-0005-0000-0000-0000ED040000}"/>
    <cellStyle name="‡_NEGS_simulasi rate-new" xfId="1265" xr:uid="{00000000-0005-0000-0000-0000EE040000}"/>
    <cellStyle name="‡_NEGS_SPPS0700-MN" xfId="1266" xr:uid="{00000000-0005-0000-0000-0000EF040000}"/>
    <cellStyle name="‡_NEGS_SPPS0700-MN_HASIL ASSESMENT INVESTASI JT.2001 (1)" xfId="1267" xr:uid="{00000000-0005-0000-0000-0000F0040000}"/>
    <cellStyle name="‡_NEGS_SPPS0700-MN-new" xfId="1268" xr:uid="{00000000-0005-0000-0000-0000F1040000}"/>
    <cellStyle name="‡_NEGS_SPPS0700-MN-new_HASIL ASSESMENT INVESTASI JT.2001 (1)" xfId="1269" xr:uid="{00000000-0005-0000-0000-0000F2040000}"/>
    <cellStyle name="‡_NEGS_Target LIS&amp;L252 2002 Corporate STTF 6040" xfId="1270" xr:uid="{00000000-0005-0000-0000-0000F3040000}"/>
    <cellStyle name="‡_NEGS_Target Pemasaran 2002 Per STO.xls Chart 1" xfId="1271" xr:uid="{00000000-0005-0000-0000-0000F4040000}"/>
    <cellStyle name="‡_NEGS_Target Pemasaran 2002 Per STO.xls Chart 1-1" xfId="1272" xr:uid="{00000000-0005-0000-0000-0000F5040000}"/>
    <cellStyle name="‡_NEGS_Target Pemasaran 2002 Per STO.xls Chart 1-2" xfId="1273" xr:uid="{00000000-0005-0000-0000-0000F6040000}"/>
    <cellStyle name="‡_NEGS_Target Pemasaran 2002 Per STO.xls Chart 1-3" xfId="1274" xr:uid="{00000000-0005-0000-0000-0000F7040000}"/>
    <cellStyle name="‡_NEGS_Target Pemasaran 2002 Per STO.xls Chart 1-4" xfId="1275" xr:uid="{00000000-0005-0000-0000-0000F8040000}"/>
    <cellStyle name="‡_NEGS_Target Pemasaran 2002 Per STO.xls Chart 1-5" xfId="1276" xr:uid="{00000000-0005-0000-0000-0000F9040000}"/>
    <cellStyle name="‡_OKPI" xfId="1277" xr:uid="{00000000-0005-0000-0000-0000FA040000}"/>
    <cellStyle name="‡_osp1_07_2000(SISKA)" xfId="1278" xr:uid="{00000000-0005-0000-0000-0000FB040000}"/>
    <cellStyle name="‡_PB TW 2002 Divre V.xls Chart 1" xfId="1279" xr:uid="{00000000-0005-0000-0000-0000FC040000}"/>
    <cellStyle name="‡_PB TW 2002 Divre V.xls Chart 2" xfId="1280" xr:uid="{00000000-0005-0000-0000-0000FD040000}"/>
    <cellStyle name="‡_PB TW 2002 Divre V.xls Chart 3" xfId="1281" xr:uid="{00000000-0005-0000-0000-0000FE040000}"/>
    <cellStyle name="‡_PB TW 2002 Divre V.xls Chart 4" xfId="1282" xr:uid="{00000000-0005-0000-0000-0000FF040000}"/>
    <cellStyle name="‡_PENGAWASAN PPM-MARET2001" xfId="1283" xr:uid="{00000000-0005-0000-0000-000000050000}"/>
    <cellStyle name="‡_PENGAWASAN PPM-MARET2001_april_01" xfId="1284" xr:uid="{00000000-0005-0000-0000-000001050000}"/>
    <cellStyle name="‡_PLDT" xfId="1285" xr:uid="{00000000-0005-0000-0000-000002050000}"/>
    <cellStyle name="‡_real_inves_06_2001_web" xfId="1286" xr:uid="{00000000-0005-0000-0000-000003050000}"/>
    <cellStyle name="‡_REKAP  JARKAB  2001" xfId="1287" xr:uid="{00000000-0005-0000-0000-000004050000}"/>
    <cellStyle name="‡_REKAP  JT  CAMAR  TH. 2001 BARU" xfId="1288" xr:uid="{00000000-0005-0000-0000-000005050000}"/>
    <cellStyle name="‡_Rekap BoQ Capex MSOAN NAD Thn 2006" xfId="1289" xr:uid="{00000000-0005-0000-0000-000006050000}"/>
    <cellStyle name="‡_Rekap Invest" xfId="1290" xr:uid="{00000000-0005-0000-0000-000007050000}"/>
    <cellStyle name="‡_REKAP SISFO BEBAN-INVEST AKHIR" xfId="1291" xr:uid="{00000000-0005-0000-0000-000008050000}"/>
    <cellStyle name="‡_REKAP SISFO BEBAN-INVEST AKHIR_Book1" xfId="1292" xr:uid="{00000000-0005-0000-0000-000009050000}"/>
    <cellStyle name="‡_REKAP SISFO BEBAN-INVEST AKHIR_PERSETUJUAN JT 2001" xfId="1293" xr:uid="{00000000-0005-0000-0000-00000A050000}"/>
    <cellStyle name="‡_RKAP 2002 FINAL F" xfId="1294" xr:uid="{00000000-0005-0000-0000-00000B050000}"/>
    <cellStyle name="‡_Roll Out POTS Divre V 2001 cab 20% mas" xfId="1295" xr:uid="{00000000-0005-0000-0000-00000C050000}"/>
    <cellStyle name="‡_SAP Ver 0 Revisi2 Sent VALUE.xls Chart 1" xfId="1296" xr:uid="{00000000-0005-0000-0000-00000D050000}"/>
    <cellStyle name="‡_SAP Ver 0 Revisi2 Sent VALUE.xls Chart 1-1" xfId="1297" xr:uid="{00000000-0005-0000-0000-00000E050000}"/>
    <cellStyle name="‡_SAP Ver 0 Revisi2 Sent VALUE.xls Chart 1-2" xfId="1298" xr:uid="{00000000-0005-0000-0000-00000F050000}"/>
    <cellStyle name="‡_SAP Ver 0 Revisi2 Sent VALUE.xls Chart 1-3" xfId="1299" xr:uid="{00000000-0005-0000-0000-000010050000}"/>
    <cellStyle name="‡_SAP Ver 0 Revisi2 Sent VALUE.xls Chart 1-4" xfId="1300" xr:uid="{00000000-0005-0000-0000-000011050000}"/>
    <cellStyle name="‡_SAP Ver 0 Revisi2 Sent VALUE.xls Chart 1-5" xfId="1301" xr:uid="{00000000-0005-0000-0000-000012050000}"/>
    <cellStyle name="‡_Simulasi Produksi Pulsa v16" xfId="1302" xr:uid="{00000000-0005-0000-0000-000013050000}"/>
    <cellStyle name="‡_SPPS_JUL00" xfId="1303" xr:uid="{00000000-0005-0000-0000-000014050000}"/>
    <cellStyle name="‡_STA-DRP" xfId="1304" xr:uid="{00000000-0005-0000-0000-000015050000}"/>
    <cellStyle name="‡_STA-DRP__OKUPANSI JT 'A' 040400" xfId="1305" xr:uid="{00000000-0005-0000-0000-000016050000}"/>
    <cellStyle name="‡_STA-DRP__OKUPANSI JT 'A' 2000 (EDIT)" xfId="1306" xr:uid="{00000000-0005-0000-0000-000017050000}"/>
    <cellStyle name="‡_STA-DRP_9809-gar" xfId="1307" xr:uid="{00000000-0005-0000-0000-000018050000}"/>
    <cellStyle name="‡_STA-DRP_9809-gar_april_01" xfId="1308" xr:uid="{00000000-0005-0000-0000-000019050000}"/>
    <cellStyle name="‡_STA-DRP_9809-gar_real_inves_06_2001_web" xfId="1309" xr:uid="{00000000-0005-0000-0000-00001A050000}"/>
    <cellStyle name="‡_STA-DRP_aki rural" xfId="1310" xr:uid="{00000000-0005-0000-0000-00001B050000}"/>
    <cellStyle name="‡_STA-DRP_april_01" xfId="1311" xr:uid="{00000000-0005-0000-0000-00001C050000}"/>
    <cellStyle name="‡_STA-DRP_BCOPSARokt.xls Chart 5" xfId="1312" xr:uid="{00000000-0005-0000-0000-00001D050000}"/>
    <cellStyle name="‡_STA-DRP_BCOPSARokt.xls Chart 5_april_01" xfId="1313" xr:uid="{00000000-0005-0000-0000-00001E050000}"/>
    <cellStyle name="‡_STA-DRP_BCOPSARokt.xls Chart 5_real_inves_06_2001_web" xfId="1314" xr:uid="{00000000-0005-0000-0000-00001F050000}"/>
    <cellStyle name="‡_STA-DRP_BCOPSARokt.xls Chart 6" xfId="1315" xr:uid="{00000000-0005-0000-0000-000020050000}"/>
    <cellStyle name="‡_STA-DRP_BCOPSARokt.xls Chart 6_april_01" xfId="1316" xr:uid="{00000000-0005-0000-0000-000021050000}"/>
    <cellStyle name="‡_STA-DRP_BCOPSARokt.xls Chart 6_real_inves_06_2001_web" xfId="1317" xr:uid="{00000000-0005-0000-0000-000022050000}"/>
    <cellStyle name="‡_STA-DRP_BCOPSARokt.xls Chart 7" xfId="1318" xr:uid="{00000000-0005-0000-0000-000023050000}"/>
    <cellStyle name="‡_STA-DRP_BCOPSARokt.xls Chart 7_april_01" xfId="1319" xr:uid="{00000000-0005-0000-0000-000024050000}"/>
    <cellStyle name="‡_STA-DRP_BCOPSARokt.xls Chart 7_real_inves_06_2001_web" xfId="1320" xr:uid="{00000000-0005-0000-0000-000025050000}"/>
    <cellStyle name="‡_STA-DRP_BCOPSARokt.xls Chart 8" xfId="1321" xr:uid="{00000000-0005-0000-0000-000026050000}"/>
    <cellStyle name="‡_STA-DRP_BCOPSARokt.xls Chart 8_april_01" xfId="1322" xr:uid="{00000000-0005-0000-0000-000027050000}"/>
    <cellStyle name="‡_STA-DRP_BCOPSARokt.xls Chart 8_real_inves_06_2001_web" xfId="1323" xr:uid="{00000000-0005-0000-0000-000028050000}"/>
    <cellStyle name="‡_STA-DRP_BIAP-ASA" xfId="1324" xr:uid="{00000000-0005-0000-0000-000029050000}"/>
    <cellStyle name="‡_STA-DRP_BIAP-ASA_BOOK1" xfId="1325" xr:uid="{00000000-0005-0000-0000-00002A050000}"/>
    <cellStyle name="‡_STA-DRP_BIAP-ASA_BOOK1_1" xfId="1326" xr:uid="{00000000-0005-0000-0000-00002B050000}"/>
    <cellStyle name="‡_STA-DRP_BIAP-ASA_BOOK1_SPPS0700-MN" xfId="1327" xr:uid="{00000000-0005-0000-0000-00002C050000}"/>
    <cellStyle name="‡_STA-DRP_BIAP-ASA_BOOK1_SPPS0700-MN_HASIL ASSESMENT INVESTASI JT.2001 (1)" xfId="1328" xr:uid="{00000000-0005-0000-0000-00002D050000}"/>
    <cellStyle name="‡_STA-DRP_BIAP-ASA_BOOK1_SPPS0700-MN-new" xfId="1329" xr:uid="{00000000-0005-0000-0000-00002E050000}"/>
    <cellStyle name="‡_STA-DRP_BIAP-ASA_BOOK1_SPPS0700-MN-new_HASIL ASSESMENT INVESTASI JT.2001 (1)" xfId="1330" xr:uid="{00000000-0005-0000-0000-00002F050000}"/>
    <cellStyle name="‡_STA-DRP_BIAP-ASA_form_usulan_rka99" xfId="1331" xr:uid="{00000000-0005-0000-0000-000030050000}"/>
    <cellStyle name="‡_STA-DRP_BIAP-ASA_FORM1-4-5" xfId="1332" xr:uid="{00000000-0005-0000-0000-000031050000}"/>
    <cellStyle name="‡_STA-DRP_BIAP-ASA_LampLUD" xfId="1333" xr:uid="{00000000-0005-0000-0000-000032050000}"/>
    <cellStyle name="‡_STA-DRP_BIAP-ASA_NEGS" xfId="1334" xr:uid="{00000000-0005-0000-0000-000033050000}"/>
    <cellStyle name="‡_STA-DRP_BIAP-ASA_Rekap BoQ Capex MSOAN NAD Thn 2006" xfId="1335" xr:uid="{00000000-0005-0000-0000-000034050000}"/>
    <cellStyle name="‡_STA-DRP_BIAP-ASA_SPPS_JUL00" xfId="1336" xr:uid="{00000000-0005-0000-0000-000035050000}"/>
    <cellStyle name="‡_STA-DRP_BIDANG" xfId="1337" xr:uid="{00000000-0005-0000-0000-000036050000}"/>
    <cellStyle name="‡_STA-DRP_BIDANG_BIAP (2)" xfId="1338" xr:uid="{00000000-0005-0000-0000-000037050000}"/>
    <cellStyle name="‡_STA-DRP_BIDANG_BIAP (2)_pldt" xfId="1339" xr:uid="{00000000-0005-0000-0000-000038050000}"/>
    <cellStyle name="‡_STA-DRP_BIDANG_BIAP (2)_wco99" xfId="1340" xr:uid="{00000000-0005-0000-0000-000039050000}"/>
    <cellStyle name="‡_STA-DRP_BIDANG_BOOK1" xfId="1341" xr:uid="{00000000-0005-0000-0000-00003A050000}"/>
    <cellStyle name="‡_STA-DRP_BIDANG_BOOK1_1" xfId="1342" xr:uid="{00000000-0005-0000-0000-00003B050000}"/>
    <cellStyle name="‡_STA-DRP_BIDANG_BOOK1_SPPS0700-MN" xfId="1343" xr:uid="{00000000-0005-0000-0000-00003C050000}"/>
    <cellStyle name="‡_STA-DRP_BIDANG_BOOK1_SPPS0700-MN_HASIL ASSESMENT INVESTASI JT.2001 (1)" xfId="1344" xr:uid="{00000000-0005-0000-0000-00003D050000}"/>
    <cellStyle name="‡_STA-DRP_BIDANG_BOOK1_SPPS0700-MN-new" xfId="1345" xr:uid="{00000000-0005-0000-0000-00003E050000}"/>
    <cellStyle name="‡_STA-DRP_BIDANG_BOOK1_SPPS0700-MN-new_HASIL ASSESMENT INVESTASI JT.2001 (1)" xfId="1346" xr:uid="{00000000-0005-0000-0000-00003F050000}"/>
    <cellStyle name="‡_STA-DRP_BIDANG_BUL-AREA" xfId="1347" xr:uid="{00000000-0005-0000-0000-000040050000}"/>
    <cellStyle name="‡_STA-DRP_BIDANG_form_usulan_rka99" xfId="1348" xr:uid="{00000000-0005-0000-0000-000041050000}"/>
    <cellStyle name="‡_STA-DRP_BIDANG_FORM1-4-5" xfId="1349" xr:uid="{00000000-0005-0000-0000-000042050000}"/>
    <cellStyle name="‡_STA-DRP_BIDANG_LampLUD" xfId="1350" xr:uid="{00000000-0005-0000-0000-000043050000}"/>
    <cellStyle name="‡_STA-DRP_BIDANG_NEGS" xfId="1351" xr:uid="{00000000-0005-0000-0000-000044050000}"/>
    <cellStyle name="‡_STA-DRP_BIDANG_ORDIVISI" xfId="1352" xr:uid="{00000000-0005-0000-0000-000045050000}"/>
    <cellStyle name="‡_STA-DRP_BIDANG_ORDIVISI_pldt" xfId="1353" xr:uid="{00000000-0005-0000-0000-000046050000}"/>
    <cellStyle name="‡_STA-DRP_BIDANG_ORDIVISI_wco99" xfId="1354" xr:uid="{00000000-0005-0000-0000-000047050000}"/>
    <cellStyle name="‡_STA-DRP_BIDANG_PENAP" xfId="1355" xr:uid="{00000000-0005-0000-0000-000048050000}"/>
    <cellStyle name="‡_STA-DRP_BIDANG_PENAP (2)" xfId="1356" xr:uid="{00000000-0005-0000-0000-000049050000}"/>
    <cellStyle name="‡_STA-DRP_BIDANG_PENAP (2)_pldt" xfId="1357" xr:uid="{00000000-0005-0000-0000-00004A050000}"/>
    <cellStyle name="‡_STA-DRP_BIDANG_PENAP (2)_wco99" xfId="1358" xr:uid="{00000000-0005-0000-0000-00004B050000}"/>
    <cellStyle name="‡_STA-DRP_BIDANG_PENAP (3)" xfId="1359" xr:uid="{00000000-0005-0000-0000-00004C050000}"/>
    <cellStyle name="‡_STA-DRP_BIDANG_PENAP (3)_wco99" xfId="1360" xr:uid="{00000000-0005-0000-0000-00004D050000}"/>
    <cellStyle name="‡_STA-DRP_BIDANG_PENAP_1" xfId="1361" xr:uid="{00000000-0005-0000-0000-00004E050000}"/>
    <cellStyle name="‡_STA-DRP_BIDANG_pldt" xfId="1362" xr:uid="{00000000-0005-0000-0000-00004F050000}"/>
    <cellStyle name="‡_STA-DRP_BIDANG_Rekap BoQ Capex MSOAN NAD Thn 2006" xfId="1363" xr:uid="{00000000-0005-0000-0000-000050050000}"/>
    <cellStyle name="‡_STA-DRP_BIDANG_REKBIDIV" xfId="1364" xr:uid="{00000000-0005-0000-0000-000051050000}"/>
    <cellStyle name="‡_STA-DRP_BIDANG_REKBIDIV_pldt" xfId="1365" xr:uid="{00000000-0005-0000-0000-000052050000}"/>
    <cellStyle name="‡_STA-DRP_BIDANG_REKBIDIV_wco99" xfId="1366" xr:uid="{00000000-0005-0000-0000-000053050000}"/>
    <cellStyle name="‡_STA-DRP_BIDANG_REKPEN" xfId="1367" xr:uid="{00000000-0005-0000-0000-000054050000}"/>
    <cellStyle name="‡_STA-DRP_BIDANG_REKPENDIV" xfId="1368" xr:uid="{00000000-0005-0000-0000-000055050000}"/>
    <cellStyle name="‡_STA-DRP_BIDANG_REKPENDIV_pldt" xfId="1369" xr:uid="{00000000-0005-0000-0000-000056050000}"/>
    <cellStyle name="‡_STA-DRP_BIDANG_REKPENDIV_wco99" xfId="1370" xr:uid="{00000000-0005-0000-0000-000057050000}"/>
    <cellStyle name="‡_STA-DRP_BIDANG_SPPS_JUL00" xfId="1371" xr:uid="{00000000-0005-0000-0000-000058050000}"/>
    <cellStyle name="‡_STA-DRP_BOOK1" xfId="1372" xr:uid="{00000000-0005-0000-0000-000059050000}"/>
    <cellStyle name="‡_STA-DRP_BOOK1_1" xfId="1373" xr:uid="{00000000-0005-0000-0000-00005A050000}"/>
    <cellStyle name="‡_STA-DRP_BOOK1_1_ANGGARAN  RKAP  JR TH. 2001" xfId="1374" xr:uid="{00000000-0005-0000-0000-00005B050000}"/>
    <cellStyle name="‡_STA-DRP_BOOK1_1_HASIL ASSESMENT INVESTASI JT.2001 (1)" xfId="1375" xr:uid="{00000000-0005-0000-0000-00005C050000}"/>
    <cellStyle name="‡_STA-DRP_BOOK1_2" xfId="1376" xr:uid="{00000000-0005-0000-0000-00005D050000}"/>
    <cellStyle name="‡_STA-DRP_BOOK1_2_ANGGARAN  RKAP  JR TH. 2001" xfId="1377" xr:uid="{00000000-0005-0000-0000-00005E050000}"/>
    <cellStyle name="‡_STA-DRP_BOOK1_2_april_01" xfId="1378" xr:uid="{00000000-0005-0000-0000-00005F050000}"/>
    <cellStyle name="‡_STA-DRP_BOOK1_2_HASIL ASSESMENT INVESTASI JT.2001 (1)" xfId="1379" xr:uid="{00000000-0005-0000-0000-000060050000}"/>
    <cellStyle name="‡_STA-DRP_BOOK1_3" xfId="1380" xr:uid="{00000000-0005-0000-0000-000061050000}"/>
    <cellStyle name="‡_STA-DRP_BOOK1_ANGGARAN  RKAP  JR TH. 2001" xfId="1381" xr:uid="{00000000-0005-0000-0000-000062050000}"/>
    <cellStyle name="‡_STA-DRP_BOOK1_BOOK1" xfId="1382" xr:uid="{00000000-0005-0000-0000-000063050000}"/>
    <cellStyle name="‡_STA-DRP_BOOK1_Distribusi Tgt Opr 2003 Rev Flexy - Pembangunan0" xfId="1383" xr:uid="{00000000-0005-0000-0000-000064050000}"/>
    <cellStyle name="‡_STA-DRP_BOOK1_Form TS_2004_1_Cps" xfId="1384" xr:uid="{00000000-0005-0000-0000-000065050000}"/>
    <cellStyle name="‡_STA-DRP_BOOK1_Form TS_2004_1_LampND" xfId="1385" xr:uid="{00000000-0005-0000-0000-000066050000}"/>
    <cellStyle name="‡_STA-DRP_BOOK1_HASIL ASSESMENT INVESTASI JT.2001 (1)" xfId="1386" xr:uid="{00000000-0005-0000-0000-000067050000}"/>
    <cellStyle name="‡_STA-DRP_BOOK1_LUD" xfId="1387" xr:uid="{00000000-0005-0000-0000-000068050000}"/>
    <cellStyle name="‡_STA-DRP_BOOK1_OKPI" xfId="1388" xr:uid="{00000000-0005-0000-0000-000069050000}"/>
    <cellStyle name="‡_STA-DRP_BOOK1_PB TW 2002 Divre V.xls Chart 1" xfId="1389" xr:uid="{00000000-0005-0000-0000-00006A050000}"/>
    <cellStyle name="‡_STA-DRP_BOOK1_PB TW 2002 Divre V.xls Chart 2" xfId="1390" xr:uid="{00000000-0005-0000-0000-00006B050000}"/>
    <cellStyle name="‡_STA-DRP_BOOK1_PB TW 2002 Divre V.xls Chart 3" xfId="1391" xr:uid="{00000000-0005-0000-0000-00006C050000}"/>
    <cellStyle name="‡_STA-DRP_BOOK1_PB TW 2002 Divre V.xls Chart 4" xfId="1392" xr:uid="{00000000-0005-0000-0000-00006D050000}"/>
    <cellStyle name="‡_STA-DRP_BOOK1_PLDT" xfId="1393" xr:uid="{00000000-0005-0000-0000-00006E050000}"/>
    <cellStyle name="‡_STA-DRP_BOOK1_real_inves_06_2001_web" xfId="1394" xr:uid="{00000000-0005-0000-0000-00006F050000}"/>
    <cellStyle name="‡_STA-DRP_BOOK1_RKAP-2001_divre2" xfId="1395" xr:uid="{00000000-0005-0000-0000-000070050000}"/>
    <cellStyle name="‡_STA-DRP_BOOK1_Roll Out POTS Divre V 2001 cab 20% mas" xfId="1396" xr:uid="{00000000-0005-0000-0000-000071050000}"/>
    <cellStyle name="‡_STA-DRP_BOOK1_Roll Out POTS Divre V 2001 cab 20% mas_april_01" xfId="1397" xr:uid="{00000000-0005-0000-0000-000072050000}"/>
    <cellStyle name="‡_STA-DRP_BOOK1_SAP Ver 0 Revisi2 Sent VALUE.xls Chart 1" xfId="1398" xr:uid="{00000000-0005-0000-0000-000073050000}"/>
    <cellStyle name="‡_STA-DRP_BOOK1_SAP Ver 0 Revisi2 Sent VALUE.xls Chart 1-1" xfId="1399" xr:uid="{00000000-0005-0000-0000-000074050000}"/>
    <cellStyle name="‡_STA-DRP_BOOK1_SAP Ver 0 Revisi2 Sent VALUE.xls Chart 1-2" xfId="1400" xr:uid="{00000000-0005-0000-0000-000075050000}"/>
    <cellStyle name="‡_STA-DRP_BOOK1_SAP Ver 0 Revisi2 Sent VALUE.xls Chart 1-3" xfId="1401" xr:uid="{00000000-0005-0000-0000-000076050000}"/>
    <cellStyle name="‡_STA-DRP_BOOK1_SAP Ver 0 Revisi2 Sent VALUE.xls Chart 1-4" xfId="1402" xr:uid="{00000000-0005-0000-0000-000077050000}"/>
    <cellStyle name="‡_STA-DRP_BOOK1_SAP Ver 0 Revisi2 Sent VALUE.xls Chart 1-5" xfId="1403" xr:uid="{00000000-0005-0000-0000-000078050000}"/>
    <cellStyle name="‡_STA-DRP_BOOK1_Simulasi Produksi Pulsa v16" xfId="1404" xr:uid="{00000000-0005-0000-0000-000079050000}"/>
    <cellStyle name="‡_STA-DRP_BOOK1_SPPS_JUL00" xfId="1405" xr:uid="{00000000-0005-0000-0000-00007A050000}"/>
    <cellStyle name="‡_STA-DRP_BOOK1_SPPS0700-MN" xfId="1406" xr:uid="{00000000-0005-0000-0000-00007B050000}"/>
    <cellStyle name="‡_STA-DRP_BOOK1_SPPS0700-MN-new" xfId="1407" xr:uid="{00000000-0005-0000-0000-00007C050000}"/>
    <cellStyle name="‡_STA-DRP_BOOK1_Target LIS&amp;L252 2002 Corporate STTF 6040" xfId="1408" xr:uid="{00000000-0005-0000-0000-00007D050000}"/>
    <cellStyle name="‡_STA-DRP_BOOK1_Target Pemasaran 2002 Per STO.xls Chart 1" xfId="1409" xr:uid="{00000000-0005-0000-0000-00007E050000}"/>
    <cellStyle name="‡_STA-DRP_BOOK1_Target Pemasaran 2002 Per STO.xls Chart 1-1" xfId="1410" xr:uid="{00000000-0005-0000-0000-00007F050000}"/>
    <cellStyle name="‡_STA-DRP_BOOK1_Target Pemasaran 2002 Per STO.xls Chart 1-2" xfId="1411" xr:uid="{00000000-0005-0000-0000-000080050000}"/>
    <cellStyle name="‡_STA-DRP_BOOK1_Target Pemasaran 2002 Per STO.xls Chart 1-3" xfId="1412" xr:uid="{00000000-0005-0000-0000-000081050000}"/>
    <cellStyle name="‡_STA-DRP_BOOK1_Target Pemasaran 2002 Per STO.xls Chart 1-4" xfId="1413" xr:uid="{00000000-0005-0000-0000-000082050000}"/>
    <cellStyle name="‡_STA-DRP_BOOK1_Target Pemasaran 2002 Per STO.xls Chart 1-5" xfId="1414" xr:uid="{00000000-0005-0000-0000-000083050000}"/>
    <cellStyle name="‡_STA-DRP_BOOK1_Target_D04_final" xfId="1415" xr:uid="{00000000-0005-0000-0000-000084050000}"/>
    <cellStyle name="‡_STA-DRP_BOOK1_TS D07 Retarget-selesai 13 APRIL 2004" xfId="1416" xr:uid="{00000000-0005-0000-0000-000085050000}"/>
    <cellStyle name="‡_STA-DRP_BOOK1_TS_2004_isiver_1" xfId="1417" xr:uid="{00000000-0005-0000-0000-000086050000}"/>
    <cellStyle name="‡_STA-DRP_BOOK1_TS-BISNIS-D4-2003" xfId="1418" xr:uid="{00000000-0005-0000-0000-000087050000}"/>
    <cellStyle name="‡_STA-DRP_BOOK1_TS-OKPI-DIVRE 2-2004_kes_final" xfId="1419" xr:uid="{00000000-0005-0000-0000-000088050000}"/>
    <cellStyle name="‡_STA-DRP_BOOK1_TS-OKPI-DIVRE-2003" xfId="1420" xr:uid="{00000000-0005-0000-0000-000089050000}"/>
    <cellStyle name="‡_STA-DRP_BOOK1_USUL INVES 2002 DG REVENUE" xfId="1421" xr:uid="{00000000-0005-0000-0000-00008A050000}"/>
    <cellStyle name="‡_STA-DRP_BOOK1_Usulan_Investasi_2002_divre5" xfId="1422" xr:uid="{00000000-0005-0000-0000-00008B050000}"/>
    <cellStyle name="‡_STA-DRP_DAFTAR REKAP JT USULAN BARU" xfId="1423" xr:uid="{00000000-0005-0000-0000-00008C050000}"/>
    <cellStyle name="‡_STA-DRP_Distribusi Tgt Opr 2003 Rev Flexy - Pembangunan0" xfId="1424" xr:uid="{00000000-0005-0000-0000-00008D050000}"/>
    <cellStyle name="‡_STA-DRP_EIT 10 AGT 2000" xfId="1425" xr:uid="{00000000-0005-0000-0000-00008E050000}"/>
    <cellStyle name="‡_STA-DRP_ESTIM4" xfId="1426" xr:uid="{00000000-0005-0000-0000-00008F050000}"/>
    <cellStyle name="‡_STA-DRP_ESTIM4_Rekap BoQ Capex MSOAN NAD Thn 2006" xfId="1427" xr:uid="{00000000-0005-0000-0000-000090050000}"/>
    <cellStyle name="‡_STA-DRP_ESTIMASI_RKA_2002_Rev ws" xfId="1428" xr:uid="{00000000-0005-0000-0000-000091050000}"/>
    <cellStyle name="‡_STA-DRP_Fitur KLIP_2001" xfId="1429" xr:uid="{00000000-0005-0000-0000-000092050000}"/>
    <cellStyle name="‡_STA-DRP_Form TS_2004_1_Cps" xfId="1430" xr:uid="{00000000-0005-0000-0000-000093050000}"/>
    <cellStyle name="‡_STA-DRP_Form TS_2004_1_LampND" xfId="1431" xr:uid="{00000000-0005-0000-0000-000094050000}"/>
    <cellStyle name="‡_STA-DRP_form_usulan_rka99" xfId="1432" xr:uid="{00000000-0005-0000-0000-000095050000}"/>
    <cellStyle name="‡_STA-DRP_form_usulan_rka99_Estimasi Des 2000" xfId="1433" xr:uid="{00000000-0005-0000-0000-000096050000}"/>
    <cellStyle name="‡_STA-DRP_form_usulan_rka99_Estimasi Des 2000_HASIL ASSESMENT INVESTASI JT.2001 (1)" xfId="1434" xr:uid="{00000000-0005-0000-0000-000097050000}"/>
    <cellStyle name="‡_STA-DRP_form_usulan_rka99_HASIL ASSESMENT INVESTASI JT.2001 (1)" xfId="1435" xr:uid="{00000000-0005-0000-0000-000098050000}"/>
    <cellStyle name="‡_STA-DRP_form_usulan_rka99_SPPS0700-MN" xfId="1436" xr:uid="{00000000-0005-0000-0000-000099050000}"/>
    <cellStyle name="‡_STA-DRP_form_usulan_rka99_SPPS0700-MN_HASIL ASSESMENT INVESTASI JT.2001 (1)" xfId="1437" xr:uid="{00000000-0005-0000-0000-00009A050000}"/>
    <cellStyle name="‡_STA-DRP_FormUji (1)" xfId="1438" xr:uid="{00000000-0005-0000-0000-00009B050000}"/>
    <cellStyle name="‡_STA-DRP_Juni-Minggu-4_real_phisik_06_pemb" xfId="1439" xr:uid="{00000000-0005-0000-0000-00009C050000}"/>
    <cellStyle name="‡_STA-DRP_JUST_SENTRAL_15M" xfId="1440" xr:uid="{00000000-0005-0000-0000-00009D050000}"/>
    <cellStyle name="‡_STA-DRP_JUST_SENTRAL_15M_april_01" xfId="1441" xr:uid="{00000000-0005-0000-0000-00009E050000}"/>
    <cellStyle name="‡_STA-DRP_KEBUT LIST PROJECT 2001" xfId="1442" xr:uid="{00000000-0005-0000-0000-00009F050000}"/>
    <cellStyle name="‡_STA-DRP_KEBUT LIST PROJECT 2001 JR" xfId="1443" xr:uid="{00000000-0005-0000-0000-0000A0050000}"/>
    <cellStyle name="‡_STA-DRP_LampLUD" xfId="1444" xr:uid="{00000000-0005-0000-0000-0000A1050000}"/>
    <cellStyle name="‡_STA-DRP_laroux" xfId="1445" xr:uid="{00000000-0005-0000-0000-0000A2050000}"/>
    <cellStyle name="‡_STA-DRP_laroux_ANGGARAN  RKAP  JR TH. 2001" xfId="1446" xr:uid="{00000000-0005-0000-0000-0000A3050000}"/>
    <cellStyle name="‡_STA-DRP_laroux_BOOK1" xfId="1447" xr:uid="{00000000-0005-0000-0000-0000A4050000}"/>
    <cellStyle name="‡_STA-DRP_laroux_BOOK1_HASIL ASSESMENT INVESTASI JT.2001 (1)" xfId="1448" xr:uid="{00000000-0005-0000-0000-0000A5050000}"/>
    <cellStyle name="‡_STA-DRP_laroux_Estimasi Des 2000" xfId="1449" xr:uid="{00000000-0005-0000-0000-0000A6050000}"/>
    <cellStyle name="‡_STA-DRP_laroux_HASIL ASSESMENT INVESTASI JT.2001 (1)" xfId="1450" xr:uid="{00000000-0005-0000-0000-0000A7050000}"/>
    <cellStyle name="‡_STA-DRP_laroux_NEGS" xfId="1451" xr:uid="{00000000-0005-0000-0000-0000A8050000}"/>
    <cellStyle name="‡_STA-DRP_laroux_NEGS_ANGGARAN  RKAP  JR TH. 2001" xfId="1452" xr:uid="{00000000-0005-0000-0000-0000A9050000}"/>
    <cellStyle name="‡_STA-DRP_laroux_NEGS_Estimasi Des 2000" xfId="1453" xr:uid="{00000000-0005-0000-0000-0000AA050000}"/>
    <cellStyle name="‡_STA-DRP_laroux_NEGS_HASIL ASSESMENT INVESTASI JT.2001 (1)" xfId="1454" xr:uid="{00000000-0005-0000-0000-0000AB050000}"/>
    <cellStyle name="‡_STA-DRP_laroux_NEGS_Pend2001-rata2-bedahari-2000-sar21814-pend-323-fix-new" xfId="1455" xr:uid="{00000000-0005-0000-0000-0000AC050000}"/>
    <cellStyle name="‡_STA-DRP_laroux_NEGS_Rate 2000" xfId="1456" xr:uid="{00000000-0005-0000-0000-0000AD050000}"/>
    <cellStyle name="‡_STA-DRP_laroux_NEGS_Rekap BoQ Capex MSOAN NAD Thn 2006" xfId="1457" xr:uid="{00000000-0005-0000-0000-0000AE050000}"/>
    <cellStyle name="‡_STA-DRP_laroux_NEGS_SAP Ver 0 Revisi2 Sent VALUE.xls Chart 1" xfId="1458" xr:uid="{00000000-0005-0000-0000-0000AF050000}"/>
    <cellStyle name="‡_STA-DRP_laroux_NEGS_SAP Ver 0 Revisi2 Sent VALUE.xls Chart 1-1" xfId="1459" xr:uid="{00000000-0005-0000-0000-0000B0050000}"/>
    <cellStyle name="‡_STA-DRP_laroux_NEGS_SAP Ver 0 Revisi2 Sent VALUE.xls Chart 1-2" xfId="1460" xr:uid="{00000000-0005-0000-0000-0000B1050000}"/>
    <cellStyle name="‡_STA-DRP_laroux_NEGS_SAP Ver 0 Revisi2 Sent VALUE.xls Chart 1-3" xfId="1461" xr:uid="{00000000-0005-0000-0000-0000B2050000}"/>
    <cellStyle name="‡_STA-DRP_laroux_NEGS_SAP Ver 0 Revisi2 Sent VALUE.xls Chart 1-4" xfId="1462" xr:uid="{00000000-0005-0000-0000-0000B3050000}"/>
    <cellStyle name="‡_STA-DRP_laroux_NEGS_SAP Ver 0 Revisi2 Sent VALUE.xls Chart 1-5" xfId="1463" xr:uid="{00000000-0005-0000-0000-0000B4050000}"/>
    <cellStyle name="‡_STA-DRP_laroux_NEGS_Simulasi Produksi Pulsa v16" xfId="1464" xr:uid="{00000000-0005-0000-0000-0000B5050000}"/>
    <cellStyle name="‡_STA-DRP_laroux_NEGS_simulasi rate-new" xfId="1465" xr:uid="{00000000-0005-0000-0000-0000B6050000}"/>
    <cellStyle name="‡_STA-DRP_laroux_NEGS_SPPS0700-MN" xfId="1466" xr:uid="{00000000-0005-0000-0000-0000B7050000}"/>
    <cellStyle name="‡_STA-DRP_laroux_NEGS_SPPS0700-MN_HASIL ASSESMENT INVESTASI JT.2001 (1)" xfId="1467" xr:uid="{00000000-0005-0000-0000-0000B8050000}"/>
    <cellStyle name="‡_STA-DRP_laroux_NEGS_SPPS0700-MN-new" xfId="1468" xr:uid="{00000000-0005-0000-0000-0000B9050000}"/>
    <cellStyle name="‡_STA-DRP_laroux_NEGS_SPPS0700-MN-new_HASIL ASSESMENT INVESTASI JT.2001 (1)" xfId="1469" xr:uid="{00000000-0005-0000-0000-0000BA050000}"/>
    <cellStyle name="‡_STA-DRP_laroux_NEGS_Target LIS&amp;L252 2002 Corporate STTF 6040" xfId="1470" xr:uid="{00000000-0005-0000-0000-0000BB050000}"/>
    <cellStyle name="‡_STA-DRP_laroux_NEGS_Target Pemasaran 2002 Per STO.xls Chart 1" xfId="1471" xr:uid="{00000000-0005-0000-0000-0000BC050000}"/>
    <cellStyle name="‡_STA-DRP_laroux_NEGS_Target Pemasaran 2002 Per STO.xls Chart 1-1" xfId="1472" xr:uid="{00000000-0005-0000-0000-0000BD050000}"/>
    <cellStyle name="‡_STA-DRP_laroux_NEGS_Target Pemasaran 2002 Per STO.xls Chart 1-2" xfId="1473" xr:uid="{00000000-0005-0000-0000-0000BE050000}"/>
    <cellStyle name="‡_STA-DRP_laroux_NEGS_Target Pemasaran 2002 Per STO.xls Chart 1-3" xfId="1474" xr:uid="{00000000-0005-0000-0000-0000BF050000}"/>
    <cellStyle name="‡_STA-DRP_laroux_NEGS_Target Pemasaran 2002 Per STO.xls Chart 1-4" xfId="1475" xr:uid="{00000000-0005-0000-0000-0000C0050000}"/>
    <cellStyle name="‡_STA-DRP_laroux_NEGS_Target Pemasaran 2002 Per STO.xls Chart 1-5" xfId="1476" xr:uid="{00000000-0005-0000-0000-0000C1050000}"/>
    <cellStyle name="‡_STA-DRP_laroux_Pend2001-rata2-bedahari-2000-sar21814-pend-323-fix-new" xfId="1477" xr:uid="{00000000-0005-0000-0000-0000C2050000}"/>
    <cellStyle name="‡_STA-DRP_laroux_PERSONAL" xfId="1478" xr:uid="{00000000-0005-0000-0000-0000C3050000}"/>
    <cellStyle name="‡_STA-DRP_laroux_PERSONAL_BOOK1" xfId="1479" xr:uid="{00000000-0005-0000-0000-0000C4050000}"/>
    <cellStyle name="‡_STA-DRP_laroux_PERSONAL_BOOK1_HASIL ASSESMENT INVESTASI JT.2001 (1)" xfId="1480" xr:uid="{00000000-0005-0000-0000-0000C5050000}"/>
    <cellStyle name="‡_STA-DRP_laroux_pldt" xfId="1481" xr:uid="{00000000-0005-0000-0000-0000C6050000}"/>
    <cellStyle name="‡_STA-DRP_laroux_Rate 2000" xfId="1482" xr:uid="{00000000-0005-0000-0000-0000C7050000}"/>
    <cellStyle name="‡_STA-DRP_laroux_Rekap BoQ Capex MSOAN NAD Thn 2006" xfId="1483" xr:uid="{00000000-0005-0000-0000-0000C8050000}"/>
    <cellStyle name="‡_STA-DRP_laroux_Roll Out POTS Divre V 2001 cab 20% mas" xfId="1484" xr:uid="{00000000-0005-0000-0000-0000C9050000}"/>
    <cellStyle name="‡_STA-DRP_laroux_SAP Ver 0 Revisi2 Sent VALUE.xls Chart 1" xfId="1485" xr:uid="{00000000-0005-0000-0000-0000CA050000}"/>
    <cellStyle name="‡_STA-DRP_laroux_SAP Ver 0 Revisi2 Sent VALUE.xls Chart 1-1" xfId="1486" xr:uid="{00000000-0005-0000-0000-0000CB050000}"/>
    <cellStyle name="‡_STA-DRP_laroux_SAP Ver 0 Revisi2 Sent VALUE.xls Chart 1-2" xfId="1487" xr:uid="{00000000-0005-0000-0000-0000CC050000}"/>
    <cellStyle name="‡_STA-DRP_laroux_SAP Ver 0 Revisi2 Sent VALUE.xls Chart 1-3" xfId="1488" xr:uid="{00000000-0005-0000-0000-0000CD050000}"/>
    <cellStyle name="‡_STA-DRP_laroux_SAP Ver 0 Revisi2 Sent VALUE.xls Chart 1-4" xfId="1489" xr:uid="{00000000-0005-0000-0000-0000CE050000}"/>
    <cellStyle name="‡_STA-DRP_laroux_SAP Ver 0 Revisi2 Sent VALUE.xls Chart 1-5" xfId="1490" xr:uid="{00000000-0005-0000-0000-0000CF050000}"/>
    <cellStyle name="‡_STA-DRP_laroux_Simulasi Produksi Pulsa v16" xfId="1491" xr:uid="{00000000-0005-0000-0000-0000D0050000}"/>
    <cellStyle name="‡_STA-DRP_laroux_simulasi rate-new" xfId="1492" xr:uid="{00000000-0005-0000-0000-0000D1050000}"/>
    <cellStyle name="‡_STA-DRP_laroux_SPPS0700-MN" xfId="1493" xr:uid="{00000000-0005-0000-0000-0000D2050000}"/>
    <cellStyle name="‡_STA-DRP_laroux_SPPS0700-MN_HASIL ASSESMENT INVESTASI JT.2001 (1)" xfId="1494" xr:uid="{00000000-0005-0000-0000-0000D3050000}"/>
    <cellStyle name="‡_STA-DRP_laroux_SPPS0700-MN-new" xfId="1495" xr:uid="{00000000-0005-0000-0000-0000D4050000}"/>
    <cellStyle name="‡_STA-DRP_laroux_SPPS0700-MN-new_HASIL ASSESMENT INVESTASI JT.2001 (1)" xfId="1496" xr:uid="{00000000-0005-0000-0000-0000D5050000}"/>
    <cellStyle name="‡_STA-DRP_laroux_Target LIS&amp;L252 2002 Corporate STTF 6040" xfId="1497" xr:uid="{00000000-0005-0000-0000-0000D6050000}"/>
    <cellStyle name="‡_STA-DRP_laroux_Target Pemasaran 2002 Per STO.xls Chart 1" xfId="1498" xr:uid="{00000000-0005-0000-0000-0000D7050000}"/>
    <cellStyle name="‡_STA-DRP_laroux_Target Pemasaran 2002 Per STO.xls Chart 1-1" xfId="1499" xr:uid="{00000000-0005-0000-0000-0000D8050000}"/>
    <cellStyle name="‡_STA-DRP_laroux_Target Pemasaran 2002 Per STO.xls Chart 1-2" xfId="1500" xr:uid="{00000000-0005-0000-0000-0000D9050000}"/>
    <cellStyle name="‡_STA-DRP_laroux_Target Pemasaran 2002 Per STO.xls Chart 1-3" xfId="1501" xr:uid="{00000000-0005-0000-0000-0000DA050000}"/>
    <cellStyle name="‡_STA-DRP_laroux_Target Pemasaran 2002 Per STO.xls Chart 1-4" xfId="1502" xr:uid="{00000000-0005-0000-0000-0000DB050000}"/>
    <cellStyle name="‡_STA-DRP_laroux_Target Pemasaran 2002 Per STO.xls Chart 1-5" xfId="1503" xr:uid="{00000000-0005-0000-0000-0000DC050000}"/>
    <cellStyle name="‡_STA-DRP_LUD" xfId="1504" xr:uid="{00000000-0005-0000-0000-0000DD050000}"/>
    <cellStyle name="‡_STA-DRP_M BNI PLUS97" xfId="1505" xr:uid="{00000000-0005-0000-0000-0000DE050000}"/>
    <cellStyle name="‡_STA-DRP_M BNI PLUS97_ANGGARAN  RKAP  JR TH. 2001" xfId="1506" xr:uid="{00000000-0005-0000-0000-0000DF050000}"/>
    <cellStyle name="‡_STA-DRP_M BNI PLUS97_BOOK1" xfId="1507" xr:uid="{00000000-0005-0000-0000-0000E0050000}"/>
    <cellStyle name="‡_STA-DRP_M BNI PLUS97_BOOK1_HASIL ASSESMENT INVESTASI JT.2001 (1)" xfId="1508" xr:uid="{00000000-0005-0000-0000-0000E1050000}"/>
    <cellStyle name="‡_STA-DRP_M BNI PLUS97_Estimasi Des 2000" xfId="1509" xr:uid="{00000000-0005-0000-0000-0000E2050000}"/>
    <cellStyle name="‡_STA-DRP_M BNI PLUS97_HASIL ASSESMENT INVESTASI JT.2001 (1)" xfId="1510" xr:uid="{00000000-0005-0000-0000-0000E3050000}"/>
    <cellStyle name="‡_STA-DRP_M BNI PLUS97_NEGS" xfId="1511" xr:uid="{00000000-0005-0000-0000-0000E4050000}"/>
    <cellStyle name="‡_STA-DRP_M BNI PLUS97_NEGS_ANGGARAN  RKAP  JR TH. 2001" xfId="1512" xr:uid="{00000000-0005-0000-0000-0000E5050000}"/>
    <cellStyle name="‡_STA-DRP_M BNI PLUS97_NEGS_Estimasi Des 2000" xfId="1513" xr:uid="{00000000-0005-0000-0000-0000E6050000}"/>
    <cellStyle name="‡_STA-DRP_M BNI PLUS97_NEGS_HASIL ASSESMENT INVESTASI JT.2001 (1)" xfId="1514" xr:uid="{00000000-0005-0000-0000-0000E7050000}"/>
    <cellStyle name="‡_STA-DRP_M BNI PLUS97_NEGS_Pend2001-rata2-bedahari-2000-sar21814-pend-323-fix-new" xfId="1515" xr:uid="{00000000-0005-0000-0000-0000E8050000}"/>
    <cellStyle name="‡_STA-DRP_M BNI PLUS97_NEGS_Rate 2000" xfId="1516" xr:uid="{00000000-0005-0000-0000-0000E9050000}"/>
    <cellStyle name="‡_STA-DRP_M BNI PLUS97_NEGS_Rekap BoQ Capex MSOAN NAD Thn 2006" xfId="1517" xr:uid="{00000000-0005-0000-0000-0000EA050000}"/>
    <cellStyle name="‡_STA-DRP_M BNI PLUS97_NEGS_SAP Ver 0 Revisi2 Sent VALUE.xls Chart 1" xfId="1518" xr:uid="{00000000-0005-0000-0000-0000EB050000}"/>
    <cellStyle name="‡_STA-DRP_M BNI PLUS97_NEGS_SAP Ver 0 Revisi2 Sent VALUE.xls Chart 1-1" xfId="1519" xr:uid="{00000000-0005-0000-0000-0000EC050000}"/>
    <cellStyle name="‡_STA-DRP_M BNI PLUS97_NEGS_SAP Ver 0 Revisi2 Sent VALUE.xls Chart 1-2" xfId="1520" xr:uid="{00000000-0005-0000-0000-0000ED050000}"/>
    <cellStyle name="‡_STA-DRP_M BNI PLUS97_NEGS_SAP Ver 0 Revisi2 Sent VALUE.xls Chart 1-3" xfId="1521" xr:uid="{00000000-0005-0000-0000-0000EE050000}"/>
    <cellStyle name="‡_STA-DRP_M BNI PLUS97_NEGS_SAP Ver 0 Revisi2 Sent VALUE.xls Chart 1-4" xfId="1522" xr:uid="{00000000-0005-0000-0000-0000EF050000}"/>
    <cellStyle name="‡_STA-DRP_M BNI PLUS97_NEGS_SAP Ver 0 Revisi2 Sent VALUE.xls Chart 1-5" xfId="1523" xr:uid="{00000000-0005-0000-0000-0000F0050000}"/>
    <cellStyle name="‡_STA-DRP_M BNI PLUS97_NEGS_Simulasi Produksi Pulsa v16" xfId="1524" xr:uid="{00000000-0005-0000-0000-0000F1050000}"/>
    <cellStyle name="‡_STA-DRP_M BNI PLUS97_NEGS_simulasi rate-new" xfId="1525" xr:uid="{00000000-0005-0000-0000-0000F2050000}"/>
    <cellStyle name="‡_STA-DRP_M BNI PLUS97_NEGS_SPPS0700-MN" xfId="1526" xr:uid="{00000000-0005-0000-0000-0000F3050000}"/>
    <cellStyle name="‡_STA-DRP_M BNI PLUS97_NEGS_SPPS0700-MN_HASIL ASSESMENT INVESTASI JT.2001 (1)" xfId="1527" xr:uid="{00000000-0005-0000-0000-0000F4050000}"/>
    <cellStyle name="‡_STA-DRP_M BNI PLUS97_NEGS_SPPS0700-MN-new" xfId="1528" xr:uid="{00000000-0005-0000-0000-0000F5050000}"/>
    <cellStyle name="‡_STA-DRP_M BNI PLUS97_NEGS_SPPS0700-MN-new_HASIL ASSESMENT INVESTASI JT.2001 (1)" xfId="1529" xr:uid="{00000000-0005-0000-0000-0000F6050000}"/>
    <cellStyle name="‡_STA-DRP_M BNI PLUS97_NEGS_Target LIS&amp;L252 2002 Corporate STTF 6040" xfId="1530" xr:uid="{00000000-0005-0000-0000-0000F7050000}"/>
    <cellStyle name="‡_STA-DRP_M BNI PLUS97_NEGS_Target Pemasaran 2002 Per STO.xls Chart 1" xfId="1531" xr:uid="{00000000-0005-0000-0000-0000F8050000}"/>
    <cellStyle name="‡_STA-DRP_M BNI PLUS97_NEGS_Target Pemasaran 2002 Per STO.xls Chart 1-1" xfId="1532" xr:uid="{00000000-0005-0000-0000-0000F9050000}"/>
    <cellStyle name="‡_STA-DRP_M BNI PLUS97_NEGS_Target Pemasaran 2002 Per STO.xls Chart 1-2" xfId="1533" xr:uid="{00000000-0005-0000-0000-0000FA050000}"/>
    <cellStyle name="‡_STA-DRP_M BNI PLUS97_NEGS_Target Pemasaran 2002 Per STO.xls Chart 1-3" xfId="1534" xr:uid="{00000000-0005-0000-0000-0000FB050000}"/>
    <cellStyle name="‡_STA-DRP_M BNI PLUS97_NEGS_Target Pemasaran 2002 Per STO.xls Chart 1-4" xfId="1535" xr:uid="{00000000-0005-0000-0000-0000FC050000}"/>
    <cellStyle name="‡_STA-DRP_M BNI PLUS97_NEGS_Target Pemasaran 2002 Per STO.xls Chart 1-5" xfId="1536" xr:uid="{00000000-0005-0000-0000-0000FD050000}"/>
    <cellStyle name="‡_STA-DRP_M BNI PLUS97_Pend2001-rata2-bedahari-2000-sar21814-pend-323-fix-new" xfId="1537" xr:uid="{00000000-0005-0000-0000-0000FE050000}"/>
    <cellStyle name="‡_STA-DRP_M BNI PLUS97_PERSONAL" xfId="1538" xr:uid="{00000000-0005-0000-0000-0000FF050000}"/>
    <cellStyle name="‡_STA-DRP_M BNI PLUS97_PERSONAL_BOOK1" xfId="1539" xr:uid="{00000000-0005-0000-0000-000000060000}"/>
    <cellStyle name="‡_STA-DRP_M BNI PLUS97_PERSONAL_BOOK1_HASIL ASSESMENT INVESTASI JT.2001 (1)" xfId="1540" xr:uid="{00000000-0005-0000-0000-000001060000}"/>
    <cellStyle name="‡_STA-DRP_M BNI PLUS97_Rate 2000" xfId="1541" xr:uid="{00000000-0005-0000-0000-000002060000}"/>
    <cellStyle name="‡_STA-DRP_M BNI PLUS97_Rekap BoQ Capex MSOAN NAD Thn 2006" xfId="1542" xr:uid="{00000000-0005-0000-0000-000003060000}"/>
    <cellStyle name="‡_STA-DRP_M BNI PLUS97_Roll Out POTS Divre V 2001 cab 20% mas" xfId="1543" xr:uid="{00000000-0005-0000-0000-000004060000}"/>
    <cellStyle name="‡_STA-DRP_M BNI PLUS97_SAP Ver 0 Revisi2 Sent VALUE.xls Chart 1" xfId="1544" xr:uid="{00000000-0005-0000-0000-000005060000}"/>
    <cellStyle name="‡_STA-DRP_M BNI PLUS97_SAP Ver 0 Revisi2 Sent VALUE.xls Chart 1-1" xfId="1545" xr:uid="{00000000-0005-0000-0000-000006060000}"/>
    <cellStyle name="‡_STA-DRP_M BNI PLUS97_SAP Ver 0 Revisi2 Sent VALUE.xls Chart 1-2" xfId="1546" xr:uid="{00000000-0005-0000-0000-000007060000}"/>
    <cellStyle name="‡_STA-DRP_M BNI PLUS97_SAP Ver 0 Revisi2 Sent VALUE.xls Chart 1-3" xfId="1547" xr:uid="{00000000-0005-0000-0000-000008060000}"/>
    <cellStyle name="‡_STA-DRP_M BNI PLUS97_SAP Ver 0 Revisi2 Sent VALUE.xls Chart 1-4" xfId="1548" xr:uid="{00000000-0005-0000-0000-000009060000}"/>
    <cellStyle name="‡_STA-DRP_M BNI PLUS97_SAP Ver 0 Revisi2 Sent VALUE.xls Chart 1-5" xfId="1549" xr:uid="{00000000-0005-0000-0000-00000A060000}"/>
    <cellStyle name="‡_STA-DRP_M BNI PLUS97_Simulasi Produksi Pulsa v16" xfId="1550" xr:uid="{00000000-0005-0000-0000-00000B060000}"/>
    <cellStyle name="‡_STA-DRP_M BNI PLUS97_simulasi rate-new" xfId="1551" xr:uid="{00000000-0005-0000-0000-00000C060000}"/>
    <cellStyle name="‡_STA-DRP_M BNI PLUS97_SPPS0700-MN" xfId="1552" xr:uid="{00000000-0005-0000-0000-00000D060000}"/>
    <cellStyle name="‡_STA-DRP_M BNI PLUS97_SPPS0700-MN_HASIL ASSESMENT INVESTASI JT.2001 (1)" xfId="1553" xr:uid="{00000000-0005-0000-0000-00000E060000}"/>
    <cellStyle name="‡_STA-DRP_M BNI PLUS97_SPPS0700-MN-new" xfId="1554" xr:uid="{00000000-0005-0000-0000-00000F060000}"/>
    <cellStyle name="‡_STA-DRP_M BNI PLUS97_SPPS0700-MN-new_HASIL ASSESMENT INVESTASI JT.2001 (1)" xfId="1555" xr:uid="{00000000-0005-0000-0000-000010060000}"/>
    <cellStyle name="‡_STA-DRP_M BNI PLUS97_Target LIS&amp;L252 2002 Corporate STTF 6040" xfId="1556" xr:uid="{00000000-0005-0000-0000-000011060000}"/>
    <cellStyle name="‡_STA-DRP_M BNI PLUS97_Target Pemasaran 2002 Per STO.xls Chart 1" xfId="1557" xr:uid="{00000000-0005-0000-0000-000012060000}"/>
    <cellStyle name="‡_STA-DRP_M BNI PLUS97_Target Pemasaran 2002 Per STO.xls Chart 1-1" xfId="1558" xr:uid="{00000000-0005-0000-0000-000013060000}"/>
    <cellStyle name="‡_STA-DRP_M BNI PLUS97_Target Pemasaran 2002 Per STO.xls Chart 1-2" xfId="1559" xr:uid="{00000000-0005-0000-0000-000014060000}"/>
    <cellStyle name="‡_STA-DRP_M BNI PLUS97_Target Pemasaran 2002 Per STO.xls Chart 1-3" xfId="1560" xr:uid="{00000000-0005-0000-0000-000015060000}"/>
    <cellStyle name="‡_STA-DRP_M BNI PLUS97_Target Pemasaran 2002 Per STO.xls Chart 1-4" xfId="1561" xr:uid="{00000000-0005-0000-0000-000016060000}"/>
    <cellStyle name="‡_STA-DRP_M BNI PLUS97_Target Pemasaran 2002 Per STO.xls Chart 1-5" xfId="1562" xr:uid="{00000000-0005-0000-0000-000017060000}"/>
    <cellStyle name="‡_STA-DRP_M-KAS97" xfId="1563" xr:uid="{00000000-0005-0000-0000-000018060000}"/>
    <cellStyle name="‡_STA-DRP_M-KAS97 (2)" xfId="1564" xr:uid="{00000000-0005-0000-0000-000019060000}"/>
    <cellStyle name="‡_STA-DRP_M-KAS97 (2)_ANGGARAN  RKAP  JR TH. 2001" xfId="1565" xr:uid="{00000000-0005-0000-0000-00001A060000}"/>
    <cellStyle name="‡_STA-DRP_M-KAS97 (2)_BOOK1" xfId="1566" xr:uid="{00000000-0005-0000-0000-00001B060000}"/>
    <cellStyle name="‡_STA-DRP_M-KAS97 (2)_BOOK1_HASIL ASSESMENT INVESTASI JT.2001 (1)" xfId="1567" xr:uid="{00000000-0005-0000-0000-00001C060000}"/>
    <cellStyle name="‡_STA-DRP_M-KAS97 (2)_Estimasi Des 2000" xfId="1568" xr:uid="{00000000-0005-0000-0000-00001D060000}"/>
    <cellStyle name="‡_STA-DRP_M-KAS97 (2)_HASIL ASSESMENT INVESTASI JT.2001 (1)" xfId="1569" xr:uid="{00000000-0005-0000-0000-00001E060000}"/>
    <cellStyle name="‡_STA-DRP_M-KAS97 (2)_NEGS" xfId="1570" xr:uid="{00000000-0005-0000-0000-00001F060000}"/>
    <cellStyle name="‡_STA-DRP_M-KAS97 (2)_NEGS_ANGGARAN  RKAP  JR TH. 2001" xfId="1571" xr:uid="{00000000-0005-0000-0000-000020060000}"/>
    <cellStyle name="‡_STA-DRP_M-KAS97 (2)_NEGS_Estimasi Des 2000" xfId="1572" xr:uid="{00000000-0005-0000-0000-000021060000}"/>
    <cellStyle name="‡_STA-DRP_M-KAS97 (2)_NEGS_HASIL ASSESMENT INVESTASI JT.2001 (1)" xfId="1573" xr:uid="{00000000-0005-0000-0000-000022060000}"/>
    <cellStyle name="‡_STA-DRP_M-KAS97 (2)_NEGS_Pend2001-rata2-bedahari-2000-sar21814-pend-323-fix-new" xfId="1574" xr:uid="{00000000-0005-0000-0000-000023060000}"/>
    <cellStyle name="‡_STA-DRP_M-KAS97 (2)_NEGS_Rate 2000" xfId="1575" xr:uid="{00000000-0005-0000-0000-000024060000}"/>
    <cellStyle name="‡_STA-DRP_M-KAS97 (2)_NEGS_Rekap BoQ Capex MSOAN NAD Thn 2006" xfId="1576" xr:uid="{00000000-0005-0000-0000-000025060000}"/>
    <cellStyle name="‡_STA-DRP_M-KAS97 (2)_NEGS_SAP Ver 0 Revisi2 Sent VALUE.xls Chart 1" xfId="1577" xr:uid="{00000000-0005-0000-0000-000026060000}"/>
    <cellStyle name="‡_STA-DRP_M-KAS97 (2)_NEGS_SAP Ver 0 Revisi2 Sent VALUE.xls Chart 1-1" xfId="1578" xr:uid="{00000000-0005-0000-0000-000027060000}"/>
    <cellStyle name="‡_STA-DRP_M-KAS97 (2)_NEGS_SAP Ver 0 Revisi2 Sent VALUE.xls Chart 1-2" xfId="1579" xr:uid="{00000000-0005-0000-0000-000028060000}"/>
    <cellStyle name="‡_STA-DRP_M-KAS97 (2)_NEGS_SAP Ver 0 Revisi2 Sent VALUE.xls Chart 1-3" xfId="1580" xr:uid="{00000000-0005-0000-0000-000029060000}"/>
    <cellStyle name="‡_STA-DRP_M-KAS97 (2)_NEGS_SAP Ver 0 Revisi2 Sent VALUE.xls Chart 1-4" xfId="1581" xr:uid="{00000000-0005-0000-0000-00002A060000}"/>
    <cellStyle name="‡_STA-DRP_M-KAS97 (2)_NEGS_SAP Ver 0 Revisi2 Sent VALUE.xls Chart 1-5" xfId="1582" xr:uid="{00000000-0005-0000-0000-00002B060000}"/>
    <cellStyle name="‡_STA-DRP_M-KAS97 (2)_NEGS_Simulasi Produksi Pulsa v16" xfId="1583" xr:uid="{00000000-0005-0000-0000-00002C060000}"/>
    <cellStyle name="‡_STA-DRP_M-KAS97 (2)_NEGS_simulasi rate-new" xfId="1584" xr:uid="{00000000-0005-0000-0000-00002D060000}"/>
    <cellStyle name="‡_STA-DRP_M-KAS97 (2)_NEGS_SPPS0700-MN" xfId="1585" xr:uid="{00000000-0005-0000-0000-00002E060000}"/>
    <cellStyle name="‡_STA-DRP_M-KAS97 (2)_NEGS_SPPS0700-MN_HASIL ASSESMENT INVESTASI JT.2001 (1)" xfId="1586" xr:uid="{00000000-0005-0000-0000-00002F060000}"/>
    <cellStyle name="‡_STA-DRP_M-KAS97 (2)_NEGS_SPPS0700-MN-new" xfId="1587" xr:uid="{00000000-0005-0000-0000-000030060000}"/>
    <cellStyle name="‡_STA-DRP_M-KAS97 (2)_NEGS_SPPS0700-MN-new_HASIL ASSESMENT INVESTASI JT.2001 (1)" xfId="1588" xr:uid="{00000000-0005-0000-0000-000031060000}"/>
    <cellStyle name="‡_STA-DRP_M-KAS97 (2)_NEGS_Target LIS&amp;L252 2002 Corporate STTF 6040" xfId="1589" xr:uid="{00000000-0005-0000-0000-000032060000}"/>
    <cellStyle name="‡_STA-DRP_M-KAS97 (2)_NEGS_Target Pemasaran 2002 Per STO.xls Chart 1" xfId="1590" xr:uid="{00000000-0005-0000-0000-000033060000}"/>
    <cellStyle name="‡_STA-DRP_M-KAS97 (2)_NEGS_Target Pemasaran 2002 Per STO.xls Chart 1-1" xfId="1591" xr:uid="{00000000-0005-0000-0000-000034060000}"/>
    <cellStyle name="‡_STA-DRP_M-KAS97 (2)_NEGS_Target Pemasaran 2002 Per STO.xls Chart 1-2" xfId="1592" xr:uid="{00000000-0005-0000-0000-000035060000}"/>
    <cellStyle name="‡_STA-DRP_M-KAS97 (2)_NEGS_Target Pemasaran 2002 Per STO.xls Chart 1-3" xfId="1593" xr:uid="{00000000-0005-0000-0000-000036060000}"/>
    <cellStyle name="‡_STA-DRP_M-KAS97 (2)_NEGS_Target Pemasaran 2002 Per STO.xls Chart 1-4" xfId="1594" xr:uid="{00000000-0005-0000-0000-000037060000}"/>
    <cellStyle name="‡_STA-DRP_M-KAS97 (2)_NEGS_Target Pemasaran 2002 Per STO.xls Chart 1-5" xfId="1595" xr:uid="{00000000-0005-0000-0000-000038060000}"/>
    <cellStyle name="‡_STA-DRP_M-KAS97 (2)_Pend2001-rata2-bedahari-2000-sar21814-pend-323-fix-new" xfId="1596" xr:uid="{00000000-0005-0000-0000-000039060000}"/>
    <cellStyle name="‡_STA-DRP_M-KAS97 (2)_PERSONAL" xfId="1597" xr:uid="{00000000-0005-0000-0000-00003A060000}"/>
    <cellStyle name="‡_STA-DRP_M-KAS97 (2)_PERSONAL_BOOK1" xfId="1598" xr:uid="{00000000-0005-0000-0000-00003B060000}"/>
    <cellStyle name="‡_STA-DRP_M-KAS97 (2)_PERSONAL_BOOK1_HASIL ASSESMENT INVESTASI JT.2001 (1)" xfId="1599" xr:uid="{00000000-0005-0000-0000-00003C060000}"/>
    <cellStyle name="‡_STA-DRP_M-KAS97 (2)_pldt" xfId="1600" xr:uid="{00000000-0005-0000-0000-00003D060000}"/>
    <cellStyle name="‡_STA-DRP_M-KAS97 (2)_Rate 2000" xfId="1601" xr:uid="{00000000-0005-0000-0000-00003E060000}"/>
    <cellStyle name="‡_STA-DRP_M-KAS97 (2)_Rekap BoQ Capex MSOAN NAD Thn 2006" xfId="1602" xr:uid="{00000000-0005-0000-0000-00003F060000}"/>
    <cellStyle name="‡_STA-DRP_M-KAS97 (2)_Roll Out POTS Divre V 2001 cab 20% mas" xfId="1603" xr:uid="{00000000-0005-0000-0000-000040060000}"/>
    <cellStyle name="‡_STA-DRP_M-KAS97 (2)_SAP Ver 0 Revisi2 Sent VALUE.xls Chart 1" xfId="1604" xr:uid="{00000000-0005-0000-0000-000041060000}"/>
    <cellStyle name="‡_STA-DRP_M-KAS97 (2)_SAP Ver 0 Revisi2 Sent VALUE.xls Chart 1-1" xfId="1605" xr:uid="{00000000-0005-0000-0000-000042060000}"/>
    <cellStyle name="‡_STA-DRP_M-KAS97 (2)_SAP Ver 0 Revisi2 Sent VALUE.xls Chart 1-2" xfId="1606" xr:uid="{00000000-0005-0000-0000-000043060000}"/>
    <cellStyle name="‡_STA-DRP_M-KAS97 (2)_SAP Ver 0 Revisi2 Sent VALUE.xls Chart 1-3" xfId="1607" xr:uid="{00000000-0005-0000-0000-000044060000}"/>
    <cellStyle name="‡_STA-DRP_M-KAS97 (2)_SAP Ver 0 Revisi2 Sent VALUE.xls Chart 1-4" xfId="1608" xr:uid="{00000000-0005-0000-0000-000045060000}"/>
    <cellStyle name="‡_STA-DRP_M-KAS97 (2)_SAP Ver 0 Revisi2 Sent VALUE.xls Chart 1-5" xfId="1609" xr:uid="{00000000-0005-0000-0000-000046060000}"/>
    <cellStyle name="‡_STA-DRP_M-KAS97 (2)_Simulasi Produksi Pulsa v16" xfId="1610" xr:uid="{00000000-0005-0000-0000-000047060000}"/>
    <cellStyle name="‡_STA-DRP_M-KAS97 (2)_simulasi rate-new" xfId="1611" xr:uid="{00000000-0005-0000-0000-000048060000}"/>
    <cellStyle name="‡_STA-DRP_M-KAS97 (2)_SPPS0700-MN" xfId="1612" xr:uid="{00000000-0005-0000-0000-000049060000}"/>
    <cellStyle name="‡_STA-DRP_M-KAS97 (2)_SPPS0700-MN_HASIL ASSESMENT INVESTASI JT.2001 (1)" xfId="1613" xr:uid="{00000000-0005-0000-0000-00004A060000}"/>
    <cellStyle name="‡_STA-DRP_M-KAS97 (2)_SPPS0700-MN-new" xfId="1614" xr:uid="{00000000-0005-0000-0000-00004B060000}"/>
    <cellStyle name="‡_STA-DRP_M-KAS97 (2)_SPPS0700-MN-new_HASIL ASSESMENT INVESTASI JT.2001 (1)" xfId="1615" xr:uid="{00000000-0005-0000-0000-00004C060000}"/>
    <cellStyle name="‡_STA-DRP_M-KAS97 (2)_Target LIS&amp;L252 2002 Corporate STTF 6040" xfId="1616" xr:uid="{00000000-0005-0000-0000-00004D060000}"/>
    <cellStyle name="‡_STA-DRP_M-KAS97 (2)_Target Pemasaran 2002 Per STO.xls Chart 1" xfId="1617" xr:uid="{00000000-0005-0000-0000-00004E060000}"/>
    <cellStyle name="‡_STA-DRP_M-KAS97 (2)_Target Pemasaran 2002 Per STO.xls Chart 1-1" xfId="1618" xr:uid="{00000000-0005-0000-0000-00004F060000}"/>
    <cellStyle name="‡_STA-DRP_M-KAS97 (2)_Target Pemasaran 2002 Per STO.xls Chart 1-2" xfId="1619" xr:uid="{00000000-0005-0000-0000-000050060000}"/>
    <cellStyle name="‡_STA-DRP_M-KAS97 (2)_Target Pemasaran 2002 Per STO.xls Chart 1-3" xfId="1620" xr:uid="{00000000-0005-0000-0000-000051060000}"/>
    <cellStyle name="‡_STA-DRP_M-KAS97 (2)_Target Pemasaran 2002 Per STO.xls Chart 1-4" xfId="1621" xr:uid="{00000000-0005-0000-0000-000052060000}"/>
    <cellStyle name="‡_STA-DRP_M-KAS97 (2)_Target Pemasaran 2002 Per STO.xls Chart 1-5" xfId="1622" xr:uid="{00000000-0005-0000-0000-000053060000}"/>
    <cellStyle name="‡_STA-DRP_M-KAS97_ANGGARAN  RKAP  JR TH. 2001" xfId="1623" xr:uid="{00000000-0005-0000-0000-000054060000}"/>
    <cellStyle name="‡_STA-DRP_M-KAS97_BOOK1" xfId="1624" xr:uid="{00000000-0005-0000-0000-000055060000}"/>
    <cellStyle name="‡_STA-DRP_M-KAS97_BOOK1_HASIL ASSESMENT INVESTASI JT.2001 (1)" xfId="1625" xr:uid="{00000000-0005-0000-0000-000056060000}"/>
    <cellStyle name="‡_STA-DRP_M-KAS97_Estimasi Des 2000" xfId="1626" xr:uid="{00000000-0005-0000-0000-000057060000}"/>
    <cellStyle name="‡_STA-DRP_M-KAS97_HASIL ASSESMENT INVESTASI JT.2001 (1)" xfId="1627" xr:uid="{00000000-0005-0000-0000-000058060000}"/>
    <cellStyle name="‡_STA-DRP_M-KAS97_NEGS" xfId="1628" xr:uid="{00000000-0005-0000-0000-000059060000}"/>
    <cellStyle name="‡_STA-DRP_M-KAS97_NEGS_ANGGARAN  RKAP  JR TH. 2001" xfId="1629" xr:uid="{00000000-0005-0000-0000-00005A060000}"/>
    <cellStyle name="‡_STA-DRP_M-KAS97_NEGS_Estimasi Des 2000" xfId="1630" xr:uid="{00000000-0005-0000-0000-00005B060000}"/>
    <cellStyle name="‡_STA-DRP_M-KAS97_NEGS_HASIL ASSESMENT INVESTASI JT.2001 (1)" xfId="1631" xr:uid="{00000000-0005-0000-0000-00005C060000}"/>
    <cellStyle name="‡_STA-DRP_M-KAS97_NEGS_Pend2001-rata2-bedahari-2000-sar21814-pend-323-fix-new" xfId="1632" xr:uid="{00000000-0005-0000-0000-00005D060000}"/>
    <cellStyle name="‡_STA-DRP_M-KAS97_NEGS_Rate 2000" xfId="1633" xr:uid="{00000000-0005-0000-0000-00005E060000}"/>
    <cellStyle name="‡_STA-DRP_M-KAS97_NEGS_Rekap BoQ Capex MSOAN NAD Thn 2006" xfId="1634" xr:uid="{00000000-0005-0000-0000-00005F060000}"/>
    <cellStyle name="‡_STA-DRP_M-KAS97_NEGS_SAP Ver 0 Revisi2 Sent VALUE.xls Chart 1" xfId="1635" xr:uid="{00000000-0005-0000-0000-000060060000}"/>
    <cellStyle name="‡_STA-DRP_M-KAS97_NEGS_SAP Ver 0 Revisi2 Sent VALUE.xls Chart 1-1" xfId="1636" xr:uid="{00000000-0005-0000-0000-000061060000}"/>
    <cellStyle name="‡_STA-DRP_M-KAS97_NEGS_SAP Ver 0 Revisi2 Sent VALUE.xls Chart 1-2" xfId="1637" xr:uid="{00000000-0005-0000-0000-000062060000}"/>
    <cellStyle name="‡_STA-DRP_M-KAS97_NEGS_SAP Ver 0 Revisi2 Sent VALUE.xls Chart 1-3" xfId="1638" xr:uid="{00000000-0005-0000-0000-000063060000}"/>
    <cellStyle name="‡_STA-DRP_M-KAS97_NEGS_SAP Ver 0 Revisi2 Sent VALUE.xls Chart 1-4" xfId="1639" xr:uid="{00000000-0005-0000-0000-000064060000}"/>
    <cellStyle name="‡_STA-DRP_M-KAS97_NEGS_SAP Ver 0 Revisi2 Sent VALUE.xls Chart 1-5" xfId="1640" xr:uid="{00000000-0005-0000-0000-000065060000}"/>
    <cellStyle name="‡_STA-DRP_M-KAS97_NEGS_Simulasi Produksi Pulsa v16" xfId="1641" xr:uid="{00000000-0005-0000-0000-000066060000}"/>
    <cellStyle name="‡_STA-DRP_M-KAS97_NEGS_simulasi rate-new" xfId="1642" xr:uid="{00000000-0005-0000-0000-000067060000}"/>
    <cellStyle name="‡_STA-DRP_M-KAS97_NEGS_SPPS0700-MN" xfId="1643" xr:uid="{00000000-0005-0000-0000-000068060000}"/>
    <cellStyle name="‡_STA-DRP_M-KAS97_NEGS_SPPS0700-MN_HASIL ASSESMENT INVESTASI JT.2001 (1)" xfId="1644" xr:uid="{00000000-0005-0000-0000-000069060000}"/>
    <cellStyle name="‡_STA-DRP_M-KAS97_NEGS_SPPS0700-MN-new" xfId="1645" xr:uid="{00000000-0005-0000-0000-00006A060000}"/>
    <cellStyle name="‡_STA-DRP_M-KAS97_NEGS_SPPS0700-MN-new_HASIL ASSESMENT INVESTASI JT.2001 (1)" xfId="1646" xr:uid="{00000000-0005-0000-0000-00006B060000}"/>
    <cellStyle name="‡_STA-DRP_M-KAS97_NEGS_Target LIS&amp;L252 2002 Corporate STTF 6040" xfId="1647" xr:uid="{00000000-0005-0000-0000-00006C060000}"/>
    <cellStyle name="‡_STA-DRP_M-KAS97_NEGS_Target Pemasaran 2002 Per STO.xls Chart 1" xfId="1648" xr:uid="{00000000-0005-0000-0000-00006D060000}"/>
    <cellStyle name="‡_STA-DRP_M-KAS97_NEGS_Target Pemasaran 2002 Per STO.xls Chart 1-1" xfId="1649" xr:uid="{00000000-0005-0000-0000-00006E060000}"/>
    <cellStyle name="‡_STA-DRP_M-KAS97_NEGS_Target Pemasaran 2002 Per STO.xls Chart 1-2" xfId="1650" xr:uid="{00000000-0005-0000-0000-00006F060000}"/>
    <cellStyle name="‡_STA-DRP_M-KAS97_NEGS_Target Pemasaran 2002 Per STO.xls Chart 1-3" xfId="1651" xr:uid="{00000000-0005-0000-0000-000070060000}"/>
    <cellStyle name="‡_STA-DRP_M-KAS97_NEGS_Target Pemasaran 2002 Per STO.xls Chart 1-4" xfId="1652" xr:uid="{00000000-0005-0000-0000-000071060000}"/>
    <cellStyle name="‡_STA-DRP_M-KAS97_NEGS_Target Pemasaran 2002 Per STO.xls Chart 1-5" xfId="1653" xr:uid="{00000000-0005-0000-0000-000072060000}"/>
    <cellStyle name="‡_STA-DRP_M-KAS97_Pend2001-rata2-bedahari-2000-sar21814-pend-323-fix-new" xfId="1654" xr:uid="{00000000-0005-0000-0000-000073060000}"/>
    <cellStyle name="‡_STA-DRP_M-KAS97_PERSONAL" xfId="1655" xr:uid="{00000000-0005-0000-0000-000074060000}"/>
    <cellStyle name="‡_STA-DRP_M-KAS97_PERSONAL_BOOK1" xfId="1656" xr:uid="{00000000-0005-0000-0000-000075060000}"/>
    <cellStyle name="‡_STA-DRP_M-KAS97_PERSONAL_BOOK1_HASIL ASSESMENT INVESTASI JT.2001 (1)" xfId="1657" xr:uid="{00000000-0005-0000-0000-000076060000}"/>
    <cellStyle name="‡_STA-DRP_M-KAS97_Rate 2000" xfId="1658" xr:uid="{00000000-0005-0000-0000-000077060000}"/>
    <cellStyle name="‡_STA-DRP_M-KAS97_Rekap BoQ Capex MSOAN NAD Thn 2006" xfId="1659" xr:uid="{00000000-0005-0000-0000-000078060000}"/>
    <cellStyle name="‡_STA-DRP_M-KAS97_Roll Out POTS Divre V 2001 cab 20% mas" xfId="1660" xr:uid="{00000000-0005-0000-0000-000079060000}"/>
    <cellStyle name="‡_STA-DRP_M-KAS97_SAP Ver 0 Revisi2 Sent VALUE.xls Chart 1" xfId="1661" xr:uid="{00000000-0005-0000-0000-00007A060000}"/>
    <cellStyle name="‡_STA-DRP_M-KAS97_SAP Ver 0 Revisi2 Sent VALUE.xls Chart 1-1" xfId="1662" xr:uid="{00000000-0005-0000-0000-00007B060000}"/>
    <cellStyle name="‡_STA-DRP_M-KAS97_SAP Ver 0 Revisi2 Sent VALUE.xls Chart 1-2" xfId="1663" xr:uid="{00000000-0005-0000-0000-00007C060000}"/>
    <cellStyle name="‡_STA-DRP_M-KAS97_SAP Ver 0 Revisi2 Sent VALUE.xls Chart 1-3" xfId="1664" xr:uid="{00000000-0005-0000-0000-00007D060000}"/>
    <cellStyle name="‡_STA-DRP_M-KAS97_SAP Ver 0 Revisi2 Sent VALUE.xls Chart 1-4" xfId="1665" xr:uid="{00000000-0005-0000-0000-00007E060000}"/>
    <cellStyle name="‡_STA-DRP_M-KAS97_SAP Ver 0 Revisi2 Sent VALUE.xls Chart 1-5" xfId="1666" xr:uid="{00000000-0005-0000-0000-00007F060000}"/>
    <cellStyle name="‡_STA-DRP_M-KAS97_Simulasi Produksi Pulsa v16" xfId="1667" xr:uid="{00000000-0005-0000-0000-000080060000}"/>
    <cellStyle name="‡_STA-DRP_M-KAS97_simulasi rate-new" xfId="1668" xr:uid="{00000000-0005-0000-0000-000081060000}"/>
    <cellStyle name="‡_STA-DRP_M-KAS97_SPPS0700-MN" xfId="1669" xr:uid="{00000000-0005-0000-0000-000082060000}"/>
    <cellStyle name="‡_STA-DRP_M-KAS97_SPPS0700-MN_HASIL ASSESMENT INVESTASI JT.2001 (1)" xfId="1670" xr:uid="{00000000-0005-0000-0000-000083060000}"/>
    <cellStyle name="‡_STA-DRP_M-KAS97_SPPS0700-MN-new" xfId="1671" xr:uid="{00000000-0005-0000-0000-000084060000}"/>
    <cellStyle name="‡_STA-DRP_M-KAS97_SPPS0700-MN-new_HASIL ASSESMENT INVESTASI JT.2001 (1)" xfId="1672" xr:uid="{00000000-0005-0000-0000-000085060000}"/>
    <cellStyle name="‡_STA-DRP_M-KAS97_Target LIS&amp;L252 2002 Corporate STTF 6040" xfId="1673" xr:uid="{00000000-0005-0000-0000-000086060000}"/>
    <cellStyle name="‡_STA-DRP_M-KAS97_Target Pemasaran 2002 Per STO.xls Chart 1" xfId="1674" xr:uid="{00000000-0005-0000-0000-000087060000}"/>
    <cellStyle name="‡_STA-DRP_M-KAS97_Target Pemasaran 2002 Per STO.xls Chart 1-1" xfId="1675" xr:uid="{00000000-0005-0000-0000-000088060000}"/>
    <cellStyle name="‡_STA-DRP_M-KAS97_Target Pemasaran 2002 Per STO.xls Chart 1-2" xfId="1676" xr:uid="{00000000-0005-0000-0000-000089060000}"/>
    <cellStyle name="‡_STA-DRP_M-KAS97_Target Pemasaran 2002 Per STO.xls Chart 1-3" xfId="1677" xr:uid="{00000000-0005-0000-0000-00008A060000}"/>
    <cellStyle name="‡_STA-DRP_M-KAS97_Target Pemasaran 2002 Per STO.xls Chart 1-4" xfId="1678" xr:uid="{00000000-0005-0000-0000-00008B060000}"/>
    <cellStyle name="‡_STA-DRP_M-KAS97_Target Pemasaran 2002 Per STO.xls Chart 1-5" xfId="1679" xr:uid="{00000000-0005-0000-0000-00008C060000}"/>
    <cellStyle name="‡_STA-DRP_NEGS" xfId="1680" xr:uid="{00000000-0005-0000-0000-00008D060000}"/>
    <cellStyle name="‡_STA-DRP_NEGS_1" xfId="1681" xr:uid="{00000000-0005-0000-0000-00008E060000}"/>
    <cellStyle name="‡_STA-DRP_NEGS_ANGGARAN  RKAP  JR TH. 2001" xfId="1682" xr:uid="{00000000-0005-0000-0000-00008F060000}"/>
    <cellStyle name="‡_STA-DRP_NEGS_BOOK1" xfId="1683" xr:uid="{00000000-0005-0000-0000-000090060000}"/>
    <cellStyle name="‡_STA-DRP_NEGS_BOOK1_HASIL ASSESMENT INVESTASI JT.2001 (1)" xfId="1684" xr:uid="{00000000-0005-0000-0000-000091060000}"/>
    <cellStyle name="‡_STA-DRP_NEGS_Estimasi Des 2000" xfId="1685" xr:uid="{00000000-0005-0000-0000-000092060000}"/>
    <cellStyle name="‡_STA-DRP_NEGS_HASIL ASSESMENT INVESTASI JT.2001 (1)" xfId="1686" xr:uid="{00000000-0005-0000-0000-000093060000}"/>
    <cellStyle name="‡_STA-DRP_NEGS_Pend2001-rata2-bedahari-2000-sar21814-pend-323-fix-new" xfId="1687" xr:uid="{00000000-0005-0000-0000-000094060000}"/>
    <cellStyle name="‡_STA-DRP_NEGS_PERSONAL" xfId="1688" xr:uid="{00000000-0005-0000-0000-000095060000}"/>
    <cellStyle name="‡_STA-DRP_NEGS_Rate 2000" xfId="1689" xr:uid="{00000000-0005-0000-0000-000096060000}"/>
    <cellStyle name="‡_STA-DRP_NEGS_Rekap BoQ Capex MSOAN NAD Thn 2006" xfId="1690" xr:uid="{00000000-0005-0000-0000-000097060000}"/>
    <cellStyle name="‡_STA-DRP_NEGS_SAP Ver 0 Revisi2 Sent VALUE.xls Chart 1" xfId="1691" xr:uid="{00000000-0005-0000-0000-000098060000}"/>
    <cellStyle name="‡_STA-DRP_NEGS_SAP Ver 0 Revisi2 Sent VALUE.xls Chart 1-1" xfId="1692" xr:uid="{00000000-0005-0000-0000-000099060000}"/>
    <cellStyle name="‡_STA-DRP_NEGS_SAP Ver 0 Revisi2 Sent VALUE.xls Chart 1-2" xfId="1693" xr:uid="{00000000-0005-0000-0000-00009A060000}"/>
    <cellStyle name="‡_STA-DRP_NEGS_SAP Ver 0 Revisi2 Sent VALUE.xls Chart 1-3" xfId="1694" xr:uid="{00000000-0005-0000-0000-00009B060000}"/>
    <cellStyle name="‡_STA-DRP_NEGS_SAP Ver 0 Revisi2 Sent VALUE.xls Chart 1-4" xfId="1695" xr:uid="{00000000-0005-0000-0000-00009C060000}"/>
    <cellStyle name="‡_STA-DRP_NEGS_SAP Ver 0 Revisi2 Sent VALUE.xls Chart 1-5" xfId="1696" xr:uid="{00000000-0005-0000-0000-00009D060000}"/>
    <cellStyle name="‡_STA-DRP_NEGS_Simulasi Produksi Pulsa v16" xfId="1697" xr:uid="{00000000-0005-0000-0000-00009E060000}"/>
    <cellStyle name="‡_STA-DRP_NEGS_simulasi rate-new" xfId="1698" xr:uid="{00000000-0005-0000-0000-00009F060000}"/>
    <cellStyle name="‡_STA-DRP_NEGS_SPPS0700-MN" xfId="1699" xr:uid="{00000000-0005-0000-0000-0000A0060000}"/>
    <cellStyle name="‡_STA-DRP_NEGS_SPPS0700-MN_HASIL ASSESMENT INVESTASI JT.2001 (1)" xfId="1700" xr:uid="{00000000-0005-0000-0000-0000A1060000}"/>
    <cellStyle name="‡_STA-DRP_NEGS_SPPS0700-MN-new" xfId="1701" xr:uid="{00000000-0005-0000-0000-0000A2060000}"/>
    <cellStyle name="‡_STA-DRP_NEGS_SPPS0700-MN-new_HASIL ASSESMENT INVESTASI JT.2001 (1)" xfId="1702" xr:uid="{00000000-0005-0000-0000-0000A3060000}"/>
    <cellStyle name="‡_STA-DRP_NEGS_Target LIS&amp;L252 2002 Corporate STTF 6040" xfId="1703" xr:uid="{00000000-0005-0000-0000-0000A4060000}"/>
    <cellStyle name="‡_STA-DRP_NEGS_Target Pemasaran 2002 Per STO.xls Chart 1" xfId="1704" xr:uid="{00000000-0005-0000-0000-0000A5060000}"/>
    <cellStyle name="‡_STA-DRP_NEGS_Target Pemasaran 2002 Per STO.xls Chart 1-1" xfId="1705" xr:uid="{00000000-0005-0000-0000-0000A6060000}"/>
    <cellStyle name="‡_STA-DRP_NEGS_Target Pemasaran 2002 Per STO.xls Chart 1-2" xfId="1706" xr:uid="{00000000-0005-0000-0000-0000A7060000}"/>
    <cellStyle name="‡_STA-DRP_NEGS_Target Pemasaran 2002 Per STO.xls Chart 1-3" xfId="1707" xr:uid="{00000000-0005-0000-0000-0000A8060000}"/>
    <cellStyle name="‡_STA-DRP_NEGS_Target Pemasaran 2002 Per STO.xls Chart 1-4" xfId="1708" xr:uid="{00000000-0005-0000-0000-0000A9060000}"/>
    <cellStyle name="‡_STA-DRP_NEGS_Target Pemasaran 2002 Per STO.xls Chart 1-5" xfId="1709" xr:uid="{00000000-0005-0000-0000-0000AA060000}"/>
    <cellStyle name="‡_STA-DRP_NERAPMN" xfId="1710" xr:uid="{00000000-0005-0000-0000-0000AB060000}"/>
    <cellStyle name="‡_STA-DRP_OKPI" xfId="1711" xr:uid="{00000000-0005-0000-0000-0000AC060000}"/>
    <cellStyle name="‡_STA-DRP_osp1_07_2000(SISKA)" xfId="1712" xr:uid="{00000000-0005-0000-0000-0000AD060000}"/>
    <cellStyle name="‡_STA-DRP_PB TW 2002 Divre V.xls Chart 1" xfId="1713" xr:uid="{00000000-0005-0000-0000-0000AE060000}"/>
    <cellStyle name="‡_STA-DRP_PB TW 2002 Divre V.xls Chart 2" xfId="1714" xr:uid="{00000000-0005-0000-0000-0000AF060000}"/>
    <cellStyle name="‡_STA-DRP_PB TW 2002 Divre V.xls Chart 3" xfId="1715" xr:uid="{00000000-0005-0000-0000-0000B0060000}"/>
    <cellStyle name="‡_STA-DRP_PB TW 2002 Divre V.xls Chart 4" xfId="1716" xr:uid="{00000000-0005-0000-0000-0000B1060000}"/>
    <cellStyle name="‡_STA-DRP_PENGAWASAN PPM-MARET2001" xfId="1717" xr:uid="{00000000-0005-0000-0000-0000B2060000}"/>
    <cellStyle name="‡_STA-DRP_PENGAWASAN PPM-MARET2001_april_01" xfId="1718" xr:uid="{00000000-0005-0000-0000-0000B3060000}"/>
    <cellStyle name="‡_STA-DRP_real_inves_06_2001_web" xfId="1719" xr:uid="{00000000-0005-0000-0000-0000B4060000}"/>
    <cellStyle name="‡_STA-DRP_REKAP  JARKAB  2001" xfId="1720" xr:uid="{00000000-0005-0000-0000-0000B5060000}"/>
    <cellStyle name="‡_STA-DRP_REKAP  JT  CAMAR  TH. 2001 BARU" xfId="1721" xr:uid="{00000000-0005-0000-0000-0000B6060000}"/>
    <cellStyle name="‡_STA-DRP_Rekap BoQ Capex MSOAN NAD Thn 2006" xfId="1722" xr:uid="{00000000-0005-0000-0000-0000B7060000}"/>
    <cellStyle name="‡_STA-DRP_Rekap Invest" xfId="1723" xr:uid="{00000000-0005-0000-0000-0000B8060000}"/>
    <cellStyle name="‡_STA-DRP_REKAP SISFO BEBAN-INVEST AKHIR" xfId="1724" xr:uid="{00000000-0005-0000-0000-0000B9060000}"/>
    <cellStyle name="‡_STA-DRP_REKAP SISFO BEBAN-INVEST AKHIR_Book1" xfId="1725" xr:uid="{00000000-0005-0000-0000-0000BA060000}"/>
    <cellStyle name="‡_STA-DRP_REKAP SISFO BEBAN-INVEST AKHIR_PERSETUJUAN JT 2001" xfId="1726" xr:uid="{00000000-0005-0000-0000-0000BB060000}"/>
    <cellStyle name="‡_STA-DRP_REKAPBI-ASA" xfId="1727" xr:uid="{00000000-0005-0000-0000-0000BC060000}"/>
    <cellStyle name="‡_STA-DRP_REKAPBI-ASA_BOOK1" xfId="1728" xr:uid="{00000000-0005-0000-0000-0000BD060000}"/>
    <cellStyle name="‡_STA-DRP_REKAPBI-ASA_BOOK1_1" xfId="1729" xr:uid="{00000000-0005-0000-0000-0000BE060000}"/>
    <cellStyle name="‡_STA-DRP_REKAPBI-ASA_BOOK1_SPPS0700-MN" xfId="1730" xr:uid="{00000000-0005-0000-0000-0000BF060000}"/>
    <cellStyle name="‡_STA-DRP_REKAPBI-ASA_BOOK1_SPPS0700-MN_HASIL ASSESMENT INVESTASI JT.2001 (1)" xfId="1731" xr:uid="{00000000-0005-0000-0000-0000C0060000}"/>
    <cellStyle name="‡_STA-DRP_REKAPBI-ASA_BOOK1_SPPS0700-MN-new" xfId="1732" xr:uid="{00000000-0005-0000-0000-0000C1060000}"/>
    <cellStyle name="‡_STA-DRP_REKAPBI-ASA_BOOK1_SPPS0700-MN-new_HASIL ASSESMENT INVESTASI JT.2001 (1)" xfId="1733" xr:uid="{00000000-0005-0000-0000-0000C2060000}"/>
    <cellStyle name="‡_STA-DRP_REKAPBI-ASA_form_usulan_rka99" xfId="1734" xr:uid="{00000000-0005-0000-0000-0000C3060000}"/>
    <cellStyle name="‡_STA-DRP_REKAPBI-ASA_FORM1-4-5" xfId="1735" xr:uid="{00000000-0005-0000-0000-0000C4060000}"/>
    <cellStyle name="‡_STA-DRP_REKAPBI-ASA_LampLUD" xfId="1736" xr:uid="{00000000-0005-0000-0000-0000C5060000}"/>
    <cellStyle name="‡_STA-DRP_REKAPBI-ASA_NEGS" xfId="1737" xr:uid="{00000000-0005-0000-0000-0000C6060000}"/>
    <cellStyle name="‡_STA-DRP_REKAPBI-ASA_Rekap BoQ Capex MSOAN NAD Thn 2006" xfId="1738" xr:uid="{00000000-0005-0000-0000-0000C7060000}"/>
    <cellStyle name="‡_STA-DRP_REKAPBI-ASA_SPPS_JUL00" xfId="1739" xr:uid="{00000000-0005-0000-0000-0000C8060000}"/>
    <cellStyle name="‡_STA-DRP_RKAP 2002 FINAL F" xfId="1740" xr:uid="{00000000-0005-0000-0000-0000C9060000}"/>
    <cellStyle name="‡_STA-DRP_Roll Out POTS Divre V 2001 cab 20% mas" xfId="1741" xr:uid="{00000000-0005-0000-0000-0000CA060000}"/>
    <cellStyle name="‡_STA-DRP_SAP Ver 0 Revisi2 Sent VALUE.xls Chart 1" xfId="1742" xr:uid="{00000000-0005-0000-0000-0000CB060000}"/>
    <cellStyle name="‡_STA-DRP_SAP Ver 0 Revisi2 Sent VALUE.xls Chart 1-1" xfId="1743" xr:uid="{00000000-0005-0000-0000-0000CC060000}"/>
    <cellStyle name="‡_STA-DRP_SAP Ver 0 Revisi2 Sent VALUE.xls Chart 1-2" xfId="1744" xr:uid="{00000000-0005-0000-0000-0000CD060000}"/>
    <cellStyle name="‡_STA-DRP_SAP Ver 0 Revisi2 Sent VALUE.xls Chart 1-3" xfId="1745" xr:uid="{00000000-0005-0000-0000-0000CE060000}"/>
    <cellStyle name="‡_STA-DRP_SAP Ver 0 Revisi2 Sent VALUE.xls Chart 1-4" xfId="1746" xr:uid="{00000000-0005-0000-0000-0000CF060000}"/>
    <cellStyle name="‡_STA-DRP_SAP Ver 0 Revisi2 Sent VALUE.xls Chart 1-5" xfId="1747" xr:uid="{00000000-0005-0000-0000-0000D0060000}"/>
    <cellStyle name="‡_STA-DRP_Simulasi Produksi Pulsa v16" xfId="1748" xr:uid="{00000000-0005-0000-0000-0000D1060000}"/>
    <cellStyle name="‡_STA-DRP_SPPS_JUL00" xfId="1749" xr:uid="{00000000-0005-0000-0000-0000D2060000}"/>
    <cellStyle name="‡_STA-DRP_Struktur Produk Infocom" xfId="1750" xr:uid="{00000000-0005-0000-0000-0000D3060000}"/>
    <cellStyle name="‡_STA-DRP_Summary Per UP Versi2" xfId="1751" xr:uid="{00000000-0005-0000-0000-0000D4060000}"/>
    <cellStyle name="‡_STA-DRP_Target LIS&amp;L252 2002 Corporate STTF 6040" xfId="1752" xr:uid="{00000000-0005-0000-0000-0000D5060000}"/>
    <cellStyle name="‡_STA-DRP_Target Pemasaran 2002 Per STO.xls Chart 1" xfId="1753" xr:uid="{00000000-0005-0000-0000-0000D6060000}"/>
    <cellStyle name="‡_STA-DRP_Target Pemasaran 2002 Per STO.xls Chart 1-1" xfId="1754" xr:uid="{00000000-0005-0000-0000-0000D7060000}"/>
    <cellStyle name="‡_STA-DRP_Target Pemasaran 2002 Per STO.xls Chart 1-2" xfId="1755" xr:uid="{00000000-0005-0000-0000-0000D8060000}"/>
    <cellStyle name="‡_STA-DRP_Target Pemasaran 2002 Per STO.xls Chart 1-3" xfId="1756" xr:uid="{00000000-0005-0000-0000-0000D9060000}"/>
    <cellStyle name="‡_STA-DRP_Target Pemasaran 2002 Per STO.xls Chart 1-4" xfId="1757" xr:uid="{00000000-0005-0000-0000-0000DA060000}"/>
    <cellStyle name="‡_STA-DRP_Target Pemasaran 2002 Per STO.xls Chart 1-5" xfId="1758" xr:uid="{00000000-0005-0000-0000-0000DB060000}"/>
    <cellStyle name="‡_STA-DRP_Target_D04_final" xfId="1759" xr:uid="{00000000-0005-0000-0000-0000DC060000}"/>
    <cellStyle name="‡_STA-DRP_TS D07 Retarget-selesai 13 APRIL 2004" xfId="1760" xr:uid="{00000000-0005-0000-0000-0000DD060000}"/>
    <cellStyle name="‡_STA-DRP_TS_2004_isiver_1" xfId="1761" xr:uid="{00000000-0005-0000-0000-0000DE060000}"/>
    <cellStyle name="‡_STA-DRP_TS-BISNIS-D4-2003" xfId="1762" xr:uid="{00000000-0005-0000-0000-0000DF060000}"/>
    <cellStyle name="‡_STA-DRP_TS-OKPI-DIVRE 2-2004_kes_final" xfId="1763" xr:uid="{00000000-0005-0000-0000-0000E0060000}"/>
    <cellStyle name="‡_STA-DRP_TS-OKPI-DIVRE-2003" xfId="1764" xr:uid="{00000000-0005-0000-0000-0000E1060000}"/>
    <cellStyle name="‡_STA-DRP_tw-1 " xfId="1765" xr:uid="{00000000-0005-0000-0000-0000E2060000}"/>
    <cellStyle name="‡_STA-DRP_tw-1 (2)" xfId="1766" xr:uid="{00000000-0005-0000-0000-0000E3060000}"/>
    <cellStyle name="‡_STA-DRP_tw-1 (2)_ANGGARAN  RKAP  JR TH. 2001" xfId="1767" xr:uid="{00000000-0005-0000-0000-0000E4060000}"/>
    <cellStyle name="‡_STA-DRP_tw-1 (2)_BOOK1" xfId="1768" xr:uid="{00000000-0005-0000-0000-0000E5060000}"/>
    <cellStyle name="‡_STA-DRP_tw-1 (2)_BOOK1_HASIL ASSESMENT INVESTASI JT.2001 (1)" xfId="1769" xr:uid="{00000000-0005-0000-0000-0000E6060000}"/>
    <cellStyle name="‡_STA-DRP_tw-1 (2)_Estimasi Des 2000" xfId="1770" xr:uid="{00000000-0005-0000-0000-0000E7060000}"/>
    <cellStyle name="‡_STA-DRP_tw-1 (2)_HASIL ASSESMENT INVESTASI JT.2001 (1)" xfId="1771" xr:uid="{00000000-0005-0000-0000-0000E8060000}"/>
    <cellStyle name="‡_STA-DRP_tw-1 (2)_NEGS" xfId="1772" xr:uid="{00000000-0005-0000-0000-0000E9060000}"/>
    <cellStyle name="‡_STA-DRP_tw-1 (2)_NEGS_ANGGARAN  RKAP  JR TH. 2001" xfId="1773" xr:uid="{00000000-0005-0000-0000-0000EA060000}"/>
    <cellStyle name="‡_STA-DRP_tw-1 (2)_NEGS_Estimasi Des 2000" xfId="1774" xr:uid="{00000000-0005-0000-0000-0000EB060000}"/>
    <cellStyle name="‡_STA-DRP_tw-1 (2)_NEGS_HASIL ASSESMENT INVESTASI JT.2001 (1)" xfId="1775" xr:uid="{00000000-0005-0000-0000-0000EC060000}"/>
    <cellStyle name="‡_STA-DRP_tw-1 (2)_NEGS_Pend2001-rata2-bedahari-2000-sar21814-pend-323-fix-new" xfId="1776" xr:uid="{00000000-0005-0000-0000-0000ED060000}"/>
    <cellStyle name="‡_STA-DRP_tw-1 (2)_NEGS_Rate 2000" xfId="1777" xr:uid="{00000000-0005-0000-0000-0000EE060000}"/>
    <cellStyle name="‡_STA-DRP_tw-1 (2)_NEGS_Rekap BoQ Capex MSOAN NAD Thn 2006" xfId="1778" xr:uid="{00000000-0005-0000-0000-0000EF060000}"/>
    <cellStyle name="‡_STA-DRP_tw-1 (2)_NEGS_SAP Ver 0 Revisi2 Sent VALUE.xls Chart 1" xfId="1779" xr:uid="{00000000-0005-0000-0000-0000F0060000}"/>
    <cellStyle name="‡_STA-DRP_tw-1 (2)_NEGS_SAP Ver 0 Revisi2 Sent VALUE.xls Chart 1-1" xfId="1780" xr:uid="{00000000-0005-0000-0000-0000F1060000}"/>
    <cellStyle name="‡_STA-DRP_tw-1 (2)_NEGS_SAP Ver 0 Revisi2 Sent VALUE.xls Chart 1-2" xfId="1781" xr:uid="{00000000-0005-0000-0000-0000F2060000}"/>
    <cellStyle name="‡_STA-DRP_tw-1 (2)_NEGS_SAP Ver 0 Revisi2 Sent VALUE.xls Chart 1-3" xfId="1782" xr:uid="{00000000-0005-0000-0000-0000F3060000}"/>
    <cellStyle name="‡_STA-DRP_tw-1 (2)_NEGS_SAP Ver 0 Revisi2 Sent VALUE.xls Chart 1-4" xfId="1783" xr:uid="{00000000-0005-0000-0000-0000F4060000}"/>
    <cellStyle name="‡_STA-DRP_tw-1 (2)_NEGS_SAP Ver 0 Revisi2 Sent VALUE.xls Chart 1-5" xfId="1784" xr:uid="{00000000-0005-0000-0000-0000F5060000}"/>
    <cellStyle name="‡_STA-DRP_tw-1 (2)_NEGS_Simulasi Produksi Pulsa v16" xfId="1785" xr:uid="{00000000-0005-0000-0000-0000F6060000}"/>
    <cellStyle name="‡_STA-DRP_tw-1 (2)_NEGS_simulasi rate-new" xfId="1786" xr:uid="{00000000-0005-0000-0000-0000F7060000}"/>
    <cellStyle name="‡_STA-DRP_tw-1 (2)_NEGS_SPPS0700-MN" xfId="1787" xr:uid="{00000000-0005-0000-0000-0000F8060000}"/>
    <cellStyle name="‡_STA-DRP_tw-1 (2)_NEGS_SPPS0700-MN_HASIL ASSESMENT INVESTASI JT.2001 (1)" xfId="1788" xr:uid="{00000000-0005-0000-0000-0000F9060000}"/>
    <cellStyle name="‡_STA-DRP_tw-1 (2)_NEGS_SPPS0700-MN-new" xfId="1789" xr:uid="{00000000-0005-0000-0000-0000FA060000}"/>
    <cellStyle name="‡_STA-DRP_tw-1 (2)_NEGS_SPPS0700-MN-new_HASIL ASSESMENT INVESTASI JT.2001 (1)" xfId="1790" xr:uid="{00000000-0005-0000-0000-0000FB060000}"/>
    <cellStyle name="‡_STA-DRP_tw-1 (2)_NEGS_Target LIS&amp;L252 2002 Corporate STTF 6040" xfId="1791" xr:uid="{00000000-0005-0000-0000-0000FC060000}"/>
    <cellStyle name="‡_STA-DRP_tw-1 (2)_NEGS_Target Pemasaran 2002 Per STO.xls Chart 1" xfId="1792" xr:uid="{00000000-0005-0000-0000-0000FD060000}"/>
    <cellStyle name="‡_STA-DRP_tw-1 (2)_NEGS_Target Pemasaran 2002 Per STO.xls Chart 1-1" xfId="1793" xr:uid="{00000000-0005-0000-0000-0000FE060000}"/>
    <cellStyle name="‡_STA-DRP_tw-1 (2)_NEGS_Target Pemasaran 2002 Per STO.xls Chart 1-2" xfId="1794" xr:uid="{00000000-0005-0000-0000-0000FF060000}"/>
    <cellStyle name="‡_STA-DRP_tw-1 (2)_NEGS_Target Pemasaran 2002 Per STO.xls Chart 1-3" xfId="1795" xr:uid="{00000000-0005-0000-0000-000000070000}"/>
    <cellStyle name="‡_STA-DRP_tw-1 (2)_NEGS_Target Pemasaran 2002 Per STO.xls Chart 1-4" xfId="1796" xr:uid="{00000000-0005-0000-0000-000001070000}"/>
    <cellStyle name="‡_STA-DRP_tw-1 (2)_NEGS_Target Pemasaran 2002 Per STO.xls Chart 1-5" xfId="1797" xr:uid="{00000000-0005-0000-0000-000002070000}"/>
    <cellStyle name="‡_STA-DRP_tw-1 (2)_Pend2001-rata2-bedahari-2000-sar21814-pend-323-fix-new" xfId="1798" xr:uid="{00000000-0005-0000-0000-000003070000}"/>
    <cellStyle name="‡_STA-DRP_tw-1 (2)_PERSONAL" xfId="1799" xr:uid="{00000000-0005-0000-0000-000004070000}"/>
    <cellStyle name="‡_STA-DRP_tw-1 (2)_PERSONAL_BOOK1" xfId="1800" xr:uid="{00000000-0005-0000-0000-000005070000}"/>
    <cellStyle name="‡_STA-DRP_tw-1 (2)_PERSONAL_BOOK1_HASIL ASSESMENT INVESTASI JT.2001 (1)" xfId="1801" xr:uid="{00000000-0005-0000-0000-000006070000}"/>
    <cellStyle name="‡_STA-DRP_tw-1 (2)_Rate 2000" xfId="1802" xr:uid="{00000000-0005-0000-0000-000007070000}"/>
    <cellStyle name="‡_STA-DRP_tw-1 (2)_Rekap BoQ Capex MSOAN NAD Thn 2006" xfId="1803" xr:uid="{00000000-0005-0000-0000-000008070000}"/>
    <cellStyle name="‡_STA-DRP_tw-1 (2)_Roll Out POTS Divre V 2001 cab 20% mas" xfId="1804" xr:uid="{00000000-0005-0000-0000-000009070000}"/>
    <cellStyle name="‡_STA-DRP_tw-1 (2)_SAP Ver 0 Revisi2 Sent VALUE.xls Chart 1" xfId="1805" xr:uid="{00000000-0005-0000-0000-00000A070000}"/>
    <cellStyle name="‡_STA-DRP_tw-1 (2)_SAP Ver 0 Revisi2 Sent VALUE.xls Chart 1-1" xfId="1806" xr:uid="{00000000-0005-0000-0000-00000B070000}"/>
    <cellStyle name="‡_STA-DRP_tw-1 (2)_SAP Ver 0 Revisi2 Sent VALUE.xls Chart 1-2" xfId="1807" xr:uid="{00000000-0005-0000-0000-00000C070000}"/>
    <cellStyle name="‡_STA-DRP_tw-1 (2)_SAP Ver 0 Revisi2 Sent VALUE.xls Chart 1-3" xfId="1808" xr:uid="{00000000-0005-0000-0000-00000D070000}"/>
    <cellStyle name="‡_STA-DRP_tw-1 (2)_SAP Ver 0 Revisi2 Sent VALUE.xls Chart 1-4" xfId="1809" xr:uid="{00000000-0005-0000-0000-00000E070000}"/>
    <cellStyle name="‡_STA-DRP_tw-1 (2)_SAP Ver 0 Revisi2 Sent VALUE.xls Chart 1-5" xfId="1810" xr:uid="{00000000-0005-0000-0000-00000F070000}"/>
    <cellStyle name="‡_STA-DRP_tw-1 (2)_Simulasi Produksi Pulsa v16" xfId="1811" xr:uid="{00000000-0005-0000-0000-000010070000}"/>
    <cellStyle name="‡_STA-DRP_tw-1 (2)_simulasi rate-new" xfId="1812" xr:uid="{00000000-0005-0000-0000-000011070000}"/>
    <cellStyle name="‡_STA-DRP_tw-1 (2)_SPPS0700-MN" xfId="1813" xr:uid="{00000000-0005-0000-0000-000012070000}"/>
    <cellStyle name="‡_STA-DRP_tw-1 (2)_SPPS0700-MN_HASIL ASSESMENT INVESTASI JT.2001 (1)" xfId="1814" xr:uid="{00000000-0005-0000-0000-000013070000}"/>
    <cellStyle name="‡_STA-DRP_tw-1 (2)_SPPS0700-MN-new" xfId="1815" xr:uid="{00000000-0005-0000-0000-000014070000}"/>
    <cellStyle name="‡_STA-DRP_tw-1 (2)_SPPS0700-MN-new_HASIL ASSESMENT INVESTASI JT.2001 (1)" xfId="1816" xr:uid="{00000000-0005-0000-0000-000015070000}"/>
    <cellStyle name="‡_STA-DRP_tw-1 (2)_Target LIS&amp;L252 2002 Corporate STTF 6040" xfId="1817" xr:uid="{00000000-0005-0000-0000-000016070000}"/>
    <cellStyle name="‡_STA-DRP_tw-1 (2)_Target Pemasaran 2002 Per STO.xls Chart 1" xfId="1818" xr:uid="{00000000-0005-0000-0000-000017070000}"/>
    <cellStyle name="‡_STA-DRP_tw-1 (2)_Target Pemasaran 2002 Per STO.xls Chart 1-1" xfId="1819" xr:uid="{00000000-0005-0000-0000-000018070000}"/>
    <cellStyle name="‡_STA-DRP_tw-1 (2)_Target Pemasaran 2002 Per STO.xls Chart 1-2" xfId="1820" xr:uid="{00000000-0005-0000-0000-000019070000}"/>
    <cellStyle name="‡_STA-DRP_tw-1 (2)_Target Pemasaran 2002 Per STO.xls Chart 1-3" xfId="1821" xr:uid="{00000000-0005-0000-0000-00001A070000}"/>
    <cellStyle name="‡_STA-DRP_tw-1 (2)_Target Pemasaran 2002 Per STO.xls Chart 1-4" xfId="1822" xr:uid="{00000000-0005-0000-0000-00001B070000}"/>
    <cellStyle name="‡_STA-DRP_tw-1 (2)_Target Pemasaran 2002 Per STO.xls Chart 1-5" xfId="1823" xr:uid="{00000000-0005-0000-0000-00001C070000}"/>
    <cellStyle name="‡_STA-DRP_tw-1 _ANGGARAN  RKAP  JR TH. 2001" xfId="1824" xr:uid="{00000000-0005-0000-0000-00001D070000}"/>
    <cellStyle name="‡_STA-DRP_tw-1 _BOOK1" xfId="1825" xr:uid="{00000000-0005-0000-0000-00001E070000}"/>
    <cellStyle name="‡_STA-DRP_tw-1 _BOOK1_HASIL ASSESMENT INVESTASI JT.2001 (1)" xfId="1826" xr:uid="{00000000-0005-0000-0000-00001F070000}"/>
    <cellStyle name="‡_STA-DRP_tw-1 _Estimasi Des 2000" xfId="1827" xr:uid="{00000000-0005-0000-0000-000020070000}"/>
    <cellStyle name="‡_STA-DRP_tw-1 _HASIL ASSESMENT INVESTASI JT.2001 (1)" xfId="1828" xr:uid="{00000000-0005-0000-0000-000021070000}"/>
    <cellStyle name="‡_STA-DRP_tw-1 _NEGS" xfId="1829" xr:uid="{00000000-0005-0000-0000-000022070000}"/>
    <cellStyle name="‡_STA-DRP_tw-1 _NEGS_ANGGARAN  RKAP  JR TH. 2001" xfId="1830" xr:uid="{00000000-0005-0000-0000-000023070000}"/>
    <cellStyle name="‡_STA-DRP_tw-1 _NEGS_Estimasi Des 2000" xfId="1831" xr:uid="{00000000-0005-0000-0000-000024070000}"/>
    <cellStyle name="‡_STA-DRP_tw-1 _NEGS_HASIL ASSESMENT INVESTASI JT.2001 (1)" xfId="1832" xr:uid="{00000000-0005-0000-0000-000025070000}"/>
    <cellStyle name="‡_STA-DRP_tw-1 _NEGS_Pend2001-rata2-bedahari-2000-sar21814-pend-323-fix-new" xfId="1833" xr:uid="{00000000-0005-0000-0000-000026070000}"/>
    <cellStyle name="‡_STA-DRP_tw-1 _NEGS_Rate 2000" xfId="1834" xr:uid="{00000000-0005-0000-0000-000027070000}"/>
    <cellStyle name="‡_STA-DRP_tw-1 _NEGS_Rekap BoQ Capex MSOAN NAD Thn 2006" xfId="1835" xr:uid="{00000000-0005-0000-0000-000028070000}"/>
    <cellStyle name="‡_STA-DRP_tw-1 _NEGS_SAP Ver 0 Revisi2 Sent VALUE.xls Chart 1" xfId="1836" xr:uid="{00000000-0005-0000-0000-000029070000}"/>
    <cellStyle name="‡_STA-DRP_tw-1 _NEGS_SAP Ver 0 Revisi2 Sent VALUE.xls Chart 1-1" xfId="1837" xr:uid="{00000000-0005-0000-0000-00002A070000}"/>
    <cellStyle name="‡_STA-DRP_tw-1 _NEGS_SAP Ver 0 Revisi2 Sent VALUE.xls Chart 1-2" xfId="1838" xr:uid="{00000000-0005-0000-0000-00002B070000}"/>
    <cellStyle name="‡_STA-DRP_tw-1 _NEGS_SAP Ver 0 Revisi2 Sent VALUE.xls Chart 1-3" xfId="1839" xr:uid="{00000000-0005-0000-0000-00002C070000}"/>
    <cellStyle name="‡_STA-DRP_tw-1 _NEGS_SAP Ver 0 Revisi2 Sent VALUE.xls Chart 1-4" xfId="1840" xr:uid="{00000000-0005-0000-0000-00002D070000}"/>
    <cellStyle name="‡_STA-DRP_tw-1 _NEGS_SAP Ver 0 Revisi2 Sent VALUE.xls Chart 1-5" xfId="1841" xr:uid="{00000000-0005-0000-0000-00002E070000}"/>
    <cellStyle name="‡_STA-DRP_tw-1 _NEGS_Simulasi Produksi Pulsa v16" xfId="1842" xr:uid="{00000000-0005-0000-0000-00002F070000}"/>
    <cellStyle name="‡_STA-DRP_tw-1 _NEGS_simulasi rate-new" xfId="1843" xr:uid="{00000000-0005-0000-0000-000030070000}"/>
    <cellStyle name="‡_STA-DRP_tw-1 _NEGS_SPPS0700-MN" xfId="1844" xr:uid="{00000000-0005-0000-0000-000031070000}"/>
    <cellStyle name="‡_STA-DRP_tw-1 _NEGS_SPPS0700-MN_HASIL ASSESMENT INVESTASI JT.2001 (1)" xfId="1845" xr:uid="{00000000-0005-0000-0000-000032070000}"/>
    <cellStyle name="‡_STA-DRP_tw-1 _NEGS_SPPS0700-MN-new" xfId="1846" xr:uid="{00000000-0005-0000-0000-000033070000}"/>
    <cellStyle name="‡_STA-DRP_tw-1 _NEGS_SPPS0700-MN-new_HASIL ASSESMENT INVESTASI JT.2001 (1)" xfId="1847" xr:uid="{00000000-0005-0000-0000-000034070000}"/>
    <cellStyle name="‡_STA-DRP_tw-1 _NEGS_Target LIS&amp;L252 2002 Corporate STTF 6040" xfId="1848" xr:uid="{00000000-0005-0000-0000-000035070000}"/>
    <cellStyle name="‡_STA-DRP_tw-1 _NEGS_Target Pemasaran 2002 Per STO.xls Chart 1" xfId="1849" xr:uid="{00000000-0005-0000-0000-000036070000}"/>
    <cellStyle name="‡_STA-DRP_tw-1 _NEGS_Target Pemasaran 2002 Per STO.xls Chart 1-1" xfId="1850" xr:uid="{00000000-0005-0000-0000-000037070000}"/>
    <cellStyle name="‡_STA-DRP_tw-1 _NEGS_Target Pemasaran 2002 Per STO.xls Chart 1-2" xfId="1851" xr:uid="{00000000-0005-0000-0000-000038070000}"/>
    <cellStyle name="‡_STA-DRP_tw-1 _NEGS_Target Pemasaran 2002 Per STO.xls Chart 1-3" xfId="1852" xr:uid="{00000000-0005-0000-0000-000039070000}"/>
    <cellStyle name="‡_STA-DRP_tw-1 _NEGS_Target Pemasaran 2002 Per STO.xls Chart 1-4" xfId="1853" xr:uid="{00000000-0005-0000-0000-00003A070000}"/>
    <cellStyle name="‡_STA-DRP_tw-1 _NEGS_Target Pemasaran 2002 Per STO.xls Chart 1-5" xfId="1854" xr:uid="{00000000-0005-0000-0000-00003B070000}"/>
    <cellStyle name="‡_STA-DRP_tw-1 _Pend2001-rata2-bedahari-2000-sar21814-pend-323-fix-new" xfId="1855" xr:uid="{00000000-0005-0000-0000-00003C070000}"/>
    <cellStyle name="‡_STA-DRP_tw-1 _PERSONAL" xfId="1856" xr:uid="{00000000-0005-0000-0000-00003D070000}"/>
    <cellStyle name="‡_STA-DRP_tw-1 _PERSONAL_BOOK1" xfId="1857" xr:uid="{00000000-0005-0000-0000-00003E070000}"/>
    <cellStyle name="‡_STA-DRP_tw-1 _PERSONAL_BOOK1_HASIL ASSESMENT INVESTASI JT.2001 (1)" xfId="1858" xr:uid="{00000000-0005-0000-0000-00003F070000}"/>
    <cellStyle name="‡_STA-DRP_tw-1 _pldt" xfId="1859" xr:uid="{00000000-0005-0000-0000-000040070000}"/>
    <cellStyle name="‡_STA-DRP_tw-1 _Rate 2000" xfId="1860" xr:uid="{00000000-0005-0000-0000-000041070000}"/>
    <cellStyle name="‡_STA-DRP_tw-1 _Rekap BoQ Capex MSOAN NAD Thn 2006" xfId="1861" xr:uid="{00000000-0005-0000-0000-000042070000}"/>
    <cellStyle name="‡_STA-DRP_tw-1 _Roll Out POTS Divre V 2001 cab 20% mas" xfId="1862" xr:uid="{00000000-0005-0000-0000-000043070000}"/>
    <cellStyle name="‡_STA-DRP_tw-1 _SAP Ver 0 Revisi2 Sent VALUE.xls Chart 1" xfId="1863" xr:uid="{00000000-0005-0000-0000-000044070000}"/>
    <cellStyle name="‡_STA-DRP_tw-1 _SAP Ver 0 Revisi2 Sent VALUE.xls Chart 1-1" xfId="1864" xr:uid="{00000000-0005-0000-0000-000045070000}"/>
    <cellStyle name="‡_STA-DRP_tw-1 _SAP Ver 0 Revisi2 Sent VALUE.xls Chart 1-2" xfId="1865" xr:uid="{00000000-0005-0000-0000-000046070000}"/>
    <cellStyle name="‡_STA-DRP_tw-1 _SAP Ver 0 Revisi2 Sent VALUE.xls Chart 1-3" xfId="1866" xr:uid="{00000000-0005-0000-0000-000047070000}"/>
    <cellStyle name="‡_STA-DRP_tw-1 _SAP Ver 0 Revisi2 Sent VALUE.xls Chart 1-4" xfId="1867" xr:uid="{00000000-0005-0000-0000-000048070000}"/>
    <cellStyle name="‡_STA-DRP_tw-1 _SAP Ver 0 Revisi2 Sent VALUE.xls Chart 1-5" xfId="1868" xr:uid="{00000000-0005-0000-0000-000049070000}"/>
    <cellStyle name="‡_STA-DRP_tw-1 _Simulasi Produksi Pulsa v16" xfId="1869" xr:uid="{00000000-0005-0000-0000-00004A070000}"/>
    <cellStyle name="‡_STA-DRP_tw-1 _simulasi rate-new" xfId="1870" xr:uid="{00000000-0005-0000-0000-00004B070000}"/>
    <cellStyle name="‡_STA-DRP_tw-1 _SPPS0700-MN" xfId="1871" xr:uid="{00000000-0005-0000-0000-00004C070000}"/>
    <cellStyle name="‡_STA-DRP_tw-1 _SPPS0700-MN_HASIL ASSESMENT INVESTASI JT.2001 (1)" xfId="1872" xr:uid="{00000000-0005-0000-0000-00004D070000}"/>
    <cellStyle name="‡_STA-DRP_tw-1 _SPPS0700-MN-new" xfId="1873" xr:uid="{00000000-0005-0000-0000-00004E070000}"/>
    <cellStyle name="‡_STA-DRP_tw-1 _SPPS0700-MN-new_HASIL ASSESMENT INVESTASI JT.2001 (1)" xfId="1874" xr:uid="{00000000-0005-0000-0000-00004F070000}"/>
    <cellStyle name="‡_STA-DRP_tw-1 _Target LIS&amp;L252 2002 Corporate STTF 6040" xfId="1875" xr:uid="{00000000-0005-0000-0000-000050070000}"/>
    <cellStyle name="‡_STA-DRP_tw-1 _Target Pemasaran 2002 Per STO.xls Chart 1" xfId="1876" xr:uid="{00000000-0005-0000-0000-000051070000}"/>
    <cellStyle name="‡_STA-DRP_tw-1 _Target Pemasaran 2002 Per STO.xls Chart 1-1" xfId="1877" xr:uid="{00000000-0005-0000-0000-000052070000}"/>
    <cellStyle name="‡_STA-DRP_tw-1 _Target Pemasaran 2002 Per STO.xls Chart 1-2" xfId="1878" xr:uid="{00000000-0005-0000-0000-000053070000}"/>
    <cellStyle name="‡_STA-DRP_tw-1 _Target Pemasaran 2002 Per STO.xls Chart 1-3" xfId="1879" xr:uid="{00000000-0005-0000-0000-000054070000}"/>
    <cellStyle name="‡_STA-DRP_tw-1 _Target Pemasaran 2002 Per STO.xls Chart 1-4" xfId="1880" xr:uid="{00000000-0005-0000-0000-000055070000}"/>
    <cellStyle name="‡_STA-DRP_tw-1 _Target Pemasaran 2002 Per STO.xls Chart 1-5" xfId="1881" xr:uid="{00000000-0005-0000-0000-000056070000}"/>
    <cellStyle name="‡_STA-DRP_Type A2" xfId="1882" xr:uid="{00000000-0005-0000-0000-000057070000}"/>
    <cellStyle name="‡_STA-DRP_USUL INVES 2002 DG REVENUE" xfId="1883" xr:uid="{00000000-0005-0000-0000-000058070000}"/>
    <cellStyle name="‡_STA-DRP_USULAN JARINGAN JEMBER" xfId="1884" xr:uid="{00000000-0005-0000-0000-000059070000}"/>
    <cellStyle name="‡_STA-DRP_Usulan_Investasi_2002_divre5" xfId="1885" xr:uid="{00000000-0005-0000-0000-00005A070000}"/>
    <cellStyle name="‡_STA-DRP_VOKSEL" xfId="1886" xr:uid="{00000000-0005-0000-0000-00005B070000}"/>
    <cellStyle name="‡_STA-DRP_VOKSEL_ANGGARAN  RKAP  JR TH. 2001" xfId="1887" xr:uid="{00000000-0005-0000-0000-00005C070000}"/>
    <cellStyle name="‡_STA-DRP_VOKSEL_BOOK1" xfId="1888" xr:uid="{00000000-0005-0000-0000-00005D070000}"/>
    <cellStyle name="‡_STA-DRP_VOKSEL_HASIL ASSESMENT INVESTASI JT.2001 (1)" xfId="1889" xr:uid="{00000000-0005-0000-0000-00005E070000}"/>
    <cellStyle name="‡_Struktur Produk Infocom" xfId="1890" xr:uid="{00000000-0005-0000-0000-00005F070000}"/>
    <cellStyle name="‡_Summary Per UP Versi2" xfId="1891" xr:uid="{00000000-0005-0000-0000-000060070000}"/>
    <cellStyle name="‡_Target LIS&amp;L252 2002 Corporate STTF 6040" xfId="1892" xr:uid="{00000000-0005-0000-0000-000061070000}"/>
    <cellStyle name="‡_Target Pemasaran 2002 Per STO.xls Chart 1" xfId="1893" xr:uid="{00000000-0005-0000-0000-000062070000}"/>
    <cellStyle name="‡_Target Pemasaran 2002 Per STO.xls Chart 1-1" xfId="1894" xr:uid="{00000000-0005-0000-0000-000063070000}"/>
    <cellStyle name="‡_Target Pemasaran 2002 Per STO.xls Chart 1-2" xfId="1895" xr:uid="{00000000-0005-0000-0000-000064070000}"/>
    <cellStyle name="‡_Target Pemasaran 2002 Per STO.xls Chart 1-3" xfId="1896" xr:uid="{00000000-0005-0000-0000-000065070000}"/>
    <cellStyle name="‡_Target Pemasaran 2002 Per STO.xls Chart 1-4" xfId="1897" xr:uid="{00000000-0005-0000-0000-000066070000}"/>
    <cellStyle name="‡_Target Pemasaran 2002 Per STO.xls Chart 1-5" xfId="1898" xr:uid="{00000000-0005-0000-0000-000067070000}"/>
    <cellStyle name="‡_Target_D04_final" xfId="1899" xr:uid="{00000000-0005-0000-0000-000068070000}"/>
    <cellStyle name="‡_TS D07 Retarget-selesai 13 APRIL 2004" xfId="1900" xr:uid="{00000000-0005-0000-0000-000069070000}"/>
    <cellStyle name="‡_TS_2004_isiver_1" xfId="1901" xr:uid="{00000000-0005-0000-0000-00006A070000}"/>
    <cellStyle name="‡_TS-BISNIS-D4-2003" xfId="1902" xr:uid="{00000000-0005-0000-0000-00006B070000}"/>
    <cellStyle name="‡_TS-OKPI-DIVRE 2-2004_kes_final" xfId="1903" xr:uid="{00000000-0005-0000-0000-00006C070000}"/>
    <cellStyle name="‡_TS-OKPI-DIVRE-2003" xfId="1904" xr:uid="{00000000-0005-0000-0000-00006D070000}"/>
    <cellStyle name="‡_Type A2" xfId="1905" xr:uid="{00000000-0005-0000-0000-00006E070000}"/>
    <cellStyle name="‡_USUL INVES 2002 DG REVENUE" xfId="1906" xr:uid="{00000000-0005-0000-0000-00006F070000}"/>
    <cellStyle name="‡_USULAN JARINGAN JEMBER" xfId="1907" xr:uid="{00000000-0005-0000-0000-000070070000}"/>
    <cellStyle name="‡_Usulan_Investasi_2002_divre5" xfId="1908" xr:uid="{00000000-0005-0000-0000-000071070000}"/>
    <cellStyle name="‡_VOKSEL" xfId="1909" xr:uid="{00000000-0005-0000-0000-000072070000}"/>
    <cellStyle name="‡_VOKSEL_ANGGARAN  RKAP  JR TH. 2001" xfId="1910" xr:uid="{00000000-0005-0000-0000-000073070000}"/>
    <cellStyle name="‡_VOKSEL_BOOK1" xfId="1911" xr:uid="{00000000-0005-0000-0000-000074070000}"/>
    <cellStyle name="‡_VOKSEL_HASIL ASSESMENT INVESTASI JT.2001 (1)" xfId="1912" xr:uid="{00000000-0005-0000-0000-000075070000}"/>
    <cellStyle name="•W?_Pacific Region P&amp;L" xfId="1913" xr:uid="{00000000-0005-0000-0000-000076070000}"/>
    <cellStyle name="•W€_‰¿ŠiƒŠƒXƒg" xfId="1914" xr:uid="{00000000-0005-0000-0000-000077070000}"/>
    <cellStyle name="" xfId="1915" xr:uid="{00000000-0005-0000-0000-000078070000}"/>
    <cellStyle name="" xfId="1916" xr:uid="{00000000-0005-0000-0000-000079070000}"/>
    <cellStyle name="_AREA  AP. JEMBER  PLANT A2" xfId="1917" xr:uid="{00000000-0005-0000-0000-00007A070000}"/>
    <cellStyle name="_AREA  AP. JEMBER  PLANT A2" xfId="1918" xr:uid="{00000000-0005-0000-0000-00007B070000}"/>
    <cellStyle name="_BOOK1" xfId="1919" xr:uid="{00000000-0005-0000-0000-00007C070000}"/>
    <cellStyle name="_BOOK1" xfId="1920" xr:uid="{00000000-0005-0000-0000-00007D070000}"/>
    <cellStyle name="0,0_x000a__x000a_NA_x000a__x000a_" xfId="1921" xr:uid="{00000000-0005-0000-0000-00007E070000}"/>
    <cellStyle name="0,0_x000a__x000a_NA_x000a__x000a_ 2" xfId="1922" xr:uid="{00000000-0005-0000-0000-00007F070000}"/>
    <cellStyle name="0,0_x000a__x000a_NA_x000a__x000a__ama SP JALIN 2008- rev (2) for BOD" xfId="1923" xr:uid="{00000000-0005-0000-0000-000080070000}"/>
    <cellStyle name="0,0_x000d__x000a_NA_x000d__x000a_" xfId="1924" xr:uid="{00000000-0005-0000-0000-000081070000}"/>
    <cellStyle name="0,0_x000d__x000a_NA_x000d__x000a_ 2" xfId="1925" xr:uid="{00000000-0005-0000-0000-000082070000}"/>
    <cellStyle name="0,0_x000d__x000a_NA_x000d__x000a__ama SP JALIN 2008- rev (2) for BOD" xfId="1926" xr:uid="{00000000-0005-0000-0000-000083070000}"/>
    <cellStyle name="000 PN" xfId="1927" xr:uid="{00000000-0005-0000-0000-000084070000}"/>
    <cellStyle name="¹éºÐÀ²_±âÅ¸" xfId="1928" xr:uid="{00000000-0005-0000-0000-000085070000}"/>
    <cellStyle name="259 PN" xfId="1929" xr:uid="{00000000-0005-0000-0000-000086070000}"/>
    <cellStyle name="600 PN" xfId="1930" xr:uid="{00000000-0005-0000-0000-000087070000}"/>
    <cellStyle name="6mal" xfId="1931" xr:uid="{00000000-0005-0000-0000-000088070000}"/>
    <cellStyle name="700 PN" xfId="1932" xr:uid="{00000000-0005-0000-0000-000089070000}"/>
    <cellStyle name="a" xfId="1933" xr:uid="{00000000-0005-0000-0000-00008A070000}"/>
    <cellStyle name="a1" xfId="1934" xr:uid="{00000000-0005-0000-0000-00008B070000}"/>
    <cellStyle name="a1 2" xfId="3846" xr:uid="{00000000-0005-0000-0000-00008C070000}"/>
    <cellStyle name="ac" xfId="1935" xr:uid="{00000000-0005-0000-0000-00008D070000}"/>
    <cellStyle name="ac 2" xfId="3847" xr:uid="{00000000-0005-0000-0000-00008E070000}"/>
    <cellStyle name="ÅëÈ­ [0]_±âÅ¸" xfId="1936" xr:uid="{00000000-0005-0000-0000-00008F070000}"/>
    <cellStyle name="ÅëÈ­_±âÅ¸" xfId="1937" xr:uid="{00000000-0005-0000-0000-000090070000}"/>
    <cellStyle name="args.style" xfId="1938" xr:uid="{00000000-0005-0000-0000-000091070000}"/>
    <cellStyle name="Arial10" xfId="1939" xr:uid="{00000000-0005-0000-0000-000092070000}"/>
    <cellStyle name="Assumption" xfId="1940" xr:uid="{00000000-0005-0000-0000-000093070000}"/>
    <cellStyle name="AssumptionHeader" xfId="1941" xr:uid="{00000000-0005-0000-0000-000094070000}"/>
    <cellStyle name="ÄÞ¸¶ [0]_±âÅ¸" xfId="1942" xr:uid="{00000000-0005-0000-0000-000095070000}"/>
    <cellStyle name="ÄÞ¸¶_±âÅ¸" xfId="1943" xr:uid="{00000000-0005-0000-0000-000096070000}"/>
    <cellStyle name="axlcolour" xfId="1944" xr:uid="{00000000-0005-0000-0000-000097070000}"/>
    <cellStyle name="back" xfId="1945" xr:uid="{00000000-0005-0000-0000-000098070000}"/>
    <cellStyle name="Background" xfId="1946" xr:uid="{00000000-0005-0000-0000-000099070000}"/>
    <cellStyle name="Benchmark" xfId="1947" xr:uid="{00000000-0005-0000-0000-00009A070000}"/>
    <cellStyle name="big" xfId="1948" xr:uid="{00000000-0005-0000-0000-00009B070000}"/>
    <cellStyle name="billion" xfId="1949" xr:uid="{00000000-0005-0000-0000-00009C070000}"/>
    <cellStyle name="Board Level" xfId="1950" xr:uid="{00000000-0005-0000-0000-00009D070000}"/>
    <cellStyle name="Body" xfId="1951" xr:uid="{00000000-0005-0000-0000-00009E070000}"/>
    <cellStyle name="bol" xfId="1952" xr:uid="{00000000-0005-0000-0000-00009F070000}"/>
    <cellStyle name="Bol 1" xfId="1953" xr:uid="{00000000-0005-0000-0000-0000A0070000}"/>
    <cellStyle name="Bol 1 2" xfId="3848" xr:uid="{00000000-0005-0000-0000-0000A1070000}"/>
    <cellStyle name="bol_Summary of Payment 10 Nov 2008" xfId="1954" xr:uid="{00000000-0005-0000-0000-0000A2070000}"/>
    <cellStyle name="bol1" xfId="1955" xr:uid="{00000000-0005-0000-0000-0000A3070000}"/>
    <cellStyle name="Bold" xfId="1956" xr:uid="{00000000-0005-0000-0000-0000A4070000}"/>
    <cellStyle name="BOLD &amp; SHADED" xfId="1957" xr:uid="{00000000-0005-0000-0000-0000A5070000}"/>
    <cellStyle name="Border" xfId="1958" xr:uid="{00000000-0005-0000-0000-0000A6070000}"/>
    <cellStyle name="Breakdown Name" xfId="1959" xr:uid="{00000000-0005-0000-0000-0000A7070000}"/>
    <cellStyle name="Breakdown Price" xfId="1960" xr:uid="{00000000-0005-0000-0000-0000A8070000}"/>
    <cellStyle name="Breakdown SNR" xfId="1961" xr:uid="{00000000-0005-0000-0000-0000A9070000}"/>
    <cellStyle name="Ç¥ÁØ_¿¬°£´©°è¿¹»ó" xfId="1962" xr:uid="{00000000-0005-0000-0000-0000AA070000}"/>
    <cellStyle name="C600 PN" xfId="1963" xr:uid="{00000000-0005-0000-0000-0000AB070000}"/>
    <cellStyle name="Calc Currency (0)" xfId="1964" xr:uid="{00000000-0005-0000-0000-0000AC070000}"/>
    <cellStyle name="Calc Currency (2)" xfId="1965" xr:uid="{00000000-0005-0000-0000-0000AD070000}"/>
    <cellStyle name="Calc Percent (0)" xfId="1966" xr:uid="{00000000-0005-0000-0000-0000AE070000}"/>
    <cellStyle name="Calc Percent (1)" xfId="1967" xr:uid="{00000000-0005-0000-0000-0000AF070000}"/>
    <cellStyle name="Calc Percent (2)" xfId="1968" xr:uid="{00000000-0005-0000-0000-0000B0070000}"/>
    <cellStyle name="Calc Units (0)" xfId="1969" xr:uid="{00000000-0005-0000-0000-0000B1070000}"/>
    <cellStyle name="Calc Units (1)" xfId="1970" xr:uid="{00000000-0005-0000-0000-0000B2070000}"/>
    <cellStyle name="Calc Units (2)" xfId="1971" xr:uid="{00000000-0005-0000-0000-0000B3070000}"/>
    <cellStyle name="Card" xfId="1972" xr:uid="{00000000-0005-0000-0000-0000B4070000}"/>
    <cellStyle name="Card B" xfId="1973" xr:uid="{00000000-0005-0000-0000-0000B5070000}"/>
    <cellStyle name="Card BL" xfId="1974" xr:uid="{00000000-0005-0000-0000-0000B6070000}"/>
    <cellStyle name="Card BR" xfId="1975" xr:uid="{00000000-0005-0000-0000-0000B7070000}"/>
    <cellStyle name="Card L" xfId="1976" xr:uid="{00000000-0005-0000-0000-0000B8070000}"/>
    <cellStyle name="Card R" xfId="1977" xr:uid="{00000000-0005-0000-0000-0000B9070000}"/>
    <cellStyle name="Card T" xfId="1978" xr:uid="{00000000-0005-0000-0000-0000BA070000}"/>
    <cellStyle name="Card TL" xfId="1979" xr:uid="{00000000-0005-0000-0000-0000BB070000}"/>
    <cellStyle name="Card TR" xfId="1980" xr:uid="{00000000-0005-0000-0000-0000BC070000}"/>
    <cellStyle name="category" xfId="1981" xr:uid="{00000000-0005-0000-0000-0000BD070000}"/>
    <cellStyle name="Changeable" xfId="1982" xr:uid="{00000000-0005-0000-0000-0000BE070000}"/>
    <cellStyle name="Code" xfId="1983" xr:uid="{00000000-0005-0000-0000-0000BF070000}"/>
    <cellStyle name="Code Section" xfId="1984" xr:uid="{00000000-0005-0000-0000-0000C0070000}"/>
    <cellStyle name="Column Header" xfId="1985" xr:uid="{00000000-0005-0000-0000-0000C1070000}"/>
    <cellStyle name="Column Heading" xfId="1986" xr:uid="{00000000-0005-0000-0000-0000C2070000}"/>
    <cellStyle name="Column Heading (No Wrap)" xfId="1987" xr:uid="{00000000-0005-0000-0000-0000C3070000}"/>
    <cellStyle name="Column Total" xfId="1988" xr:uid="{00000000-0005-0000-0000-0000C4070000}"/>
    <cellStyle name="Comma" xfId="1" builtinId="3"/>
    <cellStyle name="Comma  - Style1" xfId="1989" xr:uid="{00000000-0005-0000-0000-0000C6070000}"/>
    <cellStyle name="Comma  - Style2" xfId="1990" xr:uid="{00000000-0005-0000-0000-0000C7070000}"/>
    <cellStyle name="Comma  - Style3" xfId="1991" xr:uid="{00000000-0005-0000-0000-0000C8070000}"/>
    <cellStyle name="Comma  - Style4" xfId="1992" xr:uid="{00000000-0005-0000-0000-0000C9070000}"/>
    <cellStyle name="Comma  - Style5" xfId="1993" xr:uid="{00000000-0005-0000-0000-0000CA070000}"/>
    <cellStyle name="Comma  - Style6" xfId="1994" xr:uid="{00000000-0005-0000-0000-0000CB070000}"/>
    <cellStyle name="Comma  - Style7" xfId="1995" xr:uid="{00000000-0005-0000-0000-0000CC070000}"/>
    <cellStyle name="Comma  - Style8" xfId="1996" xr:uid="{00000000-0005-0000-0000-0000CD070000}"/>
    <cellStyle name="Comma - Style1" xfId="1997" xr:uid="{00000000-0005-0000-0000-0000CE070000}"/>
    <cellStyle name="Comma - Style2" xfId="1998" xr:uid="{00000000-0005-0000-0000-0000CF070000}"/>
    <cellStyle name="Comma - Style3" xfId="1999" xr:uid="{00000000-0005-0000-0000-0000D0070000}"/>
    <cellStyle name="Comma - Style4" xfId="2000" xr:uid="{00000000-0005-0000-0000-0000D1070000}"/>
    <cellStyle name="Comma - Style5" xfId="2001" xr:uid="{00000000-0005-0000-0000-0000D2070000}"/>
    <cellStyle name="Comma - Style6" xfId="2002" xr:uid="{00000000-0005-0000-0000-0000D3070000}"/>
    <cellStyle name="Comma - Style7" xfId="2003" xr:uid="{00000000-0005-0000-0000-0000D4070000}"/>
    <cellStyle name="Comma - Style8" xfId="2004" xr:uid="{00000000-0005-0000-0000-0000D5070000}"/>
    <cellStyle name="Comma [0]" xfId="4103" builtinId="6"/>
    <cellStyle name="Comma [0] 10" xfId="2005" xr:uid="{00000000-0005-0000-0000-0000D7070000}"/>
    <cellStyle name="Comma [0] 11" xfId="2006" xr:uid="{00000000-0005-0000-0000-0000D8070000}"/>
    <cellStyle name="Comma [0] 12" xfId="2007" xr:uid="{00000000-0005-0000-0000-0000D9070000}"/>
    <cellStyle name="Comma [0] 12 2" xfId="3849" xr:uid="{00000000-0005-0000-0000-0000DA070000}"/>
    <cellStyle name="Comma [0] 13" xfId="2008" xr:uid="{00000000-0005-0000-0000-0000DB070000}"/>
    <cellStyle name="Comma [0] 13 2" xfId="2009" xr:uid="{00000000-0005-0000-0000-0000DC070000}"/>
    <cellStyle name="Comma [0] 13 2 2" xfId="3851" xr:uid="{00000000-0005-0000-0000-0000DD070000}"/>
    <cellStyle name="Comma [0] 13 3" xfId="3850" xr:uid="{00000000-0005-0000-0000-0000DE070000}"/>
    <cellStyle name="Comma [0] 14" xfId="2010" xr:uid="{00000000-0005-0000-0000-0000DF070000}"/>
    <cellStyle name="Comma [0] 14 2" xfId="2011" xr:uid="{00000000-0005-0000-0000-0000E0070000}"/>
    <cellStyle name="Comma [0] 15" xfId="4106" xr:uid="{00000000-0005-0000-0000-0000E1070000}"/>
    <cellStyle name="Comma [0] 16" xfId="4109" xr:uid="{00000000-0005-0000-0000-0000E2070000}"/>
    <cellStyle name="Comma [0] 17" xfId="4112" xr:uid="{00000000-0005-0000-0000-0000E3070000}"/>
    <cellStyle name="Comma [0] 18" xfId="4120" xr:uid="{00000000-0005-0000-0000-0000E4070000}"/>
    <cellStyle name="Comma [0] 19" xfId="4121" xr:uid="{00000000-0005-0000-0000-0000E5070000}"/>
    <cellStyle name="Comma [0] 2" xfId="2012" xr:uid="{00000000-0005-0000-0000-0000E6070000}"/>
    <cellStyle name="Comma [0] 2 2" xfId="2013" xr:uid="{00000000-0005-0000-0000-0000E7070000}"/>
    <cellStyle name="Comma [0] 2 2 2" xfId="2014" xr:uid="{00000000-0005-0000-0000-0000E8070000}"/>
    <cellStyle name="Comma [0] 2 3" xfId="2015" xr:uid="{00000000-0005-0000-0000-0000E9070000}"/>
    <cellStyle name="Comma [0] 2 4" xfId="2016" xr:uid="{00000000-0005-0000-0000-0000EA070000}"/>
    <cellStyle name="Comma [0] 2 7" xfId="2017" xr:uid="{00000000-0005-0000-0000-0000EB070000}"/>
    <cellStyle name="Comma [0] 2 7 2" xfId="2018" xr:uid="{00000000-0005-0000-0000-0000EC070000}"/>
    <cellStyle name="Comma [0] 2 7 2 2" xfId="2019" xr:uid="{00000000-0005-0000-0000-0000ED070000}"/>
    <cellStyle name="Comma [0] 2_CJ 2009 LMIRT" xfId="2020" xr:uid="{00000000-0005-0000-0000-0000EE070000}"/>
    <cellStyle name="Comma [0] 20" xfId="4125" xr:uid="{00000000-0005-0000-0000-0000EF070000}"/>
    <cellStyle name="Comma [0] 21" xfId="4134" xr:uid="{00000000-0005-0000-0000-0000F0070000}"/>
    <cellStyle name="Comma [0] 3" xfId="2021" xr:uid="{00000000-0005-0000-0000-0000F1070000}"/>
    <cellStyle name="Comma [0] 3 2" xfId="2022" xr:uid="{00000000-0005-0000-0000-0000F2070000}"/>
    <cellStyle name="Comma [0] 3 2 2" xfId="2023" xr:uid="{00000000-0005-0000-0000-0000F3070000}"/>
    <cellStyle name="Comma [0] 3 3" xfId="2024" xr:uid="{00000000-0005-0000-0000-0000F4070000}"/>
    <cellStyle name="Comma [0] 3 3 2" xfId="2025" xr:uid="{00000000-0005-0000-0000-0000F5070000}"/>
    <cellStyle name="Comma [0] 3 3 2 2" xfId="2026" xr:uid="{00000000-0005-0000-0000-0000F6070000}"/>
    <cellStyle name="Comma [0] 3 3 2 2 2" xfId="3853" xr:uid="{00000000-0005-0000-0000-0000F7070000}"/>
    <cellStyle name="Comma [0] 3 3 2 3" xfId="3852" xr:uid="{00000000-0005-0000-0000-0000F8070000}"/>
    <cellStyle name="Comma [0] 3 4" xfId="2027" xr:uid="{00000000-0005-0000-0000-0000F9070000}"/>
    <cellStyle name="Comma [0] 3 5" xfId="2028" xr:uid="{00000000-0005-0000-0000-0000FA070000}"/>
    <cellStyle name="Comma [0] 4" xfId="2029" xr:uid="{00000000-0005-0000-0000-0000FB070000}"/>
    <cellStyle name="Comma [0] 4 2" xfId="2030" xr:uid="{00000000-0005-0000-0000-0000FC070000}"/>
    <cellStyle name="Comma [0] 4 3" xfId="4129" xr:uid="{00000000-0005-0000-0000-0000FD070000}"/>
    <cellStyle name="Comma [0] 5" xfId="2031" xr:uid="{00000000-0005-0000-0000-0000FE070000}"/>
    <cellStyle name="Comma [0] 5 2" xfId="2032" xr:uid="{00000000-0005-0000-0000-0000FF070000}"/>
    <cellStyle name="Comma [0] 6" xfId="2033" xr:uid="{00000000-0005-0000-0000-000000080000}"/>
    <cellStyle name="Comma [0] 6 2" xfId="2034" xr:uid="{00000000-0005-0000-0000-000001080000}"/>
    <cellStyle name="Comma [0] 7" xfId="2035" xr:uid="{00000000-0005-0000-0000-000002080000}"/>
    <cellStyle name="Comma [0] 7 2" xfId="2036" xr:uid="{00000000-0005-0000-0000-000003080000}"/>
    <cellStyle name="Comma [0] 7 3" xfId="2037" xr:uid="{00000000-0005-0000-0000-000004080000}"/>
    <cellStyle name="Comma [0] 7 3 2" xfId="2038" xr:uid="{00000000-0005-0000-0000-000005080000}"/>
    <cellStyle name="Comma [0] 8" xfId="2039" xr:uid="{00000000-0005-0000-0000-000006080000}"/>
    <cellStyle name="Comma [0] 9" xfId="2040" xr:uid="{00000000-0005-0000-0000-000007080000}"/>
    <cellStyle name="Comma [0] 9 2" xfId="2041" xr:uid="{00000000-0005-0000-0000-000008080000}"/>
    <cellStyle name="Comma [00]" xfId="2042" xr:uid="{00000000-0005-0000-0000-000009080000}"/>
    <cellStyle name="Comma 10" xfId="2043" xr:uid="{00000000-0005-0000-0000-00000A080000}"/>
    <cellStyle name="Comma 10 2" xfId="2044" xr:uid="{00000000-0005-0000-0000-00000B080000}"/>
    <cellStyle name="Comma 11" xfId="2045" xr:uid="{00000000-0005-0000-0000-00000C080000}"/>
    <cellStyle name="Comma 11 2" xfId="2046" xr:uid="{00000000-0005-0000-0000-00000D080000}"/>
    <cellStyle name="Comma 11 2 2" xfId="2047" xr:uid="{00000000-0005-0000-0000-00000E080000}"/>
    <cellStyle name="Comma 12" xfId="2048" xr:uid="{00000000-0005-0000-0000-00000F080000}"/>
    <cellStyle name="Comma 12 2" xfId="2049" xr:uid="{00000000-0005-0000-0000-000010080000}"/>
    <cellStyle name="Comma 12 2 2" xfId="2050" xr:uid="{00000000-0005-0000-0000-000011080000}"/>
    <cellStyle name="Comma 12 2 2 2" xfId="2051" xr:uid="{00000000-0005-0000-0000-000012080000}"/>
    <cellStyle name="Comma 12 2 2 3" xfId="2052" xr:uid="{00000000-0005-0000-0000-000013080000}"/>
    <cellStyle name="Comma 12 2 3" xfId="2053" xr:uid="{00000000-0005-0000-0000-000014080000}"/>
    <cellStyle name="Comma 12 3" xfId="2054" xr:uid="{00000000-0005-0000-0000-000015080000}"/>
    <cellStyle name="Comma 13" xfId="2055" xr:uid="{00000000-0005-0000-0000-000016080000}"/>
    <cellStyle name="Comma 14" xfId="2056" xr:uid="{00000000-0005-0000-0000-000017080000}"/>
    <cellStyle name="Comma 15" xfId="2057" xr:uid="{00000000-0005-0000-0000-000018080000}"/>
    <cellStyle name="Comma 16" xfId="2058" xr:uid="{00000000-0005-0000-0000-000019080000}"/>
    <cellStyle name="Comma 16 2" xfId="2059" xr:uid="{00000000-0005-0000-0000-00001A080000}"/>
    <cellStyle name="Comma 16 2 2" xfId="2060" xr:uid="{00000000-0005-0000-0000-00001B080000}"/>
    <cellStyle name="Comma 16 2 2 2" xfId="3856" xr:uid="{00000000-0005-0000-0000-00001C080000}"/>
    <cellStyle name="Comma 16 2 3" xfId="3855" xr:uid="{00000000-0005-0000-0000-00001D080000}"/>
    <cellStyle name="Comma 16 3" xfId="2061" xr:uid="{00000000-0005-0000-0000-00001E080000}"/>
    <cellStyle name="Comma 16 3 2" xfId="3857" xr:uid="{00000000-0005-0000-0000-00001F080000}"/>
    <cellStyle name="Comma 16 4" xfId="3854" xr:uid="{00000000-0005-0000-0000-000020080000}"/>
    <cellStyle name="Comma 17" xfId="2062" xr:uid="{00000000-0005-0000-0000-000021080000}"/>
    <cellStyle name="Comma 17 2" xfId="3858" xr:uid="{00000000-0005-0000-0000-000022080000}"/>
    <cellStyle name="Comma 18" xfId="2063" xr:uid="{00000000-0005-0000-0000-000023080000}"/>
    <cellStyle name="Comma 18 2" xfId="2064" xr:uid="{00000000-0005-0000-0000-000024080000}"/>
    <cellStyle name="Comma 19" xfId="2065" xr:uid="{00000000-0005-0000-0000-000025080000}"/>
    <cellStyle name="Comma 2" xfId="2066" xr:uid="{00000000-0005-0000-0000-000026080000}"/>
    <cellStyle name="Comma 2 2" xfId="2067" xr:uid="{00000000-0005-0000-0000-000027080000}"/>
    <cellStyle name="Comma 2 3" xfId="2068" xr:uid="{00000000-0005-0000-0000-000028080000}"/>
    <cellStyle name="Comma 2 4" xfId="4130" xr:uid="{00000000-0005-0000-0000-000029080000}"/>
    <cellStyle name="Comma 2_CJ 2009 LMIRT" xfId="2069" xr:uid="{00000000-0005-0000-0000-00002A080000}"/>
    <cellStyle name="Comma 20" xfId="2070" xr:uid="{00000000-0005-0000-0000-00002B080000}"/>
    <cellStyle name="Comma 20 2" xfId="2071" xr:uid="{00000000-0005-0000-0000-00002C080000}"/>
    <cellStyle name="Comma 21" xfId="2072" xr:uid="{00000000-0005-0000-0000-00002D080000}"/>
    <cellStyle name="Comma 22" xfId="2073" xr:uid="{00000000-0005-0000-0000-00002E080000}"/>
    <cellStyle name="Comma 23" xfId="2074" xr:uid="{00000000-0005-0000-0000-00002F080000}"/>
    <cellStyle name="Comma 23 2" xfId="3859" xr:uid="{00000000-0005-0000-0000-000030080000}"/>
    <cellStyle name="Comma 24" xfId="2075" xr:uid="{00000000-0005-0000-0000-000031080000}"/>
    <cellStyle name="Comma 24 2" xfId="3860" xr:uid="{00000000-0005-0000-0000-000032080000}"/>
    <cellStyle name="Comma 25" xfId="2076" xr:uid="{00000000-0005-0000-0000-000033080000}"/>
    <cellStyle name="Comma 25 2" xfId="3861" xr:uid="{00000000-0005-0000-0000-000034080000}"/>
    <cellStyle name="Comma 26" xfId="2077" xr:uid="{00000000-0005-0000-0000-000035080000}"/>
    <cellStyle name="Comma 26 2" xfId="3862" xr:uid="{00000000-0005-0000-0000-000036080000}"/>
    <cellStyle name="Comma 27" xfId="2078" xr:uid="{00000000-0005-0000-0000-000037080000}"/>
    <cellStyle name="Comma 27 2" xfId="3863" xr:uid="{00000000-0005-0000-0000-000038080000}"/>
    <cellStyle name="Comma 28" xfId="2079" xr:uid="{00000000-0005-0000-0000-000039080000}"/>
    <cellStyle name="Comma 28 2" xfId="3864" xr:uid="{00000000-0005-0000-0000-00003A080000}"/>
    <cellStyle name="Comma 29" xfId="2080" xr:uid="{00000000-0005-0000-0000-00003B080000}"/>
    <cellStyle name="Comma 29 2" xfId="3865" xr:uid="{00000000-0005-0000-0000-00003C080000}"/>
    <cellStyle name="Comma 3" xfId="2081" xr:uid="{00000000-0005-0000-0000-00003D080000}"/>
    <cellStyle name="Comma 3 10" xfId="2082" xr:uid="{00000000-0005-0000-0000-00003E080000}"/>
    <cellStyle name="Comma 3 11" xfId="2083" xr:uid="{00000000-0005-0000-0000-00003F080000}"/>
    <cellStyle name="Comma 3 12" xfId="2084" xr:uid="{00000000-0005-0000-0000-000040080000}"/>
    <cellStyle name="Comma 3 13" xfId="2085" xr:uid="{00000000-0005-0000-0000-000041080000}"/>
    <cellStyle name="Comma 3 2" xfId="2086" xr:uid="{00000000-0005-0000-0000-000042080000}"/>
    <cellStyle name="Comma 3 2 2" xfId="2087" xr:uid="{00000000-0005-0000-0000-000043080000}"/>
    <cellStyle name="Comma 3 2 2 2" xfId="2088" xr:uid="{00000000-0005-0000-0000-000044080000}"/>
    <cellStyle name="Comma 3 2 2 3" xfId="2089" xr:uid="{00000000-0005-0000-0000-000045080000}"/>
    <cellStyle name="Comma 3 2 2 3 2" xfId="2090" xr:uid="{00000000-0005-0000-0000-000046080000}"/>
    <cellStyle name="Comma 3 2 2 3_Detail MLC 2009" xfId="2091" xr:uid="{00000000-0005-0000-0000-000047080000}"/>
    <cellStyle name="Comma 3 2 2_1.Form Budget 2009" xfId="2092" xr:uid="{00000000-0005-0000-0000-000048080000}"/>
    <cellStyle name="Comma 3 2 3" xfId="2093" xr:uid="{00000000-0005-0000-0000-000049080000}"/>
    <cellStyle name="Comma 3 2 4" xfId="2094" xr:uid="{00000000-0005-0000-0000-00004A080000}"/>
    <cellStyle name="Comma 3 2 5" xfId="2095" xr:uid="{00000000-0005-0000-0000-00004B080000}"/>
    <cellStyle name="Comma 3 2_Detail MLC 2009" xfId="2096" xr:uid="{00000000-0005-0000-0000-00004C080000}"/>
    <cellStyle name="Comma 3 3" xfId="2097" xr:uid="{00000000-0005-0000-0000-00004D080000}"/>
    <cellStyle name="Comma 3 3 2" xfId="2098" xr:uid="{00000000-0005-0000-0000-00004E080000}"/>
    <cellStyle name="Comma 3 3 3" xfId="2099" xr:uid="{00000000-0005-0000-0000-00004F080000}"/>
    <cellStyle name="Comma 3 3 3 2" xfId="2100" xr:uid="{00000000-0005-0000-0000-000050080000}"/>
    <cellStyle name="Comma 3 3 3_Detail MLC 2009" xfId="2101" xr:uid="{00000000-0005-0000-0000-000051080000}"/>
    <cellStyle name="Comma 3 3_1.Form Budget 2009" xfId="2102" xr:uid="{00000000-0005-0000-0000-000052080000}"/>
    <cellStyle name="Comma 3 4" xfId="2103" xr:uid="{00000000-0005-0000-0000-000053080000}"/>
    <cellStyle name="Comma 3 5" xfId="2104" xr:uid="{00000000-0005-0000-0000-000054080000}"/>
    <cellStyle name="Comma 3 6" xfId="2105" xr:uid="{00000000-0005-0000-0000-000055080000}"/>
    <cellStyle name="Comma 3 7" xfId="2106" xr:uid="{00000000-0005-0000-0000-000056080000}"/>
    <cellStyle name="Comma 3 7 2" xfId="2107" xr:uid="{00000000-0005-0000-0000-000057080000}"/>
    <cellStyle name="Comma 3 7 2 2" xfId="2108" xr:uid="{00000000-0005-0000-0000-000058080000}"/>
    <cellStyle name="Comma 3 7 2 2 2" xfId="3867" xr:uid="{00000000-0005-0000-0000-000059080000}"/>
    <cellStyle name="Comma 3 7 2 3" xfId="3866" xr:uid="{00000000-0005-0000-0000-00005A080000}"/>
    <cellStyle name="Comma 3 8" xfId="2109" xr:uid="{00000000-0005-0000-0000-00005B080000}"/>
    <cellStyle name="Comma 3 9" xfId="2110" xr:uid="{00000000-0005-0000-0000-00005C080000}"/>
    <cellStyle name="Comma 3_Detail MLC 2009" xfId="2111" xr:uid="{00000000-0005-0000-0000-00005D080000}"/>
    <cellStyle name="Comma 30" xfId="2112" xr:uid="{00000000-0005-0000-0000-00005E080000}"/>
    <cellStyle name="Comma 30 2" xfId="3868" xr:uid="{00000000-0005-0000-0000-00005F080000}"/>
    <cellStyle name="Comma 31" xfId="3839" xr:uid="{00000000-0005-0000-0000-000060080000}"/>
    <cellStyle name="Comma 32" xfId="3841" xr:uid="{00000000-0005-0000-0000-000061080000}"/>
    <cellStyle name="Comma 33" xfId="3843" xr:uid="{00000000-0005-0000-0000-000062080000}"/>
    <cellStyle name="Comma 34" xfId="3845" xr:uid="{00000000-0005-0000-0000-000063080000}"/>
    <cellStyle name="Comma 35" xfId="4114" xr:uid="{00000000-0005-0000-0000-000064080000}"/>
    <cellStyle name="Comma 36" xfId="4126" xr:uid="{00000000-0005-0000-0000-000065080000}"/>
    <cellStyle name="Comma 37" xfId="4133" xr:uid="{00000000-0005-0000-0000-000066080000}"/>
    <cellStyle name="Comma 4" xfId="2113" xr:uid="{00000000-0005-0000-0000-000067080000}"/>
    <cellStyle name="Comma 4 2" xfId="2114" xr:uid="{00000000-0005-0000-0000-000068080000}"/>
    <cellStyle name="Comma 4 3" xfId="2115" xr:uid="{00000000-0005-0000-0000-000069080000}"/>
    <cellStyle name="Comma 4_Format AR-update feb 09" xfId="2116" xr:uid="{00000000-0005-0000-0000-00006A080000}"/>
    <cellStyle name="Comma 5" xfId="2117" xr:uid="{00000000-0005-0000-0000-00006B080000}"/>
    <cellStyle name="Comma 5 2" xfId="2118" xr:uid="{00000000-0005-0000-0000-00006C080000}"/>
    <cellStyle name="Comma 5 2 2" xfId="4122" xr:uid="{00000000-0005-0000-0000-00006D080000}"/>
    <cellStyle name="Comma 5 2 3" xfId="4127" xr:uid="{00000000-0005-0000-0000-00006E080000}"/>
    <cellStyle name="Comma 5_Detail MLC 2009" xfId="2119" xr:uid="{00000000-0005-0000-0000-00006F080000}"/>
    <cellStyle name="Comma 6" xfId="2120" xr:uid="{00000000-0005-0000-0000-000070080000}"/>
    <cellStyle name="Comma 7" xfId="2121" xr:uid="{00000000-0005-0000-0000-000071080000}"/>
    <cellStyle name="Comma 7 2" xfId="2122" xr:uid="{00000000-0005-0000-0000-000072080000}"/>
    <cellStyle name="Comma 7 3" xfId="2123" xr:uid="{00000000-0005-0000-0000-000073080000}"/>
    <cellStyle name="Comma 7 3 2" xfId="2124" xr:uid="{00000000-0005-0000-0000-000074080000}"/>
    <cellStyle name="Comma 8" xfId="2125" xr:uid="{00000000-0005-0000-0000-000075080000}"/>
    <cellStyle name="Comma 9" xfId="2126" xr:uid="{00000000-0005-0000-0000-000076080000}"/>
    <cellStyle name="competitor" xfId="2127" xr:uid="{00000000-0005-0000-0000-000077080000}"/>
    <cellStyle name="Copied" xfId="2128" xr:uid="{00000000-0005-0000-0000-000078080000}"/>
    <cellStyle name="COST1" xfId="2129" xr:uid="{00000000-0005-0000-0000-000079080000}"/>
    <cellStyle name="Costs" xfId="2130" xr:uid="{00000000-0005-0000-0000-00007A080000}"/>
    <cellStyle name="Currency (0.00)" xfId="2131" xr:uid="{00000000-0005-0000-0000-00007B080000}"/>
    <cellStyle name="Currency [00]" xfId="2132" xr:uid="{00000000-0005-0000-0000-00007C080000}"/>
    <cellStyle name="Currency 2" xfId="2133" xr:uid="{00000000-0005-0000-0000-00007D080000}"/>
    <cellStyle name="Currency-protected" xfId="2134" xr:uid="{00000000-0005-0000-0000-00007E080000}"/>
    <cellStyle name="Currsmall" xfId="2135" xr:uid="{00000000-0005-0000-0000-00007F080000}"/>
    <cellStyle name="Custom - Style8" xfId="2136" xr:uid="{00000000-0005-0000-0000-000080080000}"/>
    <cellStyle name="Data   - Style2" xfId="2137" xr:uid="{00000000-0005-0000-0000-000081080000}"/>
    <cellStyle name="database" xfId="2138" xr:uid="{00000000-0005-0000-0000-000082080000}"/>
    <cellStyle name="Date" xfId="2139" xr:uid="{00000000-0005-0000-0000-000083080000}"/>
    <cellStyle name="Date Short" xfId="2140" xr:uid="{00000000-0005-0000-0000-000084080000}"/>
    <cellStyle name="Date_Actual vs budget OKT 2008" xfId="2141" xr:uid="{00000000-0005-0000-0000-000085080000}"/>
    <cellStyle name="datum" xfId="2142" xr:uid="{00000000-0005-0000-0000-000086080000}"/>
    <cellStyle name="Decimal" xfId="2143" xr:uid="{00000000-0005-0000-0000-000087080000}"/>
    <cellStyle name="Decimal2" xfId="2144" xr:uid="{00000000-0005-0000-0000-000088080000}"/>
    <cellStyle name="Description" xfId="2145" xr:uid="{00000000-0005-0000-0000-000089080000}"/>
    <cellStyle name="Dezimal [0]_96_97" xfId="2146" xr:uid="{00000000-0005-0000-0000-00008A080000}"/>
    <cellStyle name="Dezimal_96_97" xfId="2147" xr:uid="{00000000-0005-0000-0000-00008B080000}"/>
    <cellStyle name="Enter Currency (0)" xfId="2148" xr:uid="{00000000-0005-0000-0000-00008C080000}"/>
    <cellStyle name="Enter Currency (2)" xfId="2149" xr:uid="{00000000-0005-0000-0000-00008D080000}"/>
    <cellStyle name="Enter Units (0)" xfId="2150" xr:uid="{00000000-0005-0000-0000-00008E080000}"/>
    <cellStyle name="Enter Units (1)" xfId="2151" xr:uid="{00000000-0005-0000-0000-00008F080000}"/>
    <cellStyle name="Enter Units (2)" xfId="2152" xr:uid="{00000000-0005-0000-0000-000090080000}"/>
    <cellStyle name="Entered" xfId="2153" xr:uid="{00000000-0005-0000-0000-000091080000}"/>
    <cellStyle name="Equipment Description" xfId="2154" xr:uid="{00000000-0005-0000-0000-000092080000}"/>
    <cellStyle name="Equipment Item Number" xfId="2155" xr:uid="{00000000-0005-0000-0000-000093080000}"/>
    <cellStyle name="Equipment Name" xfId="2156" xr:uid="{00000000-0005-0000-0000-000094080000}"/>
    <cellStyle name="Equipment SNR" xfId="2157" xr:uid="{00000000-0005-0000-0000-000095080000}"/>
    <cellStyle name="Euro" xfId="2158" xr:uid="{00000000-0005-0000-0000-000096080000}"/>
    <cellStyle name="Euro billion" xfId="2159" xr:uid="{00000000-0005-0000-0000-000097080000}"/>
    <cellStyle name="Euro million" xfId="2160" xr:uid="{00000000-0005-0000-0000-000098080000}"/>
    <cellStyle name="Euro thousand" xfId="2161" xr:uid="{00000000-0005-0000-0000-000099080000}"/>
    <cellStyle name="Euro_Celcom Business Case Rev PA1" xfId="2162" xr:uid="{00000000-0005-0000-0000-00009A080000}"/>
    <cellStyle name="Excel_BuiltIn_Comma 1" xfId="2163" xr:uid="{00000000-0005-0000-0000-00009B080000}"/>
    <cellStyle name="ƒ" xfId="2164" xr:uid="{00000000-0005-0000-0000-00009C080000}"/>
    <cellStyle name="ƒ_AREA  AP. JEMBER  PLANT A2" xfId="2165" xr:uid="{00000000-0005-0000-0000-00009D080000}"/>
    <cellStyle name="ƒ_BOOK1" xfId="2166" xr:uid="{00000000-0005-0000-0000-00009E080000}"/>
    <cellStyle name="F2" xfId="2167" xr:uid="{00000000-0005-0000-0000-00009F080000}"/>
    <cellStyle name="F3" xfId="2168" xr:uid="{00000000-0005-0000-0000-0000A0080000}"/>
    <cellStyle name="F4" xfId="2169" xr:uid="{00000000-0005-0000-0000-0000A1080000}"/>
    <cellStyle name="F5" xfId="2170" xr:uid="{00000000-0005-0000-0000-0000A2080000}"/>
    <cellStyle name="F6" xfId="2171" xr:uid="{00000000-0005-0000-0000-0000A3080000}"/>
    <cellStyle name="F7" xfId="2172" xr:uid="{00000000-0005-0000-0000-0000A4080000}"/>
    <cellStyle name="F8" xfId="2173" xr:uid="{00000000-0005-0000-0000-0000A5080000}"/>
    <cellStyle name="FAB level" xfId="2174" xr:uid="{00000000-0005-0000-0000-0000A6080000}"/>
    <cellStyle name="FAB no" xfId="2175" xr:uid="{00000000-0005-0000-0000-0000A7080000}"/>
    <cellStyle name="FAB price" xfId="2176" xr:uid="{00000000-0005-0000-0000-0000A8080000}"/>
    <cellStyle name="Fixed" xfId="2177" xr:uid="{00000000-0005-0000-0000-0000A9080000}"/>
    <cellStyle name="Fixlong" xfId="2178" xr:uid="{00000000-0005-0000-0000-0000AA080000}"/>
    <cellStyle name="fore" xfId="2179" xr:uid="{00000000-0005-0000-0000-0000AB080000}"/>
    <cellStyle name="GBP" xfId="2180" xr:uid="{00000000-0005-0000-0000-0000AC080000}"/>
    <cellStyle name="GBP billion" xfId="2181" xr:uid="{00000000-0005-0000-0000-0000AD080000}"/>
    <cellStyle name="GBP million" xfId="2182" xr:uid="{00000000-0005-0000-0000-0000AE080000}"/>
    <cellStyle name="GBP thousand" xfId="2183" xr:uid="{00000000-0005-0000-0000-0000AF080000}"/>
    <cellStyle name="Grey" xfId="2184" xr:uid="{00000000-0005-0000-0000-0000B0080000}"/>
    <cellStyle name="Group" xfId="2185" xr:uid="{00000000-0005-0000-0000-0000B1080000}"/>
    <cellStyle name="Group Description" xfId="2186" xr:uid="{00000000-0005-0000-0000-0000B2080000}"/>
    <cellStyle name="Group Name" xfId="2187" xr:uid="{00000000-0005-0000-0000-0000B3080000}"/>
    <cellStyle name="Group Price" xfId="2188" xr:uid="{00000000-0005-0000-0000-0000B4080000}"/>
    <cellStyle name="Group Summary" xfId="2189" xr:uid="{00000000-0005-0000-0000-0000B5080000}"/>
    <cellStyle name="Group Summary Price" xfId="2190" xr:uid="{00000000-0005-0000-0000-0000B6080000}"/>
    <cellStyle name="GroupLastLine" xfId="2191" xr:uid="{00000000-0005-0000-0000-0000B7080000}"/>
    <cellStyle name="GroupTitle" xfId="2192" xr:uid="{00000000-0005-0000-0000-0000B8080000}"/>
    <cellStyle name="grs" xfId="2193" xr:uid="{00000000-0005-0000-0000-0000B9080000}"/>
    <cellStyle name="H1" xfId="2194" xr:uid="{00000000-0005-0000-0000-0000BA080000}"/>
    <cellStyle name="H2" xfId="2195" xr:uid="{00000000-0005-0000-0000-0000BB080000}"/>
    <cellStyle name="H3" xfId="2196" xr:uid="{00000000-0005-0000-0000-0000BC080000}"/>
    <cellStyle name="H4" xfId="2197" xr:uid="{00000000-0005-0000-0000-0000BD080000}"/>
    <cellStyle name="HEADER" xfId="2198" xr:uid="{00000000-0005-0000-0000-0000BE080000}"/>
    <cellStyle name="Header - Style1" xfId="2199" xr:uid="{00000000-0005-0000-0000-0000BF080000}"/>
    <cellStyle name="Header_Copy of Cost calculation HCPT 2G MO Kalimantan 030507 rev 3A final with revised CME" xfId="2200" xr:uid="{00000000-0005-0000-0000-0000C0080000}"/>
    <cellStyle name="header1" xfId="2201" xr:uid="{00000000-0005-0000-0000-0000C1080000}"/>
    <cellStyle name="header2" xfId="2202" xr:uid="{00000000-0005-0000-0000-0000C2080000}"/>
    <cellStyle name="Heading" xfId="2203" xr:uid="{00000000-0005-0000-0000-0000C3080000}"/>
    <cellStyle name="Heading1" xfId="2204" xr:uid="{00000000-0005-0000-0000-0000C4080000}"/>
    <cellStyle name="Heading1 1" xfId="2205" xr:uid="{00000000-0005-0000-0000-0000C5080000}"/>
    <cellStyle name="Heading1 1 1" xfId="2206" xr:uid="{00000000-0005-0000-0000-0000C6080000}"/>
    <cellStyle name="Heading1_1 Form Budget Jul-Dec 2009" xfId="2207" xr:uid="{00000000-0005-0000-0000-0000C7080000}"/>
    <cellStyle name="Heading2" xfId="2208" xr:uid="{00000000-0005-0000-0000-0000C8080000}"/>
    <cellStyle name="HEADINGS" xfId="2209" xr:uid="{00000000-0005-0000-0000-0000C9080000}"/>
    <cellStyle name="HEADINGSTOP" xfId="2210" xr:uid="{00000000-0005-0000-0000-0000CA080000}"/>
    <cellStyle name="Hidden" xfId="2211" xr:uid="{00000000-0005-0000-0000-0000CB080000}"/>
    <cellStyle name="Hiden_Formula" xfId="2212" xr:uid="{00000000-0005-0000-0000-0000CC080000}"/>
    <cellStyle name="Highlight" xfId="2213" xr:uid="{00000000-0005-0000-0000-0000CD080000}"/>
    <cellStyle name="Hyperlink 2" xfId="2214" xr:uid="{00000000-0005-0000-0000-0000CE080000}"/>
    <cellStyle name="Hyperlink 3" xfId="2215" xr:uid="{00000000-0005-0000-0000-0000CF080000}"/>
    <cellStyle name="Index" xfId="2216" xr:uid="{00000000-0005-0000-0000-0000D0080000}"/>
    <cellStyle name="Input [yellow]" xfId="2217" xr:uid="{00000000-0005-0000-0000-0000D1080000}"/>
    <cellStyle name="Input Cells" xfId="2218" xr:uid="{00000000-0005-0000-0000-0000D2080000}"/>
    <cellStyle name="Input Link" xfId="2219" xr:uid="{00000000-0005-0000-0000-0000D3080000}"/>
    <cellStyle name="inv_no" xfId="2220" xr:uid="{00000000-0005-0000-0000-0000D4080000}"/>
    <cellStyle name="ITEM" xfId="2221" xr:uid="{00000000-0005-0000-0000-0000D5080000}"/>
    <cellStyle name="Judul" xfId="2222" xr:uid="{00000000-0005-0000-0000-0000D6080000}"/>
    <cellStyle name="Jun" xfId="2223" xr:uid="{00000000-0005-0000-0000-0000D7080000}"/>
    <cellStyle name="Komma [0]_Map6" xfId="2224" xr:uid="{00000000-0005-0000-0000-0000D8080000}"/>
    <cellStyle name="Komma_Map6" xfId="2225" xr:uid="{00000000-0005-0000-0000-0000D9080000}"/>
    <cellStyle name="Kopfzeile" xfId="2226" xr:uid="{00000000-0005-0000-0000-0000DA080000}"/>
    <cellStyle name="KPMG Heading 1" xfId="2227" xr:uid="{00000000-0005-0000-0000-0000DB080000}"/>
    <cellStyle name="KPMG Heading 2" xfId="2228" xr:uid="{00000000-0005-0000-0000-0000DC080000}"/>
    <cellStyle name="KPMG Heading 3" xfId="2229" xr:uid="{00000000-0005-0000-0000-0000DD080000}"/>
    <cellStyle name="KPMG Heading 4" xfId="2230" xr:uid="{00000000-0005-0000-0000-0000DE080000}"/>
    <cellStyle name="KPMG Normal" xfId="2231" xr:uid="{00000000-0005-0000-0000-0000DF080000}"/>
    <cellStyle name="KPMG Normal Text" xfId="2232" xr:uid="{00000000-0005-0000-0000-0000E0080000}"/>
    <cellStyle name="Labels - Style3" xfId="2233" xr:uid="{00000000-0005-0000-0000-0000E1080000}"/>
    <cellStyle name="left" xfId="2234" xr:uid="{00000000-0005-0000-0000-0000E2080000}"/>
    <cellStyle name="Legal 8½ x 14 in" xfId="2235" xr:uid="{00000000-0005-0000-0000-0000E3080000}"/>
    <cellStyle name="Link Currency (0)" xfId="2236" xr:uid="{00000000-0005-0000-0000-0000E4080000}"/>
    <cellStyle name="Link Currency (2)" xfId="2237" xr:uid="{00000000-0005-0000-0000-0000E5080000}"/>
    <cellStyle name="Link Units (0)" xfId="2238" xr:uid="{00000000-0005-0000-0000-0000E6080000}"/>
    <cellStyle name="Link Units (1)" xfId="2239" xr:uid="{00000000-0005-0000-0000-0000E7080000}"/>
    <cellStyle name="Link Units (2)" xfId="2240" xr:uid="{00000000-0005-0000-0000-0000E8080000}"/>
    <cellStyle name="Linked Cells" xfId="2241" xr:uid="{00000000-0005-0000-0000-0000E9080000}"/>
    <cellStyle name="Main Title" xfId="2242" xr:uid="{00000000-0005-0000-0000-0000EA080000}"/>
    <cellStyle name="MapDig" xfId="2243" xr:uid="{00000000-0005-0000-0000-0000EB080000}"/>
    <cellStyle name="Migliaia (0)" xfId="2244" xr:uid="{00000000-0005-0000-0000-0000EC080000}"/>
    <cellStyle name="Millares [0]_!!!GO" xfId="2245" xr:uid="{00000000-0005-0000-0000-0000ED080000}"/>
    <cellStyle name="Millares_!!!GO" xfId="2246" xr:uid="{00000000-0005-0000-0000-0000EE080000}"/>
    <cellStyle name="Milliers [0]_!!!GO" xfId="2247" xr:uid="{00000000-0005-0000-0000-0000EF080000}"/>
    <cellStyle name="Milliers_!!!GO" xfId="2248" xr:uid="{00000000-0005-0000-0000-0000F0080000}"/>
    <cellStyle name="million" xfId="2249" xr:uid="{00000000-0005-0000-0000-0000F1080000}"/>
    <cellStyle name="MLDollar0" xfId="2250" xr:uid="{00000000-0005-0000-0000-0000F2080000}"/>
    <cellStyle name="MLEuro0" xfId="2251" xr:uid="{00000000-0005-0000-0000-0000F3080000}"/>
    <cellStyle name="MLPound0" xfId="2252" xr:uid="{00000000-0005-0000-0000-0000F4080000}"/>
    <cellStyle name="MLYen0" xfId="2253" xr:uid="{00000000-0005-0000-0000-0000F5080000}"/>
    <cellStyle name="Model" xfId="2254" xr:uid="{00000000-0005-0000-0000-0000F6080000}"/>
    <cellStyle name="Moneda [0]_!!!GO" xfId="2255" xr:uid="{00000000-0005-0000-0000-0000F7080000}"/>
    <cellStyle name="Moneda_!!!GO" xfId="2256" xr:uid="{00000000-0005-0000-0000-0000F8080000}"/>
    <cellStyle name="Monetaire [0]_!!!GO" xfId="2257" xr:uid="{00000000-0005-0000-0000-0000F9080000}"/>
    <cellStyle name="Monétaire [0]_!!!GO" xfId="2258" xr:uid="{00000000-0005-0000-0000-0000FA080000}"/>
    <cellStyle name="Monetaire [0]_!!!GO_1" xfId="2259" xr:uid="{00000000-0005-0000-0000-0000FB080000}"/>
    <cellStyle name="Monétaire [0]_!!!GO_1" xfId="2260" xr:uid="{00000000-0005-0000-0000-0000FC080000}"/>
    <cellStyle name="Monetaire [0]_CTC" xfId="2261" xr:uid="{00000000-0005-0000-0000-0000FD080000}"/>
    <cellStyle name="Monétaire [0]_CTC" xfId="2262" xr:uid="{00000000-0005-0000-0000-0000FE080000}"/>
    <cellStyle name="Monetaire [0]_CTC_!!!GO" xfId="2263" xr:uid="{00000000-0005-0000-0000-0000FF080000}"/>
    <cellStyle name="Monétaire [0]_CTC_!!!GO" xfId="2264" xr:uid="{00000000-0005-0000-0000-000000090000}"/>
    <cellStyle name="Monetaire [0]_DIRECTIONS" xfId="2265" xr:uid="{00000000-0005-0000-0000-000001090000}"/>
    <cellStyle name="Monétaire [0]_DIRECTIONS" xfId="2266" xr:uid="{00000000-0005-0000-0000-000002090000}"/>
    <cellStyle name="Monetaire [0]_DIRECTIONS_!!!GO" xfId="2267" xr:uid="{00000000-0005-0000-0000-000003090000}"/>
    <cellStyle name="Monétaire [0]_DIRECTIONS_!!!GO" xfId="2268" xr:uid="{00000000-0005-0000-0000-000004090000}"/>
    <cellStyle name="Monetaire [0]_laroux" xfId="2269" xr:uid="{00000000-0005-0000-0000-000005090000}"/>
    <cellStyle name="Monétaire [0]_laroux" xfId="2270" xr:uid="{00000000-0005-0000-0000-000006090000}"/>
    <cellStyle name="Monetaire [0]_laroux_1" xfId="2271" xr:uid="{00000000-0005-0000-0000-000007090000}"/>
    <cellStyle name="Monétaire [0]_laroux_1" xfId="2272" xr:uid="{00000000-0005-0000-0000-000008090000}"/>
    <cellStyle name="Monetaire [0]_liste principale 1998" xfId="2273" xr:uid="{00000000-0005-0000-0000-000009090000}"/>
    <cellStyle name="Monétaire [0]_liste principale 1998" xfId="2274" xr:uid="{00000000-0005-0000-0000-00000A090000}"/>
    <cellStyle name="Monetaire [0]_liste principale 1998_!!!GO" xfId="2275" xr:uid="{00000000-0005-0000-0000-00000B090000}"/>
    <cellStyle name="Monétaire [0]_liste principale 1998_!!!GO" xfId="2276" xr:uid="{00000000-0005-0000-0000-00000C090000}"/>
    <cellStyle name="Monetaire [0]_pldt" xfId="2277" xr:uid="{00000000-0005-0000-0000-00000D090000}"/>
    <cellStyle name="Monétaire [0]_pldt" xfId="2278" xr:uid="{00000000-0005-0000-0000-00000E090000}"/>
    <cellStyle name="Monetaire [0]_pldt_1" xfId="2279" xr:uid="{00000000-0005-0000-0000-00000F090000}"/>
    <cellStyle name="Monétaire [0]_pldt_1" xfId="2280" xr:uid="{00000000-0005-0000-0000-000010090000}"/>
    <cellStyle name="Monetaire_!!!GO" xfId="2281" xr:uid="{00000000-0005-0000-0000-000011090000}"/>
    <cellStyle name="Monétaire_!!!GO" xfId="2282" xr:uid="{00000000-0005-0000-0000-000012090000}"/>
    <cellStyle name="Monetaire_!!!GO_1" xfId="2283" xr:uid="{00000000-0005-0000-0000-000013090000}"/>
    <cellStyle name="Monétaire_!!!GO_1" xfId="2284" xr:uid="{00000000-0005-0000-0000-000014090000}"/>
    <cellStyle name="Monetaire_CTC" xfId="2285" xr:uid="{00000000-0005-0000-0000-000015090000}"/>
    <cellStyle name="Monétaire_CTC" xfId="2286" xr:uid="{00000000-0005-0000-0000-000016090000}"/>
    <cellStyle name="Monetaire_CTC_!!!GO" xfId="2287" xr:uid="{00000000-0005-0000-0000-000017090000}"/>
    <cellStyle name="Monétaire_CTC_!!!GO" xfId="2288" xr:uid="{00000000-0005-0000-0000-000018090000}"/>
    <cellStyle name="Monetaire_DIRECTIONS" xfId="2289" xr:uid="{00000000-0005-0000-0000-000019090000}"/>
    <cellStyle name="Monétaire_DIRECTIONS" xfId="2290" xr:uid="{00000000-0005-0000-0000-00001A090000}"/>
    <cellStyle name="Monetaire_DIRECTIONS_!!!GO" xfId="2291" xr:uid="{00000000-0005-0000-0000-00001B090000}"/>
    <cellStyle name="Monétaire_DIRECTIONS_!!!GO" xfId="2292" xr:uid="{00000000-0005-0000-0000-00001C090000}"/>
    <cellStyle name="Monetaire_laroux" xfId="2293" xr:uid="{00000000-0005-0000-0000-00001D090000}"/>
    <cellStyle name="Monétaire_laroux" xfId="2294" xr:uid="{00000000-0005-0000-0000-00001E090000}"/>
    <cellStyle name="Monetaire_laroux_1" xfId="2295" xr:uid="{00000000-0005-0000-0000-00001F090000}"/>
    <cellStyle name="Monétaire_laroux_1" xfId="2296" xr:uid="{00000000-0005-0000-0000-000020090000}"/>
    <cellStyle name="Monetaire_liste principale 1998" xfId="2297" xr:uid="{00000000-0005-0000-0000-000021090000}"/>
    <cellStyle name="Monétaire_liste principale 1998" xfId="2298" xr:uid="{00000000-0005-0000-0000-000022090000}"/>
    <cellStyle name="Monetaire_liste principale 1998_!!!GO" xfId="2299" xr:uid="{00000000-0005-0000-0000-000023090000}"/>
    <cellStyle name="Monétaire_liste principale 1998_!!!GO" xfId="2300" xr:uid="{00000000-0005-0000-0000-000024090000}"/>
    <cellStyle name="Monetaire_pldt" xfId="2301" xr:uid="{00000000-0005-0000-0000-000025090000}"/>
    <cellStyle name="Monétaire_pldt" xfId="2302" xr:uid="{00000000-0005-0000-0000-000026090000}"/>
    <cellStyle name="Monetaire_pldt_1" xfId="2303" xr:uid="{00000000-0005-0000-0000-000027090000}"/>
    <cellStyle name="Monétaire_pldt_1" xfId="2304" xr:uid="{00000000-0005-0000-0000-000028090000}"/>
    <cellStyle name="Month" xfId="2305" xr:uid="{00000000-0005-0000-0000-000029090000}"/>
    <cellStyle name="MS_English" xfId="2306" xr:uid="{00000000-0005-0000-0000-00002A090000}"/>
    <cellStyle name="Multiple" xfId="2307" xr:uid="{00000000-0005-0000-0000-00002B090000}"/>
    <cellStyle name="Name" xfId="2308" xr:uid="{00000000-0005-0000-0000-00002C090000}"/>
    <cellStyle name="no dec" xfId="2309" xr:uid="{00000000-0005-0000-0000-00002D090000}"/>
    <cellStyle name="Normal" xfId="0" builtinId="0"/>
    <cellStyle name="Normal - Style1" xfId="2310" xr:uid="{00000000-0005-0000-0000-00002F090000}"/>
    <cellStyle name="Normal 1" xfId="2311" xr:uid="{00000000-0005-0000-0000-000030090000}"/>
    <cellStyle name="Normal 10" xfId="2312" xr:uid="{00000000-0005-0000-0000-000031090000}"/>
    <cellStyle name="Normal 10 2" xfId="2313" xr:uid="{00000000-0005-0000-0000-000032090000}"/>
    <cellStyle name="Normal 10 2 2" xfId="2314" xr:uid="{00000000-0005-0000-0000-000033090000}"/>
    <cellStyle name="Normal 10 2 2 2" xfId="2315" xr:uid="{00000000-0005-0000-0000-000034090000}"/>
    <cellStyle name="Normal 10 2 2 2 2" xfId="3872" xr:uid="{00000000-0005-0000-0000-000035090000}"/>
    <cellStyle name="Normal 10 2 2 3" xfId="2316" xr:uid="{00000000-0005-0000-0000-000036090000}"/>
    <cellStyle name="Normal 10 2 2 3 2" xfId="3873" xr:uid="{00000000-0005-0000-0000-000037090000}"/>
    <cellStyle name="Normal 10 2 2 4" xfId="2317" xr:uid="{00000000-0005-0000-0000-000038090000}"/>
    <cellStyle name="Normal 10 2 2 4 2" xfId="3874" xr:uid="{00000000-0005-0000-0000-000039090000}"/>
    <cellStyle name="Normal 10 2 2 5" xfId="2318" xr:uid="{00000000-0005-0000-0000-00003A090000}"/>
    <cellStyle name="Normal 10 2 2 5 2" xfId="3875" xr:uid="{00000000-0005-0000-0000-00003B090000}"/>
    <cellStyle name="Normal 10 2 2 6" xfId="2319" xr:uid="{00000000-0005-0000-0000-00003C090000}"/>
    <cellStyle name="Normal 10 2 2 6 2" xfId="2320" xr:uid="{00000000-0005-0000-0000-00003D090000}"/>
    <cellStyle name="Normal 10 2 2 6 2 2" xfId="3877" xr:uid="{00000000-0005-0000-0000-00003E090000}"/>
    <cellStyle name="Normal 10 2 2 6 3" xfId="3876" xr:uid="{00000000-0005-0000-0000-00003F090000}"/>
    <cellStyle name="Normal 10 2 2 7" xfId="2321" xr:uid="{00000000-0005-0000-0000-000040090000}"/>
    <cellStyle name="Normal 10 2 2 7 2" xfId="3878" xr:uid="{00000000-0005-0000-0000-000041090000}"/>
    <cellStyle name="Normal 10 2 2 8" xfId="3871" xr:uid="{00000000-0005-0000-0000-000042090000}"/>
    <cellStyle name="Normal 10 2 3" xfId="2322" xr:uid="{00000000-0005-0000-0000-000043090000}"/>
    <cellStyle name="Normal 10 2 3 2" xfId="2323" xr:uid="{00000000-0005-0000-0000-000044090000}"/>
    <cellStyle name="Normal 10 2 3 2 2" xfId="3880" xr:uid="{00000000-0005-0000-0000-000045090000}"/>
    <cellStyle name="Normal 10 2 3 3" xfId="3879" xr:uid="{00000000-0005-0000-0000-000046090000}"/>
    <cellStyle name="Normal 10 2 4" xfId="2324" xr:uid="{00000000-0005-0000-0000-000047090000}"/>
    <cellStyle name="Normal 10 2 4 2" xfId="3881" xr:uid="{00000000-0005-0000-0000-000048090000}"/>
    <cellStyle name="Normal 10 2 5" xfId="3870" xr:uid="{00000000-0005-0000-0000-000049090000}"/>
    <cellStyle name="Normal 10 3" xfId="2325" xr:uid="{00000000-0005-0000-0000-00004A090000}"/>
    <cellStyle name="Normal 10 3 2" xfId="2326" xr:uid="{00000000-0005-0000-0000-00004B090000}"/>
    <cellStyle name="Normal 10 3 2 2" xfId="3883" xr:uid="{00000000-0005-0000-0000-00004C090000}"/>
    <cellStyle name="Normal 10 3 3" xfId="3882" xr:uid="{00000000-0005-0000-0000-00004D090000}"/>
    <cellStyle name="Normal 10 4" xfId="2327" xr:uid="{00000000-0005-0000-0000-00004E090000}"/>
    <cellStyle name="Normal 10 4 2" xfId="3884" xr:uid="{00000000-0005-0000-0000-00004F090000}"/>
    <cellStyle name="Normal 10 5" xfId="3869" xr:uid="{00000000-0005-0000-0000-000050090000}"/>
    <cellStyle name="Normal 100" xfId="2328" xr:uid="{00000000-0005-0000-0000-000051090000}"/>
    <cellStyle name="Normal 100 2" xfId="3885" xr:uid="{00000000-0005-0000-0000-000052090000}"/>
    <cellStyle name="Normal 101" xfId="2329" xr:uid="{00000000-0005-0000-0000-000053090000}"/>
    <cellStyle name="Normal 101 2" xfId="3886" xr:uid="{00000000-0005-0000-0000-000054090000}"/>
    <cellStyle name="Normal 102" xfId="2330" xr:uid="{00000000-0005-0000-0000-000055090000}"/>
    <cellStyle name="Normal 102 2" xfId="3887" xr:uid="{00000000-0005-0000-0000-000056090000}"/>
    <cellStyle name="Normal 103" xfId="2331" xr:uid="{00000000-0005-0000-0000-000057090000}"/>
    <cellStyle name="Normal 103 2" xfId="3888" xr:uid="{00000000-0005-0000-0000-000058090000}"/>
    <cellStyle name="Normal 104" xfId="2332" xr:uid="{00000000-0005-0000-0000-000059090000}"/>
    <cellStyle name="Normal 104 2" xfId="3889" xr:uid="{00000000-0005-0000-0000-00005A090000}"/>
    <cellStyle name="Normal 105" xfId="2333" xr:uid="{00000000-0005-0000-0000-00005B090000}"/>
    <cellStyle name="Normal 105 2" xfId="3890" xr:uid="{00000000-0005-0000-0000-00005C090000}"/>
    <cellStyle name="Normal 106" xfId="2334" xr:uid="{00000000-0005-0000-0000-00005D090000}"/>
    <cellStyle name="Normal 106 2" xfId="3891" xr:uid="{00000000-0005-0000-0000-00005E090000}"/>
    <cellStyle name="Normal 107" xfId="2335" xr:uid="{00000000-0005-0000-0000-00005F090000}"/>
    <cellStyle name="Normal 107 2" xfId="3892" xr:uid="{00000000-0005-0000-0000-000060090000}"/>
    <cellStyle name="Normal 108" xfId="2336" xr:uid="{00000000-0005-0000-0000-000061090000}"/>
    <cellStyle name="Normal 108 2" xfId="3893" xr:uid="{00000000-0005-0000-0000-000062090000}"/>
    <cellStyle name="Normal 109" xfId="2337" xr:uid="{00000000-0005-0000-0000-000063090000}"/>
    <cellStyle name="Normal 109 2" xfId="3894" xr:uid="{00000000-0005-0000-0000-000064090000}"/>
    <cellStyle name="Normal 11" xfId="2338" xr:uid="{00000000-0005-0000-0000-000065090000}"/>
    <cellStyle name="Normal 110" xfId="2339" xr:uid="{00000000-0005-0000-0000-000066090000}"/>
    <cellStyle name="Normal 110 2" xfId="3895" xr:uid="{00000000-0005-0000-0000-000067090000}"/>
    <cellStyle name="Normal 111" xfId="2340" xr:uid="{00000000-0005-0000-0000-000068090000}"/>
    <cellStyle name="Normal 111 2" xfId="3896" xr:uid="{00000000-0005-0000-0000-000069090000}"/>
    <cellStyle name="Normal 112" xfId="2341" xr:uid="{00000000-0005-0000-0000-00006A090000}"/>
    <cellStyle name="Normal 112 2" xfId="3897" xr:uid="{00000000-0005-0000-0000-00006B090000}"/>
    <cellStyle name="Normal 113" xfId="2342" xr:uid="{00000000-0005-0000-0000-00006C090000}"/>
    <cellStyle name="Normal 113 2" xfId="3898" xr:uid="{00000000-0005-0000-0000-00006D090000}"/>
    <cellStyle name="Normal 114" xfId="2343" xr:uid="{00000000-0005-0000-0000-00006E090000}"/>
    <cellStyle name="Normal 114 2" xfId="3899" xr:uid="{00000000-0005-0000-0000-00006F090000}"/>
    <cellStyle name="Normal 115" xfId="2344" xr:uid="{00000000-0005-0000-0000-000070090000}"/>
    <cellStyle name="Normal 115 2" xfId="3900" xr:uid="{00000000-0005-0000-0000-000071090000}"/>
    <cellStyle name="Normal 116" xfId="2345" xr:uid="{00000000-0005-0000-0000-000072090000}"/>
    <cellStyle name="Normal 116 2" xfId="3901" xr:uid="{00000000-0005-0000-0000-000073090000}"/>
    <cellStyle name="Normal 117" xfId="2346" xr:uid="{00000000-0005-0000-0000-000074090000}"/>
    <cellStyle name="Normal 117 2" xfId="3902" xr:uid="{00000000-0005-0000-0000-000075090000}"/>
    <cellStyle name="Normal 118" xfId="2347" xr:uid="{00000000-0005-0000-0000-000076090000}"/>
    <cellStyle name="Normal 118 2" xfId="3903" xr:uid="{00000000-0005-0000-0000-000077090000}"/>
    <cellStyle name="Normal 119" xfId="2348" xr:uid="{00000000-0005-0000-0000-000078090000}"/>
    <cellStyle name="Normal 119 2" xfId="3904" xr:uid="{00000000-0005-0000-0000-000079090000}"/>
    <cellStyle name="Normal 12" xfId="2349" xr:uid="{00000000-0005-0000-0000-00007A090000}"/>
    <cellStyle name="Normal 12 2" xfId="2350" xr:uid="{00000000-0005-0000-0000-00007B090000}"/>
    <cellStyle name="Normal 12 2 2" xfId="3906" xr:uid="{00000000-0005-0000-0000-00007C090000}"/>
    <cellStyle name="Normal 12 3" xfId="3905" xr:uid="{00000000-0005-0000-0000-00007D090000}"/>
    <cellStyle name="Normal 120" xfId="2351" xr:uid="{00000000-0005-0000-0000-00007E090000}"/>
    <cellStyle name="Normal 120 2" xfId="3907" xr:uid="{00000000-0005-0000-0000-00007F090000}"/>
    <cellStyle name="Normal 121" xfId="2352" xr:uid="{00000000-0005-0000-0000-000080090000}"/>
    <cellStyle name="Normal 121 2" xfId="3908" xr:uid="{00000000-0005-0000-0000-000081090000}"/>
    <cellStyle name="Normal 122" xfId="2353" xr:uid="{00000000-0005-0000-0000-000082090000}"/>
    <cellStyle name="Normal 122 2" xfId="3909" xr:uid="{00000000-0005-0000-0000-000083090000}"/>
    <cellStyle name="Normal 123" xfId="2354" xr:uid="{00000000-0005-0000-0000-000084090000}"/>
    <cellStyle name="Normal 123 2" xfId="3910" xr:uid="{00000000-0005-0000-0000-000085090000}"/>
    <cellStyle name="Normal 124" xfId="2355" xr:uid="{00000000-0005-0000-0000-000086090000}"/>
    <cellStyle name="Normal 124 2" xfId="3911" xr:uid="{00000000-0005-0000-0000-000087090000}"/>
    <cellStyle name="Normal 125" xfId="2356" xr:uid="{00000000-0005-0000-0000-000088090000}"/>
    <cellStyle name="Normal 125 2" xfId="3912" xr:uid="{00000000-0005-0000-0000-000089090000}"/>
    <cellStyle name="Normal 126" xfId="2357" xr:uid="{00000000-0005-0000-0000-00008A090000}"/>
    <cellStyle name="Normal 126 2" xfId="3913" xr:uid="{00000000-0005-0000-0000-00008B090000}"/>
    <cellStyle name="Normal 127" xfId="2358" xr:uid="{00000000-0005-0000-0000-00008C090000}"/>
    <cellStyle name="Normal 127 2" xfId="3914" xr:uid="{00000000-0005-0000-0000-00008D090000}"/>
    <cellStyle name="Normal 128" xfId="2359" xr:uid="{00000000-0005-0000-0000-00008E090000}"/>
    <cellStyle name="Normal 128 2" xfId="3915" xr:uid="{00000000-0005-0000-0000-00008F090000}"/>
    <cellStyle name="Normal 129" xfId="2360" xr:uid="{00000000-0005-0000-0000-000090090000}"/>
    <cellStyle name="Normal 129 2" xfId="3916" xr:uid="{00000000-0005-0000-0000-000091090000}"/>
    <cellStyle name="Normal 13" xfId="2361" xr:uid="{00000000-0005-0000-0000-000092090000}"/>
    <cellStyle name="Normal 13 2" xfId="2362" xr:uid="{00000000-0005-0000-0000-000093090000}"/>
    <cellStyle name="Normal 13 2 2" xfId="3918" xr:uid="{00000000-0005-0000-0000-000094090000}"/>
    <cellStyle name="Normal 13 3" xfId="3917" xr:uid="{00000000-0005-0000-0000-000095090000}"/>
    <cellStyle name="Normal 130" xfId="2363" xr:uid="{00000000-0005-0000-0000-000096090000}"/>
    <cellStyle name="Normal 130 2" xfId="3919" xr:uid="{00000000-0005-0000-0000-000097090000}"/>
    <cellStyle name="Normal 131" xfId="2364" xr:uid="{00000000-0005-0000-0000-000098090000}"/>
    <cellStyle name="Normal 131 2" xfId="3920" xr:uid="{00000000-0005-0000-0000-000099090000}"/>
    <cellStyle name="Normal 132" xfId="2365" xr:uid="{00000000-0005-0000-0000-00009A090000}"/>
    <cellStyle name="Normal 132 2" xfId="3921" xr:uid="{00000000-0005-0000-0000-00009B090000}"/>
    <cellStyle name="Normal 133" xfId="2366" xr:uid="{00000000-0005-0000-0000-00009C090000}"/>
    <cellStyle name="Normal 133 2" xfId="3922" xr:uid="{00000000-0005-0000-0000-00009D090000}"/>
    <cellStyle name="Normal 134" xfId="2367" xr:uid="{00000000-0005-0000-0000-00009E090000}"/>
    <cellStyle name="Normal 134 2" xfId="3923" xr:uid="{00000000-0005-0000-0000-00009F090000}"/>
    <cellStyle name="Normal 135" xfId="2368" xr:uid="{00000000-0005-0000-0000-0000A0090000}"/>
    <cellStyle name="Normal 135 2" xfId="3924" xr:uid="{00000000-0005-0000-0000-0000A1090000}"/>
    <cellStyle name="Normal 136" xfId="2369" xr:uid="{00000000-0005-0000-0000-0000A2090000}"/>
    <cellStyle name="Normal 136 2" xfId="3925" xr:uid="{00000000-0005-0000-0000-0000A3090000}"/>
    <cellStyle name="Normal 137" xfId="2370" xr:uid="{00000000-0005-0000-0000-0000A4090000}"/>
    <cellStyle name="Normal 137 2" xfId="3926" xr:uid="{00000000-0005-0000-0000-0000A5090000}"/>
    <cellStyle name="Normal 138" xfId="2371" xr:uid="{00000000-0005-0000-0000-0000A6090000}"/>
    <cellStyle name="Normal 138 2" xfId="3927" xr:uid="{00000000-0005-0000-0000-0000A7090000}"/>
    <cellStyle name="Normal 139" xfId="2372" xr:uid="{00000000-0005-0000-0000-0000A8090000}"/>
    <cellStyle name="Normal 139 2" xfId="3928" xr:uid="{00000000-0005-0000-0000-0000A9090000}"/>
    <cellStyle name="Normal 14" xfId="2373" xr:uid="{00000000-0005-0000-0000-0000AA090000}"/>
    <cellStyle name="Normal 14 2" xfId="2374" xr:uid="{00000000-0005-0000-0000-0000AB090000}"/>
    <cellStyle name="Normal 14 2 2" xfId="2375" xr:uid="{00000000-0005-0000-0000-0000AC090000}"/>
    <cellStyle name="Normal 14 2 2 2" xfId="3931" xr:uid="{00000000-0005-0000-0000-0000AD090000}"/>
    <cellStyle name="Normal 14 2 3" xfId="3930" xr:uid="{00000000-0005-0000-0000-0000AE090000}"/>
    <cellStyle name="Normal 14 3" xfId="2376" xr:uid="{00000000-0005-0000-0000-0000AF090000}"/>
    <cellStyle name="Normal 14 3 2" xfId="3932" xr:uid="{00000000-0005-0000-0000-0000B0090000}"/>
    <cellStyle name="Normal 14 4" xfId="3929" xr:uid="{00000000-0005-0000-0000-0000B1090000}"/>
    <cellStyle name="Normal 140" xfId="2377" xr:uid="{00000000-0005-0000-0000-0000B2090000}"/>
    <cellStyle name="Normal 140 2" xfId="3933" xr:uid="{00000000-0005-0000-0000-0000B3090000}"/>
    <cellStyle name="Normal 141" xfId="2378" xr:uid="{00000000-0005-0000-0000-0000B4090000}"/>
    <cellStyle name="Normal 141 2" xfId="3934" xr:uid="{00000000-0005-0000-0000-0000B5090000}"/>
    <cellStyle name="Normal 142" xfId="2379" xr:uid="{00000000-0005-0000-0000-0000B6090000}"/>
    <cellStyle name="Normal 142 2" xfId="3935" xr:uid="{00000000-0005-0000-0000-0000B7090000}"/>
    <cellStyle name="Normal 143" xfId="2380" xr:uid="{00000000-0005-0000-0000-0000B8090000}"/>
    <cellStyle name="Normal 143 2" xfId="3936" xr:uid="{00000000-0005-0000-0000-0000B9090000}"/>
    <cellStyle name="Normal 144" xfId="2381" xr:uid="{00000000-0005-0000-0000-0000BA090000}"/>
    <cellStyle name="Normal 144 2" xfId="3937" xr:uid="{00000000-0005-0000-0000-0000BB090000}"/>
    <cellStyle name="Normal 145" xfId="2382" xr:uid="{00000000-0005-0000-0000-0000BC090000}"/>
    <cellStyle name="Normal 145 2" xfId="3938" xr:uid="{00000000-0005-0000-0000-0000BD090000}"/>
    <cellStyle name="Normal 146" xfId="2383" xr:uid="{00000000-0005-0000-0000-0000BE090000}"/>
    <cellStyle name="Normal 146 2" xfId="3939" xr:uid="{00000000-0005-0000-0000-0000BF090000}"/>
    <cellStyle name="Normal 147" xfId="2384" xr:uid="{00000000-0005-0000-0000-0000C0090000}"/>
    <cellStyle name="Normal 147 2" xfId="3940" xr:uid="{00000000-0005-0000-0000-0000C1090000}"/>
    <cellStyle name="Normal 148" xfId="2385" xr:uid="{00000000-0005-0000-0000-0000C2090000}"/>
    <cellStyle name="Normal 148 2" xfId="3941" xr:uid="{00000000-0005-0000-0000-0000C3090000}"/>
    <cellStyle name="Normal 149" xfId="2386" xr:uid="{00000000-0005-0000-0000-0000C4090000}"/>
    <cellStyle name="Normal 149 2" xfId="3942" xr:uid="{00000000-0005-0000-0000-0000C5090000}"/>
    <cellStyle name="Normal 15" xfId="2387" xr:uid="{00000000-0005-0000-0000-0000C6090000}"/>
    <cellStyle name="Normal 15 2" xfId="3943" xr:uid="{00000000-0005-0000-0000-0000C7090000}"/>
    <cellStyle name="Normal 150" xfId="2388" xr:uid="{00000000-0005-0000-0000-0000C8090000}"/>
    <cellStyle name="Normal 150 2" xfId="3944" xr:uid="{00000000-0005-0000-0000-0000C9090000}"/>
    <cellStyle name="Normal 151" xfId="2389" xr:uid="{00000000-0005-0000-0000-0000CA090000}"/>
    <cellStyle name="Normal 151 2" xfId="3945" xr:uid="{00000000-0005-0000-0000-0000CB090000}"/>
    <cellStyle name="Normal 152" xfId="2390" xr:uid="{00000000-0005-0000-0000-0000CC090000}"/>
    <cellStyle name="Normal 152 2" xfId="3946" xr:uid="{00000000-0005-0000-0000-0000CD090000}"/>
    <cellStyle name="Normal 153" xfId="2391" xr:uid="{00000000-0005-0000-0000-0000CE090000}"/>
    <cellStyle name="Normal 153 2" xfId="3947" xr:uid="{00000000-0005-0000-0000-0000CF090000}"/>
    <cellStyle name="Normal 154" xfId="2392" xr:uid="{00000000-0005-0000-0000-0000D0090000}"/>
    <cellStyle name="Normal 154 2" xfId="3948" xr:uid="{00000000-0005-0000-0000-0000D1090000}"/>
    <cellStyle name="Normal 155" xfId="2393" xr:uid="{00000000-0005-0000-0000-0000D2090000}"/>
    <cellStyle name="Normal 155 2" xfId="3949" xr:uid="{00000000-0005-0000-0000-0000D3090000}"/>
    <cellStyle name="Normal 156" xfId="2394" xr:uid="{00000000-0005-0000-0000-0000D4090000}"/>
    <cellStyle name="Normal 156 2" xfId="3950" xr:uid="{00000000-0005-0000-0000-0000D5090000}"/>
    <cellStyle name="Normal 157" xfId="2395" xr:uid="{00000000-0005-0000-0000-0000D6090000}"/>
    <cellStyle name="Normal 157 2" xfId="3951" xr:uid="{00000000-0005-0000-0000-0000D7090000}"/>
    <cellStyle name="Normal 158" xfId="2396" xr:uid="{00000000-0005-0000-0000-0000D8090000}"/>
    <cellStyle name="Normal 158 2" xfId="3952" xr:uid="{00000000-0005-0000-0000-0000D9090000}"/>
    <cellStyle name="Normal 159" xfId="2397" xr:uid="{00000000-0005-0000-0000-0000DA090000}"/>
    <cellStyle name="Normal 159 2" xfId="3953" xr:uid="{00000000-0005-0000-0000-0000DB090000}"/>
    <cellStyle name="Normal 16" xfId="2398" xr:uid="{00000000-0005-0000-0000-0000DC090000}"/>
    <cellStyle name="Normal 16 2" xfId="2399" xr:uid="{00000000-0005-0000-0000-0000DD090000}"/>
    <cellStyle name="Normal 160" xfId="2400" xr:uid="{00000000-0005-0000-0000-0000DE090000}"/>
    <cellStyle name="Normal 160 2" xfId="3954" xr:uid="{00000000-0005-0000-0000-0000DF090000}"/>
    <cellStyle name="Normal 161" xfId="2401" xr:uid="{00000000-0005-0000-0000-0000E0090000}"/>
    <cellStyle name="Normal 161 2" xfId="3955" xr:uid="{00000000-0005-0000-0000-0000E1090000}"/>
    <cellStyle name="Normal 162" xfId="2402" xr:uid="{00000000-0005-0000-0000-0000E2090000}"/>
    <cellStyle name="Normal 162 2" xfId="3956" xr:uid="{00000000-0005-0000-0000-0000E3090000}"/>
    <cellStyle name="Normal 163" xfId="2403" xr:uid="{00000000-0005-0000-0000-0000E4090000}"/>
    <cellStyle name="Normal 163 2" xfId="3957" xr:uid="{00000000-0005-0000-0000-0000E5090000}"/>
    <cellStyle name="Normal 164" xfId="2404" xr:uid="{00000000-0005-0000-0000-0000E6090000}"/>
    <cellStyle name="Normal 164 2" xfId="3958" xr:uid="{00000000-0005-0000-0000-0000E7090000}"/>
    <cellStyle name="Normal 165" xfId="2405" xr:uid="{00000000-0005-0000-0000-0000E8090000}"/>
    <cellStyle name="Normal 165 2" xfId="3959" xr:uid="{00000000-0005-0000-0000-0000E9090000}"/>
    <cellStyle name="Normal 166" xfId="2406" xr:uid="{00000000-0005-0000-0000-0000EA090000}"/>
    <cellStyle name="Normal 166 2" xfId="3960" xr:uid="{00000000-0005-0000-0000-0000EB090000}"/>
    <cellStyle name="Normal 167" xfId="2407" xr:uid="{00000000-0005-0000-0000-0000EC090000}"/>
    <cellStyle name="Normal 167 2" xfId="3961" xr:uid="{00000000-0005-0000-0000-0000ED090000}"/>
    <cellStyle name="Normal 168" xfId="2408" xr:uid="{00000000-0005-0000-0000-0000EE090000}"/>
    <cellStyle name="Normal 168 2" xfId="3962" xr:uid="{00000000-0005-0000-0000-0000EF090000}"/>
    <cellStyle name="Normal 169" xfId="2409" xr:uid="{00000000-0005-0000-0000-0000F0090000}"/>
    <cellStyle name="Normal 169 2" xfId="3963" xr:uid="{00000000-0005-0000-0000-0000F1090000}"/>
    <cellStyle name="Normal 17" xfId="2410" xr:uid="{00000000-0005-0000-0000-0000F2090000}"/>
    <cellStyle name="Normal 17 2" xfId="2411" xr:uid="{00000000-0005-0000-0000-0000F3090000}"/>
    <cellStyle name="Normal 170" xfId="2412" xr:uid="{00000000-0005-0000-0000-0000F4090000}"/>
    <cellStyle name="Normal 170 2" xfId="3964" xr:uid="{00000000-0005-0000-0000-0000F5090000}"/>
    <cellStyle name="Normal 171" xfId="2413" xr:uid="{00000000-0005-0000-0000-0000F6090000}"/>
    <cellStyle name="Normal 171 2" xfId="3965" xr:uid="{00000000-0005-0000-0000-0000F7090000}"/>
    <cellStyle name="Normal 172" xfId="2414" xr:uid="{00000000-0005-0000-0000-0000F8090000}"/>
    <cellStyle name="Normal 172 2" xfId="3966" xr:uid="{00000000-0005-0000-0000-0000F9090000}"/>
    <cellStyle name="Normal 173" xfId="2415" xr:uid="{00000000-0005-0000-0000-0000FA090000}"/>
    <cellStyle name="Normal 173 2" xfId="3967" xr:uid="{00000000-0005-0000-0000-0000FB090000}"/>
    <cellStyle name="Normal 174" xfId="2416" xr:uid="{00000000-0005-0000-0000-0000FC090000}"/>
    <cellStyle name="Normal 174 2" xfId="3968" xr:uid="{00000000-0005-0000-0000-0000FD090000}"/>
    <cellStyle name="Normal 175" xfId="2417" xr:uid="{00000000-0005-0000-0000-0000FE090000}"/>
    <cellStyle name="Normal 175 2" xfId="3969" xr:uid="{00000000-0005-0000-0000-0000FF090000}"/>
    <cellStyle name="Normal 176" xfId="2418" xr:uid="{00000000-0005-0000-0000-0000000A0000}"/>
    <cellStyle name="Normal 176 2" xfId="3970" xr:uid="{00000000-0005-0000-0000-0000010A0000}"/>
    <cellStyle name="Normal 177" xfId="2419" xr:uid="{00000000-0005-0000-0000-0000020A0000}"/>
    <cellStyle name="Normal 177 2" xfId="3971" xr:uid="{00000000-0005-0000-0000-0000030A0000}"/>
    <cellStyle name="Normal 178" xfId="2420" xr:uid="{00000000-0005-0000-0000-0000040A0000}"/>
    <cellStyle name="Normal 178 2" xfId="3972" xr:uid="{00000000-0005-0000-0000-0000050A0000}"/>
    <cellStyle name="Normal 179" xfId="2421" xr:uid="{00000000-0005-0000-0000-0000060A0000}"/>
    <cellStyle name="Normal 179 2" xfId="3973" xr:uid="{00000000-0005-0000-0000-0000070A0000}"/>
    <cellStyle name="Normal 18" xfId="2422" xr:uid="{00000000-0005-0000-0000-0000080A0000}"/>
    <cellStyle name="Normal 18 2" xfId="2423" xr:uid="{00000000-0005-0000-0000-0000090A0000}"/>
    <cellStyle name="Normal 180" xfId="2424" xr:uid="{00000000-0005-0000-0000-00000A0A0000}"/>
    <cellStyle name="Normal 180 2" xfId="3974" xr:uid="{00000000-0005-0000-0000-00000B0A0000}"/>
    <cellStyle name="Normal 181" xfId="2425" xr:uid="{00000000-0005-0000-0000-00000C0A0000}"/>
    <cellStyle name="Normal 181 2" xfId="3975" xr:uid="{00000000-0005-0000-0000-00000D0A0000}"/>
    <cellStyle name="Normal 182" xfId="2426" xr:uid="{00000000-0005-0000-0000-00000E0A0000}"/>
    <cellStyle name="Normal 182 2" xfId="3976" xr:uid="{00000000-0005-0000-0000-00000F0A0000}"/>
    <cellStyle name="Normal 183" xfId="2427" xr:uid="{00000000-0005-0000-0000-0000100A0000}"/>
    <cellStyle name="Normal 183 2" xfId="3977" xr:uid="{00000000-0005-0000-0000-0000110A0000}"/>
    <cellStyle name="Normal 184" xfId="2428" xr:uid="{00000000-0005-0000-0000-0000120A0000}"/>
    <cellStyle name="Normal 184 2" xfId="3978" xr:uid="{00000000-0005-0000-0000-0000130A0000}"/>
    <cellStyle name="Normal 185" xfId="2429" xr:uid="{00000000-0005-0000-0000-0000140A0000}"/>
    <cellStyle name="Normal 185 2" xfId="3979" xr:uid="{00000000-0005-0000-0000-0000150A0000}"/>
    <cellStyle name="Normal 186" xfId="2430" xr:uid="{00000000-0005-0000-0000-0000160A0000}"/>
    <cellStyle name="Normal 186 2" xfId="3980" xr:uid="{00000000-0005-0000-0000-0000170A0000}"/>
    <cellStyle name="Normal 187" xfId="2431" xr:uid="{00000000-0005-0000-0000-0000180A0000}"/>
    <cellStyle name="Normal 187 2" xfId="3981" xr:uid="{00000000-0005-0000-0000-0000190A0000}"/>
    <cellStyle name="Normal 188" xfId="2432" xr:uid="{00000000-0005-0000-0000-00001A0A0000}"/>
    <cellStyle name="Normal 188 2" xfId="3982" xr:uid="{00000000-0005-0000-0000-00001B0A0000}"/>
    <cellStyle name="Normal 189" xfId="2433" xr:uid="{00000000-0005-0000-0000-00001C0A0000}"/>
    <cellStyle name="Normal 189 2" xfId="3983" xr:uid="{00000000-0005-0000-0000-00001D0A0000}"/>
    <cellStyle name="Normal 19" xfId="2434" xr:uid="{00000000-0005-0000-0000-00001E0A0000}"/>
    <cellStyle name="Normal 19 2" xfId="2435" xr:uid="{00000000-0005-0000-0000-00001F0A0000}"/>
    <cellStyle name="Normal 190" xfId="2436" xr:uid="{00000000-0005-0000-0000-0000200A0000}"/>
    <cellStyle name="Normal 190 2" xfId="3984" xr:uid="{00000000-0005-0000-0000-0000210A0000}"/>
    <cellStyle name="Normal 191" xfId="2437" xr:uid="{00000000-0005-0000-0000-0000220A0000}"/>
    <cellStyle name="Normal 191 2" xfId="3985" xr:uid="{00000000-0005-0000-0000-0000230A0000}"/>
    <cellStyle name="Normal 192" xfId="2438" xr:uid="{00000000-0005-0000-0000-0000240A0000}"/>
    <cellStyle name="Normal 192 2" xfId="3986" xr:uid="{00000000-0005-0000-0000-0000250A0000}"/>
    <cellStyle name="Normal 193" xfId="2439" xr:uid="{00000000-0005-0000-0000-0000260A0000}"/>
    <cellStyle name="Normal 193 2" xfId="3987" xr:uid="{00000000-0005-0000-0000-0000270A0000}"/>
    <cellStyle name="Normal 194" xfId="2440" xr:uid="{00000000-0005-0000-0000-0000280A0000}"/>
    <cellStyle name="Normal 194 2" xfId="3988" xr:uid="{00000000-0005-0000-0000-0000290A0000}"/>
    <cellStyle name="Normal 195" xfId="2441" xr:uid="{00000000-0005-0000-0000-00002A0A0000}"/>
    <cellStyle name="Normal 195 2" xfId="3989" xr:uid="{00000000-0005-0000-0000-00002B0A0000}"/>
    <cellStyle name="Normal 196" xfId="2442" xr:uid="{00000000-0005-0000-0000-00002C0A0000}"/>
    <cellStyle name="Normal 196 2" xfId="3990" xr:uid="{00000000-0005-0000-0000-00002D0A0000}"/>
    <cellStyle name="Normal 197" xfId="2443" xr:uid="{00000000-0005-0000-0000-00002E0A0000}"/>
    <cellStyle name="Normal 197 2" xfId="3991" xr:uid="{00000000-0005-0000-0000-00002F0A0000}"/>
    <cellStyle name="Normal 198" xfId="2444" xr:uid="{00000000-0005-0000-0000-0000300A0000}"/>
    <cellStyle name="Normal 198 2" xfId="3992" xr:uid="{00000000-0005-0000-0000-0000310A0000}"/>
    <cellStyle name="Normal 199" xfId="2445" xr:uid="{00000000-0005-0000-0000-0000320A0000}"/>
    <cellStyle name="Normal 199 2" xfId="3993" xr:uid="{00000000-0005-0000-0000-0000330A0000}"/>
    <cellStyle name="Normal 2" xfId="2446" xr:uid="{00000000-0005-0000-0000-0000340A0000}"/>
    <cellStyle name="Normal 2 10" xfId="2447" xr:uid="{00000000-0005-0000-0000-0000350A0000}"/>
    <cellStyle name="Normal 2 10 2" xfId="2448" xr:uid="{00000000-0005-0000-0000-0000360A0000}"/>
    <cellStyle name="Normal 2 10 2 2" xfId="3996" xr:uid="{00000000-0005-0000-0000-0000370A0000}"/>
    <cellStyle name="Normal 2 10 3" xfId="3995" xr:uid="{00000000-0005-0000-0000-0000380A0000}"/>
    <cellStyle name="Normal 2 2" xfId="2449" xr:uid="{00000000-0005-0000-0000-0000390A0000}"/>
    <cellStyle name="Normal 2 2 2 2 2" xfId="4118" xr:uid="{00000000-0005-0000-0000-00003A0A0000}"/>
    <cellStyle name="Normal 2 2 2 2 3" xfId="4117" xr:uid="{00000000-0005-0000-0000-00003B0A0000}"/>
    <cellStyle name="Normal 2 3" xfId="2450" xr:uid="{00000000-0005-0000-0000-00003C0A0000}"/>
    <cellStyle name="Normal 2 4" xfId="2451" xr:uid="{00000000-0005-0000-0000-00003D0A0000}"/>
    <cellStyle name="Normal 2 5" xfId="2452" xr:uid="{00000000-0005-0000-0000-00003E0A0000}"/>
    <cellStyle name="Normal 2 6" xfId="3994" xr:uid="{00000000-0005-0000-0000-00003F0A0000}"/>
    <cellStyle name="Normal 2_2009-02 SUN LMIR FS " xfId="2453" xr:uid="{00000000-0005-0000-0000-0000400A0000}"/>
    <cellStyle name="Normal 20" xfId="2454" xr:uid="{00000000-0005-0000-0000-0000410A0000}"/>
    <cellStyle name="Normal 20 2" xfId="2455" xr:uid="{00000000-0005-0000-0000-0000420A0000}"/>
    <cellStyle name="Normal 200" xfId="2456" xr:uid="{00000000-0005-0000-0000-0000430A0000}"/>
    <cellStyle name="Normal 200 2" xfId="3997" xr:uid="{00000000-0005-0000-0000-0000440A0000}"/>
    <cellStyle name="Normal 201" xfId="2457" xr:uid="{00000000-0005-0000-0000-0000450A0000}"/>
    <cellStyle name="Normal 201 2" xfId="3998" xr:uid="{00000000-0005-0000-0000-0000460A0000}"/>
    <cellStyle name="Normal 202" xfId="2458" xr:uid="{00000000-0005-0000-0000-0000470A0000}"/>
    <cellStyle name="Normal 202 2" xfId="3999" xr:uid="{00000000-0005-0000-0000-0000480A0000}"/>
    <cellStyle name="Normal 203" xfId="2459" xr:uid="{00000000-0005-0000-0000-0000490A0000}"/>
    <cellStyle name="Normal 203 2" xfId="4000" xr:uid="{00000000-0005-0000-0000-00004A0A0000}"/>
    <cellStyle name="Normal 204" xfId="2460" xr:uid="{00000000-0005-0000-0000-00004B0A0000}"/>
    <cellStyle name="Normal 204 2" xfId="4001" xr:uid="{00000000-0005-0000-0000-00004C0A0000}"/>
    <cellStyle name="Normal 205" xfId="2461" xr:uid="{00000000-0005-0000-0000-00004D0A0000}"/>
    <cellStyle name="Normal 205 2" xfId="4002" xr:uid="{00000000-0005-0000-0000-00004E0A0000}"/>
    <cellStyle name="Normal 206" xfId="2462" xr:uid="{00000000-0005-0000-0000-00004F0A0000}"/>
    <cellStyle name="Normal 206 2" xfId="4003" xr:uid="{00000000-0005-0000-0000-0000500A0000}"/>
    <cellStyle name="Normal 207" xfId="2463" xr:uid="{00000000-0005-0000-0000-0000510A0000}"/>
    <cellStyle name="Normal 207 2" xfId="4004" xr:uid="{00000000-0005-0000-0000-0000520A0000}"/>
    <cellStyle name="Normal 208" xfId="2464" xr:uid="{00000000-0005-0000-0000-0000530A0000}"/>
    <cellStyle name="Normal 208 2" xfId="4005" xr:uid="{00000000-0005-0000-0000-0000540A0000}"/>
    <cellStyle name="Normal 209" xfId="2465" xr:uid="{00000000-0005-0000-0000-0000550A0000}"/>
    <cellStyle name="Normal 209 2" xfId="4006" xr:uid="{00000000-0005-0000-0000-0000560A0000}"/>
    <cellStyle name="Normal 21" xfId="2466" xr:uid="{00000000-0005-0000-0000-0000570A0000}"/>
    <cellStyle name="Normal 21 2" xfId="2467" xr:uid="{00000000-0005-0000-0000-0000580A0000}"/>
    <cellStyle name="Normal 210" xfId="2468" xr:uid="{00000000-0005-0000-0000-0000590A0000}"/>
    <cellStyle name="Normal 210 2" xfId="4007" xr:uid="{00000000-0005-0000-0000-00005A0A0000}"/>
    <cellStyle name="Normal 211" xfId="2469" xr:uid="{00000000-0005-0000-0000-00005B0A0000}"/>
    <cellStyle name="Normal 211 2" xfId="4008" xr:uid="{00000000-0005-0000-0000-00005C0A0000}"/>
    <cellStyle name="Normal 212" xfId="2470" xr:uid="{00000000-0005-0000-0000-00005D0A0000}"/>
    <cellStyle name="Normal 212 2" xfId="4009" xr:uid="{00000000-0005-0000-0000-00005E0A0000}"/>
    <cellStyle name="Normal 213" xfId="2471" xr:uid="{00000000-0005-0000-0000-00005F0A0000}"/>
    <cellStyle name="Normal 213 2" xfId="4010" xr:uid="{00000000-0005-0000-0000-0000600A0000}"/>
    <cellStyle name="Normal 214" xfId="2472" xr:uid="{00000000-0005-0000-0000-0000610A0000}"/>
    <cellStyle name="Normal 214 2" xfId="4011" xr:uid="{00000000-0005-0000-0000-0000620A0000}"/>
    <cellStyle name="Normal 215" xfId="2473" xr:uid="{00000000-0005-0000-0000-0000630A0000}"/>
    <cellStyle name="Normal 215 2" xfId="4012" xr:uid="{00000000-0005-0000-0000-0000640A0000}"/>
    <cellStyle name="Normal 216" xfId="2474" xr:uid="{00000000-0005-0000-0000-0000650A0000}"/>
    <cellStyle name="Normal 216 2" xfId="4013" xr:uid="{00000000-0005-0000-0000-0000660A0000}"/>
    <cellStyle name="Normal 217" xfId="2475" xr:uid="{00000000-0005-0000-0000-0000670A0000}"/>
    <cellStyle name="Normal 217 2" xfId="4014" xr:uid="{00000000-0005-0000-0000-0000680A0000}"/>
    <cellStyle name="Normal 218" xfId="2476" xr:uid="{00000000-0005-0000-0000-0000690A0000}"/>
    <cellStyle name="Normal 218 2" xfId="4015" xr:uid="{00000000-0005-0000-0000-00006A0A0000}"/>
    <cellStyle name="Normal 219" xfId="2477" xr:uid="{00000000-0005-0000-0000-00006B0A0000}"/>
    <cellStyle name="Normal 219 2" xfId="4016" xr:uid="{00000000-0005-0000-0000-00006C0A0000}"/>
    <cellStyle name="Normal 22" xfId="2478" xr:uid="{00000000-0005-0000-0000-00006D0A0000}"/>
    <cellStyle name="Normal 22 2" xfId="2479" xr:uid="{00000000-0005-0000-0000-00006E0A0000}"/>
    <cellStyle name="Normal 220" xfId="2480" xr:uid="{00000000-0005-0000-0000-00006F0A0000}"/>
    <cellStyle name="Normal 220 2" xfId="4017" xr:uid="{00000000-0005-0000-0000-0000700A0000}"/>
    <cellStyle name="Normal 221" xfId="2481" xr:uid="{00000000-0005-0000-0000-0000710A0000}"/>
    <cellStyle name="Normal 221 2" xfId="4018" xr:uid="{00000000-0005-0000-0000-0000720A0000}"/>
    <cellStyle name="Normal 222" xfId="2482" xr:uid="{00000000-0005-0000-0000-0000730A0000}"/>
    <cellStyle name="Normal 222 2" xfId="4019" xr:uid="{00000000-0005-0000-0000-0000740A0000}"/>
    <cellStyle name="Normal 223" xfId="2483" xr:uid="{00000000-0005-0000-0000-0000750A0000}"/>
    <cellStyle name="Normal 223 2" xfId="4020" xr:uid="{00000000-0005-0000-0000-0000760A0000}"/>
    <cellStyle name="Normal 224" xfId="2484" xr:uid="{00000000-0005-0000-0000-0000770A0000}"/>
    <cellStyle name="Normal 224 2" xfId="4021" xr:uid="{00000000-0005-0000-0000-0000780A0000}"/>
    <cellStyle name="Normal 225" xfId="2485" xr:uid="{00000000-0005-0000-0000-0000790A0000}"/>
    <cellStyle name="Normal 225 2" xfId="4022" xr:uid="{00000000-0005-0000-0000-00007A0A0000}"/>
    <cellStyle name="Normal 226" xfId="2486" xr:uid="{00000000-0005-0000-0000-00007B0A0000}"/>
    <cellStyle name="Normal 226 2" xfId="4023" xr:uid="{00000000-0005-0000-0000-00007C0A0000}"/>
    <cellStyle name="Normal 227" xfId="2487" xr:uid="{00000000-0005-0000-0000-00007D0A0000}"/>
    <cellStyle name="Normal 227 2" xfId="4024" xr:uid="{00000000-0005-0000-0000-00007E0A0000}"/>
    <cellStyle name="Normal 228" xfId="2488" xr:uid="{00000000-0005-0000-0000-00007F0A0000}"/>
    <cellStyle name="Normal 228 2" xfId="4025" xr:uid="{00000000-0005-0000-0000-0000800A0000}"/>
    <cellStyle name="Normal 229" xfId="2489" xr:uid="{00000000-0005-0000-0000-0000810A0000}"/>
    <cellStyle name="Normal 229 2" xfId="4026" xr:uid="{00000000-0005-0000-0000-0000820A0000}"/>
    <cellStyle name="Normal 23" xfId="2490" xr:uid="{00000000-0005-0000-0000-0000830A0000}"/>
    <cellStyle name="Normal 23 2" xfId="2491" xr:uid="{00000000-0005-0000-0000-0000840A0000}"/>
    <cellStyle name="Normal 230" xfId="2492" xr:uid="{00000000-0005-0000-0000-0000850A0000}"/>
    <cellStyle name="Normal 230 2" xfId="4027" xr:uid="{00000000-0005-0000-0000-0000860A0000}"/>
    <cellStyle name="Normal 231" xfId="2493" xr:uid="{00000000-0005-0000-0000-0000870A0000}"/>
    <cellStyle name="Normal 231 2" xfId="4028" xr:uid="{00000000-0005-0000-0000-0000880A0000}"/>
    <cellStyle name="Normal 232" xfId="2494" xr:uid="{00000000-0005-0000-0000-0000890A0000}"/>
    <cellStyle name="Normal 232 2" xfId="4029" xr:uid="{00000000-0005-0000-0000-00008A0A0000}"/>
    <cellStyle name="Normal 233" xfId="2495" xr:uid="{00000000-0005-0000-0000-00008B0A0000}"/>
    <cellStyle name="Normal 233 2" xfId="4030" xr:uid="{00000000-0005-0000-0000-00008C0A0000}"/>
    <cellStyle name="Normal 234" xfId="2496" xr:uid="{00000000-0005-0000-0000-00008D0A0000}"/>
    <cellStyle name="Normal 234 2" xfId="4031" xr:uid="{00000000-0005-0000-0000-00008E0A0000}"/>
    <cellStyle name="Normal 235" xfId="2497" xr:uid="{00000000-0005-0000-0000-00008F0A0000}"/>
    <cellStyle name="Normal 235 2" xfId="4032" xr:uid="{00000000-0005-0000-0000-0000900A0000}"/>
    <cellStyle name="Normal 236" xfId="2498" xr:uid="{00000000-0005-0000-0000-0000910A0000}"/>
    <cellStyle name="Normal 236 2" xfId="4033" xr:uid="{00000000-0005-0000-0000-0000920A0000}"/>
    <cellStyle name="Normal 237" xfId="2499" xr:uid="{00000000-0005-0000-0000-0000930A0000}"/>
    <cellStyle name="Normal 237 2" xfId="4034" xr:uid="{00000000-0005-0000-0000-0000940A0000}"/>
    <cellStyle name="Normal 238" xfId="2500" xr:uid="{00000000-0005-0000-0000-0000950A0000}"/>
    <cellStyle name="Normal 238 2" xfId="4035" xr:uid="{00000000-0005-0000-0000-0000960A0000}"/>
    <cellStyle name="Normal 239" xfId="2501" xr:uid="{00000000-0005-0000-0000-0000970A0000}"/>
    <cellStyle name="Normal 24" xfId="2502" xr:uid="{00000000-0005-0000-0000-0000980A0000}"/>
    <cellStyle name="Normal 24 2" xfId="2503" xr:uid="{00000000-0005-0000-0000-0000990A0000}"/>
    <cellStyle name="Normal 240" xfId="2504" xr:uid="{00000000-0005-0000-0000-00009A0A0000}"/>
    <cellStyle name="Normal 240 2" xfId="4036" xr:uid="{00000000-0005-0000-0000-00009B0A0000}"/>
    <cellStyle name="Normal 241" xfId="2505" xr:uid="{00000000-0005-0000-0000-00009C0A0000}"/>
    <cellStyle name="Normal 241 2" xfId="4037" xr:uid="{00000000-0005-0000-0000-00009D0A0000}"/>
    <cellStyle name="Normal 242" xfId="2506" xr:uid="{00000000-0005-0000-0000-00009E0A0000}"/>
    <cellStyle name="Normal 242 2" xfId="4038" xr:uid="{00000000-0005-0000-0000-00009F0A0000}"/>
    <cellStyle name="Normal 243" xfId="2507" xr:uid="{00000000-0005-0000-0000-0000A00A0000}"/>
    <cellStyle name="Normal 243 2" xfId="4039" xr:uid="{00000000-0005-0000-0000-0000A10A0000}"/>
    <cellStyle name="Normal 244" xfId="2508" xr:uid="{00000000-0005-0000-0000-0000A20A0000}"/>
    <cellStyle name="Normal 244 2" xfId="4040" xr:uid="{00000000-0005-0000-0000-0000A30A0000}"/>
    <cellStyle name="Normal 245" xfId="2509" xr:uid="{00000000-0005-0000-0000-0000A40A0000}"/>
    <cellStyle name="Normal 245 2" xfId="4041" xr:uid="{00000000-0005-0000-0000-0000A50A0000}"/>
    <cellStyle name="Normal 246" xfId="2510" xr:uid="{00000000-0005-0000-0000-0000A60A0000}"/>
    <cellStyle name="Normal 246 2" xfId="4042" xr:uid="{00000000-0005-0000-0000-0000A70A0000}"/>
    <cellStyle name="Normal 247" xfId="2511" xr:uid="{00000000-0005-0000-0000-0000A80A0000}"/>
    <cellStyle name="Normal 247 2" xfId="4043" xr:uid="{00000000-0005-0000-0000-0000A90A0000}"/>
    <cellStyle name="Normal 248" xfId="3838" xr:uid="{00000000-0005-0000-0000-0000AA0A0000}"/>
    <cellStyle name="Normal 249" xfId="3840" xr:uid="{00000000-0005-0000-0000-0000AB0A0000}"/>
    <cellStyle name="Normal 25" xfId="2512" xr:uid="{00000000-0005-0000-0000-0000AC0A0000}"/>
    <cellStyle name="Normal 25 2" xfId="2513" xr:uid="{00000000-0005-0000-0000-0000AD0A0000}"/>
    <cellStyle name="Normal 250" xfId="3842" xr:uid="{00000000-0005-0000-0000-0000AE0A0000}"/>
    <cellStyle name="Normal 251" xfId="3844" xr:uid="{00000000-0005-0000-0000-0000AF0A0000}"/>
    <cellStyle name="Normal 252" xfId="4105" xr:uid="{00000000-0005-0000-0000-0000B00A0000}"/>
    <cellStyle name="Normal 253" xfId="4108" xr:uid="{00000000-0005-0000-0000-0000B10A0000}"/>
    <cellStyle name="Normal 254" xfId="4111" xr:uid="{00000000-0005-0000-0000-0000B20A0000}"/>
    <cellStyle name="Normal 255" xfId="4119" xr:uid="{00000000-0005-0000-0000-0000B30A0000}"/>
    <cellStyle name="Normal 256" xfId="4123" xr:uid="{00000000-0005-0000-0000-0000B40A0000}"/>
    <cellStyle name="Normal 257" xfId="4132" xr:uid="{00000000-0005-0000-0000-0000B50A0000}"/>
    <cellStyle name="Normal 26" xfId="2514" xr:uid="{00000000-0005-0000-0000-0000B60A0000}"/>
    <cellStyle name="Normal 26 2" xfId="2515" xr:uid="{00000000-0005-0000-0000-0000B70A0000}"/>
    <cellStyle name="Normal 27" xfId="2516" xr:uid="{00000000-0005-0000-0000-0000B80A0000}"/>
    <cellStyle name="Normal 27 2" xfId="2517" xr:uid="{00000000-0005-0000-0000-0000B90A0000}"/>
    <cellStyle name="Normal 28" xfId="2518" xr:uid="{00000000-0005-0000-0000-0000BA0A0000}"/>
    <cellStyle name="Normal 28 2" xfId="2519" xr:uid="{00000000-0005-0000-0000-0000BB0A0000}"/>
    <cellStyle name="Normal 29" xfId="2520" xr:uid="{00000000-0005-0000-0000-0000BC0A0000}"/>
    <cellStyle name="Normal 29 2" xfId="2521" xr:uid="{00000000-0005-0000-0000-0000BD0A0000}"/>
    <cellStyle name="Normal 3" xfId="2522" xr:uid="{00000000-0005-0000-0000-0000BE0A0000}"/>
    <cellStyle name="Normal 3 2" xfId="2523" xr:uid="{00000000-0005-0000-0000-0000BF0A0000}"/>
    <cellStyle name="Normal 3 2 2" xfId="2524" xr:uid="{00000000-0005-0000-0000-0000C00A0000}"/>
    <cellStyle name="Normal 3 2 2 2" xfId="2525" xr:uid="{00000000-0005-0000-0000-0000C10A0000}"/>
    <cellStyle name="Normal 3 2 2 2 2" xfId="2526" xr:uid="{00000000-0005-0000-0000-0000C20A0000}"/>
    <cellStyle name="Normal 3 2 2 2 2 2" xfId="4046" xr:uid="{00000000-0005-0000-0000-0000C30A0000}"/>
    <cellStyle name="Normal 3 2 2 2 3" xfId="4045" xr:uid="{00000000-0005-0000-0000-0000C40A0000}"/>
    <cellStyle name="Normal 3 2 2 3" xfId="2527" xr:uid="{00000000-0005-0000-0000-0000C50A0000}"/>
    <cellStyle name="Normal 3 2 2 3 2" xfId="4047" xr:uid="{00000000-0005-0000-0000-0000C60A0000}"/>
    <cellStyle name="Normal 3 2 2 4" xfId="4044" xr:uid="{00000000-0005-0000-0000-0000C70A0000}"/>
    <cellStyle name="Normal 3 3" xfId="2528" xr:uid="{00000000-0005-0000-0000-0000C80A0000}"/>
    <cellStyle name="Normal 3 3 2" xfId="2529" xr:uid="{00000000-0005-0000-0000-0000C90A0000}"/>
    <cellStyle name="Normal 3 3 2 2" xfId="4049" xr:uid="{00000000-0005-0000-0000-0000CA0A0000}"/>
    <cellStyle name="Normal 3 3 3" xfId="4048" xr:uid="{00000000-0005-0000-0000-0000CB0A0000}"/>
    <cellStyle name="Normal 3 4" xfId="2530" xr:uid="{00000000-0005-0000-0000-0000CC0A0000}"/>
    <cellStyle name="Normal 3 4 2" xfId="2531" xr:uid="{00000000-0005-0000-0000-0000CD0A0000}"/>
    <cellStyle name="Normal 3 4 2 2" xfId="4051" xr:uid="{00000000-0005-0000-0000-0000CE0A0000}"/>
    <cellStyle name="Normal 3 4 3" xfId="4050" xr:uid="{00000000-0005-0000-0000-0000CF0A0000}"/>
    <cellStyle name="Normal 3 5" xfId="2532" xr:uid="{00000000-0005-0000-0000-0000D00A0000}"/>
    <cellStyle name="Normal 3 5 2" xfId="4052" xr:uid="{00000000-0005-0000-0000-0000D10A0000}"/>
    <cellStyle name="Normal 3 6" xfId="4128" xr:uid="{00000000-0005-0000-0000-0000D20A0000}"/>
    <cellStyle name="Normal 30" xfId="2533" xr:uid="{00000000-0005-0000-0000-0000D30A0000}"/>
    <cellStyle name="Normal 30 2" xfId="2534" xr:uid="{00000000-0005-0000-0000-0000D40A0000}"/>
    <cellStyle name="Normal 31" xfId="2535" xr:uid="{00000000-0005-0000-0000-0000D50A0000}"/>
    <cellStyle name="Normal 31 2" xfId="2536" xr:uid="{00000000-0005-0000-0000-0000D60A0000}"/>
    <cellStyle name="Normal 32" xfId="2537" xr:uid="{00000000-0005-0000-0000-0000D70A0000}"/>
    <cellStyle name="Normal 32 2" xfId="2538" xr:uid="{00000000-0005-0000-0000-0000D80A0000}"/>
    <cellStyle name="Normal 33" xfId="2539" xr:uid="{00000000-0005-0000-0000-0000D90A0000}"/>
    <cellStyle name="Normal 33 2" xfId="2540" xr:uid="{00000000-0005-0000-0000-0000DA0A0000}"/>
    <cellStyle name="Normal 34" xfId="2541" xr:uid="{00000000-0005-0000-0000-0000DB0A0000}"/>
    <cellStyle name="Normal 34 2" xfId="2542" xr:uid="{00000000-0005-0000-0000-0000DC0A0000}"/>
    <cellStyle name="Normal 35" xfId="2543" xr:uid="{00000000-0005-0000-0000-0000DD0A0000}"/>
    <cellStyle name="Normal 35 2" xfId="2544" xr:uid="{00000000-0005-0000-0000-0000DE0A0000}"/>
    <cellStyle name="Normal 36" xfId="2545" xr:uid="{00000000-0005-0000-0000-0000DF0A0000}"/>
    <cellStyle name="Normal 36 2" xfId="2546" xr:uid="{00000000-0005-0000-0000-0000E00A0000}"/>
    <cellStyle name="Normal 37" xfId="2547" xr:uid="{00000000-0005-0000-0000-0000E10A0000}"/>
    <cellStyle name="Normal 37 2" xfId="2548" xr:uid="{00000000-0005-0000-0000-0000E20A0000}"/>
    <cellStyle name="Normal 38" xfId="2549" xr:uid="{00000000-0005-0000-0000-0000E30A0000}"/>
    <cellStyle name="Normal 38 2" xfId="2550" xr:uid="{00000000-0005-0000-0000-0000E40A0000}"/>
    <cellStyle name="Normal 39" xfId="2551" xr:uid="{00000000-0005-0000-0000-0000E50A0000}"/>
    <cellStyle name="Normal 39 2" xfId="2552" xr:uid="{00000000-0005-0000-0000-0000E60A0000}"/>
    <cellStyle name="Normal 4" xfId="2553" xr:uid="{00000000-0005-0000-0000-0000E70A0000}"/>
    <cellStyle name="Normal 4 2 3" xfId="2554" xr:uid="{00000000-0005-0000-0000-0000E80A0000}"/>
    <cellStyle name="Normal 4 2 3 2" xfId="2555" xr:uid="{00000000-0005-0000-0000-0000E90A0000}"/>
    <cellStyle name="Normal 4 2 3 2 2" xfId="2556" xr:uid="{00000000-0005-0000-0000-0000EA0A0000}"/>
    <cellStyle name="Normal 4 2 3 2 2 2" xfId="4055" xr:uid="{00000000-0005-0000-0000-0000EB0A0000}"/>
    <cellStyle name="Normal 4 2 3 2 3" xfId="4054" xr:uid="{00000000-0005-0000-0000-0000EC0A0000}"/>
    <cellStyle name="Normal 4 2 3 3" xfId="2557" xr:uid="{00000000-0005-0000-0000-0000ED0A0000}"/>
    <cellStyle name="Normal 4 2 3 3 2" xfId="4056" xr:uid="{00000000-0005-0000-0000-0000EE0A0000}"/>
    <cellStyle name="Normal 4 2 3 4" xfId="4053" xr:uid="{00000000-0005-0000-0000-0000EF0A0000}"/>
    <cellStyle name="Normal 4 5" xfId="4115" xr:uid="{00000000-0005-0000-0000-0000F00A0000}"/>
    <cellStyle name="Normal 40" xfId="2558" xr:uid="{00000000-0005-0000-0000-0000F10A0000}"/>
    <cellStyle name="Normal 40 2" xfId="2559" xr:uid="{00000000-0005-0000-0000-0000F20A0000}"/>
    <cellStyle name="Normal 40 2 2" xfId="2560" xr:uid="{00000000-0005-0000-0000-0000F30A0000}"/>
    <cellStyle name="Normal 40 3" xfId="2561" xr:uid="{00000000-0005-0000-0000-0000F40A0000}"/>
    <cellStyle name="Normal 404" xfId="4116" xr:uid="{00000000-0005-0000-0000-0000F50A0000}"/>
    <cellStyle name="Normal 41" xfId="2562" xr:uid="{00000000-0005-0000-0000-0000F60A0000}"/>
    <cellStyle name="Normal 42" xfId="2563" xr:uid="{00000000-0005-0000-0000-0000F70A0000}"/>
    <cellStyle name="Normal 42 2" xfId="2564" xr:uid="{00000000-0005-0000-0000-0000F80A0000}"/>
    <cellStyle name="Normal 43" xfId="2565" xr:uid="{00000000-0005-0000-0000-0000F90A0000}"/>
    <cellStyle name="Normal 43 2" xfId="2566" xr:uid="{00000000-0005-0000-0000-0000FA0A0000}"/>
    <cellStyle name="Normal 44" xfId="2567" xr:uid="{00000000-0005-0000-0000-0000FB0A0000}"/>
    <cellStyle name="Normal 44 2" xfId="2568" xr:uid="{00000000-0005-0000-0000-0000FC0A0000}"/>
    <cellStyle name="Normal 45" xfId="2569" xr:uid="{00000000-0005-0000-0000-0000FD0A0000}"/>
    <cellStyle name="Normal 45 2" xfId="2570" xr:uid="{00000000-0005-0000-0000-0000FE0A0000}"/>
    <cellStyle name="Normal 46" xfId="2571" xr:uid="{00000000-0005-0000-0000-0000FF0A0000}"/>
    <cellStyle name="Normal 46 2" xfId="2572" xr:uid="{00000000-0005-0000-0000-0000000B0000}"/>
    <cellStyle name="Normal 47" xfId="2573" xr:uid="{00000000-0005-0000-0000-0000010B0000}"/>
    <cellStyle name="Normal 47 2" xfId="2574" xr:uid="{00000000-0005-0000-0000-0000020B0000}"/>
    <cellStyle name="Normal 48" xfId="2575" xr:uid="{00000000-0005-0000-0000-0000030B0000}"/>
    <cellStyle name="Normal 48 2" xfId="2576" xr:uid="{00000000-0005-0000-0000-0000040B0000}"/>
    <cellStyle name="Normal 49" xfId="2577" xr:uid="{00000000-0005-0000-0000-0000050B0000}"/>
    <cellStyle name="Normal 49 2" xfId="2578" xr:uid="{00000000-0005-0000-0000-0000060B0000}"/>
    <cellStyle name="Normal 5" xfId="2579" xr:uid="{00000000-0005-0000-0000-0000070B0000}"/>
    <cellStyle name="Normal 5 2" xfId="2580" xr:uid="{00000000-0005-0000-0000-0000080B0000}"/>
    <cellStyle name="Normal 5 2 2" xfId="2581" xr:uid="{00000000-0005-0000-0000-0000090B0000}"/>
    <cellStyle name="Normal 5 2 2 2" xfId="2582" xr:uid="{00000000-0005-0000-0000-00000A0B0000}"/>
    <cellStyle name="Normal 5 2 3" xfId="2583" xr:uid="{00000000-0005-0000-0000-00000B0B0000}"/>
    <cellStyle name="Normal 5 2 3 2" xfId="2584" xr:uid="{00000000-0005-0000-0000-00000C0B0000}"/>
    <cellStyle name="Normal 5 2 3 3" xfId="2585" xr:uid="{00000000-0005-0000-0000-00000D0B0000}"/>
    <cellStyle name="Normal 5 2 4" xfId="2586" xr:uid="{00000000-0005-0000-0000-00000E0B0000}"/>
    <cellStyle name="Normal 5 2 4 2" xfId="2587" xr:uid="{00000000-0005-0000-0000-00000F0B0000}"/>
    <cellStyle name="Normal 5 2 4 2 2" xfId="4059" xr:uid="{00000000-0005-0000-0000-0000100B0000}"/>
    <cellStyle name="Normal 5 2 4 3" xfId="4058" xr:uid="{00000000-0005-0000-0000-0000110B0000}"/>
    <cellStyle name="Normal 5 2 5" xfId="2588" xr:uid="{00000000-0005-0000-0000-0000120B0000}"/>
    <cellStyle name="Normal 5 2 5 2" xfId="4060" xr:uid="{00000000-0005-0000-0000-0000130B0000}"/>
    <cellStyle name="Normal 5 2 6" xfId="4057" xr:uid="{00000000-0005-0000-0000-0000140B0000}"/>
    <cellStyle name="Normal 5 3" xfId="2589" xr:uid="{00000000-0005-0000-0000-0000150B0000}"/>
    <cellStyle name="Normal 5 3 2" xfId="2590" xr:uid="{00000000-0005-0000-0000-0000160B0000}"/>
    <cellStyle name="Normal 5 3 2 2" xfId="4062" xr:uid="{00000000-0005-0000-0000-0000170B0000}"/>
    <cellStyle name="Normal 5 3 3" xfId="4061" xr:uid="{00000000-0005-0000-0000-0000180B0000}"/>
    <cellStyle name="Normal 50" xfId="2591" xr:uid="{00000000-0005-0000-0000-0000190B0000}"/>
    <cellStyle name="Normal 50 2" xfId="2592" xr:uid="{00000000-0005-0000-0000-00001A0B0000}"/>
    <cellStyle name="Normal 51" xfId="2593" xr:uid="{00000000-0005-0000-0000-00001B0B0000}"/>
    <cellStyle name="Normal 51 2" xfId="2594" xr:uid="{00000000-0005-0000-0000-00001C0B0000}"/>
    <cellStyle name="Normal 52" xfId="2595" xr:uid="{00000000-0005-0000-0000-00001D0B0000}"/>
    <cellStyle name="Normal 52 2" xfId="2596" xr:uid="{00000000-0005-0000-0000-00001E0B0000}"/>
    <cellStyle name="Normal 53" xfId="2597" xr:uid="{00000000-0005-0000-0000-00001F0B0000}"/>
    <cellStyle name="Normal 53 2" xfId="2598" xr:uid="{00000000-0005-0000-0000-0000200B0000}"/>
    <cellStyle name="Normal 53 2 2" xfId="2599" xr:uid="{00000000-0005-0000-0000-0000210B0000}"/>
    <cellStyle name="Normal 53 3" xfId="2600" xr:uid="{00000000-0005-0000-0000-0000220B0000}"/>
    <cellStyle name="Normal 54" xfId="2601" xr:uid="{00000000-0005-0000-0000-0000230B0000}"/>
    <cellStyle name="Normal 54 2" xfId="2602" xr:uid="{00000000-0005-0000-0000-0000240B0000}"/>
    <cellStyle name="Normal 54 2 2" xfId="2603" xr:uid="{00000000-0005-0000-0000-0000250B0000}"/>
    <cellStyle name="Normal 54 3" xfId="2604" xr:uid="{00000000-0005-0000-0000-0000260B0000}"/>
    <cellStyle name="Normal 55" xfId="2605" xr:uid="{00000000-0005-0000-0000-0000270B0000}"/>
    <cellStyle name="Normal 55 2" xfId="2606" xr:uid="{00000000-0005-0000-0000-0000280B0000}"/>
    <cellStyle name="Normal 56" xfId="2607" xr:uid="{00000000-0005-0000-0000-0000290B0000}"/>
    <cellStyle name="Normal 56 2" xfId="2608" xr:uid="{00000000-0005-0000-0000-00002A0B0000}"/>
    <cellStyle name="Normal 57" xfId="2609" xr:uid="{00000000-0005-0000-0000-00002B0B0000}"/>
    <cellStyle name="Normal 57 2" xfId="2610" xr:uid="{00000000-0005-0000-0000-00002C0B0000}"/>
    <cellStyle name="Normal 58" xfId="2611" xr:uid="{00000000-0005-0000-0000-00002D0B0000}"/>
    <cellStyle name="Normal 58 2" xfId="2612" xr:uid="{00000000-0005-0000-0000-00002E0B0000}"/>
    <cellStyle name="Normal 59" xfId="2613" xr:uid="{00000000-0005-0000-0000-00002F0B0000}"/>
    <cellStyle name="Normal 59 2" xfId="2614" xr:uid="{00000000-0005-0000-0000-0000300B0000}"/>
    <cellStyle name="Normal 59 2 2" xfId="2615" xr:uid="{00000000-0005-0000-0000-0000310B0000}"/>
    <cellStyle name="Normal 59 3" xfId="2616" xr:uid="{00000000-0005-0000-0000-0000320B0000}"/>
    <cellStyle name="Normal 6" xfId="2617" xr:uid="{00000000-0005-0000-0000-0000330B0000}"/>
    <cellStyle name="Normal 6 2" xfId="2618" xr:uid="{00000000-0005-0000-0000-0000340B0000}"/>
    <cellStyle name="Normal 6 2 2" xfId="2619" xr:uid="{00000000-0005-0000-0000-0000350B0000}"/>
    <cellStyle name="Normal 6 2 2 2" xfId="4064" xr:uid="{00000000-0005-0000-0000-0000360B0000}"/>
    <cellStyle name="Normal 6 2 3" xfId="4063" xr:uid="{00000000-0005-0000-0000-0000370B0000}"/>
    <cellStyle name="Normal 60" xfId="2620" xr:uid="{00000000-0005-0000-0000-0000380B0000}"/>
    <cellStyle name="Normal 60 2" xfId="2621" xr:uid="{00000000-0005-0000-0000-0000390B0000}"/>
    <cellStyle name="Normal 60 2 2" xfId="2622" xr:uid="{00000000-0005-0000-0000-00003A0B0000}"/>
    <cellStyle name="Normal 60 3" xfId="2623" xr:uid="{00000000-0005-0000-0000-00003B0B0000}"/>
    <cellStyle name="Normal 61" xfId="2624" xr:uid="{00000000-0005-0000-0000-00003C0B0000}"/>
    <cellStyle name="Normal 61 2" xfId="2625" xr:uid="{00000000-0005-0000-0000-00003D0B0000}"/>
    <cellStyle name="Normal 62" xfId="2626" xr:uid="{00000000-0005-0000-0000-00003E0B0000}"/>
    <cellStyle name="Normal 62 2" xfId="2627" xr:uid="{00000000-0005-0000-0000-00003F0B0000}"/>
    <cellStyle name="Normal 63" xfId="2628" xr:uid="{00000000-0005-0000-0000-0000400B0000}"/>
    <cellStyle name="Normal 63 2" xfId="2629" xr:uid="{00000000-0005-0000-0000-0000410B0000}"/>
    <cellStyle name="Normal 64" xfId="2630" xr:uid="{00000000-0005-0000-0000-0000420B0000}"/>
    <cellStyle name="Normal 64 2" xfId="2631" xr:uid="{00000000-0005-0000-0000-0000430B0000}"/>
    <cellStyle name="Normal 65" xfId="2632" xr:uid="{00000000-0005-0000-0000-0000440B0000}"/>
    <cellStyle name="Normal 65 2" xfId="2633" xr:uid="{00000000-0005-0000-0000-0000450B0000}"/>
    <cellStyle name="Normal 66" xfId="2634" xr:uid="{00000000-0005-0000-0000-0000460B0000}"/>
    <cellStyle name="Normal 66 2" xfId="2635" xr:uid="{00000000-0005-0000-0000-0000470B0000}"/>
    <cellStyle name="Normal 67" xfId="2636" xr:uid="{00000000-0005-0000-0000-0000480B0000}"/>
    <cellStyle name="Normal 68" xfId="2637" xr:uid="{00000000-0005-0000-0000-0000490B0000}"/>
    <cellStyle name="Normal 68 2" xfId="4065" xr:uid="{00000000-0005-0000-0000-00004A0B0000}"/>
    <cellStyle name="Normal 69" xfId="2638" xr:uid="{00000000-0005-0000-0000-00004B0B0000}"/>
    <cellStyle name="Normal 69 2" xfId="4066" xr:uid="{00000000-0005-0000-0000-00004C0B0000}"/>
    <cellStyle name="Normal 7" xfId="2639" xr:uid="{00000000-0005-0000-0000-00004D0B0000}"/>
    <cellStyle name="Normal 7 2" xfId="2640" xr:uid="{00000000-0005-0000-0000-00004E0B0000}"/>
    <cellStyle name="Normal 7 2 2" xfId="2641" xr:uid="{00000000-0005-0000-0000-00004F0B0000}"/>
    <cellStyle name="Normal 7 2 2 2" xfId="4068" xr:uid="{00000000-0005-0000-0000-0000500B0000}"/>
    <cellStyle name="Normal 7 2 3" xfId="4067" xr:uid="{00000000-0005-0000-0000-0000510B0000}"/>
    <cellStyle name="Normal 7 3" xfId="2642" xr:uid="{00000000-0005-0000-0000-0000520B0000}"/>
    <cellStyle name="Normal 70" xfId="2643" xr:uid="{00000000-0005-0000-0000-0000530B0000}"/>
    <cellStyle name="Normal 70 2" xfId="4069" xr:uid="{00000000-0005-0000-0000-0000540B0000}"/>
    <cellStyle name="Normal 71" xfId="2644" xr:uid="{00000000-0005-0000-0000-0000550B0000}"/>
    <cellStyle name="Normal 71 2" xfId="4070" xr:uid="{00000000-0005-0000-0000-0000560B0000}"/>
    <cellStyle name="Normal 72" xfId="2645" xr:uid="{00000000-0005-0000-0000-0000570B0000}"/>
    <cellStyle name="Normal 72 2" xfId="4071" xr:uid="{00000000-0005-0000-0000-0000580B0000}"/>
    <cellStyle name="Normal 73" xfId="2646" xr:uid="{00000000-0005-0000-0000-0000590B0000}"/>
    <cellStyle name="Normal 73 2" xfId="4072" xr:uid="{00000000-0005-0000-0000-00005A0B0000}"/>
    <cellStyle name="Normal 74" xfId="2647" xr:uid="{00000000-0005-0000-0000-00005B0B0000}"/>
    <cellStyle name="Normal 74 2" xfId="4073" xr:uid="{00000000-0005-0000-0000-00005C0B0000}"/>
    <cellStyle name="Normal 75" xfId="2648" xr:uid="{00000000-0005-0000-0000-00005D0B0000}"/>
    <cellStyle name="Normal 75 2" xfId="4074" xr:uid="{00000000-0005-0000-0000-00005E0B0000}"/>
    <cellStyle name="Normal 76" xfId="2649" xr:uid="{00000000-0005-0000-0000-00005F0B0000}"/>
    <cellStyle name="Normal 77" xfId="2650" xr:uid="{00000000-0005-0000-0000-0000600B0000}"/>
    <cellStyle name="Normal 77 2" xfId="4075" xr:uid="{00000000-0005-0000-0000-0000610B0000}"/>
    <cellStyle name="Normal 78" xfId="2651" xr:uid="{00000000-0005-0000-0000-0000620B0000}"/>
    <cellStyle name="Normal 78 2" xfId="4076" xr:uid="{00000000-0005-0000-0000-0000630B0000}"/>
    <cellStyle name="Normal 79" xfId="2652" xr:uid="{00000000-0005-0000-0000-0000640B0000}"/>
    <cellStyle name="Normal 79 2" xfId="4077" xr:uid="{00000000-0005-0000-0000-0000650B0000}"/>
    <cellStyle name="Normal 8" xfId="2653" xr:uid="{00000000-0005-0000-0000-0000660B0000}"/>
    <cellStyle name="Normal 80" xfId="2654" xr:uid="{00000000-0005-0000-0000-0000670B0000}"/>
    <cellStyle name="Normal 80 2" xfId="4078" xr:uid="{00000000-0005-0000-0000-0000680B0000}"/>
    <cellStyle name="Normal 81" xfId="2655" xr:uid="{00000000-0005-0000-0000-0000690B0000}"/>
    <cellStyle name="Normal 81 2" xfId="4079" xr:uid="{00000000-0005-0000-0000-00006A0B0000}"/>
    <cellStyle name="Normal 82" xfId="2656" xr:uid="{00000000-0005-0000-0000-00006B0B0000}"/>
    <cellStyle name="Normal 82 2" xfId="4080" xr:uid="{00000000-0005-0000-0000-00006C0B0000}"/>
    <cellStyle name="Normal 83" xfId="2657" xr:uid="{00000000-0005-0000-0000-00006D0B0000}"/>
    <cellStyle name="Normal 83 2" xfId="4081" xr:uid="{00000000-0005-0000-0000-00006E0B0000}"/>
    <cellStyle name="Normal 84" xfId="2658" xr:uid="{00000000-0005-0000-0000-00006F0B0000}"/>
    <cellStyle name="Normal 84 2" xfId="2659" xr:uid="{00000000-0005-0000-0000-0000700B0000}"/>
    <cellStyle name="Normal 85" xfId="2660" xr:uid="{00000000-0005-0000-0000-0000710B0000}"/>
    <cellStyle name="Normal 85 2" xfId="4082" xr:uid="{00000000-0005-0000-0000-0000720B0000}"/>
    <cellStyle name="Normal 86" xfId="2661" xr:uid="{00000000-0005-0000-0000-0000730B0000}"/>
    <cellStyle name="Normal 86 2" xfId="4083" xr:uid="{00000000-0005-0000-0000-0000740B0000}"/>
    <cellStyle name="Normal 87" xfId="2662" xr:uid="{00000000-0005-0000-0000-0000750B0000}"/>
    <cellStyle name="Normal 87 2" xfId="4084" xr:uid="{00000000-0005-0000-0000-0000760B0000}"/>
    <cellStyle name="Normal 88" xfId="2663" xr:uid="{00000000-0005-0000-0000-0000770B0000}"/>
    <cellStyle name="Normal 88 2" xfId="4085" xr:uid="{00000000-0005-0000-0000-0000780B0000}"/>
    <cellStyle name="Normal 89" xfId="2664" xr:uid="{00000000-0005-0000-0000-0000790B0000}"/>
    <cellStyle name="Normal 89 2" xfId="4086" xr:uid="{00000000-0005-0000-0000-00007A0B0000}"/>
    <cellStyle name="Normal 9" xfId="2665" xr:uid="{00000000-0005-0000-0000-00007B0B0000}"/>
    <cellStyle name="Normal 9 2" xfId="2666" xr:uid="{00000000-0005-0000-0000-00007C0B0000}"/>
    <cellStyle name="Normal 9 2 2" xfId="4088" xr:uid="{00000000-0005-0000-0000-00007D0B0000}"/>
    <cellStyle name="Normal 9 3" xfId="4087" xr:uid="{00000000-0005-0000-0000-00007E0B0000}"/>
    <cellStyle name="Normal 90" xfId="2667" xr:uid="{00000000-0005-0000-0000-00007F0B0000}"/>
    <cellStyle name="Normal 90 2" xfId="4089" xr:uid="{00000000-0005-0000-0000-0000800B0000}"/>
    <cellStyle name="Normal 91" xfId="2668" xr:uid="{00000000-0005-0000-0000-0000810B0000}"/>
    <cellStyle name="Normal 91 2" xfId="2669" xr:uid="{00000000-0005-0000-0000-0000820B0000}"/>
    <cellStyle name="Normal 91 2 2" xfId="4091" xr:uid="{00000000-0005-0000-0000-0000830B0000}"/>
    <cellStyle name="Normal 91 3" xfId="4090" xr:uid="{00000000-0005-0000-0000-0000840B0000}"/>
    <cellStyle name="Normal 92" xfId="2670" xr:uid="{00000000-0005-0000-0000-0000850B0000}"/>
    <cellStyle name="Normal 92 2" xfId="2671" xr:uid="{00000000-0005-0000-0000-0000860B0000}"/>
    <cellStyle name="Normal 92 2 2" xfId="4093" xr:uid="{00000000-0005-0000-0000-0000870B0000}"/>
    <cellStyle name="Normal 92 3" xfId="4092" xr:uid="{00000000-0005-0000-0000-0000880B0000}"/>
    <cellStyle name="Normal 93" xfId="2672" xr:uid="{00000000-0005-0000-0000-0000890B0000}"/>
    <cellStyle name="Normal 93 2" xfId="4094" xr:uid="{00000000-0005-0000-0000-00008A0B0000}"/>
    <cellStyle name="Normal 94" xfId="2673" xr:uid="{00000000-0005-0000-0000-00008B0B0000}"/>
    <cellStyle name="Normal 94 2" xfId="2674" xr:uid="{00000000-0005-0000-0000-00008C0B0000}"/>
    <cellStyle name="Normal 94 2 2" xfId="4096" xr:uid="{00000000-0005-0000-0000-00008D0B0000}"/>
    <cellStyle name="Normal 94 3" xfId="4095" xr:uid="{00000000-0005-0000-0000-00008E0B0000}"/>
    <cellStyle name="Normal 95" xfId="2675" xr:uid="{00000000-0005-0000-0000-00008F0B0000}"/>
    <cellStyle name="Normal 95 2" xfId="4097" xr:uid="{00000000-0005-0000-0000-0000900B0000}"/>
    <cellStyle name="Normal 96" xfId="2676" xr:uid="{00000000-0005-0000-0000-0000910B0000}"/>
    <cellStyle name="Normal 97" xfId="2677" xr:uid="{00000000-0005-0000-0000-0000920B0000}"/>
    <cellStyle name="Normal 97 2" xfId="4098" xr:uid="{00000000-0005-0000-0000-0000930B0000}"/>
    <cellStyle name="Normal 98" xfId="2678" xr:uid="{00000000-0005-0000-0000-0000940B0000}"/>
    <cellStyle name="Normal 98 2" xfId="4099" xr:uid="{00000000-0005-0000-0000-0000950B0000}"/>
    <cellStyle name="Normal 99" xfId="2679" xr:uid="{00000000-0005-0000-0000-0000960B0000}"/>
    <cellStyle name="Normal 99 2" xfId="4100" xr:uid="{00000000-0005-0000-0000-0000970B0000}"/>
    <cellStyle name="Normal_Sheet1_25" xfId="4135" xr:uid="{00000000-0005-0000-0000-0000980B0000}"/>
    <cellStyle name="Normal1" xfId="2680" xr:uid="{00000000-0005-0000-0000-0000990B0000}"/>
    <cellStyle name="Normal2" xfId="2681" xr:uid="{00000000-0005-0000-0000-00009A0B0000}"/>
    <cellStyle name="Normal3" xfId="2682" xr:uid="{00000000-0005-0000-0000-00009B0B0000}"/>
    <cellStyle name="NormalBlue" xfId="2683" xr:uid="{00000000-0005-0000-0000-00009C0B0000}"/>
    <cellStyle name="NormalBold" xfId="2684" xr:uid="{00000000-0005-0000-0000-00009D0B0000}"/>
    <cellStyle name="Normale_1664 SM" xfId="2685" xr:uid="{00000000-0005-0000-0000-00009E0B0000}"/>
    <cellStyle name="NormalWrap" xfId="2686" xr:uid="{00000000-0005-0000-0000-00009F0B0000}"/>
    <cellStyle name="Norm䏠l_laroux_5" xfId="2687" xr:uid="{00000000-0005-0000-0000-0000A00B0000}"/>
    <cellStyle name="Note 2" xfId="2688" xr:uid="{00000000-0005-0000-0000-0000A10B0000}"/>
    <cellStyle name="Number" xfId="2689" xr:uid="{00000000-0005-0000-0000-0000A20B0000}"/>
    <cellStyle name="OCState" xfId="2690" xr:uid="{00000000-0005-0000-0000-0000A30B0000}"/>
    <cellStyle name="Œ…‹æØ‚è [0.00]_GRD" xfId="2691" xr:uid="{00000000-0005-0000-0000-0000A40B0000}"/>
    <cellStyle name="Œ…‹æØ‚è_GRD" xfId="2692" xr:uid="{00000000-0005-0000-0000-0000A50B0000}"/>
    <cellStyle name="Omet" xfId="2693" xr:uid="{00000000-0005-0000-0000-0000A60B0000}"/>
    <cellStyle name="Pcs" xfId="2694" xr:uid="{00000000-0005-0000-0000-0000A70B0000}"/>
    <cellStyle name="per.style" xfId="2695" xr:uid="{00000000-0005-0000-0000-0000A80B0000}"/>
    <cellStyle name="Percent" xfId="2" builtinId="5"/>
    <cellStyle name="Percent [0]" xfId="2696" xr:uid="{00000000-0005-0000-0000-0000AA0B0000}"/>
    <cellStyle name="Percent [00]" xfId="2697" xr:uid="{00000000-0005-0000-0000-0000AB0B0000}"/>
    <cellStyle name="Percent [2]" xfId="2698" xr:uid="{00000000-0005-0000-0000-0000AC0B0000}"/>
    <cellStyle name="Percent 10" xfId="4124" xr:uid="{00000000-0005-0000-0000-0000AD0B0000}"/>
    <cellStyle name="Percent 2" xfId="2699" xr:uid="{00000000-0005-0000-0000-0000AE0B0000}"/>
    <cellStyle name="Percent 2 2" xfId="2700" xr:uid="{00000000-0005-0000-0000-0000AF0B0000}"/>
    <cellStyle name="Percent 2 2 2" xfId="2701" xr:uid="{00000000-0005-0000-0000-0000B00B0000}"/>
    <cellStyle name="Percent 2 3" xfId="4131" xr:uid="{00000000-0005-0000-0000-0000B10B0000}"/>
    <cellStyle name="Percent 3" xfId="2702" xr:uid="{00000000-0005-0000-0000-0000B20B0000}"/>
    <cellStyle name="Percent 3 2" xfId="2703" xr:uid="{00000000-0005-0000-0000-0000B30B0000}"/>
    <cellStyle name="Percent 4" xfId="2704" xr:uid="{00000000-0005-0000-0000-0000B40B0000}"/>
    <cellStyle name="Percent 4 2" xfId="2705" xr:uid="{00000000-0005-0000-0000-0000B50B0000}"/>
    <cellStyle name="Percent 4 3" xfId="2706" xr:uid="{00000000-0005-0000-0000-0000B60B0000}"/>
    <cellStyle name="Percent 5" xfId="2707" xr:uid="{00000000-0005-0000-0000-0000B70B0000}"/>
    <cellStyle name="Percent 6" xfId="4104" xr:uid="{00000000-0005-0000-0000-0000B80B0000}"/>
    <cellStyle name="Percent 7" xfId="4107" xr:uid="{00000000-0005-0000-0000-0000B90B0000}"/>
    <cellStyle name="Percent 8" xfId="4110" xr:uid="{00000000-0005-0000-0000-0000BA0B0000}"/>
    <cellStyle name="Percent 9" xfId="4113" xr:uid="{00000000-0005-0000-0000-0000BB0B0000}"/>
    <cellStyle name="Percentage" xfId="2708" xr:uid="{00000000-0005-0000-0000-0000BC0B0000}"/>
    <cellStyle name="Perlong" xfId="2709" xr:uid="{00000000-0005-0000-0000-0000BD0B0000}"/>
    <cellStyle name="PG_S0196" xfId="2710" xr:uid="{00000000-0005-0000-0000-0000BE0B0000}"/>
    <cellStyle name="PGCL_CAN" xfId="2711" xr:uid="{00000000-0005-0000-0000-0000BF0B0000}"/>
    <cellStyle name="PGL_IS" xfId="2712" xr:uid="{00000000-0005-0000-0000-0000C00B0000}"/>
    <cellStyle name="Pourcentage_pldt" xfId="2713" xr:uid="{00000000-0005-0000-0000-0000C10B0000}"/>
    <cellStyle name="PrePop Currency (0)" xfId="2714" xr:uid="{00000000-0005-0000-0000-0000C20B0000}"/>
    <cellStyle name="PrePop Currency (2)" xfId="2715" xr:uid="{00000000-0005-0000-0000-0000C30B0000}"/>
    <cellStyle name="PrePop Units (0)" xfId="2716" xr:uid="{00000000-0005-0000-0000-0000C40B0000}"/>
    <cellStyle name="PrePop Units (1)" xfId="2717" xr:uid="{00000000-0005-0000-0000-0000C50B0000}"/>
    <cellStyle name="PrePop Units (2)" xfId="2718" xr:uid="{00000000-0005-0000-0000-0000C60B0000}"/>
    <cellStyle name="Price" xfId="2719" xr:uid="{00000000-0005-0000-0000-0000C70B0000}"/>
    <cellStyle name="Pricelist_level1" xfId="2720" xr:uid="{00000000-0005-0000-0000-0000C80B0000}"/>
    <cellStyle name="pricing" xfId="2721" xr:uid="{00000000-0005-0000-0000-0000C90B0000}"/>
    <cellStyle name="PropGenCurrencyFormat" xfId="2722" xr:uid="{00000000-0005-0000-0000-0000CA0B0000}"/>
    <cellStyle name="Protected" xfId="2723" xr:uid="{00000000-0005-0000-0000-0000CB0B0000}"/>
    <cellStyle name="Prozent_laroux" xfId="2724" xr:uid="{00000000-0005-0000-0000-0000CC0B0000}"/>
    <cellStyle name="PSChar" xfId="2725" xr:uid="{00000000-0005-0000-0000-0000CD0B0000}"/>
    <cellStyle name="question" xfId="2726" xr:uid="{00000000-0005-0000-0000-0000CE0B0000}"/>
    <cellStyle name="regstoresfromspecstores" xfId="2727" xr:uid="{00000000-0005-0000-0000-0000CF0B0000}"/>
    <cellStyle name="Reset  - Style7" xfId="2728" xr:uid="{00000000-0005-0000-0000-0000D00B0000}"/>
    <cellStyle name="Reverse" xfId="2729" xr:uid="{00000000-0005-0000-0000-0000D10B0000}"/>
    <cellStyle name="ReverseDate" xfId="2730" xr:uid="{00000000-0005-0000-0000-0000D20B0000}"/>
    <cellStyle name="RevList" xfId="2731" xr:uid="{00000000-0005-0000-0000-0000D30B0000}"/>
    <cellStyle name="ROF no" xfId="2732" xr:uid="{00000000-0005-0000-0000-0000D40B0000}"/>
    <cellStyle name="ROF price" xfId="2733" xr:uid="{00000000-0005-0000-0000-0000D50B0000}"/>
    <cellStyle name="Row and Column Total" xfId="2734" xr:uid="{00000000-0005-0000-0000-0000D60B0000}"/>
    <cellStyle name="Row Heading" xfId="2735" xr:uid="{00000000-0005-0000-0000-0000D70B0000}"/>
    <cellStyle name="Row Heading (No Wrap)" xfId="2736" xr:uid="{00000000-0005-0000-0000-0000D80B0000}"/>
    <cellStyle name="Row Total" xfId="2737" xr:uid="{00000000-0005-0000-0000-0000D90B0000}"/>
    <cellStyle name="Rupiah [0]" xfId="2738" xr:uid="{00000000-0005-0000-0000-0000DA0B0000}"/>
    <cellStyle name="S0" xfId="2739" xr:uid="{00000000-0005-0000-0000-0000DB0B0000}"/>
    <cellStyle name="S0 10" xfId="2740" xr:uid="{00000000-0005-0000-0000-0000DC0B0000}"/>
    <cellStyle name="S0 11" xfId="2741" xr:uid="{00000000-0005-0000-0000-0000DD0B0000}"/>
    <cellStyle name="S0 12" xfId="2742" xr:uid="{00000000-0005-0000-0000-0000DE0B0000}"/>
    <cellStyle name="S0 13" xfId="2743" xr:uid="{00000000-0005-0000-0000-0000DF0B0000}"/>
    <cellStyle name="S0 14" xfId="2744" xr:uid="{00000000-0005-0000-0000-0000E00B0000}"/>
    <cellStyle name="S0 15" xfId="2745" xr:uid="{00000000-0005-0000-0000-0000E10B0000}"/>
    <cellStyle name="S0 16" xfId="2746" xr:uid="{00000000-0005-0000-0000-0000E20B0000}"/>
    <cellStyle name="S0 17" xfId="2747" xr:uid="{00000000-0005-0000-0000-0000E30B0000}"/>
    <cellStyle name="S0 18" xfId="2748" xr:uid="{00000000-0005-0000-0000-0000E40B0000}"/>
    <cellStyle name="S0 19" xfId="2749" xr:uid="{00000000-0005-0000-0000-0000E50B0000}"/>
    <cellStyle name="S0 2" xfId="2750" xr:uid="{00000000-0005-0000-0000-0000E60B0000}"/>
    <cellStyle name="S0 20" xfId="2751" xr:uid="{00000000-0005-0000-0000-0000E70B0000}"/>
    <cellStyle name="S0 21" xfId="2752" xr:uid="{00000000-0005-0000-0000-0000E80B0000}"/>
    <cellStyle name="S0 22" xfId="2753" xr:uid="{00000000-0005-0000-0000-0000E90B0000}"/>
    <cellStyle name="S0 23" xfId="2754" xr:uid="{00000000-0005-0000-0000-0000EA0B0000}"/>
    <cellStyle name="S0 24" xfId="2755" xr:uid="{00000000-0005-0000-0000-0000EB0B0000}"/>
    <cellStyle name="S0 25" xfId="2756" xr:uid="{00000000-0005-0000-0000-0000EC0B0000}"/>
    <cellStyle name="S0 26" xfId="2757" xr:uid="{00000000-0005-0000-0000-0000ED0B0000}"/>
    <cellStyle name="S0 27" xfId="2758" xr:uid="{00000000-0005-0000-0000-0000EE0B0000}"/>
    <cellStyle name="S0 28" xfId="2759" xr:uid="{00000000-0005-0000-0000-0000EF0B0000}"/>
    <cellStyle name="S0 29" xfId="2760" xr:uid="{00000000-0005-0000-0000-0000F00B0000}"/>
    <cellStyle name="S0 3" xfId="2761" xr:uid="{00000000-0005-0000-0000-0000F10B0000}"/>
    <cellStyle name="S0 30" xfId="2762" xr:uid="{00000000-0005-0000-0000-0000F20B0000}"/>
    <cellStyle name="S0 31" xfId="2763" xr:uid="{00000000-0005-0000-0000-0000F30B0000}"/>
    <cellStyle name="S0 32" xfId="2764" xr:uid="{00000000-0005-0000-0000-0000F40B0000}"/>
    <cellStyle name="S0 33" xfId="2765" xr:uid="{00000000-0005-0000-0000-0000F50B0000}"/>
    <cellStyle name="S0 34" xfId="2766" xr:uid="{00000000-0005-0000-0000-0000F60B0000}"/>
    <cellStyle name="S0 35" xfId="2767" xr:uid="{00000000-0005-0000-0000-0000F70B0000}"/>
    <cellStyle name="S0 36" xfId="2768" xr:uid="{00000000-0005-0000-0000-0000F80B0000}"/>
    <cellStyle name="S0 37" xfId="2769" xr:uid="{00000000-0005-0000-0000-0000F90B0000}"/>
    <cellStyle name="S0 38" xfId="2770" xr:uid="{00000000-0005-0000-0000-0000FA0B0000}"/>
    <cellStyle name="S0 39" xfId="2771" xr:uid="{00000000-0005-0000-0000-0000FB0B0000}"/>
    <cellStyle name="S0 4" xfId="2772" xr:uid="{00000000-0005-0000-0000-0000FC0B0000}"/>
    <cellStyle name="S0 40" xfId="2773" xr:uid="{00000000-0005-0000-0000-0000FD0B0000}"/>
    <cellStyle name="S0 41" xfId="2774" xr:uid="{00000000-0005-0000-0000-0000FE0B0000}"/>
    <cellStyle name="S0 42" xfId="2775" xr:uid="{00000000-0005-0000-0000-0000FF0B0000}"/>
    <cellStyle name="S0 43" xfId="2776" xr:uid="{00000000-0005-0000-0000-0000000C0000}"/>
    <cellStyle name="S0 44" xfId="2777" xr:uid="{00000000-0005-0000-0000-0000010C0000}"/>
    <cellStyle name="S0 45" xfId="2778" xr:uid="{00000000-0005-0000-0000-0000020C0000}"/>
    <cellStyle name="S0 46" xfId="2779" xr:uid="{00000000-0005-0000-0000-0000030C0000}"/>
    <cellStyle name="S0 47" xfId="2780" xr:uid="{00000000-0005-0000-0000-0000040C0000}"/>
    <cellStyle name="S0 48" xfId="2781" xr:uid="{00000000-0005-0000-0000-0000050C0000}"/>
    <cellStyle name="S0 49" xfId="2782" xr:uid="{00000000-0005-0000-0000-0000060C0000}"/>
    <cellStyle name="S0 5" xfId="2783" xr:uid="{00000000-0005-0000-0000-0000070C0000}"/>
    <cellStyle name="S0 50" xfId="2784" xr:uid="{00000000-0005-0000-0000-0000080C0000}"/>
    <cellStyle name="S0 51" xfId="2785" xr:uid="{00000000-0005-0000-0000-0000090C0000}"/>
    <cellStyle name="S0 52" xfId="2786" xr:uid="{00000000-0005-0000-0000-00000A0C0000}"/>
    <cellStyle name="S0 53" xfId="2787" xr:uid="{00000000-0005-0000-0000-00000B0C0000}"/>
    <cellStyle name="S0 54" xfId="2788" xr:uid="{00000000-0005-0000-0000-00000C0C0000}"/>
    <cellStyle name="S0 55" xfId="2789" xr:uid="{00000000-0005-0000-0000-00000D0C0000}"/>
    <cellStyle name="S0 56" xfId="2790" xr:uid="{00000000-0005-0000-0000-00000E0C0000}"/>
    <cellStyle name="S0 57" xfId="2791" xr:uid="{00000000-0005-0000-0000-00000F0C0000}"/>
    <cellStyle name="S0 58" xfId="2792" xr:uid="{00000000-0005-0000-0000-0000100C0000}"/>
    <cellStyle name="S0 59" xfId="2793" xr:uid="{00000000-0005-0000-0000-0000110C0000}"/>
    <cellStyle name="S0 6" xfId="2794" xr:uid="{00000000-0005-0000-0000-0000120C0000}"/>
    <cellStyle name="S0 60" xfId="2795" xr:uid="{00000000-0005-0000-0000-0000130C0000}"/>
    <cellStyle name="S0 61" xfId="2796" xr:uid="{00000000-0005-0000-0000-0000140C0000}"/>
    <cellStyle name="S0 62" xfId="2797" xr:uid="{00000000-0005-0000-0000-0000150C0000}"/>
    <cellStyle name="S0 63" xfId="2798" xr:uid="{00000000-0005-0000-0000-0000160C0000}"/>
    <cellStyle name="S0 64" xfId="2799" xr:uid="{00000000-0005-0000-0000-0000170C0000}"/>
    <cellStyle name="S0 65" xfId="2800" xr:uid="{00000000-0005-0000-0000-0000180C0000}"/>
    <cellStyle name="S0 66" xfId="2801" xr:uid="{00000000-0005-0000-0000-0000190C0000}"/>
    <cellStyle name="S0 67" xfId="2802" xr:uid="{00000000-0005-0000-0000-00001A0C0000}"/>
    <cellStyle name="S0 68" xfId="2803" xr:uid="{00000000-0005-0000-0000-00001B0C0000}"/>
    <cellStyle name="S0 69" xfId="2804" xr:uid="{00000000-0005-0000-0000-00001C0C0000}"/>
    <cellStyle name="S0 7" xfId="2805" xr:uid="{00000000-0005-0000-0000-00001D0C0000}"/>
    <cellStyle name="S0 70" xfId="2806" xr:uid="{00000000-0005-0000-0000-00001E0C0000}"/>
    <cellStyle name="S0 71" xfId="2807" xr:uid="{00000000-0005-0000-0000-00001F0C0000}"/>
    <cellStyle name="S0 72" xfId="2808" xr:uid="{00000000-0005-0000-0000-0000200C0000}"/>
    <cellStyle name="S0 73" xfId="2809" xr:uid="{00000000-0005-0000-0000-0000210C0000}"/>
    <cellStyle name="S0 74" xfId="2810" xr:uid="{00000000-0005-0000-0000-0000220C0000}"/>
    <cellStyle name="S0 75" xfId="2811" xr:uid="{00000000-0005-0000-0000-0000230C0000}"/>
    <cellStyle name="S0 76" xfId="2812" xr:uid="{00000000-0005-0000-0000-0000240C0000}"/>
    <cellStyle name="S0 77" xfId="2813" xr:uid="{00000000-0005-0000-0000-0000250C0000}"/>
    <cellStyle name="S0 78" xfId="2814" xr:uid="{00000000-0005-0000-0000-0000260C0000}"/>
    <cellStyle name="S0 79" xfId="2815" xr:uid="{00000000-0005-0000-0000-0000270C0000}"/>
    <cellStyle name="S0 8" xfId="2816" xr:uid="{00000000-0005-0000-0000-0000280C0000}"/>
    <cellStyle name="S0 80" xfId="2817" xr:uid="{00000000-0005-0000-0000-0000290C0000}"/>
    <cellStyle name="S0 81" xfId="2818" xr:uid="{00000000-0005-0000-0000-00002A0C0000}"/>
    <cellStyle name="S0 82" xfId="2819" xr:uid="{00000000-0005-0000-0000-00002B0C0000}"/>
    <cellStyle name="S0 83" xfId="2820" xr:uid="{00000000-0005-0000-0000-00002C0C0000}"/>
    <cellStyle name="S0 84" xfId="2821" xr:uid="{00000000-0005-0000-0000-00002D0C0000}"/>
    <cellStyle name="S0 85" xfId="2822" xr:uid="{00000000-0005-0000-0000-00002E0C0000}"/>
    <cellStyle name="S0 86" xfId="2823" xr:uid="{00000000-0005-0000-0000-00002F0C0000}"/>
    <cellStyle name="S0 9" xfId="2824" xr:uid="{00000000-0005-0000-0000-0000300C0000}"/>
    <cellStyle name="S1" xfId="2825" xr:uid="{00000000-0005-0000-0000-0000310C0000}"/>
    <cellStyle name="S1 10" xfId="2826" xr:uid="{00000000-0005-0000-0000-0000320C0000}"/>
    <cellStyle name="S1 11" xfId="2827" xr:uid="{00000000-0005-0000-0000-0000330C0000}"/>
    <cellStyle name="S1 12" xfId="2828" xr:uid="{00000000-0005-0000-0000-0000340C0000}"/>
    <cellStyle name="S1 13" xfId="2829" xr:uid="{00000000-0005-0000-0000-0000350C0000}"/>
    <cellStyle name="S1 14" xfId="2830" xr:uid="{00000000-0005-0000-0000-0000360C0000}"/>
    <cellStyle name="S1 15" xfId="2831" xr:uid="{00000000-0005-0000-0000-0000370C0000}"/>
    <cellStyle name="S1 16" xfId="2832" xr:uid="{00000000-0005-0000-0000-0000380C0000}"/>
    <cellStyle name="S1 17" xfId="2833" xr:uid="{00000000-0005-0000-0000-0000390C0000}"/>
    <cellStyle name="S1 18" xfId="2834" xr:uid="{00000000-0005-0000-0000-00003A0C0000}"/>
    <cellStyle name="S1 19" xfId="2835" xr:uid="{00000000-0005-0000-0000-00003B0C0000}"/>
    <cellStyle name="S1 2" xfId="2836" xr:uid="{00000000-0005-0000-0000-00003C0C0000}"/>
    <cellStyle name="S1 20" xfId="2837" xr:uid="{00000000-0005-0000-0000-00003D0C0000}"/>
    <cellStyle name="S1 21" xfId="2838" xr:uid="{00000000-0005-0000-0000-00003E0C0000}"/>
    <cellStyle name="S1 22" xfId="2839" xr:uid="{00000000-0005-0000-0000-00003F0C0000}"/>
    <cellStyle name="S1 23" xfId="2840" xr:uid="{00000000-0005-0000-0000-0000400C0000}"/>
    <cellStyle name="S1 24" xfId="2841" xr:uid="{00000000-0005-0000-0000-0000410C0000}"/>
    <cellStyle name="S1 25" xfId="2842" xr:uid="{00000000-0005-0000-0000-0000420C0000}"/>
    <cellStyle name="S1 26" xfId="2843" xr:uid="{00000000-0005-0000-0000-0000430C0000}"/>
    <cellStyle name="S1 27" xfId="2844" xr:uid="{00000000-0005-0000-0000-0000440C0000}"/>
    <cellStyle name="S1 28" xfId="2845" xr:uid="{00000000-0005-0000-0000-0000450C0000}"/>
    <cellStyle name="S1 29" xfId="2846" xr:uid="{00000000-0005-0000-0000-0000460C0000}"/>
    <cellStyle name="S1 3" xfId="2847" xr:uid="{00000000-0005-0000-0000-0000470C0000}"/>
    <cellStyle name="S1 30" xfId="2848" xr:uid="{00000000-0005-0000-0000-0000480C0000}"/>
    <cellStyle name="S1 31" xfId="2849" xr:uid="{00000000-0005-0000-0000-0000490C0000}"/>
    <cellStyle name="S1 32" xfId="2850" xr:uid="{00000000-0005-0000-0000-00004A0C0000}"/>
    <cellStyle name="S1 33" xfId="2851" xr:uid="{00000000-0005-0000-0000-00004B0C0000}"/>
    <cellStyle name="S1 34" xfId="2852" xr:uid="{00000000-0005-0000-0000-00004C0C0000}"/>
    <cellStyle name="S1 35" xfId="2853" xr:uid="{00000000-0005-0000-0000-00004D0C0000}"/>
    <cellStyle name="S1 36" xfId="2854" xr:uid="{00000000-0005-0000-0000-00004E0C0000}"/>
    <cellStyle name="S1 37" xfId="2855" xr:uid="{00000000-0005-0000-0000-00004F0C0000}"/>
    <cellStyle name="S1 38" xfId="2856" xr:uid="{00000000-0005-0000-0000-0000500C0000}"/>
    <cellStyle name="S1 39" xfId="2857" xr:uid="{00000000-0005-0000-0000-0000510C0000}"/>
    <cellStyle name="S1 4" xfId="2858" xr:uid="{00000000-0005-0000-0000-0000520C0000}"/>
    <cellStyle name="S1 40" xfId="2859" xr:uid="{00000000-0005-0000-0000-0000530C0000}"/>
    <cellStyle name="S1 41" xfId="2860" xr:uid="{00000000-0005-0000-0000-0000540C0000}"/>
    <cellStyle name="S1 42" xfId="2861" xr:uid="{00000000-0005-0000-0000-0000550C0000}"/>
    <cellStyle name="S1 43" xfId="2862" xr:uid="{00000000-0005-0000-0000-0000560C0000}"/>
    <cellStyle name="S1 44" xfId="2863" xr:uid="{00000000-0005-0000-0000-0000570C0000}"/>
    <cellStyle name="S1 45" xfId="2864" xr:uid="{00000000-0005-0000-0000-0000580C0000}"/>
    <cellStyle name="S1 46" xfId="2865" xr:uid="{00000000-0005-0000-0000-0000590C0000}"/>
    <cellStyle name="S1 47" xfId="2866" xr:uid="{00000000-0005-0000-0000-00005A0C0000}"/>
    <cellStyle name="S1 48" xfId="2867" xr:uid="{00000000-0005-0000-0000-00005B0C0000}"/>
    <cellStyle name="S1 49" xfId="2868" xr:uid="{00000000-0005-0000-0000-00005C0C0000}"/>
    <cellStyle name="S1 5" xfId="2869" xr:uid="{00000000-0005-0000-0000-00005D0C0000}"/>
    <cellStyle name="S1 50" xfId="2870" xr:uid="{00000000-0005-0000-0000-00005E0C0000}"/>
    <cellStyle name="S1 51" xfId="2871" xr:uid="{00000000-0005-0000-0000-00005F0C0000}"/>
    <cellStyle name="S1 52" xfId="2872" xr:uid="{00000000-0005-0000-0000-0000600C0000}"/>
    <cellStyle name="S1 53" xfId="2873" xr:uid="{00000000-0005-0000-0000-0000610C0000}"/>
    <cellStyle name="S1 54" xfId="2874" xr:uid="{00000000-0005-0000-0000-0000620C0000}"/>
    <cellStyle name="S1 55" xfId="2875" xr:uid="{00000000-0005-0000-0000-0000630C0000}"/>
    <cellStyle name="S1 56" xfId="2876" xr:uid="{00000000-0005-0000-0000-0000640C0000}"/>
    <cellStyle name="S1 57" xfId="2877" xr:uid="{00000000-0005-0000-0000-0000650C0000}"/>
    <cellStyle name="S1 58" xfId="2878" xr:uid="{00000000-0005-0000-0000-0000660C0000}"/>
    <cellStyle name="S1 59" xfId="2879" xr:uid="{00000000-0005-0000-0000-0000670C0000}"/>
    <cellStyle name="S1 6" xfId="2880" xr:uid="{00000000-0005-0000-0000-0000680C0000}"/>
    <cellStyle name="S1 60" xfId="2881" xr:uid="{00000000-0005-0000-0000-0000690C0000}"/>
    <cellStyle name="S1 61" xfId="2882" xr:uid="{00000000-0005-0000-0000-00006A0C0000}"/>
    <cellStyle name="S1 62" xfId="2883" xr:uid="{00000000-0005-0000-0000-00006B0C0000}"/>
    <cellStyle name="S1 63" xfId="2884" xr:uid="{00000000-0005-0000-0000-00006C0C0000}"/>
    <cellStyle name="S1 64" xfId="2885" xr:uid="{00000000-0005-0000-0000-00006D0C0000}"/>
    <cellStyle name="S1 65" xfId="2886" xr:uid="{00000000-0005-0000-0000-00006E0C0000}"/>
    <cellStyle name="S1 66" xfId="2887" xr:uid="{00000000-0005-0000-0000-00006F0C0000}"/>
    <cellStyle name="S1 67" xfId="2888" xr:uid="{00000000-0005-0000-0000-0000700C0000}"/>
    <cellStyle name="S1 68" xfId="2889" xr:uid="{00000000-0005-0000-0000-0000710C0000}"/>
    <cellStyle name="S1 69" xfId="2890" xr:uid="{00000000-0005-0000-0000-0000720C0000}"/>
    <cellStyle name="S1 7" xfId="2891" xr:uid="{00000000-0005-0000-0000-0000730C0000}"/>
    <cellStyle name="S1 70" xfId="2892" xr:uid="{00000000-0005-0000-0000-0000740C0000}"/>
    <cellStyle name="S1 71" xfId="2893" xr:uid="{00000000-0005-0000-0000-0000750C0000}"/>
    <cellStyle name="S1 72" xfId="2894" xr:uid="{00000000-0005-0000-0000-0000760C0000}"/>
    <cellStyle name="S1 73" xfId="2895" xr:uid="{00000000-0005-0000-0000-0000770C0000}"/>
    <cellStyle name="S1 74" xfId="2896" xr:uid="{00000000-0005-0000-0000-0000780C0000}"/>
    <cellStyle name="S1 75" xfId="2897" xr:uid="{00000000-0005-0000-0000-0000790C0000}"/>
    <cellStyle name="S1 76" xfId="2898" xr:uid="{00000000-0005-0000-0000-00007A0C0000}"/>
    <cellStyle name="S1 77" xfId="2899" xr:uid="{00000000-0005-0000-0000-00007B0C0000}"/>
    <cellStyle name="S1 78" xfId="2900" xr:uid="{00000000-0005-0000-0000-00007C0C0000}"/>
    <cellStyle name="S1 79" xfId="2901" xr:uid="{00000000-0005-0000-0000-00007D0C0000}"/>
    <cellStyle name="S1 8" xfId="2902" xr:uid="{00000000-0005-0000-0000-00007E0C0000}"/>
    <cellStyle name="S1 80" xfId="2903" xr:uid="{00000000-0005-0000-0000-00007F0C0000}"/>
    <cellStyle name="S1 81" xfId="2904" xr:uid="{00000000-0005-0000-0000-0000800C0000}"/>
    <cellStyle name="S1 82" xfId="2905" xr:uid="{00000000-0005-0000-0000-0000810C0000}"/>
    <cellStyle name="S1 83" xfId="2906" xr:uid="{00000000-0005-0000-0000-0000820C0000}"/>
    <cellStyle name="S1 84" xfId="2907" xr:uid="{00000000-0005-0000-0000-0000830C0000}"/>
    <cellStyle name="S1 85" xfId="2908" xr:uid="{00000000-0005-0000-0000-0000840C0000}"/>
    <cellStyle name="S1 86" xfId="2909" xr:uid="{00000000-0005-0000-0000-0000850C0000}"/>
    <cellStyle name="S1 9" xfId="2910" xr:uid="{00000000-0005-0000-0000-0000860C0000}"/>
    <cellStyle name="S10" xfId="2911" xr:uid="{00000000-0005-0000-0000-0000870C0000}"/>
    <cellStyle name="S10 10" xfId="2912" xr:uid="{00000000-0005-0000-0000-0000880C0000}"/>
    <cellStyle name="S10 11" xfId="2913" xr:uid="{00000000-0005-0000-0000-0000890C0000}"/>
    <cellStyle name="S10 12" xfId="2914" xr:uid="{00000000-0005-0000-0000-00008A0C0000}"/>
    <cellStyle name="S10 13" xfId="2915" xr:uid="{00000000-0005-0000-0000-00008B0C0000}"/>
    <cellStyle name="S10 14" xfId="2916" xr:uid="{00000000-0005-0000-0000-00008C0C0000}"/>
    <cellStyle name="S10 15" xfId="2917" xr:uid="{00000000-0005-0000-0000-00008D0C0000}"/>
    <cellStyle name="S10 16" xfId="2918" xr:uid="{00000000-0005-0000-0000-00008E0C0000}"/>
    <cellStyle name="S10 17" xfId="2919" xr:uid="{00000000-0005-0000-0000-00008F0C0000}"/>
    <cellStyle name="S10 18" xfId="2920" xr:uid="{00000000-0005-0000-0000-0000900C0000}"/>
    <cellStyle name="S10 19" xfId="2921" xr:uid="{00000000-0005-0000-0000-0000910C0000}"/>
    <cellStyle name="S10 2" xfId="2922" xr:uid="{00000000-0005-0000-0000-0000920C0000}"/>
    <cellStyle name="S10 20" xfId="2923" xr:uid="{00000000-0005-0000-0000-0000930C0000}"/>
    <cellStyle name="S10 21" xfId="2924" xr:uid="{00000000-0005-0000-0000-0000940C0000}"/>
    <cellStyle name="S10 22" xfId="2925" xr:uid="{00000000-0005-0000-0000-0000950C0000}"/>
    <cellStyle name="S10 23" xfId="2926" xr:uid="{00000000-0005-0000-0000-0000960C0000}"/>
    <cellStyle name="S10 24" xfId="2927" xr:uid="{00000000-0005-0000-0000-0000970C0000}"/>
    <cellStyle name="S10 25" xfId="2928" xr:uid="{00000000-0005-0000-0000-0000980C0000}"/>
    <cellStyle name="S10 26" xfId="2929" xr:uid="{00000000-0005-0000-0000-0000990C0000}"/>
    <cellStyle name="S10 27" xfId="2930" xr:uid="{00000000-0005-0000-0000-00009A0C0000}"/>
    <cellStyle name="S10 28" xfId="2931" xr:uid="{00000000-0005-0000-0000-00009B0C0000}"/>
    <cellStyle name="S10 29" xfId="2932" xr:uid="{00000000-0005-0000-0000-00009C0C0000}"/>
    <cellStyle name="S10 3" xfId="2933" xr:uid="{00000000-0005-0000-0000-00009D0C0000}"/>
    <cellStyle name="S10 30" xfId="2934" xr:uid="{00000000-0005-0000-0000-00009E0C0000}"/>
    <cellStyle name="S10 31" xfId="2935" xr:uid="{00000000-0005-0000-0000-00009F0C0000}"/>
    <cellStyle name="S10 4" xfId="2936" xr:uid="{00000000-0005-0000-0000-0000A00C0000}"/>
    <cellStyle name="S10 5" xfId="2937" xr:uid="{00000000-0005-0000-0000-0000A10C0000}"/>
    <cellStyle name="S10 6" xfId="2938" xr:uid="{00000000-0005-0000-0000-0000A20C0000}"/>
    <cellStyle name="S10 7" xfId="2939" xr:uid="{00000000-0005-0000-0000-0000A30C0000}"/>
    <cellStyle name="S10 8" xfId="2940" xr:uid="{00000000-0005-0000-0000-0000A40C0000}"/>
    <cellStyle name="S10 9" xfId="2941" xr:uid="{00000000-0005-0000-0000-0000A50C0000}"/>
    <cellStyle name="S11" xfId="2942" xr:uid="{00000000-0005-0000-0000-0000A60C0000}"/>
    <cellStyle name="S11 10" xfId="2943" xr:uid="{00000000-0005-0000-0000-0000A70C0000}"/>
    <cellStyle name="S11 11" xfId="2944" xr:uid="{00000000-0005-0000-0000-0000A80C0000}"/>
    <cellStyle name="S11 12" xfId="2945" xr:uid="{00000000-0005-0000-0000-0000A90C0000}"/>
    <cellStyle name="S11 13" xfId="2946" xr:uid="{00000000-0005-0000-0000-0000AA0C0000}"/>
    <cellStyle name="S11 14" xfId="2947" xr:uid="{00000000-0005-0000-0000-0000AB0C0000}"/>
    <cellStyle name="S11 15" xfId="2948" xr:uid="{00000000-0005-0000-0000-0000AC0C0000}"/>
    <cellStyle name="S11 16" xfId="2949" xr:uid="{00000000-0005-0000-0000-0000AD0C0000}"/>
    <cellStyle name="S11 17" xfId="2950" xr:uid="{00000000-0005-0000-0000-0000AE0C0000}"/>
    <cellStyle name="S11 18" xfId="2951" xr:uid="{00000000-0005-0000-0000-0000AF0C0000}"/>
    <cellStyle name="S11 19" xfId="2952" xr:uid="{00000000-0005-0000-0000-0000B00C0000}"/>
    <cellStyle name="S11 2" xfId="2953" xr:uid="{00000000-0005-0000-0000-0000B10C0000}"/>
    <cellStyle name="S11 20" xfId="2954" xr:uid="{00000000-0005-0000-0000-0000B20C0000}"/>
    <cellStyle name="S11 21" xfId="2955" xr:uid="{00000000-0005-0000-0000-0000B30C0000}"/>
    <cellStyle name="S11 22" xfId="2956" xr:uid="{00000000-0005-0000-0000-0000B40C0000}"/>
    <cellStyle name="S11 23" xfId="2957" xr:uid="{00000000-0005-0000-0000-0000B50C0000}"/>
    <cellStyle name="S11 24" xfId="2958" xr:uid="{00000000-0005-0000-0000-0000B60C0000}"/>
    <cellStyle name="S11 25" xfId="2959" xr:uid="{00000000-0005-0000-0000-0000B70C0000}"/>
    <cellStyle name="S11 26" xfId="2960" xr:uid="{00000000-0005-0000-0000-0000B80C0000}"/>
    <cellStyle name="S11 27" xfId="2961" xr:uid="{00000000-0005-0000-0000-0000B90C0000}"/>
    <cellStyle name="S11 28" xfId="2962" xr:uid="{00000000-0005-0000-0000-0000BA0C0000}"/>
    <cellStyle name="S11 3" xfId="2963" xr:uid="{00000000-0005-0000-0000-0000BB0C0000}"/>
    <cellStyle name="S11 4" xfId="2964" xr:uid="{00000000-0005-0000-0000-0000BC0C0000}"/>
    <cellStyle name="S11 5" xfId="2965" xr:uid="{00000000-0005-0000-0000-0000BD0C0000}"/>
    <cellStyle name="S11 6" xfId="2966" xr:uid="{00000000-0005-0000-0000-0000BE0C0000}"/>
    <cellStyle name="S11 7" xfId="2967" xr:uid="{00000000-0005-0000-0000-0000BF0C0000}"/>
    <cellStyle name="S11 8" xfId="2968" xr:uid="{00000000-0005-0000-0000-0000C00C0000}"/>
    <cellStyle name="S11 9" xfId="2969" xr:uid="{00000000-0005-0000-0000-0000C10C0000}"/>
    <cellStyle name="S12" xfId="2970" xr:uid="{00000000-0005-0000-0000-0000C20C0000}"/>
    <cellStyle name="S12 10" xfId="2971" xr:uid="{00000000-0005-0000-0000-0000C30C0000}"/>
    <cellStyle name="S12 11" xfId="2972" xr:uid="{00000000-0005-0000-0000-0000C40C0000}"/>
    <cellStyle name="S12 12" xfId="2973" xr:uid="{00000000-0005-0000-0000-0000C50C0000}"/>
    <cellStyle name="S12 13" xfId="2974" xr:uid="{00000000-0005-0000-0000-0000C60C0000}"/>
    <cellStyle name="S12 14" xfId="2975" xr:uid="{00000000-0005-0000-0000-0000C70C0000}"/>
    <cellStyle name="S12 15" xfId="2976" xr:uid="{00000000-0005-0000-0000-0000C80C0000}"/>
    <cellStyle name="S12 16" xfId="2977" xr:uid="{00000000-0005-0000-0000-0000C90C0000}"/>
    <cellStyle name="S12 17" xfId="2978" xr:uid="{00000000-0005-0000-0000-0000CA0C0000}"/>
    <cellStyle name="S12 18" xfId="2979" xr:uid="{00000000-0005-0000-0000-0000CB0C0000}"/>
    <cellStyle name="S12 19" xfId="2980" xr:uid="{00000000-0005-0000-0000-0000CC0C0000}"/>
    <cellStyle name="S12 2" xfId="2981" xr:uid="{00000000-0005-0000-0000-0000CD0C0000}"/>
    <cellStyle name="S12 20" xfId="2982" xr:uid="{00000000-0005-0000-0000-0000CE0C0000}"/>
    <cellStyle name="S12 21" xfId="2983" xr:uid="{00000000-0005-0000-0000-0000CF0C0000}"/>
    <cellStyle name="S12 22" xfId="2984" xr:uid="{00000000-0005-0000-0000-0000D00C0000}"/>
    <cellStyle name="S12 23" xfId="2985" xr:uid="{00000000-0005-0000-0000-0000D10C0000}"/>
    <cellStyle name="S12 24" xfId="2986" xr:uid="{00000000-0005-0000-0000-0000D20C0000}"/>
    <cellStyle name="S12 25" xfId="2987" xr:uid="{00000000-0005-0000-0000-0000D30C0000}"/>
    <cellStyle name="S12 26" xfId="2988" xr:uid="{00000000-0005-0000-0000-0000D40C0000}"/>
    <cellStyle name="S12 3" xfId="2989" xr:uid="{00000000-0005-0000-0000-0000D50C0000}"/>
    <cellStyle name="S12 4" xfId="2990" xr:uid="{00000000-0005-0000-0000-0000D60C0000}"/>
    <cellStyle name="S12 5" xfId="2991" xr:uid="{00000000-0005-0000-0000-0000D70C0000}"/>
    <cellStyle name="S12 6" xfId="2992" xr:uid="{00000000-0005-0000-0000-0000D80C0000}"/>
    <cellStyle name="S12 7" xfId="2993" xr:uid="{00000000-0005-0000-0000-0000D90C0000}"/>
    <cellStyle name="S12 8" xfId="2994" xr:uid="{00000000-0005-0000-0000-0000DA0C0000}"/>
    <cellStyle name="S12 9" xfId="2995" xr:uid="{00000000-0005-0000-0000-0000DB0C0000}"/>
    <cellStyle name="S13" xfId="2996" xr:uid="{00000000-0005-0000-0000-0000DC0C0000}"/>
    <cellStyle name="S13 2" xfId="2997" xr:uid="{00000000-0005-0000-0000-0000DD0C0000}"/>
    <cellStyle name="S13 3" xfId="2998" xr:uid="{00000000-0005-0000-0000-0000DE0C0000}"/>
    <cellStyle name="S13 4" xfId="2999" xr:uid="{00000000-0005-0000-0000-0000DF0C0000}"/>
    <cellStyle name="S13 5" xfId="3000" xr:uid="{00000000-0005-0000-0000-0000E00C0000}"/>
    <cellStyle name="S13 6" xfId="3001" xr:uid="{00000000-0005-0000-0000-0000E10C0000}"/>
    <cellStyle name="S13 7" xfId="3002" xr:uid="{00000000-0005-0000-0000-0000E20C0000}"/>
    <cellStyle name="S13 8" xfId="3003" xr:uid="{00000000-0005-0000-0000-0000E30C0000}"/>
    <cellStyle name="S14" xfId="3004" xr:uid="{00000000-0005-0000-0000-0000E40C0000}"/>
    <cellStyle name="S14 2" xfId="3005" xr:uid="{00000000-0005-0000-0000-0000E50C0000}"/>
    <cellStyle name="S14 3" xfId="3006" xr:uid="{00000000-0005-0000-0000-0000E60C0000}"/>
    <cellStyle name="S14 4" xfId="3007" xr:uid="{00000000-0005-0000-0000-0000E70C0000}"/>
    <cellStyle name="S14 5" xfId="3008" xr:uid="{00000000-0005-0000-0000-0000E80C0000}"/>
    <cellStyle name="S14 6" xfId="3009" xr:uid="{00000000-0005-0000-0000-0000E90C0000}"/>
    <cellStyle name="S15" xfId="3010" xr:uid="{00000000-0005-0000-0000-0000EA0C0000}"/>
    <cellStyle name="S15 2" xfId="3011" xr:uid="{00000000-0005-0000-0000-0000EB0C0000}"/>
    <cellStyle name="S16" xfId="3012" xr:uid="{00000000-0005-0000-0000-0000EC0C0000}"/>
    <cellStyle name="S2" xfId="3013" xr:uid="{00000000-0005-0000-0000-0000ED0C0000}"/>
    <cellStyle name="S2 10" xfId="3014" xr:uid="{00000000-0005-0000-0000-0000EE0C0000}"/>
    <cellStyle name="S2 11" xfId="3015" xr:uid="{00000000-0005-0000-0000-0000EF0C0000}"/>
    <cellStyle name="S2 12" xfId="3016" xr:uid="{00000000-0005-0000-0000-0000F00C0000}"/>
    <cellStyle name="S2 13" xfId="3017" xr:uid="{00000000-0005-0000-0000-0000F10C0000}"/>
    <cellStyle name="S2 14" xfId="3018" xr:uid="{00000000-0005-0000-0000-0000F20C0000}"/>
    <cellStyle name="S2 15" xfId="3019" xr:uid="{00000000-0005-0000-0000-0000F30C0000}"/>
    <cellStyle name="S2 16" xfId="3020" xr:uid="{00000000-0005-0000-0000-0000F40C0000}"/>
    <cellStyle name="S2 17" xfId="3021" xr:uid="{00000000-0005-0000-0000-0000F50C0000}"/>
    <cellStyle name="S2 18" xfId="3022" xr:uid="{00000000-0005-0000-0000-0000F60C0000}"/>
    <cellStyle name="S2 19" xfId="3023" xr:uid="{00000000-0005-0000-0000-0000F70C0000}"/>
    <cellStyle name="S2 2" xfId="3024" xr:uid="{00000000-0005-0000-0000-0000F80C0000}"/>
    <cellStyle name="S2 20" xfId="3025" xr:uid="{00000000-0005-0000-0000-0000F90C0000}"/>
    <cellStyle name="S2 21" xfId="3026" xr:uid="{00000000-0005-0000-0000-0000FA0C0000}"/>
    <cellStyle name="S2 22" xfId="3027" xr:uid="{00000000-0005-0000-0000-0000FB0C0000}"/>
    <cellStyle name="S2 23" xfId="3028" xr:uid="{00000000-0005-0000-0000-0000FC0C0000}"/>
    <cellStyle name="S2 24" xfId="3029" xr:uid="{00000000-0005-0000-0000-0000FD0C0000}"/>
    <cellStyle name="S2 25" xfId="3030" xr:uid="{00000000-0005-0000-0000-0000FE0C0000}"/>
    <cellStyle name="S2 26" xfId="3031" xr:uid="{00000000-0005-0000-0000-0000FF0C0000}"/>
    <cellStyle name="S2 27" xfId="3032" xr:uid="{00000000-0005-0000-0000-0000000D0000}"/>
    <cellStyle name="S2 28" xfId="3033" xr:uid="{00000000-0005-0000-0000-0000010D0000}"/>
    <cellStyle name="S2 29" xfId="3034" xr:uid="{00000000-0005-0000-0000-0000020D0000}"/>
    <cellStyle name="S2 3" xfId="3035" xr:uid="{00000000-0005-0000-0000-0000030D0000}"/>
    <cellStyle name="S2 30" xfId="3036" xr:uid="{00000000-0005-0000-0000-0000040D0000}"/>
    <cellStyle name="S2 31" xfId="3037" xr:uid="{00000000-0005-0000-0000-0000050D0000}"/>
    <cellStyle name="S2 32" xfId="3038" xr:uid="{00000000-0005-0000-0000-0000060D0000}"/>
    <cellStyle name="S2 33" xfId="3039" xr:uid="{00000000-0005-0000-0000-0000070D0000}"/>
    <cellStyle name="S2 34" xfId="3040" xr:uid="{00000000-0005-0000-0000-0000080D0000}"/>
    <cellStyle name="S2 35" xfId="3041" xr:uid="{00000000-0005-0000-0000-0000090D0000}"/>
    <cellStyle name="S2 36" xfId="3042" xr:uid="{00000000-0005-0000-0000-00000A0D0000}"/>
    <cellStyle name="S2 37" xfId="3043" xr:uid="{00000000-0005-0000-0000-00000B0D0000}"/>
    <cellStyle name="S2 38" xfId="3044" xr:uid="{00000000-0005-0000-0000-00000C0D0000}"/>
    <cellStyle name="S2 39" xfId="3045" xr:uid="{00000000-0005-0000-0000-00000D0D0000}"/>
    <cellStyle name="S2 4" xfId="3046" xr:uid="{00000000-0005-0000-0000-00000E0D0000}"/>
    <cellStyle name="S2 40" xfId="3047" xr:uid="{00000000-0005-0000-0000-00000F0D0000}"/>
    <cellStyle name="S2 41" xfId="3048" xr:uid="{00000000-0005-0000-0000-0000100D0000}"/>
    <cellStyle name="S2 42" xfId="3049" xr:uid="{00000000-0005-0000-0000-0000110D0000}"/>
    <cellStyle name="S2 43" xfId="3050" xr:uid="{00000000-0005-0000-0000-0000120D0000}"/>
    <cellStyle name="S2 44" xfId="3051" xr:uid="{00000000-0005-0000-0000-0000130D0000}"/>
    <cellStyle name="S2 45" xfId="3052" xr:uid="{00000000-0005-0000-0000-0000140D0000}"/>
    <cellStyle name="S2 46" xfId="3053" xr:uid="{00000000-0005-0000-0000-0000150D0000}"/>
    <cellStyle name="S2 47" xfId="3054" xr:uid="{00000000-0005-0000-0000-0000160D0000}"/>
    <cellStyle name="S2 48" xfId="3055" xr:uid="{00000000-0005-0000-0000-0000170D0000}"/>
    <cellStyle name="S2 49" xfId="3056" xr:uid="{00000000-0005-0000-0000-0000180D0000}"/>
    <cellStyle name="S2 5" xfId="3057" xr:uid="{00000000-0005-0000-0000-0000190D0000}"/>
    <cellStyle name="S2 50" xfId="3058" xr:uid="{00000000-0005-0000-0000-00001A0D0000}"/>
    <cellStyle name="S2 51" xfId="3059" xr:uid="{00000000-0005-0000-0000-00001B0D0000}"/>
    <cellStyle name="S2 52" xfId="3060" xr:uid="{00000000-0005-0000-0000-00001C0D0000}"/>
    <cellStyle name="S2 53" xfId="3061" xr:uid="{00000000-0005-0000-0000-00001D0D0000}"/>
    <cellStyle name="S2 54" xfId="3062" xr:uid="{00000000-0005-0000-0000-00001E0D0000}"/>
    <cellStyle name="S2 55" xfId="3063" xr:uid="{00000000-0005-0000-0000-00001F0D0000}"/>
    <cellStyle name="S2 56" xfId="3064" xr:uid="{00000000-0005-0000-0000-0000200D0000}"/>
    <cellStyle name="S2 57" xfId="3065" xr:uid="{00000000-0005-0000-0000-0000210D0000}"/>
    <cellStyle name="S2 58" xfId="3066" xr:uid="{00000000-0005-0000-0000-0000220D0000}"/>
    <cellStyle name="S2 59" xfId="3067" xr:uid="{00000000-0005-0000-0000-0000230D0000}"/>
    <cellStyle name="S2 6" xfId="3068" xr:uid="{00000000-0005-0000-0000-0000240D0000}"/>
    <cellStyle name="S2 60" xfId="3069" xr:uid="{00000000-0005-0000-0000-0000250D0000}"/>
    <cellStyle name="S2 61" xfId="3070" xr:uid="{00000000-0005-0000-0000-0000260D0000}"/>
    <cellStyle name="S2 62" xfId="3071" xr:uid="{00000000-0005-0000-0000-0000270D0000}"/>
    <cellStyle name="S2 63" xfId="3072" xr:uid="{00000000-0005-0000-0000-0000280D0000}"/>
    <cellStyle name="S2 64" xfId="3073" xr:uid="{00000000-0005-0000-0000-0000290D0000}"/>
    <cellStyle name="S2 65" xfId="3074" xr:uid="{00000000-0005-0000-0000-00002A0D0000}"/>
    <cellStyle name="S2 66" xfId="3075" xr:uid="{00000000-0005-0000-0000-00002B0D0000}"/>
    <cellStyle name="S2 67" xfId="3076" xr:uid="{00000000-0005-0000-0000-00002C0D0000}"/>
    <cellStyle name="S2 68" xfId="3077" xr:uid="{00000000-0005-0000-0000-00002D0D0000}"/>
    <cellStyle name="S2 69" xfId="3078" xr:uid="{00000000-0005-0000-0000-00002E0D0000}"/>
    <cellStyle name="S2 7" xfId="3079" xr:uid="{00000000-0005-0000-0000-00002F0D0000}"/>
    <cellStyle name="S2 70" xfId="3080" xr:uid="{00000000-0005-0000-0000-0000300D0000}"/>
    <cellStyle name="S2 71" xfId="3081" xr:uid="{00000000-0005-0000-0000-0000310D0000}"/>
    <cellStyle name="S2 72" xfId="3082" xr:uid="{00000000-0005-0000-0000-0000320D0000}"/>
    <cellStyle name="S2 73" xfId="3083" xr:uid="{00000000-0005-0000-0000-0000330D0000}"/>
    <cellStyle name="S2 74" xfId="3084" xr:uid="{00000000-0005-0000-0000-0000340D0000}"/>
    <cellStyle name="S2 75" xfId="3085" xr:uid="{00000000-0005-0000-0000-0000350D0000}"/>
    <cellStyle name="S2 76" xfId="3086" xr:uid="{00000000-0005-0000-0000-0000360D0000}"/>
    <cellStyle name="S2 77" xfId="3087" xr:uid="{00000000-0005-0000-0000-0000370D0000}"/>
    <cellStyle name="S2 78" xfId="3088" xr:uid="{00000000-0005-0000-0000-0000380D0000}"/>
    <cellStyle name="S2 79" xfId="3089" xr:uid="{00000000-0005-0000-0000-0000390D0000}"/>
    <cellStyle name="S2 8" xfId="3090" xr:uid="{00000000-0005-0000-0000-00003A0D0000}"/>
    <cellStyle name="S2 80" xfId="3091" xr:uid="{00000000-0005-0000-0000-00003B0D0000}"/>
    <cellStyle name="S2 81" xfId="3092" xr:uid="{00000000-0005-0000-0000-00003C0D0000}"/>
    <cellStyle name="S2 82" xfId="3093" xr:uid="{00000000-0005-0000-0000-00003D0D0000}"/>
    <cellStyle name="S2 83" xfId="3094" xr:uid="{00000000-0005-0000-0000-00003E0D0000}"/>
    <cellStyle name="S2 84" xfId="3095" xr:uid="{00000000-0005-0000-0000-00003F0D0000}"/>
    <cellStyle name="S2 85" xfId="3096" xr:uid="{00000000-0005-0000-0000-0000400D0000}"/>
    <cellStyle name="S2 86" xfId="3097" xr:uid="{00000000-0005-0000-0000-0000410D0000}"/>
    <cellStyle name="S2 9" xfId="3098" xr:uid="{00000000-0005-0000-0000-0000420D0000}"/>
    <cellStyle name="S3" xfId="3099" xr:uid="{00000000-0005-0000-0000-0000430D0000}"/>
    <cellStyle name="S3 10" xfId="3100" xr:uid="{00000000-0005-0000-0000-0000440D0000}"/>
    <cellStyle name="S3 11" xfId="3101" xr:uid="{00000000-0005-0000-0000-0000450D0000}"/>
    <cellStyle name="S3 12" xfId="3102" xr:uid="{00000000-0005-0000-0000-0000460D0000}"/>
    <cellStyle name="S3 13" xfId="3103" xr:uid="{00000000-0005-0000-0000-0000470D0000}"/>
    <cellStyle name="S3 14" xfId="3104" xr:uid="{00000000-0005-0000-0000-0000480D0000}"/>
    <cellStyle name="S3 15" xfId="3105" xr:uid="{00000000-0005-0000-0000-0000490D0000}"/>
    <cellStyle name="S3 16" xfId="3106" xr:uid="{00000000-0005-0000-0000-00004A0D0000}"/>
    <cellStyle name="S3 17" xfId="3107" xr:uid="{00000000-0005-0000-0000-00004B0D0000}"/>
    <cellStyle name="S3 18" xfId="3108" xr:uid="{00000000-0005-0000-0000-00004C0D0000}"/>
    <cellStyle name="S3 19" xfId="3109" xr:uid="{00000000-0005-0000-0000-00004D0D0000}"/>
    <cellStyle name="S3 2" xfId="3110" xr:uid="{00000000-0005-0000-0000-00004E0D0000}"/>
    <cellStyle name="S3 20" xfId="3111" xr:uid="{00000000-0005-0000-0000-00004F0D0000}"/>
    <cellStyle name="S3 21" xfId="3112" xr:uid="{00000000-0005-0000-0000-0000500D0000}"/>
    <cellStyle name="S3 22" xfId="3113" xr:uid="{00000000-0005-0000-0000-0000510D0000}"/>
    <cellStyle name="S3 23" xfId="3114" xr:uid="{00000000-0005-0000-0000-0000520D0000}"/>
    <cellStyle name="S3 24" xfId="3115" xr:uid="{00000000-0005-0000-0000-0000530D0000}"/>
    <cellStyle name="S3 25" xfId="3116" xr:uid="{00000000-0005-0000-0000-0000540D0000}"/>
    <cellStyle name="S3 26" xfId="3117" xr:uid="{00000000-0005-0000-0000-0000550D0000}"/>
    <cellStyle name="S3 27" xfId="3118" xr:uid="{00000000-0005-0000-0000-0000560D0000}"/>
    <cellStyle name="S3 28" xfId="3119" xr:uid="{00000000-0005-0000-0000-0000570D0000}"/>
    <cellStyle name="S3 29" xfId="3120" xr:uid="{00000000-0005-0000-0000-0000580D0000}"/>
    <cellStyle name="S3 3" xfId="3121" xr:uid="{00000000-0005-0000-0000-0000590D0000}"/>
    <cellStyle name="S3 30" xfId="3122" xr:uid="{00000000-0005-0000-0000-00005A0D0000}"/>
    <cellStyle name="S3 31" xfId="3123" xr:uid="{00000000-0005-0000-0000-00005B0D0000}"/>
    <cellStyle name="S3 32" xfId="3124" xr:uid="{00000000-0005-0000-0000-00005C0D0000}"/>
    <cellStyle name="S3 33" xfId="3125" xr:uid="{00000000-0005-0000-0000-00005D0D0000}"/>
    <cellStyle name="S3 34" xfId="3126" xr:uid="{00000000-0005-0000-0000-00005E0D0000}"/>
    <cellStyle name="S3 35" xfId="3127" xr:uid="{00000000-0005-0000-0000-00005F0D0000}"/>
    <cellStyle name="S3 36" xfId="3128" xr:uid="{00000000-0005-0000-0000-0000600D0000}"/>
    <cellStyle name="S3 37" xfId="3129" xr:uid="{00000000-0005-0000-0000-0000610D0000}"/>
    <cellStyle name="S3 38" xfId="3130" xr:uid="{00000000-0005-0000-0000-0000620D0000}"/>
    <cellStyle name="S3 39" xfId="3131" xr:uid="{00000000-0005-0000-0000-0000630D0000}"/>
    <cellStyle name="S3 4" xfId="3132" xr:uid="{00000000-0005-0000-0000-0000640D0000}"/>
    <cellStyle name="S3 40" xfId="3133" xr:uid="{00000000-0005-0000-0000-0000650D0000}"/>
    <cellStyle name="S3 41" xfId="3134" xr:uid="{00000000-0005-0000-0000-0000660D0000}"/>
    <cellStyle name="S3 42" xfId="3135" xr:uid="{00000000-0005-0000-0000-0000670D0000}"/>
    <cellStyle name="S3 43" xfId="3136" xr:uid="{00000000-0005-0000-0000-0000680D0000}"/>
    <cellStyle name="S3 44" xfId="3137" xr:uid="{00000000-0005-0000-0000-0000690D0000}"/>
    <cellStyle name="S3 45" xfId="3138" xr:uid="{00000000-0005-0000-0000-00006A0D0000}"/>
    <cellStyle name="S3 46" xfId="3139" xr:uid="{00000000-0005-0000-0000-00006B0D0000}"/>
    <cellStyle name="S3 47" xfId="3140" xr:uid="{00000000-0005-0000-0000-00006C0D0000}"/>
    <cellStyle name="S3 48" xfId="3141" xr:uid="{00000000-0005-0000-0000-00006D0D0000}"/>
    <cellStyle name="S3 49" xfId="3142" xr:uid="{00000000-0005-0000-0000-00006E0D0000}"/>
    <cellStyle name="S3 5" xfId="3143" xr:uid="{00000000-0005-0000-0000-00006F0D0000}"/>
    <cellStyle name="S3 50" xfId="3144" xr:uid="{00000000-0005-0000-0000-0000700D0000}"/>
    <cellStyle name="S3 51" xfId="3145" xr:uid="{00000000-0005-0000-0000-0000710D0000}"/>
    <cellStyle name="S3 52" xfId="3146" xr:uid="{00000000-0005-0000-0000-0000720D0000}"/>
    <cellStyle name="S3 53" xfId="3147" xr:uid="{00000000-0005-0000-0000-0000730D0000}"/>
    <cellStyle name="S3 54" xfId="3148" xr:uid="{00000000-0005-0000-0000-0000740D0000}"/>
    <cellStyle name="S3 55" xfId="3149" xr:uid="{00000000-0005-0000-0000-0000750D0000}"/>
    <cellStyle name="S3 56" xfId="3150" xr:uid="{00000000-0005-0000-0000-0000760D0000}"/>
    <cellStyle name="S3 57" xfId="3151" xr:uid="{00000000-0005-0000-0000-0000770D0000}"/>
    <cellStyle name="S3 58" xfId="3152" xr:uid="{00000000-0005-0000-0000-0000780D0000}"/>
    <cellStyle name="S3 59" xfId="3153" xr:uid="{00000000-0005-0000-0000-0000790D0000}"/>
    <cellStyle name="S3 6" xfId="3154" xr:uid="{00000000-0005-0000-0000-00007A0D0000}"/>
    <cellStyle name="S3 60" xfId="3155" xr:uid="{00000000-0005-0000-0000-00007B0D0000}"/>
    <cellStyle name="S3 61" xfId="3156" xr:uid="{00000000-0005-0000-0000-00007C0D0000}"/>
    <cellStyle name="S3 62" xfId="3157" xr:uid="{00000000-0005-0000-0000-00007D0D0000}"/>
    <cellStyle name="S3 63" xfId="3158" xr:uid="{00000000-0005-0000-0000-00007E0D0000}"/>
    <cellStyle name="S3 64" xfId="3159" xr:uid="{00000000-0005-0000-0000-00007F0D0000}"/>
    <cellStyle name="S3 65" xfId="3160" xr:uid="{00000000-0005-0000-0000-0000800D0000}"/>
    <cellStyle name="S3 66" xfId="3161" xr:uid="{00000000-0005-0000-0000-0000810D0000}"/>
    <cellStyle name="S3 67" xfId="3162" xr:uid="{00000000-0005-0000-0000-0000820D0000}"/>
    <cellStyle name="S3 68" xfId="3163" xr:uid="{00000000-0005-0000-0000-0000830D0000}"/>
    <cellStyle name="S3 69" xfId="3164" xr:uid="{00000000-0005-0000-0000-0000840D0000}"/>
    <cellStyle name="S3 7" xfId="3165" xr:uid="{00000000-0005-0000-0000-0000850D0000}"/>
    <cellStyle name="S3 70" xfId="3166" xr:uid="{00000000-0005-0000-0000-0000860D0000}"/>
    <cellStyle name="S3 71" xfId="3167" xr:uid="{00000000-0005-0000-0000-0000870D0000}"/>
    <cellStyle name="S3 72" xfId="3168" xr:uid="{00000000-0005-0000-0000-0000880D0000}"/>
    <cellStyle name="S3 73" xfId="3169" xr:uid="{00000000-0005-0000-0000-0000890D0000}"/>
    <cellStyle name="S3 74" xfId="3170" xr:uid="{00000000-0005-0000-0000-00008A0D0000}"/>
    <cellStyle name="S3 75" xfId="3171" xr:uid="{00000000-0005-0000-0000-00008B0D0000}"/>
    <cellStyle name="S3 76" xfId="3172" xr:uid="{00000000-0005-0000-0000-00008C0D0000}"/>
    <cellStyle name="S3 77" xfId="3173" xr:uid="{00000000-0005-0000-0000-00008D0D0000}"/>
    <cellStyle name="S3 78" xfId="3174" xr:uid="{00000000-0005-0000-0000-00008E0D0000}"/>
    <cellStyle name="S3 79" xfId="3175" xr:uid="{00000000-0005-0000-0000-00008F0D0000}"/>
    <cellStyle name="S3 8" xfId="3176" xr:uid="{00000000-0005-0000-0000-0000900D0000}"/>
    <cellStyle name="S3 80" xfId="3177" xr:uid="{00000000-0005-0000-0000-0000910D0000}"/>
    <cellStyle name="S3 81" xfId="3178" xr:uid="{00000000-0005-0000-0000-0000920D0000}"/>
    <cellStyle name="S3 82" xfId="3179" xr:uid="{00000000-0005-0000-0000-0000930D0000}"/>
    <cellStyle name="S3 83" xfId="3180" xr:uid="{00000000-0005-0000-0000-0000940D0000}"/>
    <cellStyle name="S3 84" xfId="3181" xr:uid="{00000000-0005-0000-0000-0000950D0000}"/>
    <cellStyle name="S3 85" xfId="3182" xr:uid="{00000000-0005-0000-0000-0000960D0000}"/>
    <cellStyle name="S3 86" xfId="3183" xr:uid="{00000000-0005-0000-0000-0000970D0000}"/>
    <cellStyle name="S3 9" xfId="3184" xr:uid="{00000000-0005-0000-0000-0000980D0000}"/>
    <cellStyle name="S4" xfId="3185" xr:uid="{00000000-0005-0000-0000-0000990D0000}"/>
    <cellStyle name="S4 10" xfId="3186" xr:uid="{00000000-0005-0000-0000-00009A0D0000}"/>
    <cellStyle name="S4 11" xfId="3187" xr:uid="{00000000-0005-0000-0000-00009B0D0000}"/>
    <cellStyle name="S4 12" xfId="3188" xr:uid="{00000000-0005-0000-0000-00009C0D0000}"/>
    <cellStyle name="S4 13" xfId="3189" xr:uid="{00000000-0005-0000-0000-00009D0D0000}"/>
    <cellStyle name="S4 14" xfId="3190" xr:uid="{00000000-0005-0000-0000-00009E0D0000}"/>
    <cellStyle name="S4 15" xfId="3191" xr:uid="{00000000-0005-0000-0000-00009F0D0000}"/>
    <cellStyle name="S4 16" xfId="3192" xr:uid="{00000000-0005-0000-0000-0000A00D0000}"/>
    <cellStyle name="S4 17" xfId="3193" xr:uid="{00000000-0005-0000-0000-0000A10D0000}"/>
    <cellStyle name="S4 18" xfId="3194" xr:uid="{00000000-0005-0000-0000-0000A20D0000}"/>
    <cellStyle name="S4 19" xfId="3195" xr:uid="{00000000-0005-0000-0000-0000A30D0000}"/>
    <cellStyle name="S4 2" xfId="3196" xr:uid="{00000000-0005-0000-0000-0000A40D0000}"/>
    <cellStyle name="S4 20" xfId="3197" xr:uid="{00000000-0005-0000-0000-0000A50D0000}"/>
    <cellStyle name="S4 21" xfId="3198" xr:uid="{00000000-0005-0000-0000-0000A60D0000}"/>
    <cellStyle name="S4 22" xfId="3199" xr:uid="{00000000-0005-0000-0000-0000A70D0000}"/>
    <cellStyle name="S4 23" xfId="3200" xr:uid="{00000000-0005-0000-0000-0000A80D0000}"/>
    <cellStyle name="S4 24" xfId="3201" xr:uid="{00000000-0005-0000-0000-0000A90D0000}"/>
    <cellStyle name="S4 25" xfId="3202" xr:uid="{00000000-0005-0000-0000-0000AA0D0000}"/>
    <cellStyle name="S4 26" xfId="3203" xr:uid="{00000000-0005-0000-0000-0000AB0D0000}"/>
    <cellStyle name="S4 27" xfId="3204" xr:uid="{00000000-0005-0000-0000-0000AC0D0000}"/>
    <cellStyle name="S4 28" xfId="3205" xr:uid="{00000000-0005-0000-0000-0000AD0D0000}"/>
    <cellStyle name="S4 29" xfId="3206" xr:uid="{00000000-0005-0000-0000-0000AE0D0000}"/>
    <cellStyle name="S4 3" xfId="3207" xr:uid="{00000000-0005-0000-0000-0000AF0D0000}"/>
    <cellStyle name="S4 30" xfId="3208" xr:uid="{00000000-0005-0000-0000-0000B00D0000}"/>
    <cellStyle name="S4 31" xfId="3209" xr:uid="{00000000-0005-0000-0000-0000B10D0000}"/>
    <cellStyle name="S4 32" xfId="3210" xr:uid="{00000000-0005-0000-0000-0000B20D0000}"/>
    <cellStyle name="S4 33" xfId="3211" xr:uid="{00000000-0005-0000-0000-0000B30D0000}"/>
    <cellStyle name="S4 34" xfId="3212" xr:uid="{00000000-0005-0000-0000-0000B40D0000}"/>
    <cellStyle name="S4 35" xfId="3213" xr:uid="{00000000-0005-0000-0000-0000B50D0000}"/>
    <cellStyle name="S4 36" xfId="3214" xr:uid="{00000000-0005-0000-0000-0000B60D0000}"/>
    <cellStyle name="S4 37" xfId="3215" xr:uid="{00000000-0005-0000-0000-0000B70D0000}"/>
    <cellStyle name="S4 38" xfId="3216" xr:uid="{00000000-0005-0000-0000-0000B80D0000}"/>
    <cellStyle name="S4 39" xfId="3217" xr:uid="{00000000-0005-0000-0000-0000B90D0000}"/>
    <cellStyle name="S4 4" xfId="3218" xr:uid="{00000000-0005-0000-0000-0000BA0D0000}"/>
    <cellStyle name="S4 40" xfId="3219" xr:uid="{00000000-0005-0000-0000-0000BB0D0000}"/>
    <cellStyle name="S4 41" xfId="3220" xr:uid="{00000000-0005-0000-0000-0000BC0D0000}"/>
    <cellStyle name="S4 42" xfId="3221" xr:uid="{00000000-0005-0000-0000-0000BD0D0000}"/>
    <cellStyle name="S4 43" xfId="3222" xr:uid="{00000000-0005-0000-0000-0000BE0D0000}"/>
    <cellStyle name="S4 44" xfId="3223" xr:uid="{00000000-0005-0000-0000-0000BF0D0000}"/>
    <cellStyle name="S4 45" xfId="3224" xr:uid="{00000000-0005-0000-0000-0000C00D0000}"/>
    <cellStyle name="S4 46" xfId="3225" xr:uid="{00000000-0005-0000-0000-0000C10D0000}"/>
    <cellStyle name="S4 47" xfId="3226" xr:uid="{00000000-0005-0000-0000-0000C20D0000}"/>
    <cellStyle name="S4 48" xfId="3227" xr:uid="{00000000-0005-0000-0000-0000C30D0000}"/>
    <cellStyle name="S4 49" xfId="3228" xr:uid="{00000000-0005-0000-0000-0000C40D0000}"/>
    <cellStyle name="S4 5" xfId="3229" xr:uid="{00000000-0005-0000-0000-0000C50D0000}"/>
    <cellStyle name="S4 50" xfId="3230" xr:uid="{00000000-0005-0000-0000-0000C60D0000}"/>
    <cellStyle name="S4 51" xfId="3231" xr:uid="{00000000-0005-0000-0000-0000C70D0000}"/>
    <cellStyle name="S4 52" xfId="3232" xr:uid="{00000000-0005-0000-0000-0000C80D0000}"/>
    <cellStyle name="S4 53" xfId="3233" xr:uid="{00000000-0005-0000-0000-0000C90D0000}"/>
    <cellStyle name="S4 54" xfId="3234" xr:uid="{00000000-0005-0000-0000-0000CA0D0000}"/>
    <cellStyle name="S4 55" xfId="3235" xr:uid="{00000000-0005-0000-0000-0000CB0D0000}"/>
    <cellStyle name="S4 56" xfId="3236" xr:uid="{00000000-0005-0000-0000-0000CC0D0000}"/>
    <cellStyle name="S4 57" xfId="3237" xr:uid="{00000000-0005-0000-0000-0000CD0D0000}"/>
    <cellStyle name="S4 58" xfId="3238" xr:uid="{00000000-0005-0000-0000-0000CE0D0000}"/>
    <cellStyle name="S4 59" xfId="3239" xr:uid="{00000000-0005-0000-0000-0000CF0D0000}"/>
    <cellStyle name="S4 6" xfId="3240" xr:uid="{00000000-0005-0000-0000-0000D00D0000}"/>
    <cellStyle name="S4 60" xfId="3241" xr:uid="{00000000-0005-0000-0000-0000D10D0000}"/>
    <cellStyle name="S4 61" xfId="3242" xr:uid="{00000000-0005-0000-0000-0000D20D0000}"/>
    <cellStyle name="S4 62" xfId="3243" xr:uid="{00000000-0005-0000-0000-0000D30D0000}"/>
    <cellStyle name="S4 63" xfId="3244" xr:uid="{00000000-0005-0000-0000-0000D40D0000}"/>
    <cellStyle name="S4 64" xfId="3245" xr:uid="{00000000-0005-0000-0000-0000D50D0000}"/>
    <cellStyle name="S4 65" xfId="3246" xr:uid="{00000000-0005-0000-0000-0000D60D0000}"/>
    <cellStyle name="S4 66" xfId="3247" xr:uid="{00000000-0005-0000-0000-0000D70D0000}"/>
    <cellStyle name="S4 67" xfId="3248" xr:uid="{00000000-0005-0000-0000-0000D80D0000}"/>
    <cellStyle name="S4 68" xfId="3249" xr:uid="{00000000-0005-0000-0000-0000D90D0000}"/>
    <cellStyle name="S4 69" xfId="3250" xr:uid="{00000000-0005-0000-0000-0000DA0D0000}"/>
    <cellStyle name="S4 7" xfId="3251" xr:uid="{00000000-0005-0000-0000-0000DB0D0000}"/>
    <cellStyle name="S4 70" xfId="3252" xr:uid="{00000000-0005-0000-0000-0000DC0D0000}"/>
    <cellStyle name="S4 71" xfId="3253" xr:uid="{00000000-0005-0000-0000-0000DD0D0000}"/>
    <cellStyle name="S4 72" xfId="3254" xr:uid="{00000000-0005-0000-0000-0000DE0D0000}"/>
    <cellStyle name="S4 73" xfId="3255" xr:uid="{00000000-0005-0000-0000-0000DF0D0000}"/>
    <cellStyle name="S4 74" xfId="3256" xr:uid="{00000000-0005-0000-0000-0000E00D0000}"/>
    <cellStyle name="S4 75" xfId="3257" xr:uid="{00000000-0005-0000-0000-0000E10D0000}"/>
    <cellStyle name="S4 76" xfId="3258" xr:uid="{00000000-0005-0000-0000-0000E20D0000}"/>
    <cellStyle name="S4 77" xfId="3259" xr:uid="{00000000-0005-0000-0000-0000E30D0000}"/>
    <cellStyle name="S4 78" xfId="3260" xr:uid="{00000000-0005-0000-0000-0000E40D0000}"/>
    <cellStyle name="S4 79" xfId="3261" xr:uid="{00000000-0005-0000-0000-0000E50D0000}"/>
    <cellStyle name="S4 8" xfId="3262" xr:uid="{00000000-0005-0000-0000-0000E60D0000}"/>
    <cellStyle name="S4 80" xfId="3263" xr:uid="{00000000-0005-0000-0000-0000E70D0000}"/>
    <cellStyle name="S4 81" xfId="3264" xr:uid="{00000000-0005-0000-0000-0000E80D0000}"/>
    <cellStyle name="S4 82" xfId="3265" xr:uid="{00000000-0005-0000-0000-0000E90D0000}"/>
    <cellStyle name="S4 83" xfId="3266" xr:uid="{00000000-0005-0000-0000-0000EA0D0000}"/>
    <cellStyle name="S4 84" xfId="3267" xr:uid="{00000000-0005-0000-0000-0000EB0D0000}"/>
    <cellStyle name="S4 85" xfId="3268" xr:uid="{00000000-0005-0000-0000-0000EC0D0000}"/>
    <cellStyle name="S4 86" xfId="3269" xr:uid="{00000000-0005-0000-0000-0000ED0D0000}"/>
    <cellStyle name="S4 9" xfId="3270" xr:uid="{00000000-0005-0000-0000-0000EE0D0000}"/>
    <cellStyle name="S5" xfId="3271" xr:uid="{00000000-0005-0000-0000-0000EF0D0000}"/>
    <cellStyle name="S5 10" xfId="3272" xr:uid="{00000000-0005-0000-0000-0000F00D0000}"/>
    <cellStyle name="S5 11" xfId="3273" xr:uid="{00000000-0005-0000-0000-0000F10D0000}"/>
    <cellStyle name="S5 12" xfId="3274" xr:uid="{00000000-0005-0000-0000-0000F20D0000}"/>
    <cellStyle name="S5 13" xfId="3275" xr:uid="{00000000-0005-0000-0000-0000F30D0000}"/>
    <cellStyle name="S5 14" xfId="3276" xr:uid="{00000000-0005-0000-0000-0000F40D0000}"/>
    <cellStyle name="S5 15" xfId="3277" xr:uid="{00000000-0005-0000-0000-0000F50D0000}"/>
    <cellStyle name="S5 16" xfId="3278" xr:uid="{00000000-0005-0000-0000-0000F60D0000}"/>
    <cellStyle name="S5 17" xfId="3279" xr:uid="{00000000-0005-0000-0000-0000F70D0000}"/>
    <cellStyle name="S5 18" xfId="3280" xr:uid="{00000000-0005-0000-0000-0000F80D0000}"/>
    <cellStyle name="S5 19" xfId="3281" xr:uid="{00000000-0005-0000-0000-0000F90D0000}"/>
    <cellStyle name="S5 2" xfId="3282" xr:uid="{00000000-0005-0000-0000-0000FA0D0000}"/>
    <cellStyle name="S5 20" xfId="3283" xr:uid="{00000000-0005-0000-0000-0000FB0D0000}"/>
    <cellStyle name="S5 21" xfId="3284" xr:uid="{00000000-0005-0000-0000-0000FC0D0000}"/>
    <cellStyle name="S5 22" xfId="3285" xr:uid="{00000000-0005-0000-0000-0000FD0D0000}"/>
    <cellStyle name="S5 23" xfId="3286" xr:uid="{00000000-0005-0000-0000-0000FE0D0000}"/>
    <cellStyle name="S5 24" xfId="3287" xr:uid="{00000000-0005-0000-0000-0000FF0D0000}"/>
    <cellStyle name="S5 25" xfId="3288" xr:uid="{00000000-0005-0000-0000-0000000E0000}"/>
    <cellStyle name="S5 26" xfId="3289" xr:uid="{00000000-0005-0000-0000-0000010E0000}"/>
    <cellStyle name="S5 27" xfId="3290" xr:uid="{00000000-0005-0000-0000-0000020E0000}"/>
    <cellStyle name="S5 28" xfId="3291" xr:uid="{00000000-0005-0000-0000-0000030E0000}"/>
    <cellStyle name="S5 29" xfId="3292" xr:uid="{00000000-0005-0000-0000-0000040E0000}"/>
    <cellStyle name="S5 3" xfId="3293" xr:uid="{00000000-0005-0000-0000-0000050E0000}"/>
    <cellStyle name="S5 30" xfId="3294" xr:uid="{00000000-0005-0000-0000-0000060E0000}"/>
    <cellStyle name="S5 31" xfId="3295" xr:uid="{00000000-0005-0000-0000-0000070E0000}"/>
    <cellStyle name="S5 32" xfId="3296" xr:uid="{00000000-0005-0000-0000-0000080E0000}"/>
    <cellStyle name="S5 33" xfId="3297" xr:uid="{00000000-0005-0000-0000-0000090E0000}"/>
    <cellStyle name="S5 34" xfId="3298" xr:uid="{00000000-0005-0000-0000-00000A0E0000}"/>
    <cellStyle name="S5 35" xfId="3299" xr:uid="{00000000-0005-0000-0000-00000B0E0000}"/>
    <cellStyle name="S5 36" xfId="3300" xr:uid="{00000000-0005-0000-0000-00000C0E0000}"/>
    <cellStyle name="S5 37" xfId="3301" xr:uid="{00000000-0005-0000-0000-00000D0E0000}"/>
    <cellStyle name="S5 38" xfId="3302" xr:uid="{00000000-0005-0000-0000-00000E0E0000}"/>
    <cellStyle name="S5 39" xfId="3303" xr:uid="{00000000-0005-0000-0000-00000F0E0000}"/>
    <cellStyle name="S5 4" xfId="3304" xr:uid="{00000000-0005-0000-0000-0000100E0000}"/>
    <cellStyle name="S5 40" xfId="3305" xr:uid="{00000000-0005-0000-0000-0000110E0000}"/>
    <cellStyle name="S5 41" xfId="3306" xr:uid="{00000000-0005-0000-0000-0000120E0000}"/>
    <cellStyle name="S5 42" xfId="3307" xr:uid="{00000000-0005-0000-0000-0000130E0000}"/>
    <cellStyle name="S5 43" xfId="3308" xr:uid="{00000000-0005-0000-0000-0000140E0000}"/>
    <cellStyle name="S5 44" xfId="3309" xr:uid="{00000000-0005-0000-0000-0000150E0000}"/>
    <cellStyle name="S5 45" xfId="3310" xr:uid="{00000000-0005-0000-0000-0000160E0000}"/>
    <cellStyle name="S5 46" xfId="3311" xr:uid="{00000000-0005-0000-0000-0000170E0000}"/>
    <cellStyle name="S5 47" xfId="3312" xr:uid="{00000000-0005-0000-0000-0000180E0000}"/>
    <cellStyle name="S5 48" xfId="3313" xr:uid="{00000000-0005-0000-0000-0000190E0000}"/>
    <cellStyle name="S5 49" xfId="3314" xr:uid="{00000000-0005-0000-0000-00001A0E0000}"/>
    <cellStyle name="S5 5" xfId="3315" xr:uid="{00000000-0005-0000-0000-00001B0E0000}"/>
    <cellStyle name="S5 50" xfId="3316" xr:uid="{00000000-0005-0000-0000-00001C0E0000}"/>
    <cellStyle name="S5 51" xfId="3317" xr:uid="{00000000-0005-0000-0000-00001D0E0000}"/>
    <cellStyle name="S5 52" xfId="3318" xr:uid="{00000000-0005-0000-0000-00001E0E0000}"/>
    <cellStyle name="S5 53" xfId="3319" xr:uid="{00000000-0005-0000-0000-00001F0E0000}"/>
    <cellStyle name="S5 54" xfId="3320" xr:uid="{00000000-0005-0000-0000-0000200E0000}"/>
    <cellStyle name="S5 55" xfId="3321" xr:uid="{00000000-0005-0000-0000-0000210E0000}"/>
    <cellStyle name="S5 56" xfId="3322" xr:uid="{00000000-0005-0000-0000-0000220E0000}"/>
    <cellStyle name="S5 57" xfId="3323" xr:uid="{00000000-0005-0000-0000-0000230E0000}"/>
    <cellStyle name="S5 58" xfId="3324" xr:uid="{00000000-0005-0000-0000-0000240E0000}"/>
    <cellStyle name="S5 59" xfId="3325" xr:uid="{00000000-0005-0000-0000-0000250E0000}"/>
    <cellStyle name="S5 6" xfId="3326" xr:uid="{00000000-0005-0000-0000-0000260E0000}"/>
    <cellStyle name="S5 60" xfId="3327" xr:uid="{00000000-0005-0000-0000-0000270E0000}"/>
    <cellStyle name="S5 61" xfId="3328" xr:uid="{00000000-0005-0000-0000-0000280E0000}"/>
    <cellStyle name="S5 62" xfId="3329" xr:uid="{00000000-0005-0000-0000-0000290E0000}"/>
    <cellStyle name="S5 63" xfId="3330" xr:uid="{00000000-0005-0000-0000-00002A0E0000}"/>
    <cellStyle name="S5 64" xfId="3331" xr:uid="{00000000-0005-0000-0000-00002B0E0000}"/>
    <cellStyle name="S5 65" xfId="3332" xr:uid="{00000000-0005-0000-0000-00002C0E0000}"/>
    <cellStyle name="S5 66" xfId="3333" xr:uid="{00000000-0005-0000-0000-00002D0E0000}"/>
    <cellStyle name="S5 67" xfId="3334" xr:uid="{00000000-0005-0000-0000-00002E0E0000}"/>
    <cellStyle name="S5 68" xfId="3335" xr:uid="{00000000-0005-0000-0000-00002F0E0000}"/>
    <cellStyle name="S5 69" xfId="3336" xr:uid="{00000000-0005-0000-0000-0000300E0000}"/>
    <cellStyle name="S5 7" xfId="3337" xr:uid="{00000000-0005-0000-0000-0000310E0000}"/>
    <cellStyle name="S5 70" xfId="3338" xr:uid="{00000000-0005-0000-0000-0000320E0000}"/>
    <cellStyle name="S5 71" xfId="3339" xr:uid="{00000000-0005-0000-0000-0000330E0000}"/>
    <cellStyle name="S5 72" xfId="3340" xr:uid="{00000000-0005-0000-0000-0000340E0000}"/>
    <cellStyle name="S5 73" xfId="3341" xr:uid="{00000000-0005-0000-0000-0000350E0000}"/>
    <cellStyle name="S5 74" xfId="3342" xr:uid="{00000000-0005-0000-0000-0000360E0000}"/>
    <cellStyle name="S5 75" xfId="3343" xr:uid="{00000000-0005-0000-0000-0000370E0000}"/>
    <cellStyle name="S5 76" xfId="3344" xr:uid="{00000000-0005-0000-0000-0000380E0000}"/>
    <cellStyle name="S5 77" xfId="3345" xr:uid="{00000000-0005-0000-0000-0000390E0000}"/>
    <cellStyle name="S5 78" xfId="3346" xr:uid="{00000000-0005-0000-0000-00003A0E0000}"/>
    <cellStyle name="S5 79" xfId="3347" xr:uid="{00000000-0005-0000-0000-00003B0E0000}"/>
    <cellStyle name="S5 8" xfId="3348" xr:uid="{00000000-0005-0000-0000-00003C0E0000}"/>
    <cellStyle name="S5 80" xfId="3349" xr:uid="{00000000-0005-0000-0000-00003D0E0000}"/>
    <cellStyle name="S5 81" xfId="3350" xr:uid="{00000000-0005-0000-0000-00003E0E0000}"/>
    <cellStyle name="S5 82" xfId="3351" xr:uid="{00000000-0005-0000-0000-00003F0E0000}"/>
    <cellStyle name="S5 83" xfId="3352" xr:uid="{00000000-0005-0000-0000-0000400E0000}"/>
    <cellStyle name="S5 84" xfId="3353" xr:uid="{00000000-0005-0000-0000-0000410E0000}"/>
    <cellStyle name="S5 85" xfId="3354" xr:uid="{00000000-0005-0000-0000-0000420E0000}"/>
    <cellStyle name="S5 86" xfId="3355" xr:uid="{00000000-0005-0000-0000-0000430E0000}"/>
    <cellStyle name="S5 9" xfId="3356" xr:uid="{00000000-0005-0000-0000-0000440E0000}"/>
    <cellStyle name="S6" xfId="3357" xr:uid="{00000000-0005-0000-0000-0000450E0000}"/>
    <cellStyle name="S6 10" xfId="3358" xr:uid="{00000000-0005-0000-0000-0000460E0000}"/>
    <cellStyle name="S6 100" xfId="3359" xr:uid="{00000000-0005-0000-0000-0000470E0000}"/>
    <cellStyle name="S6 11" xfId="3360" xr:uid="{00000000-0005-0000-0000-0000480E0000}"/>
    <cellStyle name="S6 12" xfId="3361" xr:uid="{00000000-0005-0000-0000-0000490E0000}"/>
    <cellStyle name="S6 13" xfId="3362" xr:uid="{00000000-0005-0000-0000-00004A0E0000}"/>
    <cellStyle name="S6 14" xfId="3363" xr:uid="{00000000-0005-0000-0000-00004B0E0000}"/>
    <cellStyle name="S6 15" xfId="3364" xr:uid="{00000000-0005-0000-0000-00004C0E0000}"/>
    <cellStyle name="S6 16" xfId="3365" xr:uid="{00000000-0005-0000-0000-00004D0E0000}"/>
    <cellStyle name="S6 17" xfId="3366" xr:uid="{00000000-0005-0000-0000-00004E0E0000}"/>
    <cellStyle name="S6 18" xfId="3367" xr:uid="{00000000-0005-0000-0000-00004F0E0000}"/>
    <cellStyle name="S6 19" xfId="3368" xr:uid="{00000000-0005-0000-0000-0000500E0000}"/>
    <cellStyle name="S6 2" xfId="3369" xr:uid="{00000000-0005-0000-0000-0000510E0000}"/>
    <cellStyle name="S6 20" xfId="3370" xr:uid="{00000000-0005-0000-0000-0000520E0000}"/>
    <cellStyle name="S6 21" xfId="3371" xr:uid="{00000000-0005-0000-0000-0000530E0000}"/>
    <cellStyle name="S6 22" xfId="3372" xr:uid="{00000000-0005-0000-0000-0000540E0000}"/>
    <cellStyle name="S6 23" xfId="3373" xr:uid="{00000000-0005-0000-0000-0000550E0000}"/>
    <cellStyle name="S6 24" xfId="3374" xr:uid="{00000000-0005-0000-0000-0000560E0000}"/>
    <cellStyle name="S6 25" xfId="3375" xr:uid="{00000000-0005-0000-0000-0000570E0000}"/>
    <cellStyle name="S6 26" xfId="3376" xr:uid="{00000000-0005-0000-0000-0000580E0000}"/>
    <cellStyle name="S6 27" xfId="3377" xr:uid="{00000000-0005-0000-0000-0000590E0000}"/>
    <cellStyle name="S6 28" xfId="3378" xr:uid="{00000000-0005-0000-0000-00005A0E0000}"/>
    <cellStyle name="S6 29" xfId="3379" xr:uid="{00000000-0005-0000-0000-00005B0E0000}"/>
    <cellStyle name="S6 3" xfId="3380" xr:uid="{00000000-0005-0000-0000-00005C0E0000}"/>
    <cellStyle name="S6 30" xfId="3381" xr:uid="{00000000-0005-0000-0000-00005D0E0000}"/>
    <cellStyle name="S6 31" xfId="3382" xr:uid="{00000000-0005-0000-0000-00005E0E0000}"/>
    <cellStyle name="S6 32" xfId="3383" xr:uid="{00000000-0005-0000-0000-00005F0E0000}"/>
    <cellStyle name="S6 33" xfId="3384" xr:uid="{00000000-0005-0000-0000-0000600E0000}"/>
    <cellStyle name="S6 34" xfId="3385" xr:uid="{00000000-0005-0000-0000-0000610E0000}"/>
    <cellStyle name="S6 35" xfId="3386" xr:uid="{00000000-0005-0000-0000-0000620E0000}"/>
    <cellStyle name="S6 36" xfId="3387" xr:uid="{00000000-0005-0000-0000-0000630E0000}"/>
    <cellStyle name="S6 37" xfId="3388" xr:uid="{00000000-0005-0000-0000-0000640E0000}"/>
    <cellStyle name="S6 38" xfId="3389" xr:uid="{00000000-0005-0000-0000-0000650E0000}"/>
    <cellStyle name="S6 39" xfId="3390" xr:uid="{00000000-0005-0000-0000-0000660E0000}"/>
    <cellStyle name="S6 4" xfId="3391" xr:uid="{00000000-0005-0000-0000-0000670E0000}"/>
    <cellStyle name="S6 40" xfId="3392" xr:uid="{00000000-0005-0000-0000-0000680E0000}"/>
    <cellStyle name="S6 41" xfId="3393" xr:uid="{00000000-0005-0000-0000-0000690E0000}"/>
    <cellStyle name="S6 42" xfId="3394" xr:uid="{00000000-0005-0000-0000-00006A0E0000}"/>
    <cellStyle name="S6 43" xfId="3395" xr:uid="{00000000-0005-0000-0000-00006B0E0000}"/>
    <cellStyle name="S6 44" xfId="3396" xr:uid="{00000000-0005-0000-0000-00006C0E0000}"/>
    <cellStyle name="S6 45" xfId="3397" xr:uid="{00000000-0005-0000-0000-00006D0E0000}"/>
    <cellStyle name="S6 46" xfId="3398" xr:uid="{00000000-0005-0000-0000-00006E0E0000}"/>
    <cellStyle name="S6 47" xfId="3399" xr:uid="{00000000-0005-0000-0000-00006F0E0000}"/>
    <cellStyle name="S6 48" xfId="3400" xr:uid="{00000000-0005-0000-0000-0000700E0000}"/>
    <cellStyle name="S6 49" xfId="3401" xr:uid="{00000000-0005-0000-0000-0000710E0000}"/>
    <cellStyle name="S6 5" xfId="3402" xr:uid="{00000000-0005-0000-0000-0000720E0000}"/>
    <cellStyle name="S6 50" xfId="3403" xr:uid="{00000000-0005-0000-0000-0000730E0000}"/>
    <cellStyle name="S6 51" xfId="3404" xr:uid="{00000000-0005-0000-0000-0000740E0000}"/>
    <cellStyle name="S6 52" xfId="3405" xr:uid="{00000000-0005-0000-0000-0000750E0000}"/>
    <cellStyle name="S6 53" xfId="3406" xr:uid="{00000000-0005-0000-0000-0000760E0000}"/>
    <cellStyle name="S6 54" xfId="3407" xr:uid="{00000000-0005-0000-0000-0000770E0000}"/>
    <cellStyle name="S6 55" xfId="3408" xr:uid="{00000000-0005-0000-0000-0000780E0000}"/>
    <cellStyle name="S6 56" xfId="3409" xr:uid="{00000000-0005-0000-0000-0000790E0000}"/>
    <cellStyle name="S6 57" xfId="3410" xr:uid="{00000000-0005-0000-0000-00007A0E0000}"/>
    <cellStyle name="S6 58" xfId="3411" xr:uid="{00000000-0005-0000-0000-00007B0E0000}"/>
    <cellStyle name="S6 59" xfId="3412" xr:uid="{00000000-0005-0000-0000-00007C0E0000}"/>
    <cellStyle name="S6 6" xfId="3413" xr:uid="{00000000-0005-0000-0000-00007D0E0000}"/>
    <cellStyle name="S6 60" xfId="3414" xr:uid="{00000000-0005-0000-0000-00007E0E0000}"/>
    <cellStyle name="S6 61" xfId="3415" xr:uid="{00000000-0005-0000-0000-00007F0E0000}"/>
    <cellStyle name="S6 62" xfId="3416" xr:uid="{00000000-0005-0000-0000-0000800E0000}"/>
    <cellStyle name="S6 63" xfId="3417" xr:uid="{00000000-0005-0000-0000-0000810E0000}"/>
    <cellStyle name="S6 64" xfId="3418" xr:uid="{00000000-0005-0000-0000-0000820E0000}"/>
    <cellStyle name="S6 65" xfId="3419" xr:uid="{00000000-0005-0000-0000-0000830E0000}"/>
    <cellStyle name="S6 66" xfId="3420" xr:uid="{00000000-0005-0000-0000-0000840E0000}"/>
    <cellStyle name="S6 67" xfId="3421" xr:uid="{00000000-0005-0000-0000-0000850E0000}"/>
    <cellStyle name="S6 68" xfId="3422" xr:uid="{00000000-0005-0000-0000-0000860E0000}"/>
    <cellStyle name="S6 69" xfId="3423" xr:uid="{00000000-0005-0000-0000-0000870E0000}"/>
    <cellStyle name="S6 7" xfId="3424" xr:uid="{00000000-0005-0000-0000-0000880E0000}"/>
    <cellStyle name="S6 70" xfId="3425" xr:uid="{00000000-0005-0000-0000-0000890E0000}"/>
    <cellStyle name="S6 71" xfId="3426" xr:uid="{00000000-0005-0000-0000-00008A0E0000}"/>
    <cellStyle name="S6 72" xfId="3427" xr:uid="{00000000-0005-0000-0000-00008B0E0000}"/>
    <cellStyle name="S6 73" xfId="3428" xr:uid="{00000000-0005-0000-0000-00008C0E0000}"/>
    <cellStyle name="S6 74" xfId="3429" xr:uid="{00000000-0005-0000-0000-00008D0E0000}"/>
    <cellStyle name="S6 75" xfId="3430" xr:uid="{00000000-0005-0000-0000-00008E0E0000}"/>
    <cellStyle name="S6 76" xfId="3431" xr:uid="{00000000-0005-0000-0000-00008F0E0000}"/>
    <cellStyle name="S6 77" xfId="3432" xr:uid="{00000000-0005-0000-0000-0000900E0000}"/>
    <cellStyle name="S6 78" xfId="3433" xr:uid="{00000000-0005-0000-0000-0000910E0000}"/>
    <cellStyle name="S6 79" xfId="3434" xr:uid="{00000000-0005-0000-0000-0000920E0000}"/>
    <cellStyle name="S6 8" xfId="3435" xr:uid="{00000000-0005-0000-0000-0000930E0000}"/>
    <cellStyle name="S6 80" xfId="3436" xr:uid="{00000000-0005-0000-0000-0000940E0000}"/>
    <cellStyle name="S6 81" xfId="3437" xr:uid="{00000000-0005-0000-0000-0000950E0000}"/>
    <cellStyle name="S6 82" xfId="3438" xr:uid="{00000000-0005-0000-0000-0000960E0000}"/>
    <cellStyle name="S6 83" xfId="3439" xr:uid="{00000000-0005-0000-0000-0000970E0000}"/>
    <cellStyle name="S6 84" xfId="3440" xr:uid="{00000000-0005-0000-0000-0000980E0000}"/>
    <cellStyle name="S6 85" xfId="3441" xr:uid="{00000000-0005-0000-0000-0000990E0000}"/>
    <cellStyle name="S6 86" xfId="3442" xr:uid="{00000000-0005-0000-0000-00009A0E0000}"/>
    <cellStyle name="S6 87" xfId="3443" xr:uid="{00000000-0005-0000-0000-00009B0E0000}"/>
    <cellStyle name="S6 88" xfId="3444" xr:uid="{00000000-0005-0000-0000-00009C0E0000}"/>
    <cellStyle name="S6 9" xfId="3445" xr:uid="{00000000-0005-0000-0000-00009D0E0000}"/>
    <cellStyle name="S7" xfId="3446" xr:uid="{00000000-0005-0000-0000-00009E0E0000}"/>
    <cellStyle name="S7 10" xfId="3447" xr:uid="{00000000-0005-0000-0000-00009F0E0000}"/>
    <cellStyle name="S7 11" xfId="3448" xr:uid="{00000000-0005-0000-0000-0000A00E0000}"/>
    <cellStyle name="S7 12" xfId="3449" xr:uid="{00000000-0005-0000-0000-0000A10E0000}"/>
    <cellStyle name="S7 13" xfId="3450" xr:uid="{00000000-0005-0000-0000-0000A20E0000}"/>
    <cellStyle name="S7 14" xfId="3451" xr:uid="{00000000-0005-0000-0000-0000A30E0000}"/>
    <cellStyle name="S7 15" xfId="3452" xr:uid="{00000000-0005-0000-0000-0000A40E0000}"/>
    <cellStyle name="S7 16" xfId="3453" xr:uid="{00000000-0005-0000-0000-0000A50E0000}"/>
    <cellStyle name="S7 17" xfId="3454" xr:uid="{00000000-0005-0000-0000-0000A60E0000}"/>
    <cellStyle name="S7 18" xfId="3455" xr:uid="{00000000-0005-0000-0000-0000A70E0000}"/>
    <cellStyle name="S7 19" xfId="3456" xr:uid="{00000000-0005-0000-0000-0000A80E0000}"/>
    <cellStyle name="S7 2" xfId="3457" xr:uid="{00000000-0005-0000-0000-0000A90E0000}"/>
    <cellStyle name="S7 20" xfId="3458" xr:uid="{00000000-0005-0000-0000-0000AA0E0000}"/>
    <cellStyle name="S7 21" xfId="3459" xr:uid="{00000000-0005-0000-0000-0000AB0E0000}"/>
    <cellStyle name="S7 22" xfId="3460" xr:uid="{00000000-0005-0000-0000-0000AC0E0000}"/>
    <cellStyle name="S7 23" xfId="3461" xr:uid="{00000000-0005-0000-0000-0000AD0E0000}"/>
    <cellStyle name="S7 24" xfId="3462" xr:uid="{00000000-0005-0000-0000-0000AE0E0000}"/>
    <cellStyle name="S7 25" xfId="3463" xr:uid="{00000000-0005-0000-0000-0000AF0E0000}"/>
    <cellStyle name="S7 26" xfId="3464" xr:uid="{00000000-0005-0000-0000-0000B00E0000}"/>
    <cellStyle name="S7 27" xfId="3465" xr:uid="{00000000-0005-0000-0000-0000B10E0000}"/>
    <cellStyle name="S7 28" xfId="3466" xr:uid="{00000000-0005-0000-0000-0000B20E0000}"/>
    <cellStyle name="S7 29" xfId="3467" xr:uid="{00000000-0005-0000-0000-0000B30E0000}"/>
    <cellStyle name="S7 3" xfId="3468" xr:uid="{00000000-0005-0000-0000-0000B40E0000}"/>
    <cellStyle name="S7 30" xfId="3469" xr:uid="{00000000-0005-0000-0000-0000B50E0000}"/>
    <cellStyle name="S7 31" xfId="3470" xr:uid="{00000000-0005-0000-0000-0000B60E0000}"/>
    <cellStyle name="S7 32" xfId="3471" xr:uid="{00000000-0005-0000-0000-0000B70E0000}"/>
    <cellStyle name="S7 33" xfId="3472" xr:uid="{00000000-0005-0000-0000-0000B80E0000}"/>
    <cellStyle name="S7 34" xfId="3473" xr:uid="{00000000-0005-0000-0000-0000B90E0000}"/>
    <cellStyle name="S7 35" xfId="3474" xr:uid="{00000000-0005-0000-0000-0000BA0E0000}"/>
    <cellStyle name="S7 36" xfId="3475" xr:uid="{00000000-0005-0000-0000-0000BB0E0000}"/>
    <cellStyle name="S7 37" xfId="3476" xr:uid="{00000000-0005-0000-0000-0000BC0E0000}"/>
    <cellStyle name="S7 38" xfId="3477" xr:uid="{00000000-0005-0000-0000-0000BD0E0000}"/>
    <cellStyle name="S7 39" xfId="3478" xr:uid="{00000000-0005-0000-0000-0000BE0E0000}"/>
    <cellStyle name="S7 4" xfId="3479" xr:uid="{00000000-0005-0000-0000-0000BF0E0000}"/>
    <cellStyle name="S7 40" xfId="3480" xr:uid="{00000000-0005-0000-0000-0000C00E0000}"/>
    <cellStyle name="S7 41" xfId="3481" xr:uid="{00000000-0005-0000-0000-0000C10E0000}"/>
    <cellStyle name="S7 42" xfId="3482" xr:uid="{00000000-0005-0000-0000-0000C20E0000}"/>
    <cellStyle name="S7 43" xfId="3483" xr:uid="{00000000-0005-0000-0000-0000C30E0000}"/>
    <cellStyle name="S7 44" xfId="3484" xr:uid="{00000000-0005-0000-0000-0000C40E0000}"/>
    <cellStyle name="S7 45" xfId="3485" xr:uid="{00000000-0005-0000-0000-0000C50E0000}"/>
    <cellStyle name="S7 46" xfId="3486" xr:uid="{00000000-0005-0000-0000-0000C60E0000}"/>
    <cellStyle name="S7 47" xfId="3487" xr:uid="{00000000-0005-0000-0000-0000C70E0000}"/>
    <cellStyle name="S7 48" xfId="3488" xr:uid="{00000000-0005-0000-0000-0000C80E0000}"/>
    <cellStyle name="S7 49" xfId="3489" xr:uid="{00000000-0005-0000-0000-0000C90E0000}"/>
    <cellStyle name="S7 5" xfId="3490" xr:uid="{00000000-0005-0000-0000-0000CA0E0000}"/>
    <cellStyle name="S7 50" xfId="3491" xr:uid="{00000000-0005-0000-0000-0000CB0E0000}"/>
    <cellStyle name="S7 51" xfId="3492" xr:uid="{00000000-0005-0000-0000-0000CC0E0000}"/>
    <cellStyle name="S7 52" xfId="3493" xr:uid="{00000000-0005-0000-0000-0000CD0E0000}"/>
    <cellStyle name="S7 53" xfId="3494" xr:uid="{00000000-0005-0000-0000-0000CE0E0000}"/>
    <cellStyle name="S7 54" xfId="3495" xr:uid="{00000000-0005-0000-0000-0000CF0E0000}"/>
    <cellStyle name="S7 55" xfId="3496" xr:uid="{00000000-0005-0000-0000-0000D00E0000}"/>
    <cellStyle name="S7 56" xfId="3497" xr:uid="{00000000-0005-0000-0000-0000D10E0000}"/>
    <cellStyle name="S7 57" xfId="3498" xr:uid="{00000000-0005-0000-0000-0000D20E0000}"/>
    <cellStyle name="S7 58" xfId="3499" xr:uid="{00000000-0005-0000-0000-0000D30E0000}"/>
    <cellStyle name="S7 59" xfId="3500" xr:uid="{00000000-0005-0000-0000-0000D40E0000}"/>
    <cellStyle name="S7 6" xfId="3501" xr:uid="{00000000-0005-0000-0000-0000D50E0000}"/>
    <cellStyle name="S7 60" xfId="3502" xr:uid="{00000000-0005-0000-0000-0000D60E0000}"/>
    <cellStyle name="S7 61" xfId="3503" xr:uid="{00000000-0005-0000-0000-0000D70E0000}"/>
    <cellStyle name="S7 62" xfId="3504" xr:uid="{00000000-0005-0000-0000-0000D80E0000}"/>
    <cellStyle name="S7 63" xfId="3505" xr:uid="{00000000-0005-0000-0000-0000D90E0000}"/>
    <cellStyle name="S7 64" xfId="3506" xr:uid="{00000000-0005-0000-0000-0000DA0E0000}"/>
    <cellStyle name="S7 65" xfId="3507" xr:uid="{00000000-0005-0000-0000-0000DB0E0000}"/>
    <cellStyle name="S7 66" xfId="3508" xr:uid="{00000000-0005-0000-0000-0000DC0E0000}"/>
    <cellStyle name="S7 67" xfId="3509" xr:uid="{00000000-0005-0000-0000-0000DD0E0000}"/>
    <cellStyle name="S7 68" xfId="3510" xr:uid="{00000000-0005-0000-0000-0000DE0E0000}"/>
    <cellStyle name="S7 69" xfId="3511" xr:uid="{00000000-0005-0000-0000-0000DF0E0000}"/>
    <cellStyle name="S7 7" xfId="3512" xr:uid="{00000000-0005-0000-0000-0000E00E0000}"/>
    <cellStyle name="S7 70" xfId="3513" xr:uid="{00000000-0005-0000-0000-0000E10E0000}"/>
    <cellStyle name="S7 71" xfId="3514" xr:uid="{00000000-0005-0000-0000-0000E20E0000}"/>
    <cellStyle name="S7 72" xfId="3515" xr:uid="{00000000-0005-0000-0000-0000E30E0000}"/>
    <cellStyle name="S7 73" xfId="3516" xr:uid="{00000000-0005-0000-0000-0000E40E0000}"/>
    <cellStyle name="S7 74" xfId="3517" xr:uid="{00000000-0005-0000-0000-0000E50E0000}"/>
    <cellStyle name="S7 75" xfId="3518" xr:uid="{00000000-0005-0000-0000-0000E60E0000}"/>
    <cellStyle name="S7 76" xfId="3519" xr:uid="{00000000-0005-0000-0000-0000E70E0000}"/>
    <cellStyle name="S7 77" xfId="3520" xr:uid="{00000000-0005-0000-0000-0000E80E0000}"/>
    <cellStyle name="S7 78" xfId="3521" xr:uid="{00000000-0005-0000-0000-0000E90E0000}"/>
    <cellStyle name="S7 79" xfId="3522" xr:uid="{00000000-0005-0000-0000-0000EA0E0000}"/>
    <cellStyle name="S7 8" xfId="3523" xr:uid="{00000000-0005-0000-0000-0000EB0E0000}"/>
    <cellStyle name="S7 80" xfId="3524" xr:uid="{00000000-0005-0000-0000-0000EC0E0000}"/>
    <cellStyle name="S7 81" xfId="3525" xr:uid="{00000000-0005-0000-0000-0000ED0E0000}"/>
    <cellStyle name="S7 82" xfId="3526" xr:uid="{00000000-0005-0000-0000-0000EE0E0000}"/>
    <cellStyle name="S7 83" xfId="3527" xr:uid="{00000000-0005-0000-0000-0000EF0E0000}"/>
    <cellStyle name="S7 84" xfId="3528" xr:uid="{00000000-0005-0000-0000-0000F00E0000}"/>
    <cellStyle name="S7 85" xfId="3529" xr:uid="{00000000-0005-0000-0000-0000F10E0000}"/>
    <cellStyle name="S7 86" xfId="3530" xr:uid="{00000000-0005-0000-0000-0000F20E0000}"/>
    <cellStyle name="S7 87" xfId="3531" xr:uid="{00000000-0005-0000-0000-0000F30E0000}"/>
    <cellStyle name="S7 88" xfId="3532" xr:uid="{00000000-0005-0000-0000-0000F40E0000}"/>
    <cellStyle name="S7 89" xfId="3533" xr:uid="{00000000-0005-0000-0000-0000F50E0000}"/>
    <cellStyle name="S7 9" xfId="3534" xr:uid="{00000000-0005-0000-0000-0000F60E0000}"/>
    <cellStyle name="S8" xfId="3535" xr:uid="{00000000-0005-0000-0000-0000F70E0000}"/>
    <cellStyle name="S8 10" xfId="3536" xr:uid="{00000000-0005-0000-0000-0000F80E0000}"/>
    <cellStyle name="S8 11" xfId="3537" xr:uid="{00000000-0005-0000-0000-0000F90E0000}"/>
    <cellStyle name="S8 12" xfId="3538" xr:uid="{00000000-0005-0000-0000-0000FA0E0000}"/>
    <cellStyle name="S8 13" xfId="3539" xr:uid="{00000000-0005-0000-0000-0000FB0E0000}"/>
    <cellStyle name="S8 14" xfId="3540" xr:uid="{00000000-0005-0000-0000-0000FC0E0000}"/>
    <cellStyle name="S8 15" xfId="3541" xr:uid="{00000000-0005-0000-0000-0000FD0E0000}"/>
    <cellStyle name="S8 16" xfId="3542" xr:uid="{00000000-0005-0000-0000-0000FE0E0000}"/>
    <cellStyle name="S8 17" xfId="3543" xr:uid="{00000000-0005-0000-0000-0000FF0E0000}"/>
    <cellStyle name="S8 18" xfId="3544" xr:uid="{00000000-0005-0000-0000-0000000F0000}"/>
    <cellStyle name="S8 19" xfId="3545" xr:uid="{00000000-0005-0000-0000-0000010F0000}"/>
    <cellStyle name="S8 2" xfId="3546" xr:uid="{00000000-0005-0000-0000-0000020F0000}"/>
    <cellStyle name="S8 20" xfId="3547" xr:uid="{00000000-0005-0000-0000-0000030F0000}"/>
    <cellStyle name="S8 21" xfId="3548" xr:uid="{00000000-0005-0000-0000-0000040F0000}"/>
    <cellStyle name="S8 22" xfId="3549" xr:uid="{00000000-0005-0000-0000-0000050F0000}"/>
    <cellStyle name="S8 23" xfId="3550" xr:uid="{00000000-0005-0000-0000-0000060F0000}"/>
    <cellStyle name="S8 24" xfId="3551" xr:uid="{00000000-0005-0000-0000-0000070F0000}"/>
    <cellStyle name="S8 25" xfId="3552" xr:uid="{00000000-0005-0000-0000-0000080F0000}"/>
    <cellStyle name="S8 26" xfId="3553" xr:uid="{00000000-0005-0000-0000-0000090F0000}"/>
    <cellStyle name="S8 27" xfId="3554" xr:uid="{00000000-0005-0000-0000-00000A0F0000}"/>
    <cellStyle name="S8 28" xfId="3555" xr:uid="{00000000-0005-0000-0000-00000B0F0000}"/>
    <cellStyle name="S8 29" xfId="3556" xr:uid="{00000000-0005-0000-0000-00000C0F0000}"/>
    <cellStyle name="S8 3" xfId="3557" xr:uid="{00000000-0005-0000-0000-00000D0F0000}"/>
    <cellStyle name="S8 30" xfId="3558" xr:uid="{00000000-0005-0000-0000-00000E0F0000}"/>
    <cellStyle name="S8 31" xfId="3559" xr:uid="{00000000-0005-0000-0000-00000F0F0000}"/>
    <cellStyle name="S8 32" xfId="3560" xr:uid="{00000000-0005-0000-0000-0000100F0000}"/>
    <cellStyle name="S8 33" xfId="3561" xr:uid="{00000000-0005-0000-0000-0000110F0000}"/>
    <cellStyle name="S8 34" xfId="3562" xr:uid="{00000000-0005-0000-0000-0000120F0000}"/>
    <cellStyle name="S8 35" xfId="3563" xr:uid="{00000000-0005-0000-0000-0000130F0000}"/>
    <cellStyle name="S8 36" xfId="3564" xr:uid="{00000000-0005-0000-0000-0000140F0000}"/>
    <cellStyle name="S8 37" xfId="3565" xr:uid="{00000000-0005-0000-0000-0000150F0000}"/>
    <cellStyle name="S8 38" xfId="3566" xr:uid="{00000000-0005-0000-0000-0000160F0000}"/>
    <cellStyle name="S8 39" xfId="3567" xr:uid="{00000000-0005-0000-0000-0000170F0000}"/>
    <cellStyle name="S8 4" xfId="3568" xr:uid="{00000000-0005-0000-0000-0000180F0000}"/>
    <cellStyle name="S8 40" xfId="3569" xr:uid="{00000000-0005-0000-0000-0000190F0000}"/>
    <cellStyle name="S8 41" xfId="3570" xr:uid="{00000000-0005-0000-0000-00001A0F0000}"/>
    <cellStyle name="S8 42" xfId="3571" xr:uid="{00000000-0005-0000-0000-00001B0F0000}"/>
    <cellStyle name="S8 43" xfId="3572" xr:uid="{00000000-0005-0000-0000-00001C0F0000}"/>
    <cellStyle name="S8 44" xfId="3573" xr:uid="{00000000-0005-0000-0000-00001D0F0000}"/>
    <cellStyle name="S8 45" xfId="3574" xr:uid="{00000000-0005-0000-0000-00001E0F0000}"/>
    <cellStyle name="S8 46" xfId="3575" xr:uid="{00000000-0005-0000-0000-00001F0F0000}"/>
    <cellStyle name="S8 47" xfId="3576" xr:uid="{00000000-0005-0000-0000-0000200F0000}"/>
    <cellStyle name="S8 48" xfId="3577" xr:uid="{00000000-0005-0000-0000-0000210F0000}"/>
    <cellStyle name="S8 49" xfId="3578" xr:uid="{00000000-0005-0000-0000-0000220F0000}"/>
    <cellStyle name="S8 5" xfId="3579" xr:uid="{00000000-0005-0000-0000-0000230F0000}"/>
    <cellStyle name="S8 50" xfId="3580" xr:uid="{00000000-0005-0000-0000-0000240F0000}"/>
    <cellStyle name="S8 51" xfId="3581" xr:uid="{00000000-0005-0000-0000-0000250F0000}"/>
    <cellStyle name="S8 52" xfId="3582" xr:uid="{00000000-0005-0000-0000-0000260F0000}"/>
    <cellStyle name="S8 53" xfId="3583" xr:uid="{00000000-0005-0000-0000-0000270F0000}"/>
    <cellStyle name="S8 54" xfId="3584" xr:uid="{00000000-0005-0000-0000-0000280F0000}"/>
    <cellStyle name="S8 55" xfId="3585" xr:uid="{00000000-0005-0000-0000-0000290F0000}"/>
    <cellStyle name="S8 56" xfId="3586" xr:uid="{00000000-0005-0000-0000-00002A0F0000}"/>
    <cellStyle name="S8 57" xfId="3587" xr:uid="{00000000-0005-0000-0000-00002B0F0000}"/>
    <cellStyle name="S8 58" xfId="3588" xr:uid="{00000000-0005-0000-0000-00002C0F0000}"/>
    <cellStyle name="S8 59" xfId="3589" xr:uid="{00000000-0005-0000-0000-00002D0F0000}"/>
    <cellStyle name="S8 6" xfId="3590" xr:uid="{00000000-0005-0000-0000-00002E0F0000}"/>
    <cellStyle name="S8 60" xfId="3591" xr:uid="{00000000-0005-0000-0000-00002F0F0000}"/>
    <cellStyle name="S8 61" xfId="3592" xr:uid="{00000000-0005-0000-0000-0000300F0000}"/>
    <cellStyle name="S8 62" xfId="3593" xr:uid="{00000000-0005-0000-0000-0000310F0000}"/>
    <cellStyle name="S8 63" xfId="3594" xr:uid="{00000000-0005-0000-0000-0000320F0000}"/>
    <cellStyle name="S8 64" xfId="3595" xr:uid="{00000000-0005-0000-0000-0000330F0000}"/>
    <cellStyle name="S8 65" xfId="3596" xr:uid="{00000000-0005-0000-0000-0000340F0000}"/>
    <cellStyle name="S8 66" xfId="3597" xr:uid="{00000000-0005-0000-0000-0000350F0000}"/>
    <cellStyle name="S8 67" xfId="3598" xr:uid="{00000000-0005-0000-0000-0000360F0000}"/>
    <cellStyle name="S8 68" xfId="3599" xr:uid="{00000000-0005-0000-0000-0000370F0000}"/>
    <cellStyle name="S8 69" xfId="3600" xr:uid="{00000000-0005-0000-0000-0000380F0000}"/>
    <cellStyle name="S8 7" xfId="3601" xr:uid="{00000000-0005-0000-0000-0000390F0000}"/>
    <cellStyle name="S8 70" xfId="3602" xr:uid="{00000000-0005-0000-0000-00003A0F0000}"/>
    <cellStyle name="S8 71" xfId="3603" xr:uid="{00000000-0005-0000-0000-00003B0F0000}"/>
    <cellStyle name="S8 72" xfId="3604" xr:uid="{00000000-0005-0000-0000-00003C0F0000}"/>
    <cellStyle name="S8 73" xfId="3605" xr:uid="{00000000-0005-0000-0000-00003D0F0000}"/>
    <cellStyle name="S8 74" xfId="3606" xr:uid="{00000000-0005-0000-0000-00003E0F0000}"/>
    <cellStyle name="S8 75" xfId="3607" xr:uid="{00000000-0005-0000-0000-00003F0F0000}"/>
    <cellStyle name="S8 76" xfId="3608" xr:uid="{00000000-0005-0000-0000-0000400F0000}"/>
    <cellStyle name="S8 77" xfId="3609" xr:uid="{00000000-0005-0000-0000-0000410F0000}"/>
    <cellStyle name="S8 78" xfId="3610" xr:uid="{00000000-0005-0000-0000-0000420F0000}"/>
    <cellStyle name="S8 79" xfId="3611" xr:uid="{00000000-0005-0000-0000-0000430F0000}"/>
    <cellStyle name="S8 8" xfId="3612" xr:uid="{00000000-0005-0000-0000-0000440F0000}"/>
    <cellStyle name="S8 80" xfId="3613" xr:uid="{00000000-0005-0000-0000-0000450F0000}"/>
    <cellStyle name="S8 81" xfId="3614" xr:uid="{00000000-0005-0000-0000-0000460F0000}"/>
    <cellStyle name="S8 82" xfId="3615" xr:uid="{00000000-0005-0000-0000-0000470F0000}"/>
    <cellStyle name="S8 83" xfId="3616" xr:uid="{00000000-0005-0000-0000-0000480F0000}"/>
    <cellStyle name="S8 84" xfId="3617" xr:uid="{00000000-0005-0000-0000-0000490F0000}"/>
    <cellStyle name="S8 85" xfId="3618" xr:uid="{00000000-0005-0000-0000-00004A0F0000}"/>
    <cellStyle name="S8 86" xfId="3619" xr:uid="{00000000-0005-0000-0000-00004B0F0000}"/>
    <cellStyle name="S8 87" xfId="3620" xr:uid="{00000000-0005-0000-0000-00004C0F0000}"/>
    <cellStyle name="S8 88" xfId="3621" xr:uid="{00000000-0005-0000-0000-00004D0F0000}"/>
    <cellStyle name="S8 89" xfId="3622" xr:uid="{00000000-0005-0000-0000-00004E0F0000}"/>
    <cellStyle name="S8 9" xfId="3623" xr:uid="{00000000-0005-0000-0000-00004F0F0000}"/>
    <cellStyle name="S9" xfId="3624" xr:uid="{00000000-0005-0000-0000-0000500F0000}"/>
    <cellStyle name="S9 10" xfId="3625" xr:uid="{00000000-0005-0000-0000-0000510F0000}"/>
    <cellStyle name="S9 11" xfId="3626" xr:uid="{00000000-0005-0000-0000-0000520F0000}"/>
    <cellStyle name="S9 12" xfId="3627" xr:uid="{00000000-0005-0000-0000-0000530F0000}"/>
    <cellStyle name="S9 13" xfId="3628" xr:uid="{00000000-0005-0000-0000-0000540F0000}"/>
    <cellStyle name="S9 14" xfId="3629" xr:uid="{00000000-0005-0000-0000-0000550F0000}"/>
    <cellStyle name="S9 15" xfId="3630" xr:uid="{00000000-0005-0000-0000-0000560F0000}"/>
    <cellStyle name="S9 16" xfId="3631" xr:uid="{00000000-0005-0000-0000-0000570F0000}"/>
    <cellStyle name="S9 17" xfId="3632" xr:uid="{00000000-0005-0000-0000-0000580F0000}"/>
    <cellStyle name="S9 18" xfId="3633" xr:uid="{00000000-0005-0000-0000-0000590F0000}"/>
    <cellStyle name="S9 19" xfId="3634" xr:uid="{00000000-0005-0000-0000-00005A0F0000}"/>
    <cellStyle name="S9 2" xfId="3635" xr:uid="{00000000-0005-0000-0000-00005B0F0000}"/>
    <cellStyle name="S9 20" xfId="3636" xr:uid="{00000000-0005-0000-0000-00005C0F0000}"/>
    <cellStyle name="S9 21" xfId="3637" xr:uid="{00000000-0005-0000-0000-00005D0F0000}"/>
    <cellStyle name="S9 22" xfId="3638" xr:uid="{00000000-0005-0000-0000-00005E0F0000}"/>
    <cellStyle name="S9 23" xfId="3639" xr:uid="{00000000-0005-0000-0000-00005F0F0000}"/>
    <cellStyle name="S9 24" xfId="3640" xr:uid="{00000000-0005-0000-0000-0000600F0000}"/>
    <cellStyle name="S9 25" xfId="3641" xr:uid="{00000000-0005-0000-0000-0000610F0000}"/>
    <cellStyle name="S9 26" xfId="3642" xr:uid="{00000000-0005-0000-0000-0000620F0000}"/>
    <cellStyle name="S9 27" xfId="3643" xr:uid="{00000000-0005-0000-0000-0000630F0000}"/>
    <cellStyle name="S9 28" xfId="3644" xr:uid="{00000000-0005-0000-0000-0000640F0000}"/>
    <cellStyle name="S9 29" xfId="3645" xr:uid="{00000000-0005-0000-0000-0000650F0000}"/>
    <cellStyle name="S9 3" xfId="3646" xr:uid="{00000000-0005-0000-0000-0000660F0000}"/>
    <cellStyle name="S9 30" xfId="3647" xr:uid="{00000000-0005-0000-0000-0000670F0000}"/>
    <cellStyle name="S9 31" xfId="3648" xr:uid="{00000000-0005-0000-0000-0000680F0000}"/>
    <cellStyle name="S9 32" xfId="3649" xr:uid="{00000000-0005-0000-0000-0000690F0000}"/>
    <cellStyle name="S9 33" xfId="3650" xr:uid="{00000000-0005-0000-0000-00006A0F0000}"/>
    <cellStyle name="S9 34" xfId="3651" xr:uid="{00000000-0005-0000-0000-00006B0F0000}"/>
    <cellStyle name="S9 35" xfId="3652" xr:uid="{00000000-0005-0000-0000-00006C0F0000}"/>
    <cellStyle name="S9 36" xfId="3653" xr:uid="{00000000-0005-0000-0000-00006D0F0000}"/>
    <cellStyle name="S9 37" xfId="3654" xr:uid="{00000000-0005-0000-0000-00006E0F0000}"/>
    <cellStyle name="S9 38" xfId="3655" xr:uid="{00000000-0005-0000-0000-00006F0F0000}"/>
    <cellStyle name="S9 39" xfId="3656" xr:uid="{00000000-0005-0000-0000-0000700F0000}"/>
    <cellStyle name="S9 4" xfId="3657" xr:uid="{00000000-0005-0000-0000-0000710F0000}"/>
    <cellStyle name="S9 40" xfId="3658" xr:uid="{00000000-0005-0000-0000-0000720F0000}"/>
    <cellStyle name="S9 41" xfId="3659" xr:uid="{00000000-0005-0000-0000-0000730F0000}"/>
    <cellStyle name="S9 42" xfId="3660" xr:uid="{00000000-0005-0000-0000-0000740F0000}"/>
    <cellStyle name="S9 43" xfId="3661" xr:uid="{00000000-0005-0000-0000-0000750F0000}"/>
    <cellStyle name="S9 44" xfId="3662" xr:uid="{00000000-0005-0000-0000-0000760F0000}"/>
    <cellStyle name="S9 45" xfId="3663" xr:uid="{00000000-0005-0000-0000-0000770F0000}"/>
    <cellStyle name="S9 46" xfId="3664" xr:uid="{00000000-0005-0000-0000-0000780F0000}"/>
    <cellStyle name="S9 47" xfId="3665" xr:uid="{00000000-0005-0000-0000-0000790F0000}"/>
    <cellStyle name="S9 48" xfId="3666" xr:uid="{00000000-0005-0000-0000-00007A0F0000}"/>
    <cellStyle name="S9 49" xfId="3667" xr:uid="{00000000-0005-0000-0000-00007B0F0000}"/>
    <cellStyle name="S9 5" xfId="3668" xr:uid="{00000000-0005-0000-0000-00007C0F0000}"/>
    <cellStyle name="S9 50" xfId="3669" xr:uid="{00000000-0005-0000-0000-00007D0F0000}"/>
    <cellStyle name="S9 6" xfId="3670" xr:uid="{00000000-0005-0000-0000-00007E0F0000}"/>
    <cellStyle name="S9 7" xfId="3671" xr:uid="{00000000-0005-0000-0000-00007F0F0000}"/>
    <cellStyle name="S9 8" xfId="3672" xr:uid="{00000000-0005-0000-0000-0000800F0000}"/>
    <cellStyle name="S9 9" xfId="3673" xr:uid="{00000000-0005-0000-0000-0000810F0000}"/>
    <cellStyle name="SAPBEXaggData" xfId="3674" xr:uid="{00000000-0005-0000-0000-0000820F0000}"/>
    <cellStyle name="SAPBEXaggDataEmph" xfId="3675" xr:uid="{00000000-0005-0000-0000-0000830F0000}"/>
    <cellStyle name="SAPBEXaggItem" xfId="3676" xr:uid="{00000000-0005-0000-0000-0000840F0000}"/>
    <cellStyle name="SAPBEXchaText" xfId="3677" xr:uid="{00000000-0005-0000-0000-0000850F0000}"/>
    <cellStyle name="SAPBEXexcBad7" xfId="3678" xr:uid="{00000000-0005-0000-0000-0000860F0000}"/>
    <cellStyle name="SAPBEXexcBad8" xfId="3679" xr:uid="{00000000-0005-0000-0000-0000870F0000}"/>
    <cellStyle name="SAPBEXexcBad9" xfId="3680" xr:uid="{00000000-0005-0000-0000-0000880F0000}"/>
    <cellStyle name="SAPBEXexcCritical4" xfId="3681" xr:uid="{00000000-0005-0000-0000-0000890F0000}"/>
    <cellStyle name="SAPBEXexcCritical5" xfId="3682" xr:uid="{00000000-0005-0000-0000-00008A0F0000}"/>
    <cellStyle name="SAPBEXexcCritical6" xfId="3683" xr:uid="{00000000-0005-0000-0000-00008B0F0000}"/>
    <cellStyle name="SAPBEXexcGood1" xfId="3684" xr:uid="{00000000-0005-0000-0000-00008C0F0000}"/>
    <cellStyle name="SAPBEXexcGood2" xfId="3685" xr:uid="{00000000-0005-0000-0000-00008D0F0000}"/>
    <cellStyle name="SAPBEXexcGood3" xfId="3686" xr:uid="{00000000-0005-0000-0000-00008E0F0000}"/>
    <cellStyle name="SAPBEXfilterDrill" xfId="3687" xr:uid="{00000000-0005-0000-0000-00008F0F0000}"/>
    <cellStyle name="SAPBEXfilterItem" xfId="3688" xr:uid="{00000000-0005-0000-0000-0000900F0000}"/>
    <cellStyle name="SAPBEXfilterText" xfId="3689" xr:uid="{00000000-0005-0000-0000-0000910F0000}"/>
    <cellStyle name="SAPBEXformats" xfId="3690" xr:uid="{00000000-0005-0000-0000-0000920F0000}"/>
    <cellStyle name="SAPBEXheaderItem" xfId="3691" xr:uid="{00000000-0005-0000-0000-0000930F0000}"/>
    <cellStyle name="SAPBEXheaderText" xfId="3692" xr:uid="{00000000-0005-0000-0000-0000940F0000}"/>
    <cellStyle name="SAPBEXresData" xfId="3693" xr:uid="{00000000-0005-0000-0000-0000950F0000}"/>
    <cellStyle name="SAPBEXresDataEmph" xfId="3694" xr:uid="{00000000-0005-0000-0000-0000960F0000}"/>
    <cellStyle name="SAPBEXresItem" xfId="3695" xr:uid="{00000000-0005-0000-0000-0000970F0000}"/>
    <cellStyle name="SAPBEXstdData" xfId="3696" xr:uid="{00000000-0005-0000-0000-0000980F0000}"/>
    <cellStyle name="SAPBEXstdDataEmph" xfId="3697" xr:uid="{00000000-0005-0000-0000-0000990F0000}"/>
    <cellStyle name="SAPBEXstdItem" xfId="3698" xr:uid="{00000000-0005-0000-0000-00009A0F0000}"/>
    <cellStyle name="SAPBEXtitle" xfId="3699" xr:uid="{00000000-0005-0000-0000-00009B0F0000}"/>
    <cellStyle name="SAPBEXundefined" xfId="3700" xr:uid="{00000000-0005-0000-0000-00009C0F0000}"/>
    <cellStyle name="sbt2" xfId="3701" xr:uid="{00000000-0005-0000-0000-00009D0F0000}"/>
    <cellStyle name="Scores" xfId="3702" xr:uid="{00000000-0005-0000-0000-00009E0F0000}"/>
    <cellStyle name="Section Title" xfId="3703" xr:uid="{00000000-0005-0000-0000-00009F0F0000}"/>
    <cellStyle name="SEM-BPS-data" xfId="3704" xr:uid="{00000000-0005-0000-0000-0000A00F0000}"/>
    <cellStyle name="SEM-BPS-head" xfId="3705" xr:uid="{00000000-0005-0000-0000-0000A10F0000}"/>
    <cellStyle name="SEM-BPS-headdata" xfId="3706" xr:uid="{00000000-0005-0000-0000-0000A20F0000}"/>
    <cellStyle name="SEM-BPS-headkey" xfId="3707" xr:uid="{00000000-0005-0000-0000-0000A30F0000}"/>
    <cellStyle name="SEM-BPS-input-on" xfId="3708" xr:uid="{00000000-0005-0000-0000-0000A40F0000}"/>
    <cellStyle name="SEM-BPS-key" xfId="3709" xr:uid="{00000000-0005-0000-0000-0000A50F0000}"/>
    <cellStyle name="SEM-BPS-sub1" xfId="3710" xr:uid="{00000000-0005-0000-0000-0000A60F0000}"/>
    <cellStyle name="SEM-BPS-sub2" xfId="3711" xr:uid="{00000000-0005-0000-0000-0000A70F0000}"/>
    <cellStyle name="SEM-BPS-total" xfId="3712" xr:uid="{00000000-0005-0000-0000-0000A80F0000}"/>
    <cellStyle name="SHADEDSTORES" xfId="3713" xr:uid="{00000000-0005-0000-0000-0000A90F0000}"/>
    <cellStyle name="Small Number" xfId="3714" xr:uid="{00000000-0005-0000-0000-0000AA0F0000}"/>
    <cellStyle name="Small Percentage" xfId="3715" xr:uid="{00000000-0005-0000-0000-0000AB0F0000}"/>
    <cellStyle name="specstores" xfId="3716" xr:uid="{00000000-0005-0000-0000-0000AC0F0000}"/>
    <cellStyle name="Standaard_03.2001 Maandfacturatie" xfId="3717" xr:uid="{00000000-0005-0000-0000-0000AD0F0000}"/>
    <cellStyle name="Standard" xfId="3718" xr:uid="{00000000-0005-0000-0000-0000AE0F0000}"/>
    <cellStyle name="Style 1" xfId="3719" xr:uid="{00000000-0005-0000-0000-0000AF0F0000}"/>
    <cellStyle name="Style 1 2" xfId="3720" xr:uid="{00000000-0005-0000-0000-0000B00F0000}"/>
    <cellStyle name="subhead" xfId="3721" xr:uid="{00000000-0005-0000-0000-0000B10F0000}"/>
    <cellStyle name="Sub-Heading" xfId="3722" xr:uid="{00000000-0005-0000-0000-0000B20F0000}"/>
    <cellStyle name="subt1" xfId="3723" xr:uid="{00000000-0005-0000-0000-0000B30F0000}"/>
    <cellStyle name="Subtotal" xfId="3724" xr:uid="{00000000-0005-0000-0000-0000B40F0000}"/>
    <cellStyle name="Sub-Total" xfId="3725" xr:uid="{00000000-0005-0000-0000-0000B50F0000}"/>
    <cellStyle name="tabel" xfId="3726" xr:uid="{00000000-0005-0000-0000-0000B60F0000}"/>
    <cellStyle name="Table" xfId="3727" xr:uid="{00000000-0005-0000-0000-0000B70F0000}"/>
    <cellStyle name="Table  - Style6" xfId="3728" xr:uid="{00000000-0005-0000-0000-0000B80F0000}"/>
    <cellStyle name="TableHeader" xfId="3729" xr:uid="{00000000-0005-0000-0000-0000B90F0000}"/>
    <cellStyle name="TaskTime" xfId="3730" xr:uid="{00000000-0005-0000-0000-0000BA0F0000}"/>
    <cellStyle name="TaskTime 2" xfId="4101" xr:uid="{00000000-0005-0000-0000-0000BB0F0000}"/>
    <cellStyle name="Text" xfId="3731" xr:uid="{00000000-0005-0000-0000-0000BC0F0000}"/>
    <cellStyle name="Text Indent A" xfId="3732" xr:uid="{00000000-0005-0000-0000-0000BD0F0000}"/>
    <cellStyle name="Text Indent B" xfId="3733" xr:uid="{00000000-0005-0000-0000-0000BE0F0000}"/>
    <cellStyle name="Text Indent C" xfId="3734" xr:uid="{00000000-0005-0000-0000-0000BF0F0000}"/>
    <cellStyle name="Thousand" xfId="3735" xr:uid="{00000000-0005-0000-0000-0000C00F0000}"/>
    <cellStyle name="TickCheck" xfId="3736" xr:uid="{00000000-0005-0000-0000-0000C10F0000}"/>
    <cellStyle name="Titel 2" xfId="3737" xr:uid="{00000000-0005-0000-0000-0000C20F0000}"/>
    <cellStyle name="Title  - Style1" xfId="3738" xr:uid="{00000000-0005-0000-0000-0000C30F0000}"/>
    <cellStyle name="Title Heading" xfId="3739" xr:uid="{00000000-0005-0000-0000-0000C40F0000}"/>
    <cellStyle name="Title1" xfId="3740" xr:uid="{00000000-0005-0000-0000-0000C50F0000}"/>
    <cellStyle name="Title2" xfId="3741" xr:uid="{00000000-0005-0000-0000-0000C60F0000}"/>
    <cellStyle name="TotCol - Style5" xfId="3742" xr:uid="{00000000-0005-0000-0000-0000C70F0000}"/>
    <cellStyle name="TotRow - Style4" xfId="3743" xr:uid="{00000000-0005-0000-0000-0000C80F0000}"/>
    <cellStyle name="Tusental (0)_Blad1 (2)" xfId="3744" xr:uid="{00000000-0005-0000-0000-0000C90F0000}"/>
    <cellStyle name="Tusental_Blad1 (2)" xfId="3745" xr:uid="{00000000-0005-0000-0000-0000CA0F0000}"/>
    <cellStyle name="uhendro" xfId="3746" xr:uid="{00000000-0005-0000-0000-0000CB0F0000}"/>
    <cellStyle name="Unlocked" xfId="3747" xr:uid="{00000000-0005-0000-0000-0000CC0F0000}"/>
    <cellStyle name="Unlocked 2" xfId="4102" xr:uid="{00000000-0005-0000-0000-0000CD0F0000}"/>
    <cellStyle name="USD" xfId="3748" xr:uid="{00000000-0005-0000-0000-0000CE0F0000}"/>
    <cellStyle name="USD billion" xfId="3749" xr:uid="{00000000-0005-0000-0000-0000CF0F0000}"/>
    <cellStyle name="USD million" xfId="3750" xr:uid="{00000000-0005-0000-0000-0000D00F0000}"/>
    <cellStyle name="USD thousand" xfId="3751" xr:uid="{00000000-0005-0000-0000-0000D10F0000}"/>
    <cellStyle name="User" xfId="3752" xr:uid="{00000000-0005-0000-0000-0000D20F0000}"/>
    <cellStyle name="Valuta (0)" xfId="3753" xr:uid="{00000000-0005-0000-0000-0000D30F0000}"/>
    <cellStyle name="Valuta [0]_Grafiek personeelsbezetting" xfId="3754" xr:uid="{00000000-0005-0000-0000-0000D40F0000}"/>
    <cellStyle name="Valuta_Blad1 (2)" xfId="3755" xr:uid="{00000000-0005-0000-0000-0000D50F0000}"/>
    <cellStyle name="VerdiColumnHeader" xfId="3756" xr:uid="{00000000-0005-0000-0000-0000D60F0000}"/>
    <cellStyle name="VerdiColumnHeaders" xfId="3757" xr:uid="{00000000-0005-0000-0000-0000D70F0000}"/>
    <cellStyle name="VerdiComment" xfId="3758" xr:uid="{00000000-0005-0000-0000-0000D80F0000}"/>
    <cellStyle name="VerdiConfigDesc" xfId="3759" xr:uid="{00000000-0005-0000-0000-0000D90F0000}"/>
    <cellStyle name="VerdiCost" xfId="3760" xr:uid="{00000000-0005-0000-0000-0000DA0F0000}"/>
    <cellStyle name="VerdiCustomername" xfId="3761" xr:uid="{00000000-0005-0000-0000-0000DB0F0000}"/>
    <cellStyle name="VerdiDescription" xfId="3762" xr:uid="{00000000-0005-0000-0000-0000DC0F0000}"/>
    <cellStyle name="VerdiDiscount" xfId="3763" xr:uid="{00000000-0005-0000-0000-0000DD0F0000}"/>
    <cellStyle name="VerdiELSNNUMBER" xfId="3764" xr:uid="{00000000-0005-0000-0000-0000DE0F0000}"/>
    <cellStyle name="VerdiEricssonName" xfId="3765" xr:uid="{00000000-0005-0000-0000-0000DF0F0000}"/>
    <cellStyle name="VerdiFireCodeDescription" xfId="3766" xr:uid="{00000000-0005-0000-0000-0000E00F0000}"/>
    <cellStyle name="VerdiGA" xfId="3767" xr:uid="{00000000-0005-0000-0000-0000E10F0000}"/>
    <cellStyle name="VerdiGAQty" xfId="3768" xr:uid="{00000000-0005-0000-0000-0000E20F0000}"/>
    <cellStyle name="VerdiGAQuantity" xfId="3769" xr:uid="{00000000-0005-0000-0000-0000E30F0000}"/>
    <cellStyle name="VerdiGrandTotal" xfId="3770" xr:uid="{00000000-0005-0000-0000-0000E40F0000}"/>
    <cellStyle name="VerdiGrossMargin%" xfId="3771" xr:uid="{00000000-0005-0000-0000-0000E50F0000}"/>
    <cellStyle name="VerdiGrossTotal" xfId="3772" xr:uid="{00000000-0005-0000-0000-0000E60F0000}"/>
    <cellStyle name="VerdiIPBNUMBER" xfId="3773" xr:uid="{00000000-0005-0000-0000-0000E70F0000}"/>
    <cellStyle name="VerdiItem" xfId="3774" xr:uid="{00000000-0005-0000-0000-0000E80F0000}"/>
    <cellStyle name="VerdiItemNo" xfId="3775" xr:uid="{00000000-0005-0000-0000-0000E90F0000}"/>
    <cellStyle name="VerdiLocalProduct" xfId="3776" xr:uid="{00000000-0005-0000-0000-0000EA0F0000}"/>
    <cellStyle name="VerdiNetRPF" xfId="3777" xr:uid="{00000000-0005-0000-0000-0000EB0F0000}"/>
    <cellStyle name="VerdiNetTotal" xfId="3778" xr:uid="{00000000-0005-0000-0000-0000EC0F0000}"/>
    <cellStyle name="VerdiPAPE" xfId="3779" xr:uid="{00000000-0005-0000-0000-0000ED0F0000}"/>
    <cellStyle name="VerdiPriceErosion" xfId="3780" xr:uid="{00000000-0005-0000-0000-0000EE0F0000}"/>
    <cellStyle name="VerdiProductNo" xfId="3781" xr:uid="{00000000-0005-0000-0000-0000EF0F0000}"/>
    <cellStyle name="VerdiProductUnit" xfId="3782" xr:uid="{00000000-0005-0000-0000-0000F00F0000}"/>
    <cellStyle name="VerdiQuantity" xfId="3783" xr:uid="{00000000-0005-0000-0000-0000F10F0000}"/>
    <cellStyle name="VerdiRefTotal" xfId="3784" xr:uid="{00000000-0005-0000-0000-0000F20F0000}"/>
    <cellStyle name="VerdiReleaseCode" xfId="3785" xr:uid="{00000000-0005-0000-0000-0000F30F0000}"/>
    <cellStyle name="VerdiReportCaption" xfId="3786" xr:uid="{00000000-0005-0000-0000-0000F40F0000}"/>
    <cellStyle name="VerdiRestrictedCode" xfId="3787" xr:uid="{00000000-0005-0000-0000-0000F50F0000}"/>
    <cellStyle name="VerdiRPF" xfId="3788" xr:uid="{00000000-0005-0000-0000-0000F60F0000}"/>
    <cellStyle name="VerdiSBS" xfId="3789" xr:uid="{00000000-0005-0000-0000-0000F70F0000}"/>
    <cellStyle name="VerdiScenarioDiscount" xfId="3790" xr:uid="{00000000-0005-0000-0000-0000F80F0000}"/>
    <cellStyle name="VerdiSiteId" xfId="3791" xr:uid="{00000000-0005-0000-0000-0000F90F0000}"/>
    <cellStyle name="VerdiSubTotals" xfId="3792" xr:uid="{00000000-0005-0000-0000-0000FA0F0000}"/>
    <cellStyle name="VerdiTotal" xfId="3793" xr:uid="{00000000-0005-0000-0000-0000FB0F0000}"/>
    <cellStyle name="VerdiTotalCost" xfId="3794" xr:uid="{00000000-0005-0000-0000-0000FC0F0000}"/>
    <cellStyle name="VerdiTotalGross" xfId="3795" xr:uid="{00000000-0005-0000-0000-0000FD0F0000}"/>
    <cellStyle name="VerdiTotalGrossMargin" xfId="3796" xr:uid="{00000000-0005-0000-0000-0000FE0F0000}"/>
    <cellStyle name="VerdiTotalNetPrice" xfId="3797" xr:uid="{00000000-0005-0000-0000-0000FF0F0000}"/>
    <cellStyle name="VerdiTotalPAPE" xfId="3798" xr:uid="{00000000-0005-0000-0000-000000100000}"/>
    <cellStyle name="VerdiTotalReference" xfId="3799" xr:uid="{00000000-0005-0000-0000-000001100000}"/>
    <cellStyle name="VerdiTotGA" xfId="3800" xr:uid="{00000000-0005-0000-0000-000002100000}"/>
    <cellStyle name="VerdiTotNetPrice" xfId="3801" xr:uid="{00000000-0005-0000-0000-000003100000}"/>
    <cellStyle name="VerdiTotPAPE" xfId="3802" xr:uid="{00000000-0005-0000-0000-000004100000}"/>
    <cellStyle name="VerdiTotRefPrice" xfId="3803" xr:uid="{00000000-0005-0000-0000-000005100000}"/>
    <cellStyle name="VerdiTSDescription" xfId="3804" xr:uid="{00000000-0005-0000-0000-000006100000}"/>
    <cellStyle name="VerdiTSUnitGross" xfId="3805" xr:uid="{00000000-0005-0000-0000-000007100000}"/>
    <cellStyle name="VerdiTypeSite" xfId="3806" xr:uid="{00000000-0005-0000-0000-000008100000}"/>
    <cellStyle name="VerdiUnitGrossPrice" xfId="3807" xr:uid="{00000000-0005-0000-0000-000009100000}"/>
    <cellStyle name="VerdiUnitNetPrice" xfId="3808" xr:uid="{00000000-0005-0000-0000-00000A100000}"/>
    <cellStyle name="VerdiUnitPAPE" xfId="3809" xr:uid="{00000000-0005-0000-0000-00000B100000}"/>
    <cellStyle name="VerdiUnitReference" xfId="3810" xr:uid="{00000000-0005-0000-0000-00000C100000}"/>
    <cellStyle name="VerdiUnitRefPrice" xfId="3811" xr:uid="{00000000-0005-0000-0000-00000D100000}"/>
    <cellStyle name="VerdiWBSCode" xfId="3812" xr:uid="{00000000-0005-0000-0000-00000E100000}"/>
    <cellStyle name="Währung [0]_96_97" xfId="3813" xr:uid="{00000000-0005-0000-0000-00000F100000}"/>
    <cellStyle name="Währung_96_97" xfId="3814" xr:uid="{00000000-0005-0000-0000-000010100000}"/>
    <cellStyle name="Warning" xfId="3815" xr:uid="{00000000-0005-0000-0000-000011100000}"/>
    <cellStyle name="WHead - Style2" xfId="3816" xr:uid="{00000000-0005-0000-0000-000012100000}"/>
    <cellStyle name="WP Header" xfId="3817" xr:uid="{00000000-0005-0000-0000-000013100000}"/>
    <cellStyle name="wrap" xfId="3818" xr:uid="{00000000-0005-0000-0000-000014100000}"/>
    <cellStyle name="x" xfId="3819" xr:uid="{00000000-0005-0000-0000-000015100000}"/>
    <cellStyle name="x_Actual vs budget OKT 2008" xfId="3820" xr:uid="{00000000-0005-0000-0000-000016100000}"/>
    <cellStyle name="x_INVOICE_STP-TPP_Tower_Lease_TELKOM" xfId="3821" xr:uid="{00000000-0005-0000-0000-000017100000}"/>
    <cellStyle name="x_LIST-INVOICE-EID_UP-DATE_080408" xfId="3822" xr:uid="{00000000-0005-0000-0000-000018100000}"/>
    <cellStyle name="x_Summary of Payment 10 Nov 2008" xfId="3823" xr:uid="{00000000-0005-0000-0000-000019100000}"/>
    <cellStyle name="x_Summary uang masuk Telkom 6 Nov 208" xfId="3824" xr:uid="{00000000-0005-0000-0000-00001A100000}"/>
    <cellStyle name="x_Weekly cash flow Oct_Des 2008 - summary 7 Nov 2008" xfId="3825" xr:uid="{00000000-0005-0000-0000-00001B100000}"/>
    <cellStyle name="Βασικό_τιμοκατ-σύμβασης-for-diekat" xfId="3826" xr:uid="{00000000-0005-0000-0000-00001C100000}"/>
    <cellStyle name="Обычный_PrimTel-offer-r2" xfId="3827" xr:uid="{00000000-0005-0000-0000-00001D100000}"/>
    <cellStyle name="백분율_기타" xfId="3828" xr:uid="{00000000-0005-0000-0000-00001E100000}"/>
    <cellStyle name="콤마 [0]_10월5주" xfId="3829" xr:uid="{00000000-0005-0000-0000-00001F100000}"/>
    <cellStyle name="표준_semarang_bts_info" xfId="3830" xr:uid="{00000000-0005-0000-0000-000020100000}"/>
    <cellStyle name="一般_1696MFINAL" xfId="3831" xr:uid="{00000000-0005-0000-0000-000021100000}"/>
    <cellStyle name="千分位[0]_Book1" xfId="3832" xr:uid="{00000000-0005-0000-0000-000022100000}"/>
    <cellStyle name="千分位_Book1" xfId="3833" xr:uid="{00000000-0005-0000-0000-000023100000}"/>
    <cellStyle name="常规_Sheet1" xfId="3834" xr:uid="{00000000-0005-0000-0000-000024100000}"/>
    <cellStyle name="標準_Hitachi revised quote 12_26_00 for Osuga-san" xfId="3835" xr:uid="{00000000-0005-0000-0000-000025100000}"/>
    <cellStyle name="貨幣 [0]_Book1" xfId="3836" xr:uid="{00000000-0005-0000-0000-000026100000}"/>
    <cellStyle name="貨幣_Book1" xfId="3837" xr:uid="{00000000-0005-0000-0000-000027100000}"/>
  </cellStyles>
  <dxfs count="4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8080"/>
      <color rgb="FFAFECEB"/>
      <color rgb="FF5CD9D6"/>
      <color rgb="FF00CC99"/>
      <color rgb="FFCCFF99"/>
      <color rgb="FF66FF99"/>
      <color rgb="FF00FF99"/>
      <color rgb="FFFF99FF"/>
      <color rgb="FF05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styles" Target="styles.xml"/><Relationship Id="rId16" Type="http://schemas.openxmlformats.org/officeDocument/2006/relationships/externalLink" Target="externalLinks/externalLink4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5" Type="http://schemas.openxmlformats.org/officeDocument/2006/relationships/worksheet" Target="worksheets/sheet5.xml"/><Relationship Id="rId90" Type="http://schemas.openxmlformats.org/officeDocument/2006/relationships/sharedStrings" Target="sharedStrings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56" Type="http://schemas.openxmlformats.org/officeDocument/2006/relationships/externalLink" Target="externalLinks/externalLink44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77" Type="http://schemas.openxmlformats.org/officeDocument/2006/relationships/externalLink" Target="externalLinks/externalLink6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47.xml"/><Relationship Id="rId67" Type="http://schemas.openxmlformats.org/officeDocument/2006/relationships/externalLink" Target="externalLinks/externalLink55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54" Type="http://schemas.openxmlformats.org/officeDocument/2006/relationships/externalLink" Target="externalLinks/externalLink42.xml"/><Relationship Id="rId62" Type="http://schemas.openxmlformats.org/officeDocument/2006/relationships/externalLink" Target="externalLinks/externalLink50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83" Type="http://schemas.openxmlformats.org/officeDocument/2006/relationships/externalLink" Target="externalLinks/externalLink71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9" Type="http://schemas.openxmlformats.org/officeDocument/2006/relationships/externalLink" Target="externalLinks/externalLink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Accumulative Subs </a:t>
            </a:r>
            <a:r>
              <a:rPr lang="en-US" baseline="0"/>
              <a:t> (% of total tenants)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Assumption!$C$9</c:f>
              <c:strCache>
                <c:ptCount val="1"/>
                <c:pt idx="0">
                  <c:v>C low target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Assumption!$E$9:$I$9</c:f>
              <c:numCache>
                <c:formatCode>0%</c:formatCode>
                <c:ptCount val="5"/>
                <c:pt idx="0">
                  <c:v>0.22</c:v>
                </c:pt>
                <c:pt idx="1">
                  <c:v>0.34</c:v>
                </c:pt>
                <c:pt idx="2">
                  <c:v>0.48</c:v>
                </c:pt>
                <c:pt idx="3">
                  <c:v>0.62</c:v>
                </c:pt>
                <c:pt idx="4">
                  <c:v>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A6-4531-B5EF-003196B8BBBF}"/>
            </c:ext>
          </c:extLst>
        </c:ser>
        <c:ser>
          <c:idx val="1"/>
          <c:order val="1"/>
          <c:tx>
            <c:strRef>
              <c:f>Assumption!$C$8</c:f>
              <c:strCache>
                <c:ptCount val="1"/>
                <c:pt idx="0">
                  <c:v>B stretch target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Assumption!$E$8:$I$8</c:f>
              <c:numCache>
                <c:formatCode>0%</c:formatCode>
                <c:ptCount val="5"/>
                <c:pt idx="0">
                  <c:v>0.6</c:v>
                </c:pt>
                <c:pt idx="1">
                  <c:v>0.7</c:v>
                </c:pt>
                <c:pt idx="2">
                  <c:v>0.72</c:v>
                </c:pt>
                <c:pt idx="3">
                  <c:v>0.77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A6-4531-B5EF-003196B8BBBF}"/>
            </c:ext>
          </c:extLst>
        </c:ser>
        <c:ser>
          <c:idx val="2"/>
          <c:order val="2"/>
          <c:tx>
            <c:strRef>
              <c:f>Assumption!$C$7</c:f>
              <c:strCache>
                <c:ptCount val="1"/>
                <c:pt idx="0">
                  <c:v>A achievable target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Assumption!$E$7:$I$7</c:f>
              <c:numCache>
                <c:formatCode>0%</c:formatCode>
                <c:ptCount val="5"/>
                <c:pt idx="0">
                  <c:v>0.4</c:v>
                </c:pt>
                <c:pt idx="1">
                  <c:v>0.65</c:v>
                </c:pt>
                <c:pt idx="2">
                  <c:v>0.7</c:v>
                </c:pt>
                <c:pt idx="3">
                  <c:v>0.75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A6-4531-B5EF-003196B8BB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67292896"/>
        <c:axId val="-1467297792"/>
      </c:lineChart>
      <c:catAx>
        <c:axId val="-146729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67297792"/>
        <c:crosses val="autoZero"/>
        <c:auto val="1"/>
        <c:lblAlgn val="ctr"/>
        <c:lblOffset val="100"/>
        <c:noMultiLvlLbl val="0"/>
      </c:catAx>
      <c:valAx>
        <c:axId val="-146729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67292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146443</xdr:colOff>
      <xdr:row>30</xdr:row>
      <xdr:rowOff>183354</xdr:rowOff>
    </xdr:from>
    <xdr:to>
      <xdr:col>12</xdr:col>
      <xdr:colOff>875393</xdr:colOff>
      <xdr:row>32</xdr:row>
      <xdr:rowOff>67583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458170" y="5932990"/>
          <a:ext cx="8649132" cy="276775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87947</xdr:colOff>
      <xdr:row>37</xdr:row>
      <xdr:rowOff>104251</xdr:rowOff>
    </xdr:from>
    <xdr:to>
      <xdr:col>12</xdr:col>
      <xdr:colOff>1063625</xdr:colOff>
      <xdr:row>38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399674" y="7227796"/>
          <a:ext cx="8895860" cy="171396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28</xdr:row>
      <xdr:rowOff>79365</xdr:rowOff>
    </xdr:from>
    <xdr:to>
      <xdr:col>12</xdr:col>
      <xdr:colOff>791094</xdr:colOff>
      <xdr:row>28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7470786" y="4546590"/>
          <a:ext cx="157848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237017</xdr:colOff>
      <xdr:row>4</xdr:row>
      <xdr:rowOff>114500</xdr:rowOff>
    </xdr:from>
    <xdr:to>
      <xdr:col>37</xdr:col>
      <xdr:colOff>19050</xdr:colOff>
      <xdr:row>33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1CE7DBA-E408-4670-92B7-4FA18F143E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ianto.kasmun\Downloads\REPO_PRICING_PART658cef517277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H57" t="str">
            <v>A</v>
          </cell>
          <cell r="I57" t="str">
            <v>A</v>
          </cell>
          <cell r="J57" t="str">
            <v>6% Net + T&amp;E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H58" t="str">
            <v>A</v>
          </cell>
          <cell r="I58" t="str">
            <v>A</v>
          </cell>
          <cell r="J58" t="str">
            <v>Custom Quote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D59" t="str">
            <v>Extended Warranty</v>
          </cell>
          <cell r="E59" t="str">
            <v>3% net</v>
          </cell>
          <cell r="F59" t="str">
            <v>A</v>
          </cell>
          <cell r="H59" t="str">
            <v>A</v>
          </cell>
          <cell r="I59" t="str">
            <v>A</v>
          </cell>
          <cell r="J59" t="str">
            <v>3% net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D60" t="str">
            <v>Basic Support</v>
          </cell>
          <cell r="E60" t="str">
            <v>5% net</v>
          </cell>
          <cell r="F60" t="str">
            <v>A</v>
          </cell>
          <cell r="H60" t="str">
            <v>A</v>
          </cell>
          <cell r="I60" t="str">
            <v>A</v>
          </cell>
          <cell r="J60" t="str">
            <v>5% net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D61" t="str">
            <v>Premium Support</v>
          </cell>
          <cell r="E61" t="str">
            <v>12% net</v>
          </cell>
          <cell r="F61" t="str">
            <v>A</v>
          </cell>
          <cell r="H61" t="str">
            <v>A</v>
          </cell>
          <cell r="I61" t="str">
            <v>A</v>
          </cell>
          <cell r="J61" t="str">
            <v>12% net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D62" t="str">
            <v>Software Support</v>
          </cell>
          <cell r="E62" t="str">
            <v>3% net</v>
          </cell>
          <cell r="F62" t="str">
            <v>A</v>
          </cell>
          <cell r="H62" t="str">
            <v>A</v>
          </cell>
          <cell r="I62" t="str">
            <v>A</v>
          </cell>
          <cell r="J62" t="str">
            <v>3% net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H63" t="str">
            <v>A</v>
          </cell>
          <cell r="I63" t="str">
            <v>A</v>
          </cell>
          <cell r="J63" t="str">
            <v>$2750 per student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H64" t="str">
            <v>A</v>
          </cell>
          <cell r="I64" t="str">
            <v>A</v>
          </cell>
          <cell r="J64" t="str">
            <v>$250/hr + T&amp;E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H65" t="str">
            <v>A</v>
          </cell>
          <cell r="I65" t="str">
            <v>A</v>
          </cell>
          <cell r="J65" t="str">
            <v>$375/hr + T&amp;E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H66" t="str">
            <v>A</v>
          </cell>
          <cell r="I66" t="str">
            <v>A</v>
          </cell>
          <cell r="J66" t="str">
            <v>$500/hr + T&amp;E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H67" t="str">
            <v>A</v>
          </cell>
          <cell r="I67" t="str">
            <v>A</v>
          </cell>
          <cell r="J67" t="str">
            <v>Custom Quote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H68" t="str">
            <v>A</v>
          </cell>
          <cell r="I68" t="str">
            <v>A</v>
          </cell>
          <cell r="J68" t="str">
            <v>Actual Costs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 BR"/>
      <sheetName val="Book Value (2)"/>
      <sheetName val="Analisa"/>
    </sheetNames>
    <sheetDataSet>
      <sheetData sheetId="0"/>
      <sheetData sheetId="1"/>
      <sheetData sheetId="2">
        <row r="5">
          <cell r="G5">
            <v>4983636.9339999985</v>
          </cell>
        </row>
        <row r="10">
          <cell r="G10">
            <v>55204040.159999996</v>
          </cell>
          <cell r="H10">
            <v>56308120.963199995</v>
          </cell>
          <cell r="I10">
            <v>57434283.382463992</v>
          </cell>
          <cell r="J10">
            <v>58582969.050113268</v>
          </cell>
          <cell r="K10">
            <v>59754628.43111553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Aspec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2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1"/>
  <sheetViews>
    <sheetView showGridLines="0" tabSelected="1" topLeftCell="A11" zoomScale="110" zoomScaleNormal="110" workbookViewId="0">
      <selection activeCell="L15" sqref="L15"/>
    </sheetView>
  </sheetViews>
  <sheetFormatPr defaultColWidth="8.58203125" defaultRowHeight="15.5"/>
  <cols>
    <col min="1" max="1" width="4.08203125" style="138" customWidth="1"/>
    <col min="2" max="2" width="3" style="138" customWidth="1"/>
    <col min="3" max="3" width="16.58203125" style="138" customWidth="1"/>
    <col min="4" max="4" width="25.5" style="138" customWidth="1"/>
    <col min="5" max="5" width="4.1640625" style="138" customWidth="1"/>
    <col min="6" max="6" width="4.83203125" style="138" customWidth="1"/>
    <col min="7" max="7" width="10.58203125" style="138" customWidth="1"/>
    <col min="8" max="8" width="8.33203125" style="138" customWidth="1"/>
    <col min="9" max="9" width="5.33203125" style="138" customWidth="1"/>
    <col min="10" max="10" width="2.08203125" style="138" customWidth="1"/>
    <col min="11" max="11" width="5.08203125" style="138" customWidth="1"/>
    <col min="12" max="12" width="18.33203125" style="138" bestFit="1" customWidth="1"/>
    <col min="13" max="13" width="16.5" style="138" customWidth="1"/>
    <col min="14" max="14" width="2.08203125" style="138" customWidth="1"/>
    <col min="15" max="15" width="3.58203125" style="138" customWidth="1"/>
    <col min="16" max="16384" width="8.58203125" style="138"/>
  </cols>
  <sheetData>
    <row r="1" spans="2:14" ht="8.5" customHeight="1"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2"/>
    </row>
    <row r="2" spans="2:14" ht="14.4" customHeight="1">
      <c r="B2" s="362" t="s">
        <v>397</v>
      </c>
      <c r="C2" s="362" t="s">
        <v>396</v>
      </c>
      <c r="D2" s="362"/>
      <c r="E2" s="362"/>
      <c r="F2" s="362"/>
      <c r="G2" s="362"/>
      <c r="H2" s="362"/>
      <c r="I2" s="362"/>
      <c r="J2" s="362"/>
      <c r="K2" s="362"/>
      <c r="L2" s="362"/>
      <c r="N2" s="633" t="s">
        <v>378</v>
      </c>
    </row>
    <row r="3" spans="2:14" ht="18.5">
      <c r="B3" s="362"/>
      <c r="C3" s="363" t="s">
        <v>261</v>
      </c>
      <c r="D3" s="162" t="s">
        <v>398</v>
      </c>
      <c r="E3" s="362"/>
      <c r="F3" s="362"/>
      <c r="G3" s="362"/>
      <c r="H3" s="362"/>
      <c r="J3" s="364" t="s">
        <v>262</v>
      </c>
      <c r="K3" s="364"/>
      <c r="L3" s="364"/>
      <c r="M3" s="365">
        <v>45300</v>
      </c>
      <c r="N3" s="362"/>
    </row>
    <row r="4" spans="2:14" ht="18.5">
      <c r="B4" s="362"/>
      <c r="C4" s="363" t="s">
        <v>263</v>
      </c>
      <c r="D4" s="162" t="s">
        <v>237</v>
      </c>
      <c r="E4" s="362"/>
      <c r="F4" s="362"/>
      <c r="G4" s="362"/>
      <c r="H4" s="362"/>
      <c r="M4" s="362"/>
      <c r="N4" s="362"/>
    </row>
    <row r="5" spans="2:14" ht="1" customHeight="1" thickBot="1">
      <c r="B5" s="362"/>
      <c r="C5" s="162"/>
      <c r="D5" s="362"/>
      <c r="E5" s="362"/>
      <c r="F5" s="362"/>
      <c r="G5" s="362"/>
      <c r="H5" s="362"/>
      <c r="I5" s="362"/>
      <c r="J5" s="362"/>
      <c r="K5" s="362"/>
      <c r="L5" s="362"/>
      <c r="M5" s="362"/>
      <c r="N5" s="362"/>
    </row>
    <row r="6" spans="2:14" s="366" customFormat="1" ht="19" thickBot="1">
      <c r="B6" s="649" t="s">
        <v>264</v>
      </c>
      <c r="C6" s="650"/>
      <c r="D6" s="651"/>
      <c r="E6" s="649" t="s">
        <v>265</v>
      </c>
      <c r="F6" s="650"/>
      <c r="G6" s="650"/>
      <c r="H6" s="650"/>
      <c r="I6" s="650"/>
      <c r="J6" s="649" t="s">
        <v>266</v>
      </c>
      <c r="K6" s="650"/>
      <c r="L6" s="650"/>
      <c r="M6" s="650"/>
      <c r="N6" s="651"/>
    </row>
    <row r="7" spans="2:14">
      <c r="B7" s="652" t="s">
        <v>267</v>
      </c>
      <c r="C7" s="653"/>
      <c r="D7" s="367" t="s">
        <v>394</v>
      </c>
      <c r="E7" s="654" t="s">
        <v>268</v>
      </c>
      <c r="F7" s="654"/>
      <c r="G7" s="654"/>
      <c r="H7" s="654"/>
      <c r="I7" s="654"/>
      <c r="J7" s="368"/>
      <c r="K7" s="653" t="s">
        <v>269</v>
      </c>
      <c r="L7" s="653"/>
      <c r="M7" s="369">
        <v>0</v>
      </c>
      <c r="N7" s="367"/>
    </row>
    <row r="8" spans="2:14">
      <c r="B8" s="647" t="s">
        <v>227</v>
      </c>
      <c r="C8" s="648"/>
      <c r="D8" s="370"/>
      <c r="E8" s="645" t="s">
        <v>270</v>
      </c>
      <c r="F8" s="645"/>
      <c r="G8" s="645"/>
      <c r="H8" s="371"/>
      <c r="I8" s="362"/>
      <c r="J8" s="372"/>
      <c r="K8" s="645" t="s">
        <v>271</v>
      </c>
      <c r="L8" s="645"/>
      <c r="M8" s="373">
        <v>5</v>
      </c>
      <c r="N8" s="374"/>
    </row>
    <row r="9" spans="2:14">
      <c r="B9" s="647"/>
      <c r="C9" s="648"/>
      <c r="D9" s="374"/>
      <c r="E9" s="645" t="s">
        <v>272</v>
      </c>
      <c r="F9" s="645"/>
      <c r="G9" s="645"/>
      <c r="H9" s="371">
        <v>0</v>
      </c>
      <c r="I9" s="362"/>
      <c r="J9" s="372"/>
      <c r="K9" s="645" t="s">
        <v>273</v>
      </c>
      <c r="L9" s="645"/>
      <c r="M9" s="375">
        <f>'PnL (D)'!C22</f>
        <v>0.1</v>
      </c>
      <c r="N9" s="374"/>
    </row>
    <row r="10" spans="2:14">
      <c r="B10" s="376" t="s">
        <v>274</v>
      </c>
      <c r="C10" s="377"/>
      <c r="D10" s="374" t="s">
        <v>395</v>
      </c>
      <c r="E10" s="645" t="s">
        <v>275</v>
      </c>
      <c r="F10" s="645"/>
      <c r="G10" s="645"/>
      <c r="H10" s="378"/>
      <c r="I10" s="362"/>
      <c r="J10" s="372"/>
      <c r="K10" s="645" t="s">
        <v>276</v>
      </c>
      <c r="L10" s="645"/>
      <c r="M10" s="369">
        <v>0</v>
      </c>
      <c r="N10" s="374"/>
    </row>
    <row r="11" spans="2:14">
      <c r="B11" s="379" t="s">
        <v>277</v>
      </c>
      <c r="C11" s="380"/>
      <c r="D11" s="374"/>
      <c r="E11" s="641" t="s">
        <v>278</v>
      </c>
      <c r="F11" s="641"/>
      <c r="G11" s="641"/>
      <c r="H11" s="641"/>
      <c r="I11" s="641"/>
      <c r="J11" s="381"/>
      <c r="K11" s="634" t="s">
        <v>30</v>
      </c>
      <c r="L11" s="634"/>
      <c r="M11" s="369">
        <f>IRR!R24</f>
        <v>2387810000</v>
      </c>
      <c r="N11" s="374"/>
    </row>
    <row r="12" spans="2:14">
      <c r="B12" s="379" t="s">
        <v>233</v>
      </c>
      <c r="C12" s="380"/>
      <c r="D12" s="374" t="s">
        <v>237</v>
      </c>
      <c r="E12" s="646" t="s">
        <v>376</v>
      </c>
      <c r="F12" s="646"/>
      <c r="G12" s="646"/>
      <c r="H12" s="382">
        <v>300</v>
      </c>
      <c r="I12" s="362"/>
      <c r="J12" s="372"/>
      <c r="K12" s="634" t="s">
        <v>107</v>
      </c>
      <c r="L12" s="634"/>
      <c r="M12" s="369">
        <f>IRR!R17</f>
        <v>410000000</v>
      </c>
      <c r="N12" s="374"/>
    </row>
    <row r="13" spans="2:14">
      <c r="B13" s="383" t="s">
        <v>280</v>
      </c>
      <c r="C13" s="384"/>
      <c r="D13" s="385"/>
      <c r="E13" s="646" t="s">
        <v>279</v>
      </c>
      <c r="F13" s="646"/>
      <c r="G13" s="646"/>
      <c r="H13" s="382">
        <v>0</v>
      </c>
      <c r="I13" s="362"/>
      <c r="J13" s="372"/>
      <c r="K13" s="634" t="s">
        <v>374</v>
      </c>
      <c r="L13" s="634"/>
      <c r="M13" s="116">
        <f>IRR!R28</f>
        <v>811855400</v>
      </c>
      <c r="N13" s="374"/>
    </row>
    <row r="14" spans="2:14">
      <c r="B14" s="383" t="s">
        <v>282</v>
      </c>
      <c r="C14" s="384"/>
      <c r="D14" s="385">
        <v>1</v>
      </c>
      <c r="E14" s="535" t="s">
        <v>281</v>
      </c>
      <c r="F14" s="535"/>
      <c r="G14" s="535"/>
      <c r="H14" s="382">
        <v>0</v>
      </c>
      <c r="I14" s="362"/>
      <c r="J14" s="372"/>
      <c r="K14" s="634" t="s">
        <v>375</v>
      </c>
      <c r="L14" s="634"/>
      <c r="M14" s="369">
        <f>IRR!R29+IRR!R30+IRR!R31+IRR!R32+IRR!R33</f>
        <v>824080803.20000005</v>
      </c>
      <c r="N14" s="374"/>
    </row>
    <row r="15" spans="2:14" ht="16" thickBot="1">
      <c r="B15" s="383"/>
      <c r="C15" s="384"/>
      <c r="D15" s="385"/>
      <c r="E15" s="535" t="s">
        <v>283</v>
      </c>
      <c r="F15" s="535"/>
      <c r="G15" s="535"/>
      <c r="H15" s="382"/>
      <c r="I15" s="362"/>
      <c r="J15" s="372"/>
      <c r="K15" s="380"/>
      <c r="L15" s="380"/>
      <c r="M15" s="362"/>
      <c r="N15" s="374"/>
    </row>
    <row r="16" spans="2:14">
      <c r="B16" s="372"/>
      <c r="C16" s="362"/>
      <c r="D16" s="374"/>
      <c r="E16" s="641" t="s">
        <v>284</v>
      </c>
      <c r="F16" s="641"/>
      <c r="G16" s="641"/>
      <c r="H16" s="641"/>
      <c r="I16" s="641"/>
      <c r="J16" s="387"/>
      <c r="K16" s="642" t="s">
        <v>5</v>
      </c>
      <c r="L16" s="643"/>
      <c r="M16" s="603">
        <f>IRR!F50</f>
        <v>0.37765762224363764</v>
      </c>
      <c r="N16" s="374"/>
    </row>
    <row r="17" spans="2:18">
      <c r="B17" s="372"/>
      <c r="C17" s="362"/>
      <c r="D17" s="374"/>
      <c r="E17" s="396"/>
      <c r="F17" s="396"/>
      <c r="G17" s="396"/>
      <c r="H17" s="396"/>
      <c r="I17" s="396"/>
      <c r="J17" s="387"/>
      <c r="K17" s="397" t="s">
        <v>6</v>
      </c>
      <c r="L17" s="398"/>
      <c r="M17" s="604">
        <f>IRR!F51</f>
        <v>0.31806599456780493</v>
      </c>
      <c r="N17" s="374"/>
    </row>
    <row r="18" spans="2:18">
      <c r="B18" s="372"/>
      <c r="C18" s="362"/>
      <c r="D18" s="374"/>
      <c r="E18" s="362"/>
      <c r="F18" s="362"/>
      <c r="G18" s="362"/>
      <c r="H18" s="362"/>
      <c r="I18" s="362"/>
      <c r="J18" s="388"/>
      <c r="K18" s="635" t="s">
        <v>285</v>
      </c>
      <c r="L18" s="636"/>
      <c r="M18" s="534">
        <f>IRR!F52</f>
        <v>122999968.99615639</v>
      </c>
      <c r="N18" s="374"/>
    </row>
    <row r="19" spans="2:18">
      <c r="B19" s="372"/>
      <c r="C19" s="362"/>
      <c r="D19" s="374"/>
      <c r="E19" s="362"/>
      <c r="F19" s="362"/>
      <c r="G19" s="362"/>
      <c r="H19" s="362"/>
      <c r="I19" s="362"/>
      <c r="J19" s="388"/>
      <c r="K19" s="635" t="s">
        <v>286</v>
      </c>
      <c r="L19" s="636"/>
      <c r="M19" s="389">
        <f>IRR!F53</f>
        <v>0.31488007705805737</v>
      </c>
      <c r="N19" s="374"/>
      <c r="R19" s="138" t="s">
        <v>21</v>
      </c>
    </row>
    <row r="20" spans="2:18" ht="16" thickBot="1">
      <c r="B20" s="372"/>
      <c r="C20" s="362"/>
      <c r="D20" s="374"/>
      <c r="E20" s="362"/>
      <c r="F20" s="362"/>
      <c r="G20" s="362"/>
      <c r="H20" s="362"/>
      <c r="I20" s="362"/>
      <c r="J20" s="388"/>
      <c r="K20" s="637" t="s">
        <v>287</v>
      </c>
      <c r="L20" s="638"/>
      <c r="M20" s="390">
        <f>IRR!F54</f>
        <v>4.1086123345089822</v>
      </c>
      <c r="N20" s="374"/>
      <c r="Q20" s="138" t="s">
        <v>21</v>
      </c>
    </row>
    <row r="21" spans="2:18" ht="16" thickBot="1">
      <c r="B21" s="391"/>
      <c r="C21" s="392"/>
      <c r="D21" s="393"/>
      <c r="E21" s="392"/>
      <c r="F21" s="392" t="s">
        <v>21</v>
      </c>
      <c r="G21" s="392"/>
      <c r="H21" s="392"/>
      <c r="I21" s="392"/>
      <c r="J21" s="372"/>
      <c r="K21" s="386"/>
      <c r="L21" s="380"/>
      <c r="M21" s="380"/>
      <c r="N21" s="374"/>
    </row>
    <row r="22" spans="2:18">
      <c r="B22" s="394" t="s">
        <v>288</v>
      </c>
      <c r="C22" s="395"/>
      <c r="D22" s="395"/>
      <c r="E22" s="395"/>
      <c r="F22" s="395"/>
      <c r="G22" s="395"/>
      <c r="H22" s="395"/>
      <c r="I22" s="395"/>
      <c r="J22" s="395"/>
      <c r="L22" s="644" t="s">
        <v>289</v>
      </c>
      <c r="M22" s="644"/>
      <c r="N22" s="367"/>
    </row>
    <row r="23" spans="2:18">
      <c r="B23" s="372"/>
      <c r="C23" s="362"/>
      <c r="D23" s="362" t="s">
        <v>386</v>
      </c>
      <c r="E23" s="362"/>
      <c r="F23" s="362"/>
      <c r="G23" s="362"/>
      <c r="H23" s="362"/>
      <c r="I23" s="362"/>
      <c r="J23" s="362"/>
      <c r="K23" s="362"/>
      <c r="L23" s="639" t="s">
        <v>290</v>
      </c>
      <c r="M23" s="640"/>
      <c r="N23" s="374"/>
    </row>
    <row r="24" spans="2:18">
      <c r="B24" s="620"/>
      <c r="C24" s="362"/>
      <c r="D24" s="362" t="s">
        <v>392</v>
      </c>
      <c r="E24" s="362"/>
      <c r="F24" s="362"/>
      <c r="G24" s="362"/>
      <c r="H24" s="362"/>
      <c r="I24" s="362"/>
      <c r="J24" s="362"/>
      <c r="K24" s="362"/>
      <c r="L24" s="362"/>
      <c r="M24" s="362"/>
      <c r="N24" s="374"/>
    </row>
    <row r="25" spans="2:18">
      <c r="B25" s="620"/>
      <c r="C25" s="362"/>
      <c r="D25" s="362" t="s">
        <v>393</v>
      </c>
      <c r="E25" s="362"/>
      <c r="F25" s="362"/>
      <c r="G25" s="362"/>
      <c r="H25" s="362"/>
      <c r="I25" s="362"/>
      <c r="J25" s="362"/>
      <c r="K25" s="362"/>
      <c r="L25" s="362"/>
      <c r="M25" s="362"/>
      <c r="N25" s="374"/>
    </row>
    <row r="26" spans="2:18">
      <c r="B26" s="620"/>
      <c r="C26" s="362"/>
      <c r="D26" s="362" t="s">
        <v>399</v>
      </c>
      <c r="E26" s="362"/>
      <c r="F26" s="362"/>
      <c r="G26" s="362"/>
      <c r="H26" s="362"/>
      <c r="I26" s="362"/>
      <c r="J26" s="362"/>
      <c r="K26" s="362"/>
      <c r="L26" s="362"/>
      <c r="M26" s="362"/>
      <c r="N26" s="374"/>
    </row>
    <row r="27" spans="2:18">
      <c r="B27" s="620"/>
      <c r="C27" s="362"/>
      <c r="D27" s="362"/>
      <c r="E27" s="362"/>
      <c r="F27" s="362"/>
      <c r="G27" s="362"/>
      <c r="H27" s="362"/>
      <c r="I27" s="362"/>
      <c r="J27" s="362"/>
      <c r="K27" s="362"/>
      <c r="L27" s="362"/>
      <c r="M27" s="362"/>
      <c r="N27" s="374"/>
    </row>
    <row r="28" spans="2:18">
      <c r="B28" s="372"/>
      <c r="C28" s="362"/>
      <c r="E28" s="362"/>
      <c r="F28" s="362"/>
      <c r="G28" s="362"/>
      <c r="H28" s="362"/>
      <c r="I28" s="362"/>
      <c r="J28" s="362"/>
      <c r="K28" s="362"/>
      <c r="L28" s="362"/>
      <c r="M28" s="362"/>
      <c r="N28" s="374"/>
    </row>
    <row r="29" spans="2:18" ht="16" thickBot="1">
      <c r="B29" s="391"/>
      <c r="C29" s="392"/>
      <c r="D29" s="392"/>
      <c r="E29" s="392"/>
      <c r="F29" s="392"/>
      <c r="G29" s="392"/>
      <c r="H29" s="392"/>
      <c r="I29" s="392"/>
      <c r="J29" s="392"/>
      <c r="K29" s="392"/>
      <c r="L29" s="392"/>
      <c r="M29" s="392"/>
      <c r="N29" s="393"/>
    </row>
    <row r="31" spans="2:18">
      <c r="B31" s="154" t="s">
        <v>291</v>
      </c>
    </row>
  </sheetData>
  <mergeCells count="28">
    <mergeCell ref="B6:D6"/>
    <mergeCell ref="E6:I6"/>
    <mergeCell ref="J6:N6"/>
    <mergeCell ref="B7:C7"/>
    <mergeCell ref="E7:I7"/>
    <mergeCell ref="K7:L7"/>
    <mergeCell ref="B8:C8"/>
    <mergeCell ref="E8:G8"/>
    <mergeCell ref="K8:L8"/>
    <mergeCell ref="B9:C9"/>
    <mergeCell ref="E9:G9"/>
    <mergeCell ref="K9:L9"/>
    <mergeCell ref="E10:G10"/>
    <mergeCell ref="K10:L10"/>
    <mergeCell ref="E11:I11"/>
    <mergeCell ref="K12:L12"/>
    <mergeCell ref="E13:G13"/>
    <mergeCell ref="K11:L11"/>
    <mergeCell ref="E12:G12"/>
    <mergeCell ref="K13:L13"/>
    <mergeCell ref="K14:L14"/>
    <mergeCell ref="K19:L19"/>
    <mergeCell ref="K20:L20"/>
    <mergeCell ref="L23:M23"/>
    <mergeCell ref="E16:I16"/>
    <mergeCell ref="K16:L16"/>
    <mergeCell ref="K18:L18"/>
    <mergeCell ref="L22:M22"/>
  </mergeCells>
  <pageMargins left="0.7" right="0.7" top="0.75" bottom="0.75" header="0.3" footer="0.3"/>
  <pageSetup paperSize="9" scale="91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1:N14"/>
  <sheetViews>
    <sheetView showGridLines="0" zoomScale="70" zoomScaleNormal="70" workbookViewId="0">
      <pane ySplit="4" topLeftCell="A5" activePane="bottomLeft" state="frozen"/>
      <selection pane="bottomLeft" activeCell="D7" sqref="D7"/>
    </sheetView>
  </sheetViews>
  <sheetFormatPr defaultColWidth="9" defaultRowHeight="18.5"/>
  <cols>
    <col min="1" max="1" width="3.1640625" style="104" customWidth="1"/>
    <col min="2" max="2" width="20.08203125" style="104" bestFit="1" customWidth="1"/>
    <col min="3" max="3" width="2.08203125" style="104" customWidth="1"/>
    <col min="4" max="4" width="33.08203125" style="104" bestFit="1" customWidth="1"/>
    <col min="5" max="5" width="2.08203125" style="104" customWidth="1"/>
    <col min="6" max="6" width="32.6640625" style="104" bestFit="1" customWidth="1"/>
    <col min="7" max="7" width="2.08203125" style="104" customWidth="1"/>
    <col min="8" max="8" width="29.1640625" style="104" bestFit="1" customWidth="1"/>
    <col min="9" max="9" width="2.08203125" style="104" customWidth="1"/>
    <col min="10" max="11" width="9" style="104"/>
    <col min="12" max="12" width="1.6640625" style="104" bestFit="1" customWidth="1"/>
    <col min="13" max="16384" width="9" style="104"/>
  </cols>
  <sheetData>
    <row r="1" spans="2:14" ht="8.25" customHeight="1"/>
    <row r="2" spans="2:14" ht="19" thickBot="1">
      <c r="B2" s="1"/>
      <c r="C2" s="1"/>
      <c r="D2" s="655"/>
      <c r="E2" s="655"/>
      <c r="F2" s="655"/>
      <c r="G2" s="655"/>
      <c r="H2" s="655"/>
      <c r="I2" s="1"/>
      <c r="J2" s="1"/>
    </row>
    <row r="3" spans="2:14">
      <c r="B3" s="1"/>
      <c r="C3" s="1"/>
      <c r="D3" s="21"/>
      <c r="E3" s="1"/>
      <c r="F3" s="21"/>
      <c r="G3" s="1"/>
      <c r="H3" s="21"/>
      <c r="I3" s="1"/>
      <c r="J3" s="1"/>
    </row>
    <row r="4" spans="2:14">
      <c r="B4" s="1"/>
      <c r="C4" s="1"/>
      <c r="D4" s="21" t="s">
        <v>61</v>
      </c>
      <c r="E4" s="22"/>
      <c r="F4" s="21" t="s">
        <v>62</v>
      </c>
      <c r="G4" s="22"/>
      <c r="H4" s="21" t="s">
        <v>63</v>
      </c>
      <c r="I4" s="1"/>
      <c r="J4" s="1"/>
    </row>
    <row r="5" spans="2:14" ht="24" customHeight="1">
      <c r="B5" s="22" t="s">
        <v>60</v>
      </c>
      <c r="C5" s="1"/>
      <c r="D5" s="24"/>
      <c r="E5" s="1"/>
      <c r="F5" s="1"/>
      <c r="G5" s="1"/>
      <c r="H5" s="1"/>
      <c r="I5" s="1"/>
      <c r="J5" s="1"/>
    </row>
    <row r="6" spans="2:14">
      <c r="B6" s="105"/>
      <c r="C6" s="1"/>
      <c r="D6" s="94"/>
      <c r="E6" s="1"/>
      <c r="F6" s="94"/>
      <c r="G6" s="1"/>
      <c r="H6" s="94"/>
      <c r="I6" s="1"/>
      <c r="J6" s="1"/>
    </row>
    <row r="7" spans="2:14">
      <c r="B7" s="22" t="s">
        <v>30</v>
      </c>
      <c r="C7" s="1"/>
      <c r="D7" s="95" t="e">
        <f>SUM('PnL (A)'!#REF!)</f>
        <v>#REF!</v>
      </c>
      <c r="E7" s="1"/>
      <c r="F7" s="95" t="e">
        <f>SUM('PnL (A)'!#REF!)</f>
        <v>#REF!</v>
      </c>
      <c r="G7" s="1"/>
      <c r="H7" s="95" t="e">
        <f>SUM('PnL (A)'!#REF!)</f>
        <v>#REF!</v>
      </c>
      <c r="I7" s="1"/>
      <c r="J7" s="1"/>
    </row>
    <row r="8" spans="2:14">
      <c r="B8" s="22" t="s">
        <v>64</v>
      </c>
      <c r="C8" s="1"/>
      <c r="D8" s="96">
        <f>'PnL (A)'!C25</f>
        <v>62500000</v>
      </c>
      <c r="E8" s="1"/>
      <c r="F8" s="96">
        <f>D8</f>
        <v>62500000</v>
      </c>
      <c r="G8" s="23"/>
      <c r="H8" s="96">
        <f>D8</f>
        <v>62500000</v>
      </c>
      <c r="I8" s="1"/>
      <c r="J8" s="1"/>
    </row>
    <row r="9" spans="2:14" ht="19" thickBot="1">
      <c r="B9" s="22" t="s">
        <v>0</v>
      </c>
      <c r="C9" s="1"/>
      <c r="D9" s="108">
        <v>0.64986115485556828</v>
      </c>
      <c r="E9" s="107"/>
      <c r="F9" s="108">
        <v>0.64986115485556828</v>
      </c>
      <c r="G9" s="109"/>
      <c r="H9" s="108">
        <v>0.64986115485556828</v>
      </c>
      <c r="I9" s="1"/>
      <c r="J9" s="1"/>
    </row>
    <row r="10" spans="2:14" ht="21.5" thickBot="1">
      <c r="B10" s="118" t="s">
        <v>5</v>
      </c>
      <c r="C10" s="29"/>
      <c r="D10" s="111">
        <v>0.26692664366652386</v>
      </c>
      <c r="E10" s="110"/>
      <c r="F10" s="111">
        <v>0.26692664366652386</v>
      </c>
      <c r="G10" s="112"/>
      <c r="H10" s="111">
        <v>0.26692664366652386</v>
      </c>
      <c r="I10" s="31"/>
      <c r="J10" s="1"/>
    </row>
    <row r="11" spans="2:14" ht="19" thickBot="1">
      <c r="B11" s="22" t="s">
        <v>6</v>
      </c>
      <c r="C11" s="1"/>
      <c r="D11" s="108">
        <v>0.37221936031884745</v>
      </c>
      <c r="E11" s="107"/>
      <c r="F11" s="108">
        <v>0.37221936031884745</v>
      </c>
      <c r="G11" s="109"/>
      <c r="H11" s="108">
        <v>0.37221936031884745</v>
      </c>
      <c r="I11" s="1"/>
      <c r="J11" s="1"/>
    </row>
    <row r="12" spans="2:14" ht="19" thickBot="1">
      <c r="B12" s="118" t="s">
        <v>1</v>
      </c>
      <c r="C12" s="25"/>
      <c r="D12" s="103">
        <v>4.6481409139912309</v>
      </c>
      <c r="E12" s="26"/>
      <c r="F12" s="103">
        <v>4.6481409139912309</v>
      </c>
      <c r="G12" s="27"/>
      <c r="H12" s="103">
        <v>4.6481409139912309</v>
      </c>
      <c r="I12" s="28"/>
      <c r="J12" s="1"/>
      <c r="N12" s="104" t="s">
        <v>21</v>
      </c>
    </row>
    <row r="13" spans="2:14">
      <c r="B13" s="1"/>
      <c r="C13" s="1"/>
      <c r="D13" s="97"/>
      <c r="E13" s="1"/>
      <c r="F13" s="97"/>
      <c r="G13" s="1"/>
      <c r="H13" s="97"/>
      <c r="I13" s="1"/>
      <c r="J13" s="1"/>
    </row>
    <row r="14" spans="2:14" ht="24" customHeight="1">
      <c r="B14" s="1"/>
      <c r="C14" s="1"/>
      <c r="D14" s="1"/>
      <c r="E14" s="1"/>
      <c r="F14" s="1"/>
      <c r="G14" s="1"/>
      <c r="H14" s="1"/>
      <c r="I14" s="1"/>
      <c r="J14" s="1"/>
      <c r="L14" s="104" t="s">
        <v>21</v>
      </c>
    </row>
  </sheetData>
  <mergeCells count="1">
    <mergeCell ref="D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L32"/>
  <sheetViews>
    <sheetView showGridLines="0" zoomScale="70" zoomScaleNormal="70" workbookViewId="0">
      <selection activeCell="F26" sqref="F26"/>
    </sheetView>
  </sheetViews>
  <sheetFormatPr defaultColWidth="9" defaultRowHeight="15.5"/>
  <cols>
    <col min="1" max="1" width="2.6640625" style="1" customWidth="1"/>
    <col min="2" max="2" width="2.83203125" style="1" customWidth="1"/>
    <col min="3" max="3" width="18.6640625" style="1" bestFit="1" customWidth="1"/>
    <col min="4" max="4" width="32.08203125" style="1" customWidth="1"/>
    <col min="5" max="5" width="10.83203125" style="1" bestFit="1" customWidth="1"/>
    <col min="6" max="6" width="32.08203125" style="1" customWidth="1"/>
    <col min="7" max="7" width="9" style="1"/>
    <col min="8" max="8" width="32.08203125" style="1" customWidth="1"/>
    <col min="9" max="9" width="2.83203125" style="1" customWidth="1"/>
    <col min="10" max="10" width="27.58203125" style="1" bestFit="1" customWidth="1"/>
    <col min="11" max="16384" width="9" style="1"/>
  </cols>
  <sheetData>
    <row r="1" spans="3:9" ht="16" thickBot="1"/>
    <row r="2" spans="3:9" ht="16" thickBot="1">
      <c r="C2" s="33" t="s">
        <v>25</v>
      </c>
      <c r="D2" s="75">
        <v>10</v>
      </c>
      <c r="E2" s="34"/>
      <c r="F2" s="34"/>
      <c r="G2" s="34"/>
      <c r="H2" s="35"/>
    </row>
    <row r="3" spans="3:9" ht="16" thickBot="1"/>
    <row r="4" spans="3:9">
      <c r="C4" s="48" t="s">
        <v>23</v>
      </c>
      <c r="D4" s="49"/>
      <c r="E4" s="49"/>
      <c r="F4" s="49"/>
      <c r="G4" s="49"/>
      <c r="H4" s="50"/>
    </row>
    <row r="5" spans="3:9">
      <c r="C5" s="36" t="s">
        <v>51</v>
      </c>
      <c r="D5" s="37" t="s">
        <v>38</v>
      </c>
      <c r="E5" s="37" t="s">
        <v>39</v>
      </c>
      <c r="F5" s="32" t="s">
        <v>50</v>
      </c>
      <c r="G5" s="32"/>
      <c r="H5" s="51" t="s">
        <v>48</v>
      </c>
    </row>
    <row r="6" spans="3:9">
      <c r="C6" s="38" t="s">
        <v>18</v>
      </c>
      <c r="D6" s="52">
        <v>150000</v>
      </c>
      <c r="E6" s="52">
        <v>0</v>
      </c>
      <c r="F6" s="32" t="s">
        <v>53</v>
      </c>
      <c r="G6" s="77" t="e">
        <f t="shared" ref="G6:G8" si="0">H6/H$11</f>
        <v>#REF!</v>
      </c>
      <c r="H6" s="39" t="e">
        <f>SUM('PnL (A)'!#REF!)</f>
        <v>#REF!</v>
      </c>
    </row>
    <row r="7" spans="3:9">
      <c r="C7" s="38" t="s">
        <v>42</v>
      </c>
      <c r="D7" s="52">
        <v>20000</v>
      </c>
      <c r="E7" s="32"/>
      <c r="F7" s="32" t="s">
        <v>54</v>
      </c>
      <c r="G7" s="77" t="e">
        <f t="shared" si="0"/>
        <v>#REF!</v>
      </c>
      <c r="H7" s="39" t="e">
        <f>SUM('PnL (A)'!#REF!)</f>
        <v>#REF!</v>
      </c>
    </row>
    <row r="8" spans="3:9">
      <c r="C8" s="38" t="s">
        <v>22</v>
      </c>
      <c r="D8" s="52">
        <v>1700000</v>
      </c>
      <c r="E8" s="52">
        <v>2500000</v>
      </c>
      <c r="F8" s="32" t="s">
        <v>55</v>
      </c>
      <c r="G8" s="77" t="e">
        <f t="shared" si="0"/>
        <v>#REF!</v>
      </c>
      <c r="H8" s="39" t="e">
        <f>SUM('PnL (A)'!#REF!)</f>
        <v>#REF!</v>
      </c>
    </row>
    <row r="9" spans="3:9">
      <c r="C9" s="38" t="s">
        <v>40</v>
      </c>
      <c r="D9" s="52">
        <v>75000</v>
      </c>
      <c r="E9" s="32"/>
      <c r="F9" s="84" t="s">
        <v>56</v>
      </c>
      <c r="G9" s="77" t="e">
        <f>H9/H$11</f>
        <v>#REF!</v>
      </c>
      <c r="H9" s="39" t="e">
        <f>SUM('PnL (A)'!#REF!)</f>
        <v>#REF!</v>
      </c>
    </row>
    <row r="10" spans="3:9">
      <c r="C10" s="38" t="s">
        <v>41</v>
      </c>
      <c r="D10" s="32">
        <v>1</v>
      </c>
      <c r="E10" s="32"/>
      <c r="F10" s="32"/>
      <c r="G10" s="32"/>
      <c r="H10" s="40"/>
    </row>
    <row r="11" spans="3:9">
      <c r="C11" s="38" t="s">
        <v>15</v>
      </c>
      <c r="D11" s="32"/>
      <c r="E11" s="32"/>
      <c r="F11" s="32"/>
      <c r="G11" s="32"/>
      <c r="H11" s="41" t="e">
        <f>SUM(H6:H10)</f>
        <v>#REF!</v>
      </c>
    </row>
    <row r="12" spans="3:9" ht="16" thickBot="1">
      <c r="C12" s="56"/>
      <c r="D12" s="46"/>
      <c r="E12" s="46"/>
      <c r="F12" s="46"/>
      <c r="G12" s="46"/>
      <c r="H12" s="57"/>
    </row>
    <row r="13" spans="3:9" ht="16" thickBot="1">
      <c r="C13" s="58"/>
      <c r="D13" s="32"/>
      <c r="E13" s="32"/>
      <c r="F13" s="32"/>
      <c r="G13" s="32"/>
      <c r="H13" s="59"/>
      <c r="I13" s="32"/>
    </row>
    <row r="14" spans="3:9">
      <c r="C14" s="61"/>
      <c r="D14" s="62" t="s">
        <v>29</v>
      </c>
      <c r="E14" s="49"/>
      <c r="F14" s="49"/>
      <c r="G14" s="49"/>
      <c r="H14" s="63" t="s">
        <v>34</v>
      </c>
    </row>
    <row r="15" spans="3:9">
      <c r="C15" s="64" t="s">
        <v>43</v>
      </c>
      <c r="D15" s="65">
        <v>0.12</v>
      </c>
      <c r="E15" s="66"/>
      <c r="F15" s="66"/>
      <c r="G15" s="66"/>
      <c r="H15" s="67">
        <v>0.12</v>
      </c>
    </row>
    <row r="16" spans="3:9">
      <c r="C16" s="38" t="s">
        <v>44</v>
      </c>
      <c r="D16" s="43">
        <v>1.7500000000000002E-2</v>
      </c>
      <c r="E16" s="32"/>
      <c r="F16" s="32"/>
      <c r="G16" s="32"/>
      <c r="H16" s="44">
        <f>D16</f>
        <v>1.7500000000000002E-2</v>
      </c>
    </row>
    <row r="17" spans="2:12">
      <c r="C17" s="38" t="s">
        <v>45</v>
      </c>
      <c r="D17" s="52">
        <v>350000</v>
      </c>
      <c r="E17" s="32"/>
      <c r="F17" s="32"/>
      <c r="G17" s="32"/>
      <c r="H17" s="53">
        <f>D17</f>
        <v>350000</v>
      </c>
    </row>
    <row r="18" spans="2:12">
      <c r="C18" s="38" t="s">
        <v>24</v>
      </c>
      <c r="D18" s="43" t="e">
        <f>'PnL (A)'!#REF!</f>
        <v>#REF!</v>
      </c>
      <c r="E18" s="32"/>
      <c r="F18" s="32"/>
      <c r="G18" s="32"/>
      <c r="H18" s="44" t="e">
        <f>'PnL (A)'!#REF!</f>
        <v>#REF!</v>
      </c>
    </row>
    <row r="19" spans="2:12">
      <c r="C19" s="38" t="s">
        <v>46</v>
      </c>
      <c r="D19" s="42">
        <v>0.15</v>
      </c>
      <c r="E19" s="32"/>
      <c r="F19" s="32"/>
      <c r="G19" s="32"/>
      <c r="H19" s="44">
        <f>D19</f>
        <v>0.15</v>
      </c>
    </row>
    <row r="20" spans="2:12">
      <c r="C20" s="38" t="s">
        <v>47</v>
      </c>
      <c r="D20" s="32">
        <v>1</v>
      </c>
      <c r="E20" s="32"/>
      <c r="F20" s="32"/>
      <c r="G20" s="32"/>
      <c r="H20" s="40">
        <f>D20</f>
        <v>1</v>
      </c>
    </row>
    <row r="21" spans="2:12" ht="16" thickBot="1">
      <c r="C21" s="45"/>
      <c r="D21" s="46"/>
      <c r="E21" s="46"/>
      <c r="F21" s="46"/>
      <c r="G21" s="46"/>
      <c r="H21" s="47"/>
    </row>
    <row r="23" spans="2:12" ht="21.5" thickBot="1">
      <c r="C23" s="68"/>
      <c r="D23" s="656" t="s">
        <v>49</v>
      </c>
      <c r="E23" s="656"/>
      <c r="F23" s="656"/>
      <c r="G23" s="656"/>
      <c r="H23" s="656"/>
      <c r="L23" s="1" t="s">
        <v>21</v>
      </c>
    </row>
    <row r="24" spans="2:12" s="21" customFormat="1">
      <c r="C24" s="69"/>
      <c r="D24" s="60" t="s">
        <v>27</v>
      </c>
      <c r="E24" s="60"/>
      <c r="F24" s="85" t="s">
        <v>32</v>
      </c>
      <c r="G24" s="60"/>
      <c r="H24" s="55" t="s">
        <v>33</v>
      </c>
    </row>
    <row r="25" spans="2:12" s="23" customFormat="1">
      <c r="C25" s="70" t="s">
        <v>52</v>
      </c>
      <c r="D25" s="54" t="s">
        <v>35</v>
      </c>
      <c r="E25" s="54"/>
      <c r="F25" s="86" t="s">
        <v>36</v>
      </c>
      <c r="G25" s="54"/>
      <c r="H25" s="51" t="s">
        <v>37</v>
      </c>
    </row>
    <row r="26" spans="2:12">
      <c r="C26" s="36" t="s">
        <v>28</v>
      </c>
      <c r="D26" s="71">
        <f>'PnL (A)'!C25</f>
        <v>62500000</v>
      </c>
      <c r="E26" s="37"/>
      <c r="F26" s="87" t="e">
        <f>-'PnL (A)'!#REF!</f>
        <v>#REF!</v>
      </c>
      <c r="G26" s="37"/>
      <c r="H26" s="72" t="e">
        <f>-'PnL (A)'!#REF!</f>
        <v>#REF!</v>
      </c>
    </row>
    <row r="27" spans="2:12">
      <c r="C27" s="36" t="s">
        <v>31</v>
      </c>
      <c r="D27" s="71">
        <v>0</v>
      </c>
      <c r="E27" s="37"/>
      <c r="F27" s="87" t="e">
        <f>-SUM('PnL (A)'!#REF!)</f>
        <v>#REF!</v>
      </c>
      <c r="G27" s="37"/>
      <c r="H27" s="72">
        <v>0</v>
      </c>
    </row>
    <row r="28" spans="2:12" ht="16" thickBot="1">
      <c r="C28" s="36" t="s">
        <v>0</v>
      </c>
      <c r="D28" s="73" t="e">
        <f>'PnL (A)'!#REF!</f>
        <v>#REF!</v>
      </c>
      <c r="E28" s="37"/>
      <c r="F28" s="88" t="e">
        <f>'PnL (A)'!#REF!</f>
        <v>#REF!</v>
      </c>
      <c r="G28" s="37"/>
      <c r="H28" s="74" t="e">
        <f>'PnL (A)'!#REF!</f>
        <v>#REF!</v>
      </c>
    </row>
    <row r="29" spans="2:12" ht="16" thickBot="1">
      <c r="B29" s="29"/>
      <c r="C29" s="78" t="s">
        <v>5</v>
      </c>
      <c r="D29" s="79" t="e">
        <f>'PnL (A)'!#REF!</f>
        <v>#REF!</v>
      </c>
      <c r="E29" s="30"/>
      <c r="F29" s="80" t="e">
        <f>'PnL (A)'!#REF!</f>
        <v>#REF!</v>
      </c>
      <c r="G29" s="30"/>
      <c r="H29" s="81" t="e">
        <f>'PnL (A)'!#REF!</f>
        <v>#REF!</v>
      </c>
      <c r="I29" s="31"/>
    </row>
    <row r="30" spans="2:12" ht="16" thickBot="1">
      <c r="C30" s="36" t="s">
        <v>6</v>
      </c>
      <c r="D30" s="73" t="e">
        <f>'PnL (A)'!#REF!</f>
        <v>#REF!</v>
      </c>
      <c r="E30" s="37"/>
      <c r="F30" s="88" t="e">
        <f>'PnL (A)'!#REF!</f>
        <v>#REF!</v>
      </c>
      <c r="G30" s="37"/>
      <c r="H30" s="74" t="e">
        <f>'PnL (A)'!#REF!</f>
        <v>#REF!</v>
      </c>
    </row>
    <row r="31" spans="2:12" ht="16" thickBot="1">
      <c r="B31" s="25"/>
      <c r="C31" s="82" t="s">
        <v>1</v>
      </c>
      <c r="D31" s="83" t="e">
        <f>'PnL (A)'!#REF!</f>
        <v>#REF!</v>
      </c>
      <c r="E31" s="27"/>
      <c r="F31" s="102" t="e">
        <f>'PnL (A)'!#REF!</f>
        <v>#REF!</v>
      </c>
      <c r="G31" s="27"/>
      <c r="H31" s="106" t="e">
        <f>'PnL (A)'!#REF!</f>
        <v>#REF!</v>
      </c>
      <c r="I31" s="28"/>
    </row>
    <row r="32" spans="2:12" ht="16" thickBot="1">
      <c r="C32" s="45"/>
      <c r="D32" s="46"/>
      <c r="E32" s="46"/>
      <c r="F32" s="89"/>
      <c r="G32" s="46"/>
      <c r="H32" s="47"/>
    </row>
  </sheetData>
  <mergeCells count="1">
    <mergeCell ref="D23:H2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Z88"/>
  <sheetViews>
    <sheetView showGridLines="0" topLeftCell="A33" zoomScale="90" zoomScaleNormal="90" workbookViewId="0">
      <selection activeCell="F53" sqref="F53"/>
    </sheetView>
  </sheetViews>
  <sheetFormatPr defaultColWidth="10.58203125" defaultRowHeight="15.5"/>
  <cols>
    <col min="1" max="1" width="4.08203125" style="400" customWidth="1"/>
    <col min="2" max="2" width="3.58203125" style="400" customWidth="1"/>
    <col min="3" max="3" width="4.58203125" style="400" customWidth="1"/>
    <col min="4" max="4" width="19.58203125" style="400" customWidth="1"/>
    <col min="5" max="5" width="8.6640625" style="400" customWidth="1"/>
    <col min="6" max="6" width="16" style="400" customWidth="1"/>
    <col min="7" max="7" width="13.1640625" style="403" customWidth="1"/>
    <col min="8" max="8" width="17.6640625" style="400" customWidth="1"/>
    <col min="9" max="9" width="15.58203125" style="400" bestFit="1" customWidth="1"/>
    <col min="10" max="10" width="15.1640625" style="400" bestFit="1" customWidth="1"/>
    <col min="11" max="11" width="13.08203125" style="400" bestFit="1" customWidth="1"/>
    <col min="12" max="12" width="12.58203125" style="400" bestFit="1" customWidth="1"/>
    <col min="13" max="17" width="11.58203125" style="400" hidden="1" customWidth="1"/>
    <col min="18" max="18" width="20.83203125" style="399" customWidth="1"/>
    <col min="19" max="19" width="12.6640625" style="400" bestFit="1" customWidth="1"/>
    <col min="20" max="23" width="15" style="400" bestFit="1" customWidth="1"/>
    <col min="24" max="24" width="15.58203125" style="400" bestFit="1" customWidth="1"/>
    <col min="25" max="25" width="11.58203125" style="400" bestFit="1" customWidth="1"/>
    <col min="26" max="16384" width="10.58203125" style="400"/>
  </cols>
  <sheetData>
    <row r="1" spans="1:26" s="399" customFormat="1" ht="26">
      <c r="B1" s="399" t="s">
        <v>193</v>
      </c>
      <c r="C1" s="400"/>
      <c r="G1" s="401"/>
      <c r="L1" s="521"/>
      <c r="M1" s="521"/>
      <c r="N1" s="521"/>
      <c r="O1" s="521"/>
      <c r="P1" s="521"/>
      <c r="Q1" s="522"/>
      <c r="R1" s="523" t="s">
        <v>378</v>
      </c>
    </row>
    <row r="2" spans="1:26">
      <c r="B2" s="402" t="s">
        <v>292</v>
      </c>
      <c r="I2" s="404"/>
      <c r="L2" s="405" t="s">
        <v>293</v>
      </c>
    </row>
    <row r="3" spans="1:26">
      <c r="C3" s="400" t="s">
        <v>294</v>
      </c>
      <c r="F3" s="406">
        <v>0.02</v>
      </c>
      <c r="I3" s="407"/>
      <c r="K3" s="408"/>
      <c r="L3" s="409"/>
      <c r="R3" s="410"/>
      <c r="S3" s="411"/>
      <c r="T3" s="411"/>
    </row>
    <row r="4" spans="1:26">
      <c r="C4" s="400" t="s">
        <v>295</v>
      </c>
      <c r="F4" s="406">
        <v>0.1</v>
      </c>
      <c r="I4" s="407"/>
      <c r="K4" s="412"/>
      <c r="L4" s="409"/>
      <c r="R4" s="410"/>
      <c r="S4" s="411"/>
      <c r="T4" s="411"/>
    </row>
    <row r="5" spans="1:26">
      <c r="C5" s="400" t="s">
        <v>90</v>
      </c>
      <c r="F5" s="406">
        <v>0.05</v>
      </c>
      <c r="G5" s="403" t="s">
        <v>297</v>
      </c>
      <c r="I5" s="407"/>
      <c r="K5" s="408"/>
      <c r="L5" s="409"/>
    </row>
    <row r="6" spans="1:26">
      <c r="C6" s="400" t="s">
        <v>296</v>
      </c>
      <c r="F6" s="413">
        <v>1.7500000000000002E-2</v>
      </c>
      <c r="G6" s="403" t="s">
        <v>297</v>
      </c>
      <c r="K6" s="412"/>
    </row>
    <row r="7" spans="1:26">
      <c r="C7" s="400" t="s">
        <v>298</v>
      </c>
      <c r="F7" s="406">
        <v>0.15</v>
      </c>
    </row>
    <row r="8" spans="1:26">
      <c r="G8" s="414"/>
      <c r="I8" s="415"/>
      <c r="J8" s="415"/>
      <c r="K8" s="415"/>
      <c r="L8" s="415"/>
      <c r="M8" s="415"/>
      <c r="N8" s="415"/>
      <c r="O8" s="415"/>
      <c r="P8" s="415"/>
      <c r="Q8" s="415"/>
      <c r="R8" s="415"/>
      <c r="S8" s="415"/>
      <c r="T8" s="415"/>
      <c r="U8" s="416"/>
      <c r="V8" s="415"/>
      <c r="W8" s="415"/>
      <c r="X8" s="415"/>
      <c r="Y8" s="415"/>
      <c r="Z8" s="415"/>
    </row>
    <row r="9" spans="1:26">
      <c r="G9" s="414"/>
      <c r="I9" s="415"/>
      <c r="J9" s="415"/>
      <c r="K9" s="415"/>
      <c r="L9" s="415"/>
      <c r="M9" s="415"/>
      <c r="N9" s="415"/>
      <c r="O9" s="415"/>
      <c r="P9" s="415"/>
      <c r="Q9" s="415"/>
      <c r="R9" s="415"/>
      <c r="S9" s="415"/>
      <c r="T9" s="415"/>
      <c r="U9" s="416"/>
      <c r="V9" s="415"/>
      <c r="W9" s="415"/>
      <c r="X9" s="415"/>
      <c r="Y9" s="415"/>
      <c r="Z9" s="415"/>
    </row>
    <row r="10" spans="1:26" ht="16" thickBot="1">
      <c r="G10" s="414"/>
      <c r="I10" s="415"/>
      <c r="J10" s="415"/>
      <c r="K10" s="415"/>
      <c r="L10" s="415"/>
      <c r="M10" s="415"/>
      <c r="N10" s="415"/>
      <c r="O10" s="415"/>
      <c r="P10" s="415"/>
      <c r="Q10" s="415"/>
      <c r="R10" s="415"/>
      <c r="S10" s="415"/>
      <c r="T10" s="415"/>
      <c r="U10" s="416"/>
      <c r="V10" s="415"/>
      <c r="W10" s="415"/>
      <c r="X10" s="415"/>
      <c r="Y10" s="415"/>
      <c r="Z10" s="415"/>
    </row>
    <row r="11" spans="1:26" s="399" customFormat="1">
      <c r="B11" s="399" t="s">
        <v>373</v>
      </c>
      <c r="G11" s="417" t="s">
        <v>299</v>
      </c>
      <c r="H11" s="418" t="s">
        <v>216</v>
      </c>
      <c r="I11" s="418" t="s">
        <v>215</v>
      </c>
      <c r="J11" s="418" t="s">
        <v>214</v>
      </c>
      <c r="K11" s="418" t="s">
        <v>213</v>
      </c>
      <c r="L11" s="418" t="s">
        <v>212</v>
      </c>
      <c r="M11" s="418" t="s">
        <v>300</v>
      </c>
      <c r="N11" s="418" t="s">
        <v>301</v>
      </c>
      <c r="O11" s="418" t="s">
        <v>302</v>
      </c>
      <c r="P11" s="418" t="s">
        <v>303</v>
      </c>
      <c r="Q11" s="418" t="s">
        <v>304</v>
      </c>
      <c r="R11" s="419" t="s">
        <v>15</v>
      </c>
      <c r="S11" s="415"/>
      <c r="T11" s="415"/>
      <c r="U11" s="420"/>
      <c r="V11" s="415"/>
      <c r="W11" s="415"/>
      <c r="X11" s="415"/>
      <c r="Y11" s="415"/>
      <c r="Z11" s="415"/>
    </row>
    <row r="12" spans="1:26">
      <c r="B12" s="422" t="s">
        <v>107</v>
      </c>
      <c r="G12" s="400"/>
      <c r="R12" s="421"/>
      <c r="S12" s="415"/>
      <c r="T12" s="415"/>
      <c r="U12" s="416"/>
      <c r="V12" s="415"/>
      <c r="W12" s="415"/>
      <c r="X12" s="415"/>
      <c r="Y12" s="415"/>
      <c r="Z12" s="415"/>
    </row>
    <row r="13" spans="1:26" s="423" customFormat="1">
      <c r="A13" s="611" t="s">
        <v>390</v>
      </c>
      <c r="D13" s="423" t="s">
        <v>385</v>
      </c>
      <c r="E13" s="423">
        <v>300</v>
      </c>
      <c r="F13" s="424" t="s">
        <v>380</v>
      </c>
      <c r="G13" s="425"/>
      <c r="H13" s="622">
        <f>300*Assumption!E9*1000000</f>
        <v>66000000</v>
      </c>
      <c r="I13" s="426">
        <f>(300*Assumption!F9*1000000)-H13</f>
        <v>36000000.000000015</v>
      </c>
      <c r="J13" s="426">
        <f>(300*Assumption!G9*1000000)-H13-I13</f>
        <v>41999999.999999985</v>
      </c>
      <c r="K13" s="426">
        <f>(300*Assumption!H9*1000000)-J13-I13-H13</f>
        <v>41999999.999999985</v>
      </c>
      <c r="L13" s="426">
        <f>(300*Assumption!I9*1000000)-K13-J13-I13-H13</f>
        <v>24000000</v>
      </c>
      <c r="M13" s="426"/>
      <c r="N13" s="426"/>
      <c r="O13" s="426"/>
      <c r="P13" s="426"/>
      <c r="Q13" s="427"/>
      <c r="R13" s="428">
        <f>SUM(G13:Q13)</f>
        <v>210000000</v>
      </c>
      <c r="S13" s="429"/>
      <c r="T13" s="429"/>
      <c r="U13" s="430"/>
      <c r="V13" s="429"/>
      <c r="W13" s="429"/>
      <c r="X13" s="429"/>
      <c r="Y13" s="429"/>
      <c r="Z13" s="429"/>
    </row>
    <row r="14" spans="1:26" s="423" customFormat="1">
      <c r="A14" s="611"/>
      <c r="D14" s="423" t="s">
        <v>387</v>
      </c>
      <c r="F14" s="424"/>
      <c r="G14" s="527"/>
      <c r="H14" s="621"/>
      <c r="I14" s="528"/>
      <c r="J14" s="528">
        <v>200000000</v>
      </c>
      <c r="K14" s="528"/>
      <c r="L14" s="528"/>
      <c r="M14" s="528"/>
      <c r="N14" s="528"/>
      <c r="O14" s="528"/>
      <c r="P14" s="528"/>
      <c r="Q14" s="529"/>
      <c r="R14" s="428">
        <f t="shared" ref="R14:R15" si="0">SUM(G14:Q14)</f>
        <v>200000000</v>
      </c>
      <c r="S14" s="429"/>
      <c r="T14" s="429"/>
      <c r="U14" s="430"/>
      <c r="V14" s="429"/>
      <c r="W14" s="429"/>
      <c r="X14" s="429"/>
      <c r="Y14" s="429"/>
      <c r="Z14" s="429"/>
    </row>
    <row r="15" spans="1:26" s="423" customFormat="1">
      <c r="A15" s="611"/>
      <c r="B15" s="422"/>
      <c r="F15" s="530"/>
      <c r="G15" s="527"/>
      <c r="H15" s="528"/>
      <c r="I15" s="528"/>
      <c r="J15" s="528"/>
      <c r="K15" s="528"/>
      <c r="L15" s="528"/>
      <c r="M15" s="528"/>
      <c r="N15" s="528"/>
      <c r="O15" s="528"/>
      <c r="P15" s="528"/>
      <c r="Q15" s="529"/>
      <c r="R15" s="428">
        <f t="shared" si="0"/>
        <v>0</v>
      </c>
      <c r="S15" s="429"/>
      <c r="T15" s="429"/>
      <c r="U15" s="430"/>
      <c r="V15" s="429"/>
      <c r="W15" s="429"/>
      <c r="X15" s="429"/>
      <c r="Y15" s="429"/>
      <c r="Z15" s="429"/>
    </row>
    <row r="16" spans="1:26" s="423" customFormat="1">
      <c r="B16" s="422"/>
      <c r="F16" s="424"/>
      <c r="G16" s="431"/>
      <c r="H16" s="432"/>
      <c r="I16" s="432">
        <f>$F$9*0</f>
        <v>0</v>
      </c>
      <c r="J16" s="432">
        <f>$F$9*0</f>
        <v>0</v>
      </c>
      <c r="K16" s="432">
        <f>$F$9*0</f>
        <v>0</v>
      </c>
      <c r="L16" s="432"/>
      <c r="M16" s="432"/>
      <c r="N16" s="432"/>
      <c r="O16" s="432"/>
      <c r="P16" s="432"/>
      <c r="Q16" s="433"/>
      <c r="R16" s="434">
        <f>SUM(G16:Q16)</f>
        <v>0</v>
      </c>
      <c r="S16" s="429"/>
      <c r="T16" s="429"/>
      <c r="U16" s="430"/>
      <c r="V16" s="429"/>
      <c r="W16" s="429"/>
      <c r="X16" s="429"/>
      <c r="Y16" s="429"/>
      <c r="Z16" s="429"/>
    </row>
    <row r="17" spans="2:26">
      <c r="F17" s="415"/>
      <c r="G17" s="429"/>
      <c r="H17" s="435">
        <f>SUM(H13:H16)</f>
        <v>66000000</v>
      </c>
      <c r="I17" s="435">
        <f>SUM(I13:I16)</f>
        <v>36000000.000000015</v>
      </c>
      <c r="J17" s="435">
        <f>SUM(J13:J16)</f>
        <v>242000000</v>
      </c>
      <c r="K17" s="435">
        <f t="shared" ref="K17:L17" si="1">SUM(K13:K16)</f>
        <v>41999999.999999985</v>
      </c>
      <c r="L17" s="435">
        <f t="shared" si="1"/>
        <v>24000000</v>
      </c>
      <c r="M17" s="415"/>
      <c r="N17" s="415"/>
      <c r="O17" s="415"/>
      <c r="P17" s="415"/>
      <c r="Q17" s="415"/>
      <c r="R17" s="533">
        <f>SUM(R13:R16)</f>
        <v>410000000</v>
      </c>
      <c r="S17" s="415"/>
      <c r="T17" s="415"/>
      <c r="U17" s="416"/>
      <c r="V17" s="415"/>
      <c r="W17" s="415"/>
      <c r="X17" s="415"/>
      <c r="Y17" s="415"/>
      <c r="Z17" s="415"/>
    </row>
    <row r="18" spans="2:26">
      <c r="F18" s="436"/>
      <c r="R18" s="421"/>
    </row>
    <row r="19" spans="2:26" ht="16" thickBot="1">
      <c r="B19" s="437" t="s">
        <v>305</v>
      </c>
      <c r="C19" s="438"/>
      <c r="D19" s="438"/>
      <c r="E19" s="438"/>
      <c r="F19" s="438"/>
      <c r="G19" s="439" t="s">
        <v>306</v>
      </c>
      <c r="H19" s="440">
        <v>2024</v>
      </c>
      <c r="I19" s="439">
        <f>H19+1</f>
        <v>2025</v>
      </c>
      <c r="J19" s="439">
        <f t="shared" ref="J19:Q19" si="2">I19+1</f>
        <v>2026</v>
      </c>
      <c r="K19" s="439">
        <f t="shared" si="2"/>
        <v>2027</v>
      </c>
      <c r="L19" s="439">
        <f t="shared" si="2"/>
        <v>2028</v>
      </c>
      <c r="M19" s="439">
        <f t="shared" si="2"/>
        <v>2029</v>
      </c>
      <c r="N19" s="439">
        <f t="shared" si="2"/>
        <v>2030</v>
      </c>
      <c r="O19" s="439">
        <f t="shared" si="2"/>
        <v>2031</v>
      </c>
      <c r="P19" s="439">
        <f t="shared" si="2"/>
        <v>2032</v>
      </c>
      <c r="Q19" s="439">
        <f t="shared" si="2"/>
        <v>2033</v>
      </c>
      <c r="R19" s="441" t="s">
        <v>15</v>
      </c>
      <c r="S19" s="442"/>
      <c r="T19" s="442"/>
      <c r="U19" s="442"/>
      <c r="V19" s="442"/>
      <c r="W19" s="442"/>
      <c r="X19" s="442"/>
    </row>
    <row r="20" spans="2:26">
      <c r="B20" s="400" t="s">
        <v>307</v>
      </c>
      <c r="G20" s="443">
        <v>12</v>
      </c>
      <c r="H20" s="443">
        <v>12</v>
      </c>
      <c r="I20" s="443">
        <v>12</v>
      </c>
      <c r="J20" s="443">
        <v>12</v>
      </c>
      <c r="K20" s="443">
        <v>12</v>
      </c>
      <c r="L20" s="443">
        <v>12</v>
      </c>
      <c r="M20" s="443">
        <v>12</v>
      </c>
      <c r="N20" s="443">
        <v>12</v>
      </c>
      <c r="O20" s="443">
        <v>12</v>
      </c>
      <c r="P20" s="443">
        <v>12</v>
      </c>
      <c r="Q20" s="443">
        <v>12</v>
      </c>
      <c r="R20" s="444"/>
    </row>
    <row r="21" spans="2:26">
      <c r="B21" s="445" t="s">
        <v>308</v>
      </c>
      <c r="M21" s="446">
        <v>0.1</v>
      </c>
      <c r="R21" s="444"/>
    </row>
    <row r="22" spans="2:26">
      <c r="R22" s="444"/>
    </row>
    <row r="23" spans="2:26">
      <c r="B23" s="399" t="s">
        <v>309</v>
      </c>
      <c r="E23" s="447"/>
      <c r="G23" s="448"/>
      <c r="H23" s="447"/>
      <c r="I23" s="449"/>
      <c r="J23" s="449"/>
      <c r="K23" s="449"/>
      <c r="L23" s="449"/>
      <c r="M23" s="449"/>
      <c r="N23" s="449"/>
      <c r="O23" s="449"/>
      <c r="P23" s="449"/>
      <c r="Q23" s="449"/>
      <c r="R23" s="444"/>
    </row>
    <row r="24" spans="2:26">
      <c r="C24" s="400" t="s">
        <v>388</v>
      </c>
      <c r="E24" s="450"/>
      <c r="G24" s="451"/>
      <c r="H24" s="452">
        <f>Revenue!E41</f>
        <v>146740000</v>
      </c>
      <c r="I24" s="452">
        <f>Revenue!F41</f>
        <v>334230000</v>
      </c>
      <c r="J24" s="452">
        <f>Revenue!G41</f>
        <v>486570000</v>
      </c>
      <c r="K24" s="452">
        <f>Revenue!H41</f>
        <v>649200000</v>
      </c>
      <c r="L24" s="452">
        <f>Revenue!I41</f>
        <v>771070000</v>
      </c>
      <c r="M24" s="451">
        <f>$K$3*0</f>
        <v>0</v>
      </c>
      <c r="N24" s="451">
        <f>$K$3*(1-$L$3)*0</f>
        <v>0</v>
      </c>
      <c r="O24" s="451">
        <f>$K$3*(1-$L$3)*0</f>
        <v>0</v>
      </c>
      <c r="P24" s="451">
        <f>$K$3*(1-$L$3)*0</f>
        <v>0</v>
      </c>
      <c r="Q24" s="451">
        <f>$K$3*(1-$L$3)*0</f>
        <v>0</v>
      </c>
      <c r="R24" s="453">
        <f>SUM($G24:Q24)</f>
        <v>2387810000</v>
      </c>
      <c r="S24" s="454"/>
      <c r="T24" s="454"/>
      <c r="U24" s="454"/>
      <c r="V24" s="454"/>
      <c r="W24" s="454"/>
      <c r="X24" s="455"/>
    </row>
    <row r="25" spans="2:26">
      <c r="B25" s="458" t="s">
        <v>310</v>
      </c>
      <c r="C25" s="458"/>
      <c r="D25" s="458"/>
      <c r="E25" s="657"/>
      <c r="F25" s="658"/>
      <c r="G25" s="459">
        <f t="shared" ref="G25:R25" si="3">SUM(G24:G24)</f>
        <v>0</v>
      </c>
      <c r="H25" s="459">
        <f t="shared" si="3"/>
        <v>146740000</v>
      </c>
      <c r="I25" s="459">
        <f t="shared" si="3"/>
        <v>334230000</v>
      </c>
      <c r="J25" s="459">
        <f t="shared" si="3"/>
        <v>486570000</v>
      </c>
      <c r="K25" s="459">
        <f t="shared" si="3"/>
        <v>649200000</v>
      </c>
      <c r="L25" s="459">
        <f t="shared" si="3"/>
        <v>771070000</v>
      </c>
      <c r="M25" s="459">
        <f t="shared" si="3"/>
        <v>0</v>
      </c>
      <c r="N25" s="459">
        <f t="shared" si="3"/>
        <v>0</v>
      </c>
      <c r="O25" s="459">
        <f t="shared" si="3"/>
        <v>0</v>
      </c>
      <c r="P25" s="459">
        <f t="shared" si="3"/>
        <v>0</v>
      </c>
      <c r="Q25" s="459">
        <f t="shared" si="3"/>
        <v>0</v>
      </c>
      <c r="R25" s="460">
        <f t="shared" si="3"/>
        <v>2387810000</v>
      </c>
      <c r="S25" s="456">
        <f>SUM(G25:Q25)-R25</f>
        <v>0</v>
      </c>
      <c r="T25" s="454"/>
      <c r="U25" s="456"/>
      <c r="V25" s="456"/>
      <c r="W25" s="456"/>
      <c r="X25" s="456"/>
      <c r="Y25" s="411"/>
    </row>
    <row r="26" spans="2:26">
      <c r="R26" s="444"/>
      <c r="S26" s="411"/>
      <c r="T26" s="454"/>
      <c r="U26" s="411"/>
      <c r="V26" s="411"/>
      <c r="W26" s="411"/>
      <c r="X26" s="411"/>
      <c r="Y26" s="411"/>
    </row>
    <row r="27" spans="2:26">
      <c r="B27" s="399" t="s">
        <v>43</v>
      </c>
      <c r="E27" s="447"/>
      <c r="F27" s="447"/>
      <c r="G27" s="448"/>
      <c r="H27" s="612"/>
      <c r="I27" s="612"/>
      <c r="J27" s="612"/>
      <c r="K27" s="612"/>
      <c r="L27" s="612"/>
      <c r="M27" s="449"/>
      <c r="N27" s="449"/>
      <c r="O27" s="449"/>
      <c r="P27" s="449"/>
      <c r="Q27" s="449"/>
      <c r="R27" s="461"/>
      <c r="S27" s="462"/>
      <c r="T27" s="454"/>
      <c r="U27" s="462"/>
      <c r="V27" s="462"/>
      <c r="W27" s="462"/>
      <c r="X27" s="411"/>
      <c r="Y27" s="411"/>
    </row>
    <row r="28" spans="2:26">
      <c r="C28" s="400" t="s">
        <v>323</v>
      </c>
      <c r="F28" s="524" t="s">
        <v>389</v>
      </c>
      <c r="G28" s="454" t="s">
        <v>297</v>
      </c>
      <c r="H28" s="454">
        <f>34%*H25</f>
        <v>49891600</v>
      </c>
      <c r="I28" s="454">
        <f>34%*I25</f>
        <v>113638200.00000001</v>
      </c>
      <c r="J28" s="454">
        <f>34%*J25</f>
        <v>165433800</v>
      </c>
      <c r="K28" s="454">
        <f>K25*34%</f>
        <v>220728000.00000003</v>
      </c>
      <c r="L28" s="454">
        <f>L25*34%</f>
        <v>262163800.00000003</v>
      </c>
      <c r="M28" s="454"/>
      <c r="N28" s="454"/>
      <c r="O28" s="454"/>
      <c r="P28" s="454"/>
      <c r="Q28" s="454"/>
      <c r="R28" s="453">
        <f>SUM($H28:Q28)</f>
        <v>811855400</v>
      </c>
      <c r="S28" s="456"/>
      <c r="T28" s="454"/>
      <c r="U28" s="456"/>
      <c r="V28" s="456"/>
      <c r="W28" s="456"/>
      <c r="X28" s="457"/>
      <c r="Y28" s="411"/>
    </row>
    <row r="29" spans="2:26">
      <c r="C29" s="400" t="s">
        <v>324</v>
      </c>
      <c r="F29" s="400" t="s">
        <v>379</v>
      </c>
      <c r="G29" s="400" t="s">
        <v>391</v>
      </c>
      <c r="H29" s="454">
        <f>13*10000000*1/2</f>
        <v>65000000</v>
      </c>
      <c r="I29" s="454">
        <f>13*10000000*1</f>
        <v>130000000</v>
      </c>
      <c r="J29" s="454">
        <f t="shared" ref="J29:L29" si="4">I29</f>
        <v>130000000</v>
      </c>
      <c r="K29" s="454">
        <f t="shared" si="4"/>
        <v>130000000</v>
      </c>
      <c r="L29" s="454">
        <f t="shared" si="4"/>
        <v>130000000</v>
      </c>
      <c r="M29" s="454"/>
      <c r="N29" s="454"/>
      <c r="O29" s="454"/>
      <c r="P29" s="454"/>
      <c r="Q29" s="454"/>
      <c r="R29" s="453">
        <f>SUM($H29:Q29)</f>
        <v>585000000</v>
      </c>
      <c r="S29" s="456"/>
      <c r="T29" s="454"/>
      <c r="U29" s="456"/>
      <c r="V29" s="456"/>
      <c r="W29" s="456"/>
      <c r="X29" s="457"/>
      <c r="Y29" s="411"/>
    </row>
    <row r="30" spans="2:26">
      <c r="C30" s="400" t="s">
        <v>377</v>
      </c>
      <c r="F30" s="524" t="s">
        <v>384</v>
      </c>
      <c r="G30" s="454"/>
      <c r="H30" s="617">
        <v>15000000</v>
      </c>
      <c r="I30" s="617">
        <v>30000000</v>
      </c>
      <c r="J30" s="617">
        <f>I30</f>
        <v>30000000</v>
      </c>
      <c r="K30" s="617">
        <f>J30</f>
        <v>30000000</v>
      </c>
      <c r="L30" s="617">
        <f>K30</f>
        <v>30000000</v>
      </c>
      <c r="M30" s="454">
        <f>200000000*0.5*0</f>
        <v>0</v>
      </c>
      <c r="N30" s="454">
        <f>200000000*0.5*0</f>
        <v>0</v>
      </c>
      <c r="O30" s="454">
        <f>200000000*0.5*0</f>
        <v>0</v>
      </c>
      <c r="P30" s="454">
        <f>200000000*0.5*0</f>
        <v>0</v>
      </c>
      <c r="Q30" s="454">
        <f>200000000*0.5*0</f>
        <v>0</v>
      </c>
      <c r="R30" s="453">
        <f>SUM($H30:Q30)</f>
        <v>135000000</v>
      </c>
      <c r="S30" s="456"/>
      <c r="T30" s="456"/>
      <c r="U30" s="456"/>
      <c r="V30" s="456"/>
      <c r="W30" s="456"/>
      <c r="X30" s="457"/>
      <c r="Y30" s="411"/>
    </row>
    <row r="31" spans="2:26" hidden="1">
      <c r="F31" s="608"/>
      <c r="G31" s="463"/>
      <c r="H31" s="454">
        <f>'Calculation Sheet'!E92*0</f>
        <v>0</v>
      </c>
      <c r="I31" s="454">
        <f>H31</f>
        <v>0</v>
      </c>
      <c r="J31" s="454">
        <f t="shared" ref="J31:L31" si="5">I31</f>
        <v>0</v>
      </c>
      <c r="K31" s="454">
        <f t="shared" si="5"/>
        <v>0</v>
      </c>
      <c r="L31" s="454">
        <f t="shared" si="5"/>
        <v>0</v>
      </c>
      <c r="M31" s="454"/>
      <c r="N31" s="454"/>
      <c r="O31" s="454"/>
      <c r="P31" s="454"/>
      <c r="Q31" s="454"/>
      <c r="R31" s="453">
        <f>SUM($H31:Q31)</f>
        <v>0</v>
      </c>
      <c r="S31" s="456"/>
      <c r="T31" s="456"/>
      <c r="U31" s="456"/>
      <c r="V31" s="456"/>
      <c r="W31" s="456"/>
      <c r="X31" s="457"/>
      <c r="Y31" s="411"/>
    </row>
    <row r="32" spans="2:26" hidden="1">
      <c r="F32" s="413"/>
      <c r="H32" s="463">
        <f>H25*10%*0</f>
        <v>0</v>
      </c>
      <c r="I32" s="463">
        <f>I25*10%*0</f>
        <v>0</v>
      </c>
      <c r="J32" s="618"/>
      <c r="K32" s="618"/>
      <c r="L32" s="618"/>
      <c r="M32" s="463">
        <f>M25*$F$32</f>
        <v>0</v>
      </c>
      <c r="N32" s="463">
        <f>N25*$F$32</f>
        <v>0</v>
      </c>
      <c r="O32" s="463">
        <f>O25*$F$32</f>
        <v>0</v>
      </c>
      <c r="P32" s="463">
        <f>P25*$F$32</f>
        <v>0</v>
      </c>
      <c r="Q32" s="463">
        <f>Q25*$F$32</f>
        <v>0</v>
      </c>
      <c r="R32" s="453">
        <f>SUM($H32:Q32)</f>
        <v>0</v>
      </c>
      <c r="S32" s="456"/>
      <c r="T32" s="456"/>
      <c r="U32" s="456"/>
      <c r="V32" s="456"/>
      <c r="W32" s="456"/>
      <c r="X32" s="457"/>
      <c r="Y32" s="411"/>
    </row>
    <row r="33" spans="2:25">
      <c r="B33" s="464"/>
      <c r="C33" s="464" t="s">
        <v>311</v>
      </c>
      <c r="D33" s="464"/>
      <c r="E33" s="464"/>
      <c r="F33" s="465"/>
      <c r="G33" s="466"/>
      <c r="H33" s="466">
        <f>'Parameter Interest'!B65</f>
        <v>20000000</v>
      </c>
      <c r="I33" s="466">
        <f>'Parameter Interest'!C65</f>
        <v>20400000</v>
      </c>
      <c r="J33" s="466">
        <f>'Parameter Interest'!D65</f>
        <v>20808000</v>
      </c>
      <c r="K33" s="466">
        <f>'Parameter Interest'!E65</f>
        <v>21224160</v>
      </c>
      <c r="L33" s="466">
        <f>'Parameter Interest'!F65</f>
        <v>21648643.199999999</v>
      </c>
      <c r="M33" s="466">
        <f>[75]PARAMETER!G10*0</f>
        <v>0</v>
      </c>
      <c r="N33" s="466">
        <f>[75]PARAMETER!H10*0</f>
        <v>0</v>
      </c>
      <c r="O33" s="466">
        <f>[75]PARAMETER!I10*0</f>
        <v>0</v>
      </c>
      <c r="P33" s="466">
        <f>[75]PARAMETER!J10*0</f>
        <v>0</v>
      </c>
      <c r="Q33" s="466">
        <f>[75]PARAMETER!K10*0</f>
        <v>0</v>
      </c>
      <c r="R33" s="453">
        <f>SUM($G33:Q33)</f>
        <v>104080803.2</v>
      </c>
      <c r="S33" s="467"/>
      <c r="T33" s="467"/>
      <c r="U33" s="467"/>
      <c r="V33" s="467"/>
      <c r="W33" s="467"/>
      <c r="X33" s="457"/>
      <c r="Y33" s="411"/>
    </row>
    <row r="34" spans="2:25" s="399" customFormat="1">
      <c r="B34" s="458" t="s">
        <v>92</v>
      </c>
      <c r="C34" s="458"/>
      <c r="D34" s="458"/>
      <c r="E34" s="458"/>
      <c r="F34" s="458"/>
      <c r="G34" s="459">
        <f t="shared" ref="G34:R34" si="6">SUM(G28:G33)</f>
        <v>0</v>
      </c>
      <c r="H34" s="459">
        <f t="shared" si="6"/>
        <v>149891600</v>
      </c>
      <c r="I34" s="459">
        <f t="shared" si="6"/>
        <v>294038200</v>
      </c>
      <c r="J34" s="459">
        <f t="shared" si="6"/>
        <v>346241800</v>
      </c>
      <c r="K34" s="459">
        <f t="shared" si="6"/>
        <v>401952160</v>
      </c>
      <c r="L34" s="459">
        <f t="shared" si="6"/>
        <v>443812443.19999999</v>
      </c>
      <c r="M34" s="459">
        <f t="shared" si="6"/>
        <v>0</v>
      </c>
      <c r="N34" s="459">
        <f t="shared" si="6"/>
        <v>0</v>
      </c>
      <c r="O34" s="459">
        <f t="shared" si="6"/>
        <v>0</v>
      </c>
      <c r="P34" s="459">
        <f t="shared" si="6"/>
        <v>0</v>
      </c>
      <c r="Q34" s="459">
        <f t="shared" si="6"/>
        <v>0</v>
      </c>
      <c r="R34" s="468">
        <f t="shared" si="6"/>
        <v>1635936203.2</v>
      </c>
      <c r="S34" s="632">
        <f>R34/R25</f>
        <v>0.68511992294194268</v>
      </c>
      <c r="T34" s="469"/>
      <c r="U34" s="469"/>
      <c r="V34" s="469"/>
      <c r="W34" s="469"/>
      <c r="X34" s="469"/>
      <c r="Y34" s="410"/>
    </row>
    <row r="35" spans="2:25" s="399" customFormat="1">
      <c r="B35" s="399" t="s">
        <v>312</v>
      </c>
      <c r="G35" s="470">
        <f t="shared" ref="G35:R35" si="7">G25-G34</f>
        <v>0</v>
      </c>
      <c r="H35" s="470">
        <f t="shared" si="7"/>
        <v>-3151600</v>
      </c>
      <c r="I35" s="470">
        <f t="shared" si="7"/>
        <v>40191800</v>
      </c>
      <c r="J35" s="470">
        <f t="shared" si="7"/>
        <v>140328200</v>
      </c>
      <c r="K35" s="470">
        <f t="shared" si="7"/>
        <v>247247840</v>
      </c>
      <c r="L35" s="470">
        <f t="shared" si="7"/>
        <v>327257556.80000001</v>
      </c>
      <c r="M35" s="470">
        <f t="shared" si="7"/>
        <v>0</v>
      </c>
      <c r="N35" s="470">
        <f t="shared" si="7"/>
        <v>0</v>
      </c>
      <c r="O35" s="470">
        <f t="shared" si="7"/>
        <v>0</v>
      </c>
      <c r="P35" s="470">
        <f t="shared" si="7"/>
        <v>0</v>
      </c>
      <c r="Q35" s="470">
        <f t="shared" si="7"/>
        <v>0</v>
      </c>
      <c r="R35" s="471">
        <f t="shared" si="7"/>
        <v>751873796.79999995</v>
      </c>
      <c r="S35" s="456">
        <f>SUM(G35:Q35)-R35</f>
        <v>0</v>
      </c>
      <c r="T35" s="469"/>
      <c r="U35" s="469"/>
      <c r="V35" s="469"/>
      <c r="W35" s="469"/>
      <c r="X35" s="469"/>
      <c r="Y35" s="410"/>
    </row>
    <row r="36" spans="2:25" s="399" customFormat="1">
      <c r="B36" s="472" t="s">
        <v>313</v>
      </c>
      <c r="C36" s="473"/>
      <c r="D36" s="473"/>
      <c r="E36" s="473"/>
      <c r="F36" s="473"/>
      <c r="G36" s="474"/>
      <c r="H36" s="474">
        <f t="shared" ref="H36:R36" si="8">H35/H25</f>
        <v>-2.1477443096633502E-2</v>
      </c>
      <c r="I36" s="474">
        <f t="shared" si="8"/>
        <v>0.12025192232893517</v>
      </c>
      <c r="J36" s="474">
        <f t="shared" si="8"/>
        <v>0.28840290194627699</v>
      </c>
      <c r="K36" s="474">
        <f t="shared" si="8"/>
        <v>0.38085003080714724</v>
      </c>
      <c r="L36" s="474">
        <f t="shared" si="8"/>
        <v>0.42442003553503577</v>
      </c>
      <c r="M36" s="474" t="e">
        <f t="shared" si="8"/>
        <v>#DIV/0!</v>
      </c>
      <c r="N36" s="474" t="e">
        <f t="shared" si="8"/>
        <v>#DIV/0!</v>
      </c>
      <c r="O36" s="474" t="e">
        <f t="shared" si="8"/>
        <v>#DIV/0!</v>
      </c>
      <c r="P36" s="474" t="e">
        <f t="shared" si="8"/>
        <v>#DIV/0!</v>
      </c>
      <c r="Q36" s="474" t="e">
        <f t="shared" si="8"/>
        <v>#DIV/0!</v>
      </c>
      <c r="R36" s="475">
        <f t="shared" si="8"/>
        <v>0.31488007705805737</v>
      </c>
      <c r="S36" s="476"/>
      <c r="T36" s="476"/>
      <c r="U36" s="476"/>
      <c r="V36" s="476"/>
      <c r="W36" s="476"/>
      <c r="X36" s="476"/>
      <c r="Y36" s="410"/>
    </row>
    <row r="37" spans="2:25">
      <c r="R37" s="444"/>
      <c r="S37" s="411"/>
      <c r="T37" s="411"/>
      <c r="U37" s="411"/>
      <c r="V37" s="411"/>
      <c r="W37" s="411"/>
      <c r="X37" s="411"/>
      <c r="Y37" s="411"/>
    </row>
    <row r="38" spans="2:25">
      <c r="B38" s="464" t="s">
        <v>314</v>
      </c>
      <c r="C38" s="464"/>
      <c r="D38" s="464"/>
      <c r="E38" s="464"/>
      <c r="F38" s="464"/>
      <c r="G38" s="477"/>
      <c r="H38" s="477">
        <f>H67</f>
        <v>0</v>
      </c>
      <c r="I38" s="477">
        <f t="shared" ref="I38:L38" si="9">I67</f>
        <v>0</v>
      </c>
      <c r="J38" s="477">
        <f t="shared" si="9"/>
        <v>0</v>
      </c>
      <c r="K38" s="477">
        <f t="shared" si="9"/>
        <v>0</v>
      </c>
      <c r="L38" s="477">
        <f t="shared" si="9"/>
        <v>0</v>
      </c>
      <c r="M38" s="477">
        <f>M67*0</f>
        <v>0</v>
      </c>
      <c r="N38" s="477">
        <f>N67*0</f>
        <v>0</v>
      </c>
      <c r="O38" s="477">
        <f>O67*0</f>
        <v>0</v>
      </c>
      <c r="P38" s="477">
        <f>P67*0</f>
        <v>0</v>
      </c>
      <c r="Q38" s="477">
        <f>Q67*0</f>
        <v>0</v>
      </c>
      <c r="R38" s="434">
        <f>SUM($G38:Q38)</f>
        <v>0</v>
      </c>
      <c r="S38" s="456"/>
      <c r="T38" s="456"/>
      <c r="U38" s="456"/>
      <c r="V38" s="456"/>
      <c r="W38" s="456"/>
      <c r="X38" s="456"/>
      <c r="Y38" s="411"/>
    </row>
    <row r="39" spans="2:25">
      <c r="B39" s="400" t="s">
        <v>315</v>
      </c>
      <c r="G39" s="478">
        <f>G35-G38</f>
        <v>0</v>
      </c>
      <c r="H39" s="478">
        <f>H35-H38</f>
        <v>-3151600</v>
      </c>
      <c r="I39" s="478">
        <f t="shared" ref="I39:P39" si="10">I35-I38</f>
        <v>40191800</v>
      </c>
      <c r="J39" s="478">
        <f t="shared" si="10"/>
        <v>140328200</v>
      </c>
      <c r="K39" s="478">
        <f t="shared" si="10"/>
        <v>247247840</v>
      </c>
      <c r="L39" s="478">
        <f>L35-L38</f>
        <v>327257556.80000001</v>
      </c>
      <c r="M39" s="478">
        <f t="shared" si="10"/>
        <v>0</v>
      </c>
      <c r="N39" s="478">
        <f t="shared" si="10"/>
        <v>0</v>
      </c>
      <c r="O39" s="478">
        <f t="shared" si="10"/>
        <v>0</v>
      </c>
      <c r="P39" s="478">
        <f t="shared" si="10"/>
        <v>0</v>
      </c>
      <c r="Q39" s="478">
        <f>Q35-Q38</f>
        <v>0</v>
      </c>
      <c r="R39" s="479">
        <f>R35-R38</f>
        <v>751873796.79999995</v>
      </c>
      <c r="S39" s="456">
        <f>SUM(G39:Q39)-R39</f>
        <v>0</v>
      </c>
      <c r="T39" s="480"/>
      <c r="U39" s="480"/>
      <c r="V39" s="480"/>
      <c r="W39" s="480"/>
      <c r="X39" s="480"/>
      <c r="Y39" s="411"/>
    </row>
    <row r="40" spans="2:25">
      <c r="B40" s="464" t="s">
        <v>106</v>
      </c>
      <c r="C40" s="464"/>
      <c r="D40" s="464"/>
      <c r="E40" s="464"/>
      <c r="F40" s="464"/>
      <c r="G40" s="477"/>
      <c r="H40" s="477">
        <f>'Parameter Interest'!C18</f>
        <v>3300000</v>
      </c>
      <c r="I40" s="477">
        <f>'Parameter Interest'!D18</f>
        <v>7740000.0000000009</v>
      </c>
      <c r="J40" s="477">
        <f>'Parameter Interest'!E18</f>
        <v>19960000</v>
      </c>
      <c r="K40" s="477">
        <f>'Parameter Interest'!F18</f>
        <v>29700000</v>
      </c>
      <c r="L40" s="477">
        <f>'Parameter Interest'!G18</f>
        <v>25700000</v>
      </c>
      <c r="M40" s="477">
        <f>[75]PARAMETER!G$5*0</f>
        <v>0</v>
      </c>
      <c r="N40" s="477"/>
      <c r="O40" s="477"/>
      <c r="P40" s="477"/>
      <c r="Q40" s="477"/>
      <c r="R40" s="434">
        <f>SUM($G40:Q40)</f>
        <v>86400000</v>
      </c>
      <c r="S40" s="456"/>
      <c r="T40" s="456"/>
      <c r="U40" s="456"/>
      <c r="V40" s="456"/>
      <c r="W40" s="456"/>
      <c r="X40" s="456"/>
      <c r="Y40" s="411"/>
    </row>
    <row r="41" spans="2:25">
      <c r="B41" s="400" t="s">
        <v>104</v>
      </c>
      <c r="G41" s="481">
        <f t="shared" ref="G41:Q41" si="11">G39-G40</f>
        <v>0</v>
      </c>
      <c r="H41" s="481">
        <f t="shared" si="11"/>
        <v>-6451600</v>
      </c>
      <c r="I41" s="481">
        <f t="shared" si="11"/>
        <v>32451800</v>
      </c>
      <c r="J41" s="481">
        <f t="shared" si="11"/>
        <v>120368200</v>
      </c>
      <c r="K41" s="481">
        <f t="shared" si="11"/>
        <v>217547840</v>
      </c>
      <c r="L41" s="481">
        <f t="shared" si="11"/>
        <v>301557556.80000001</v>
      </c>
      <c r="M41" s="481">
        <f t="shared" si="11"/>
        <v>0</v>
      </c>
      <c r="N41" s="481">
        <f t="shared" si="11"/>
        <v>0</v>
      </c>
      <c r="O41" s="481">
        <f t="shared" si="11"/>
        <v>0</v>
      </c>
      <c r="P41" s="481">
        <f t="shared" si="11"/>
        <v>0</v>
      </c>
      <c r="Q41" s="481">
        <f t="shared" si="11"/>
        <v>0</v>
      </c>
      <c r="R41" s="453">
        <f>SUM($G41:Q41)</f>
        <v>665473796.79999995</v>
      </c>
      <c r="S41" s="456">
        <f>SUM(G41:Q41)-R41</f>
        <v>0</v>
      </c>
      <c r="T41" s="480"/>
      <c r="U41" s="480"/>
      <c r="V41" s="480"/>
      <c r="W41" s="480"/>
      <c r="X41" s="480"/>
      <c r="Y41" s="411"/>
    </row>
    <row r="42" spans="2:25">
      <c r="B42" s="464" t="s">
        <v>316</v>
      </c>
      <c r="C42" s="464"/>
      <c r="D42" s="464"/>
      <c r="E42" s="464"/>
      <c r="F42" s="464"/>
      <c r="G42" s="219">
        <f>IF(G41&lt;0,0,G41*$F$3)</f>
        <v>0</v>
      </c>
      <c r="H42" s="219">
        <f t="shared" ref="H42:Q42" si="12">IF(H41&lt;0,0,H41*$F$3)</f>
        <v>0</v>
      </c>
      <c r="I42" s="219">
        <f>IF(I41&lt;0,0,I41*$F$3)</f>
        <v>649036</v>
      </c>
      <c r="J42" s="219">
        <f t="shared" si="12"/>
        <v>2407364</v>
      </c>
      <c r="K42" s="219">
        <f t="shared" si="12"/>
        <v>4350956.8</v>
      </c>
      <c r="L42" s="219">
        <f t="shared" si="12"/>
        <v>6031151.1359999999</v>
      </c>
      <c r="M42" s="219">
        <f t="shared" si="12"/>
        <v>0</v>
      </c>
      <c r="N42" s="219">
        <f t="shared" si="12"/>
        <v>0</v>
      </c>
      <c r="O42" s="219">
        <f t="shared" si="12"/>
        <v>0</v>
      </c>
      <c r="P42" s="219">
        <f t="shared" si="12"/>
        <v>0</v>
      </c>
      <c r="Q42" s="219">
        <f t="shared" si="12"/>
        <v>0</v>
      </c>
      <c r="R42" s="453">
        <f>SUM($G42:Q42)</f>
        <v>13438507.936000001</v>
      </c>
      <c r="S42" s="482"/>
      <c r="T42" s="482"/>
      <c r="U42" s="482"/>
      <c r="V42" s="482"/>
      <c r="W42" s="482"/>
      <c r="X42" s="483"/>
      <c r="Y42" s="411"/>
    </row>
    <row r="43" spans="2:25" ht="16" thickBot="1">
      <c r="B43" s="484" t="s">
        <v>317</v>
      </c>
      <c r="C43" s="484"/>
      <c r="D43" s="484"/>
      <c r="E43" s="484"/>
      <c r="F43" s="484"/>
      <c r="G43" s="485">
        <f>G41-G42</f>
        <v>0</v>
      </c>
      <c r="H43" s="485">
        <f t="shared" ref="H43:Q43" si="13">H41-H42</f>
        <v>-6451600</v>
      </c>
      <c r="I43" s="485">
        <f t="shared" si="13"/>
        <v>31802764</v>
      </c>
      <c r="J43" s="485">
        <f t="shared" si="13"/>
        <v>117960836</v>
      </c>
      <c r="K43" s="485">
        <f t="shared" si="13"/>
        <v>213196883.19999999</v>
      </c>
      <c r="L43" s="485">
        <f t="shared" si="13"/>
        <v>295526405.66400003</v>
      </c>
      <c r="M43" s="485">
        <f t="shared" si="13"/>
        <v>0</v>
      </c>
      <c r="N43" s="485">
        <f t="shared" si="13"/>
        <v>0</v>
      </c>
      <c r="O43" s="485">
        <f t="shared" si="13"/>
        <v>0</v>
      </c>
      <c r="P43" s="485">
        <f t="shared" si="13"/>
        <v>0</v>
      </c>
      <c r="Q43" s="485">
        <f t="shared" si="13"/>
        <v>0</v>
      </c>
      <c r="R43" s="486">
        <f>R41-R42</f>
        <v>652035288.86399996</v>
      </c>
      <c r="S43" s="456">
        <f>SUM(G43:Q43)-R43</f>
        <v>0</v>
      </c>
      <c r="T43" s="480"/>
      <c r="U43" s="480"/>
      <c r="V43" s="480"/>
      <c r="W43" s="480"/>
      <c r="X43" s="480"/>
      <c r="Y43" s="411"/>
    </row>
    <row r="44" spans="2:25">
      <c r="R44" s="444"/>
      <c r="S44" s="411"/>
      <c r="T44" s="411"/>
      <c r="U44" s="411"/>
      <c r="V44" s="411"/>
      <c r="W44" s="411"/>
      <c r="X44" s="411"/>
      <c r="Y44" s="411"/>
    </row>
    <row r="45" spans="2:25">
      <c r="B45" s="464" t="s">
        <v>318</v>
      </c>
      <c r="C45" s="464"/>
      <c r="D45" s="464"/>
      <c r="E45" s="464"/>
      <c r="F45" s="487"/>
      <c r="G45" s="487">
        <f>-G13+-G16</f>
        <v>0</v>
      </c>
      <c r="H45" s="487">
        <f>-H17</f>
        <v>-66000000</v>
      </c>
      <c r="I45" s="487">
        <f>-I17</f>
        <v>-36000000.000000015</v>
      </c>
      <c r="J45" s="487">
        <f>-J17</f>
        <v>-242000000</v>
      </c>
      <c r="K45" s="487">
        <f t="shared" ref="K45:L45" si="14">-K17</f>
        <v>-41999999.999999985</v>
      </c>
      <c r="L45" s="487">
        <f t="shared" si="14"/>
        <v>-24000000</v>
      </c>
      <c r="M45" s="487">
        <f>-M16</f>
        <v>0</v>
      </c>
      <c r="N45" s="487">
        <f>-N16</f>
        <v>0</v>
      </c>
      <c r="O45" s="487">
        <f>-O16</f>
        <v>0</v>
      </c>
      <c r="P45" s="487">
        <f>-P16</f>
        <v>0</v>
      </c>
      <c r="Q45" s="487">
        <f>-Q16</f>
        <v>0</v>
      </c>
      <c r="R45" s="488">
        <f>SUM($G$45:Q45)</f>
        <v>-410000000</v>
      </c>
      <c r="S45" s="483"/>
      <c r="T45" s="483"/>
      <c r="U45" s="483"/>
      <c r="V45" s="483"/>
      <c r="W45" s="483"/>
      <c r="X45" s="483"/>
      <c r="Y45" s="411"/>
    </row>
    <row r="46" spans="2:25">
      <c r="B46" s="400" t="s">
        <v>319</v>
      </c>
      <c r="F46" s="489"/>
      <c r="G46" s="489"/>
      <c r="H46" s="489">
        <f>H45+H43+H38</f>
        <v>-72451600</v>
      </c>
      <c r="I46" s="489">
        <f t="shared" ref="I46:Q46" si="15">I45+I43+I38</f>
        <v>-4197236.0000000149</v>
      </c>
      <c r="J46" s="489">
        <f>J45+J43+J38</f>
        <v>-124039164</v>
      </c>
      <c r="K46" s="489">
        <f t="shared" si="15"/>
        <v>171196883.19999999</v>
      </c>
      <c r="L46" s="489">
        <f t="shared" si="15"/>
        <v>271526405.66400003</v>
      </c>
      <c r="M46" s="489">
        <f t="shared" si="15"/>
        <v>0</v>
      </c>
      <c r="N46" s="489">
        <f t="shared" si="15"/>
        <v>0</v>
      </c>
      <c r="O46" s="489">
        <f t="shared" si="15"/>
        <v>0</v>
      </c>
      <c r="P46" s="489">
        <f t="shared" si="15"/>
        <v>0</v>
      </c>
      <c r="Q46" s="489">
        <f t="shared" si="15"/>
        <v>0</v>
      </c>
      <c r="R46" s="490">
        <f>SUM($G$46:Q46)</f>
        <v>242035288.86400002</v>
      </c>
      <c r="S46" s="483"/>
      <c r="T46" s="483"/>
      <c r="U46" s="483"/>
      <c r="V46" s="483"/>
      <c r="W46" s="483"/>
      <c r="X46" s="483"/>
      <c r="Y46" s="411"/>
    </row>
    <row r="47" spans="2:25">
      <c r="B47" s="400" t="s">
        <v>99</v>
      </c>
      <c r="F47" s="489"/>
      <c r="G47" s="489">
        <f>F47+G46</f>
        <v>0</v>
      </c>
      <c r="H47" s="489">
        <f>G47+H46</f>
        <v>-72451600</v>
      </c>
      <c r="I47" s="489">
        <f t="shared" ref="I47:Q47" si="16">H47+I46</f>
        <v>-76648836.000000015</v>
      </c>
      <c r="J47" s="489">
        <f t="shared" si="16"/>
        <v>-200688000</v>
      </c>
      <c r="K47" s="489">
        <f t="shared" si="16"/>
        <v>-29491116.800000012</v>
      </c>
      <c r="L47" s="489">
        <f t="shared" si="16"/>
        <v>242035288.86400002</v>
      </c>
      <c r="M47" s="489">
        <f>(L47+M46)*0</f>
        <v>0</v>
      </c>
      <c r="N47" s="489">
        <f t="shared" si="16"/>
        <v>0</v>
      </c>
      <c r="O47" s="489">
        <f t="shared" si="16"/>
        <v>0</v>
      </c>
      <c r="P47" s="489">
        <f t="shared" si="16"/>
        <v>0</v>
      </c>
      <c r="Q47" s="489">
        <f t="shared" si="16"/>
        <v>0</v>
      </c>
      <c r="R47" s="490"/>
      <c r="S47" s="483"/>
      <c r="T47" s="483"/>
      <c r="U47" s="483"/>
      <c r="V47" s="483"/>
      <c r="W47" s="483"/>
      <c r="X47" s="483"/>
      <c r="Y47" s="411"/>
    </row>
    <row r="48" spans="2:25">
      <c r="B48" s="400" t="s">
        <v>100</v>
      </c>
      <c r="F48" s="489"/>
      <c r="G48" s="491">
        <f>IF(AND(F47&lt;0,G47&gt;0),H55-(G47/G46),0)</f>
        <v>0</v>
      </c>
      <c r="H48" s="491">
        <f>IF(AND(G47&lt;0,H47&gt;0),H55-(H47/H46),0)</f>
        <v>0</v>
      </c>
      <c r="I48" s="491">
        <f>IF(AND(H47&lt;0,I47&gt;0),I55-(I47/I46),0)</f>
        <v>0</v>
      </c>
      <c r="J48" s="491">
        <f>IF(AND(I47&lt;0,J47&gt;0),J55-(J47/J46),0)</f>
        <v>0</v>
      </c>
      <c r="K48" s="492">
        <f>IF(AND(J47&lt;0,K47&gt;0),K55-(K47/K46),0)</f>
        <v>0</v>
      </c>
      <c r="L48" s="491">
        <f>IF(AND(K47&lt;0,L47&gt;0),L55-(L47/L46),0)</f>
        <v>4.1086123345089822</v>
      </c>
      <c r="M48" s="491">
        <f>IF(AND(L47&lt;0,M47&gt;0),N55-(M47/M46),0)</f>
        <v>0</v>
      </c>
      <c r="N48" s="491">
        <f>IF(AND(M47&lt;0,N47&gt;0),O55-(N47/N46),0)</f>
        <v>0</v>
      </c>
      <c r="O48" s="491">
        <f>IF(AND(N47&lt;0,O47&gt;0),P55-(O47/O46),0)</f>
        <v>0</v>
      </c>
      <c r="P48" s="491"/>
      <c r="Q48" s="491">
        <f>IF(AND(O47&lt;0,Q47&gt;0),R55-(Q47/Q46),0)</f>
        <v>0</v>
      </c>
      <c r="R48" s="493"/>
      <c r="S48" s="491"/>
      <c r="T48" s="491"/>
      <c r="U48" s="491"/>
      <c r="V48" s="491"/>
      <c r="W48" s="491"/>
      <c r="X48" s="491"/>
    </row>
    <row r="49" spans="2:25" s="494" customFormat="1">
      <c r="F49" s="495"/>
      <c r="G49" s="496"/>
      <c r="H49" s="496"/>
      <c r="I49" s="496"/>
      <c r="J49" s="496"/>
      <c r="K49" s="497"/>
      <c r="L49" s="496"/>
      <c r="M49" s="496"/>
      <c r="N49" s="496"/>
      <c r="O49" s="496"/>
      <c r="P49" s="496"/>
      <c r="Q49" s="496"/>
      <c r="R49" s="498"/>
      <c r="S49" s="496"/>
      <c r="T49" s="496"/>
      <c r="U49" s="496"/>
      <c r="V49" s="496"/>
      <c r="W49" s="496"/>
      <c r="X49" s="496"/>
    </row>
    <row r="50" spans="2:25" s="494" customFormat="1">
      <c r="B50" s="501" t="s">
        <v>5</v>
      </c>
      <c r="C50" s="502"/>
      <c r="D50" s="502"/>
      <c r="E50" s="502"/>
      <c r="F50" s="525">
        <f>IRR(G46:Q46)</f>
        <v>0.37765762224363764</v>
      </c>
      <c r="G50" s="499"/>
      <c r="R50" s="500"/>
    </row>
    <row r="51" spans="2:25" s="494" customFormat="1">
      <c r="B51" s="503" t="s">
        <v>6</v>
      </c>
      <c r="C51" s="531"/>
      <c r="D51" s="531"/>
      <c r="E51" s="531"/>
      <c r="F51" s="532">
        <f>AVERAGE(H43:L43)/R17</f>
        <v>0.31806599456780493</v>
      </c>
      <c r="G51" s="499"/>
      <c r="R51" s="500"/>
    </row>
    <row r="52" spans="2:25">
      <c r="B52" s="503" t="s">
        <v>285</v>
      </c>
      <c r="C52" s="422"/>
      <c r="D52" s="422"/>
      <c r="E52" s="422"/>
      <c r="F52" s="504">
        <f>NPV(F4,H46:Q46)</f>
        <v>122999968.99615639</v>
      </c>
      <c r="R52" s="421"/>
    </row>
    <row r="53" spans="2:25">
      <c r="B53" s="503" t="s">
        <v>286</v>
      </c>
      <c r="C53" s="422"/>
      <c r="D53" s="422"/>
      <c r="E53" s="422"/>
      <c r="F53" s="506">
        <f>R36</f>
        <v>0.31488007705805737</v>
      </c>
      <c r="H53" s="505"/>
      <c r="I53" s="455"/>
      <c r="R53" s="421"/>
    </row>
    <row r="54" spans="2:25">
      <c r="B54" s="507" t="s">
        <v>102</v>
      </c>
      <c r="C54" s="508"/>
      <c r="D54" s="508"/>
      <c r="E54" s="508"/>
      <c r="F54" s="526">
        <f>SUM(G48:Q48)</f>
        <v>4.1086123345089822</v>
      </c>
      <c r="H54" s="451"/>
      <c r="R54" s="421"/>
    </row>
    <row r="55" spans="2:25">
      <c r="G55" s="400"/>
      <c r="H55" s="443">
        <v>1</v>
      </c>
      <c r="I55" s="407">
        <v>2</v>
      </c>
      <c r="J55" s="443">
        <v>3</v>
      </c>
      <c r="K55" s="407">
        <v>4</v>
      </c>
      <c r="L55" s="443">
        <v>5</v>
      </c>
      <c r="M55" s="407">
        <v>6</v>
      </c>
      <c r="N55" s="443">
        <v>7</v>
      </c>
      <c r="O55" s="407">
        <v>8</v>
      </c>
      <c r="P55" s="443">
        <v>9</v>
      </c>
      <c r="Q55" s="443">
        <v>10</v>
      </c>
      <c r="R55" s="421"/>
      <c r="S55" s="407"/>
      <c r="T55" s="443"/>
      <c r="U55" s="407"/>
      <c r="V55" s="443"/>
      <c r="W55" s="407"/>
      <c r="X55" s="443"/>
    </row>
    <row r="56" spans="2:25" ht="16" thickBot="1">
      <c r="B56" s="402" t="s">
        <v>320</v>
      </c>
      <c r="E56" s="509" t="s">
        <v>321</v>
      </c>
      <c r="G56" s="400"/>
      <c r="H56" s="509">
        <f t="shared" ref="H56:Q56" si="17">H19</f>
        <v>2024</v>
      </c>
      <c r="I56" s="509">
        <f t="shared" si="17"/>
        <v>2025</v>
      </c>
      <c r="J56" s="509">
        <f t="shared" si="17"/>
        <v>2026</v>
      </c>
      <c r="K56" s="509">
        <f t="shared" si="17"/>
        <v>2027</v>
      </c>
      <c r="L56" s="509">
        <f t="shared" si="17"/>
        <v>2028</v>
      </c>
      <c r="M56" s="509">
        <f t="shared" si="17"/>
        <v>2029</v>
      </c>
      <c r="N56" s="509">
        <f t="shared" si="17"/>
        <v>2030</v>
      </c>
      <c r="O56" s="509">
        <f t="shared" si="17"/>
        <v>2031</v>
      </c>
      <c r="P56" s="509">
        <f t="shared" si="17"/>
        <v>2032</v>
      </c>
      <c r="Q56" s="509">
        <f t="shared" si="17"/>
        <v>2033</v>
      </c>
      <c r="R56" s="441" t="s">
        <v>15</v>
      </c>
      <c r="S56" s="509"/>
      <c r="T56" s="509"/>
      <c r="U56" s="509"/>
      <c r="V56" s="509"/>
      <c r="W56" s="509"/>
      <c r="X56" s="509"/>
      <c r="Y56" s="509"/>
    </row>
    <row r="57" spans="2:25">
      <c r="D57" s="400" t="s">
        <v>68</v>
      </c>
      <c r="E57" s="400">
        <v>5</v>
      </c>
      <c r="G57" s="400"/>
      <c r="H57" s="510"/>
      <c r="I57" s="510"/>
      <c r="J57" s="510"/>
      <c r="K57" s="510"/>
      <c r="L57" s="510"/>
      <c r="M57" s="511"/>
      <c r="N57" s="511"/>
      <c r="O57" s="511"/>
      <c r="P57" s="511"/>
      <c r="Q57" s="511"/>
      <c r="R57" s="453">
        <f>SUM($H57:Q57)</f>
        <v>0</v>
      </c>
      <c r="S57" s="511"/>
      <c r="T57" s="511"/>
      <c r="U57" s="511"/>
      <c r="V57" s="511"/>
      <c r="W57" s="511"/>
      <c r="X57" s="511"/>
      <c r="Y57" s="512"/>
    </row>
    <row r="58" spans="2:25" hidden="1">
      <c r="D58" s="400" t="s">
        <v>69</v>
      </c>
      <c r="E58" s="400">
        <v>4</v>
      </c>
      <c r="G58" s="400"/>
      <c r="H58" s="403"/>
      <c r="I58" s="510"/>
      <c r="J58" s="511"/>
      <c r="K58" s="511"/>
      <c r="L58" s="511"/>
      <c r="M58" s="511"/>
      <c r="N58" s="511"/>
      <c r="O58" s="511"/>
      <c r="P58" s="511"/>
      <c r="Q58" s="511"/>
      <c r="R58" s="453">
        <f>SUM(H58:L58)</f>
        <v>0</v>
      </c>
      <c r="S58" s="511"/>
      <c r="T58" s="511"/>
      <c r="U58" s="511"/>
      <c r="V58" s="511"/>
      <c r="W58" s="511"/>
      <c r="X58" s="511"/>
      <c r="Y58" s="512"/>
    </row>
    <row r="59" spans="2:25" hidden="1">
      <c r="D59" s="400" t="s">
        <v>70</v>
      </c>
      <c r="E59" s="400">
        <v>3</v>
      </c>
      <c r="G59" s="400"/>
      <c r="H59" s="403"/>
      <c r="J59" s="510"/>
      <c r="K59" s="511">
        <f>J59</f>
        <v>0</v>
      </c>
      <c r="L59" s="511">
        <f>K59</f>
        <v>0</v>
      </c>
      <c r="M59" s="511"/>
      <c r="N59" s="511"/>
      <c r="O59" s="511"/>
      <c r="P59" s="511"/>
      <c r="Q59" s="511"/>
      <c r="R59" s="453">
        <f>SUM(H59:L59)</f>
        <v>0</v>
      </c>
      <c r="S59" s="511"/>
      <c r="T59" s="511"/>
      <c r="U59" s="511"/>
      <c r="V59" s="511"/>
      <c r="W59" s="511"/>
      <c r="X59" s="511"/>
      <c r="Y59" s="512"/>
    </row>
    <row r="60" spans="2:25" hidden="1">
      <c r="D60" s="400" t="s">
        <v>71</v>
      </c>
      <c r="E60" s="400">
        <v>2</v>
      </c>
      <c r="G60" s="400"/>
      <c r="H60" s="403"/>
      <c r="K60" s="510"/>
      <c r="L60" s="511"/>
      <c r="M60" s="511"/>
      <c r="N60" s="511"/>
      <c r="O60" s="511"/>
      <c r="P60" s="511"/>
      <c r="Q60" s="511"/>
      <c r="R60" s="453">
        <f>SUM(H60:L60)</f>
        <v>0</v>
      </c>
      <c r="S60" s="511"/>
      <c r="T60" s="511"/>
      <c r="U60" s="511"/>
      <c r="V60" s="511"/>
      <c r="W60" s="511"/>
      <c r="X60" s="511"/>
      <c r="Y60" s="512"/>
    </row>
    <row r="61" spans="2:25" hidden="1">
      <c r="D61" s="400" t="s">
        <v>72</v>
      </c>
      <c r="E61" s="400">
        <v>1</v>
      </c>
      <c r="G61" s="400"/>
      <c r="H61" s="403"/>
      <c r="L61" s="510"/>
      <c r="M61" s="511"/>
      <c r="N61" s="511"/>
      <c r="O61" s="511"/>
      <c r="P61" s="511"/>
      <c r="Q61" s="511"/>
      <c r="R61" s="453">
        <f>SUM(H61:L61)</f>
        <v>0</v>
      </c>
      <c r="S61" s="511"/>
      <c r="T61" s="511"/>
      <c r="U61" s="511"/>
      <c r="V61" s="511"/>
      <c r="W61" s="511"/>
      <c r="X61" s="511"/>
      <c r="Y61" s="512"/>
    </row>
    <row r="62" spans="2:25" hidden="1">
      <c r="D62" s="400" t="s">
        <v>73</v>
      </c>
      <c r="E62" s="400">
        <v>5</v>
      </c>
      <c r="G62" s="400"/>
      <c r="H62" s="403"/>
      <c r="L62" s="511"/>
      <c r="M62" s="510"/>
      <c r="N62" s="511"/>
      <c r="O62" s="511"/>
      <c r="P62" s="511"/>
      <c r="Q62" s="511"/>
      <c r="R62" s="453">
        <f>SUM($G62:Q62)</f>
        <v>0</v>
      </c>
      <c r="S62" s="511"/>
      <c r="T62" s="511"/>
      <c r="U62" s="511"/>
      <c r="V62" s="511"/>
      <c r="W62" s="511"/>
      <c r="X62" s="511"/>
      <c r="Y62" s="512"/>
    </row>
    <row r="63" spans="2:25" hidden="1">
      <c r="D63" s="400" t="s">
        <v>74</v>
      </c>
      <c r="E63" s="400">
        <v>4</v>
      </c>
      <c r="G63" s="400"/>
      <c r="H63" s="403"/>
      <c r="L63" s="511"/>
      <c r="M63" s="511"/>
      <c r="N63" s="510">
        <f>M$13/$E63</f>
        <v>0</v>
      </c>
      <c r="O63" s="511">
        <f>N63</f>
        <v>0</v>
      </c>
      <c r="P63" s="511">
        <f t="shared" ref="P63" si="18">O63</f>
        <v>0</v>
      </c>
      <c r="Q63" s="511"/>
      <c r="R63" s="453">
        <f>SUM($G63:Q63)</f>
        <v>0</v>
      </c>
      <c r="S63" s="511"/>
      <c r="T63" s="511"/>
      <c r="U63" s="511"/>
      <c r="V63" s="511"/>
      <c r="W63" s="511"/>
      <c r="X63" s="511"/>
      <c r="Y63" s="512"/>
    </row>
    <row r="64" spans="2:25" hidden="1">
      <c r="D64" s="400" t="s">
        <v>75</v>
      </c>
      <c r="E64" s="400">
        <v>3</v>
      </c>
      <c r="G64" s="400"/>
      <c r="H64" s="403"/>
      <c r="L64" s="511"/>
      <c r="M64" s="511"/>
      <c r="N64" s="511"/>
      <c r="O64" s="510">
        <f>N$13/$E64</f>
        <v>0</v>
      </c>
      <c r="P64" s="511">
        <f>O64</f>
        <v>0</v>
      </c>
      <c r="Q64" s="511"/>
      <c r="R64" s="453">
        <f>SUM($G64:Q64)</f>
        <v>0</v>
      </c>
      <c r="S64" s="511"/>
      <c r="T64" s="511"/>
      <c r="U64" s="511"/>
      <c r="V64" s="511"/>
      <c r="W64" s="511"/>
      <c r="X64" s="511"/>
      <c r="Y64" s="512"/>
    </row>
    <row r="65" spans="2:25" hidden="1">
      <c r="D65" s="400" t="s">
        <v>76</v>
      </c>
      <c r="E65" s="400">
        <v>2</v>
      </c>
      <c r="G65" s="400"/>
      <c r="H65" s="403"/>
      <c r="L65" s="511"/>
      <c r="M65" s="511"/>
      <c r="N65" s="511"/>
      <c r="O65" s="511"/>
      <c r="P65" s="510">
        <f>O$13/$E65</f>
        <v>0</v>
      </c>
      <c r="Q65" s="510"/>
      <c r="R65" s="453">
        <f>SUM($G65:Q65)</f>
        <v>0</v>
      </c>
      <c r="S65" s="511"/>
      <c r="T65" s="511"/>
      <c r="U65" s="511"/>
      <c r="V65" s="511"/>
      <c r="W65" s="511"/>
      <c r="X65" s="511"/>
      <c r="Y65" s="512"/>
    </row>
    <row r="66" spans="2:25" hidden="1">
      <c r="D66" s="400" t="s">
        <v>77</v>
      </c>
      <c r="E66" s="400">
        <v>1</v>
      </c>
      <c r="G66" s="400"/>
      <c r="H66" s="403"/>
      <c r="K66" s="511"/>
      <c r="L66" s="511"/>
      <c r="M66" s="511"/>
      <c r="N66" s="511"/>
      <c r="O66" s="511"/>
      <c r="P66" s="511"/>
      <c r="Q66" s="511"/>
      <c r="R66" s="453">
        <f>SUM($G66:Q66)</f>
        <v>0</v>
      </c>
      <c r="S66" s="511"/>
      <c r="T66" s="511"/>
      <c r="U66" s="511"/>
      <c r="V66" s="511"/>
      <c r="W66" s="511"/>
      <c r="X66" s="511"/>
      <c r="Y66" s="512"/>
    </row>
    <row r="67" spans="2:25" ht="16" thickBot="1">
      <c r="B67" s="513" t="s">
        <v>322</v>
      </c>
      <c r="C67" s="514"/>
      <c r="D67" s="514"/>
      <c r="E67" s="514"/>
      <c r="F67" s="514"/>
      <c r="G67" s="514"/>
      <c r="H67" s="515">
        <f>SUM(H57:H66)</f>
        <v>0</v>
      </c>
      <c r="I67" s="515">
        <f t="shared" ref="I67:P67" si="19">SUM(I57:I66)</f>
        <v>0</v>
      </c>
      <c r="J67" s="515">
        <f t="shared" si="19"/>
        <v>0</v>
      </c>
      <c r="K67" s="515">
        <f t="shared" si="19"/>
        <v>0</v>
      </c>
      <c r="L67" s="515">
        <f t="shared" si="19"/>
        <v>0</v>
      </c>
      <c r="M67" s="515">
        <f t="shared" si="19"/>
        <v>0</v>
      </c>
      <c r="N67" s="515">
        <f t="shared" si="19"/>
        <v>0</v>
      </c>
      <c r="O67" s="515">
        <f t="shared" si="19"/>
        <v>0</v>
      </c>
      <c r="P67" s="515">
        <f t="shared" si="19"/>
        <v>0</v>
      </c>
      <c r="Q67" s="515">
        <f>SUM(Q57:Q66)</f>
        <v>0</v>
      </c>
      <c r="R67" s="516">
        <f>SUM(R57:R66)</f>
        <v>0</v>
      </c>
      <c r="S67" s="517"/>
      <c r="T67" s="517"/>
      <c r="U67" s="517"/>
      <c r="V67" s="517"/>
      <c r="W67" s="517"/>
      <c r="X67" s="517"/>
      <c r="Y67" s="517"/>
    </row>
    <row r="68" spans="2:25" ht="16.5" thickTop="1" thickBot="1">
      <c r="G68" s="400"/>
      <c r="H68" s="403"/>
      <c r="M68" s="512"/>
      <c r="N68" s="512"/>
      <c r="O68" s="512"/>
      <c r="P68" s="512"/>
      <c r="Q68" s="512"/>
      <c r="R68" s="518"/>
      <c r="Y68" s="455"/>
    </row>
    <row r="70" spans="2:25">
      <c r="F70" s="400" t="s">
        <v>21</v>
      </c>
    </row>
    <row r="79" spans="2:25">
      <c r="G79" s="451"/>
      <c r="H79" s="455"/>
    </row>
    <row r="81" spans="6:12">
      <c r="G81" s="454"/>
    </row>
    <row r="82" spans="6:12">
      <c r="G82" s="454"/>
      <c r="H82" s="455"/>
      <c r="I82" s="455"/>
      <c r="J82" s="455"/>
      <c r="K82" s="455"/>
      <c r="L82" s="455"/>
    </row>
    <row r="83" spans="6:12">
      <c r="F83" s="494"/>
      <c r="G83" s="519"/>
      <c r="H83" s="520"/>
      <c r="I83" s="520"/>
      <c r="J83" s="520"/>
      <c r="K83" s="520"/>
      <c r="L83" s="520"/>
    </row>
    <row r="86" spans="6:12">
      <c r="G86" s="454"/>
      <c r="L86" s="455"/>
    </row>
    <row r="88" spans="6:12">
      <c r="G88" s="451"/>
      <c r="H88" s="451"/>
      <c r="I88" s="451"/>
      <c r="J88" s="451"/>
      <c r="K88" s="451"/>
      <c r="L88" s="451"/>
    </row>
  </sheetData>
  <mergeCells count="1">
    <mergeCell ref="E25:F25"/>
  </mergeCells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K84"/>
  <sheetViews>
    <sheetView showGridLines="0" topLeftCell="B64" zoomScale="90" zoomScaleNormal="90" workbookViewId="0">
      <selection activeCell="C84" sqref="C84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4" width="16.08203125" style="8" bestFit="1" customWidth="1"/>
    <col min="5" max="5" width="18.83203125" style="8" bestFit="1" customWidth="1"/>
    <col min="6" max="6" width="18.5" style="8" bestFit="1" customWidth="1"/>
    <col min="7" max="7" width="18" style="8" bestFit="1" customWidth="1"/>
    <col min="8" max="9" width="18.5" style="8" bestFit="1" customWidth="1"/>
    <col min="10" max="16384" width="23.58203125" style="8"/>
  </cols>
  <sheetData>
    <row r="1" spans="1:11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11" s="2" customFormat="1">
      <c r="A2" s="76"/>
      <c r="B2" s="2" t="s">
        <v>25</v>
      </c>
      <c r="C2" s="123">
        <v>5</v>
      </c>
      <c r="D2" s="3" t="s">
        <v>26</v>
      </c>
    </row>
    <row r="3" spans="1:11" s="2" customFormat="1">
      <c r="A3" s="76"/>
      <c r="B3" s="2" t="s">
        <v>65</v>
      </c>
      <c r="C3" s="123">
        <v>360</v>
      </c>
      <c r="D3" s="3"/>
    </row>
    <row r="4" spans="1:11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11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11" s="189" customFormat="1">
      <c r="A6" s="120"/>
      <c r="B6" s="189" t="s">
        <v>58</v>
      </c>
      <c r="C6" s="127"/>
      <c r="D6" s="190"/>
      <c r="E6" s="191">
        <f>Assumption!E9</f>
        <v>0.22</v>
      </c>
      <c r="F6" s="191">
        <f>Assumption!F9</f>
        <v>0.34</v>
      </c>
      <c r="G6" s="191">
        <f>Assumption!G9</f>
        <v>0.48</v>
      </c>
      <c r="H6" s="191">
        <f>Assumption!H9</f>
        <v>0.62</v>
      </c>
      <c r="I6" s="191">
        <f>Assumption!I9</f>
        <v>0.7</v>
      </c>
    </row>
    <row r="7" spans="1:11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11" s="159" customFormat="1">
      <c r="A8" s="158"/>
      <c r="B8" s="159" t="s">
        <v>86</v>
      </c>
      <c r="C8" s="160"/>
      <c r="D8" s="161"/>
      <c r="E8" s="353">
        <f>E7*E6</f>
        <v>79.2</v>
      </c>
      <c r="F8" s="353">
        <f>F7*F6</f>
        <v>122.4</v>
      </c>
      <c r="G8" s="353">
        <f>G7*G6</f>
        <v>172.79999999999998</v>
      </c>
      <c r="H8" s="353">
        <f>H7*H6</f>
        <v>223.2</v>
      </c>
      <c r="I8" s="353">
        <f>I7*I6</f>
        <v>251.99999999999997</v>
      </c>
    </row>
    <row r="9" spans="1:11" s="2" customFormat="1">
      <c r="A9" s="76"/>
      <c r="C9" s="7"/>
      <c r="D9" s="3"/>
      <c r="E9" s="100"/>
      <c r="F9" s="100"/>
      <c r="G9" s="100"/>
      <c r="H9" s="100"/>
      <c r="I9" s="100"/>
    </row>
    <row r="10" spans="1:11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11" s="119" customFormat="1" ht="16" thickTop="1">
      <c r="A11" s="120"/>
      <c r="B11" s="121" t="s">
        <v>57</v>
      </c>
      <c r="C11" s="188">
        <f>SUM(E11:I11)</f>
        <v>2387810000</v>
      </c>
      <c r="D11" s="117" t="s">
        <v>17</v>
      </c>
      <c r="E11" s="122">
        <f>Revenue!E41</f>
        <v>146740000</v>
      </c>
      <c r="F11" s="122">
        <f>Revenue!F41</f>
        <v>334230000</v>
      </c>
      <c r="G11" s="122">
        <f>Revenue!G41</f>
        <v>486570000</v>
      </c>
      <c r="H11" s="122">
        <f>Revenue!H41</f>
        <v>649200000</v>
      </c>
      <c r="I11" s="122">
        <f>Revenue!I41</f>
        <v>771070000</v>
      </c>
      <c r="K11" s="357">
        <f>E11*2</f>
        <v>293480000</v>
      </c>
    </row>
    <row r="12" spans="1:11" s="2" customFormat="1">
      <c r="A12" s="76"/>
      <c r="B12" s="4"/>
      <c r="C12" s="5"/>
      <c r="D12" s="101"/>
      <c r="E12" s="356"/>
      <c r="J12" s="2" t="s">
        <v>260</v>
      </c>
      <c r="K12" s="358">
        <f>K11*50%</f>
        <v>146740000</v>
      </c>
    </row>
    <row r="13" spans="1:11" s="2" customFormat="1">
      <c r="A13" s="76"/>
      <c r="B13" s="4"/>
      <c r="C13" s="98"/>
      <c r="D13" s="113"/>
      <c r="E13" s="3"/>
      <c r="J13" s="2" t="s">
        <v>259</v>
      </c>
      <c r="K13" s="358">
        <f>K11*25%</f>
        <v>73370000</v>
      </c>
    </row>
    <row r="14" spans="1:11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  <c r="J14" s="14" t="s">
        <v>258</v>
      </c>
      <c r="K14" s="359">
        <f>K11*25%</f>
        <v>73370000</v>
      </c>
    </row>
    <row r="15" spans="1:11" s="136" customFormat="1">
      <c r="A15" s="135"/>
      <c r="B15" s="136" t="s">
        <v>2</v>
      </c>
      <c r="C15" s="136" t="s">
        <v>67</v>
      </c>
      <c r="K15" s="361"/>
    </row>
    <row r="16" spans="1:11">
      <c r="B16" s="8" t="s">
        <v>7</v>
      </c>
      <c r="C16" s="8" t="s">
        <v>153</v>
      </c>
      <c r="K16" s="360">
        <f>K12*25%</f>
        <v>36685000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(500000*147)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$C$25+40000000</f>
        <v>113500000</v>
      </c>
      <c r="G34" s="149">
        <v>200000000</v>
      </c>
      <c r="H34" s="149"/>
      <c r="I34" s="149"/>
    </row>
    <row r="35" spans="2:11">
      <c r="B35" s="145" t="s">
        <v>257</v>
      </c>
      <c r="C35" s="355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472995000</v>
      </c>
      <c r="D37" s="152"/>
      <c r="E37" s="153">
        <f>SUM(E33:E36)</f>
        <v>272995000</v>
      </c>
      <c r="F37" s="153">
        <f>SUM(F33:F36)</f>
        <v>0</v>
      </c>
      <c r="G37" s="153">
        <f>SUM(G33:G36)</f>
        <v>200000000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54599000</v>
      </c>
      <c r="F40" s="157">
        <f>E40</f>
        <v>54599000</v>
      </c>
      <c r="G40" s="157">
        <f t="shared" ref="G40:I42" si="1">F40</f>
        <v>54599000</v>
      </c>
      <c r="H40" s="157">
        <f t="shared" si="1"/>
        <v>54599000</v>
      </c>
      <c r="I40" s="157">
        <f t="shared" si="1"/>
        <v>54599000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66666666.666666664</v>
      </c>
      <c r="H42" s="157">
        <f>G42</f>
        <v>66666666.666666664</v>
      </c>
      <c r="I42" s="157">
        <f t="shared" si="1"/>
        <v>66666666.666666664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54599000</v>
      </c>
      <c r="F45" s="153">
        <f>SUM(F40:F44)</f>
        <v>54599000</v>
      </c>
      <c r="G45" s="153">
        <f>SUM(G40:G44)</f>
        <v>121265666.66666666</v>
      </c>
      <c r="H45" s="153">
        <f>SUM(H40:H44)</f>
        <v>121265666.66666666</v>
      </c>
      <c r="I45" s="153">
        <f>SUM(I40:I44)</f>
        <v>121265666.66666666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0.4</v>
      </c>
      <c r="D48" s="167" t="s">
        <v>89</v>
      </c>
      <c r="E48" s="157">
        <f>$C$48*E11</f>
        <v>58696000</v>
      </c>
      <c r="F48" s="157">
        <f t="shared" ref="F48:G48" si="2">$C$48*F11</f>
        <v>133692000</v>
      </c>
      <c r="G48" s="157">
        <f t="shared" si="2"/>
        <v>194628000</v>
      </c>
      <c r="H48" s="157">
        <f>30%*H11</f>
        <v>194760000</v>
      </c>
      <c r="I48" s="157">
        <f>30%*I11</f>
        <v>231321000</v>
      </c>
      <c r="J48" s="187"/>
      <c r="K48" s="187"/>
    </row>
    <row r="49" spans="2:9">
      <c r="B49" s="202" t="s">
        <v>110</v>
      </c>
      <c r="C49" s="203">
        <v>10000000</v>
      </c>
      <c r="D49" s="167" t="s">
        <v>111</v>
      </c>
      <c r="E49" s="157">
        <f>($C$49*E31+C49)</f>
        <v>130000000</v>
      </c>
      <c r="F49" s="157">
        <f>$C$49*F31+C49</f>
        <v>130000000</v>
      </c>
      <c r="G49" s="157">
        <f>$C$49*G31+C49</f>
        <v>130000000</v>
      </c>
      <c r="H49" s="157">
        <f>$C$49*H31+C49</f>
        <v>130000000</v>
      </c>
      <c r="I49" s="157">
        <f>$C$49*I31+C49</f>
        <v>130000000</v>
      </c>
    </row>
    <row r="50" spans="2:9">
      <c r="B50" s="138" t="s">
        <v>88</v>
      </c>
      <c r="C50" s="166">
        <v>0.05</v>
      </c>
      <c r="D50" s="167" t="s">
        <v>325</v>
      </c>
      <c r="E50" s="157">
        <f>E37*C50</f>
        <v>13649750</v>
      </c>
      <c r="F50" s="157">
        <f>E37*C50</f>
        <v>13649750</v>
      </c>
      <c r="G50" s="157">
        <f>$C$37*$C$50</f>
        <v>23649750</v>
      </c>
      <c r="H50" s="157">
        <f>$C$37*$C$50</f>
        <v>23649750</v>
      </c>
      <c r="I50" s="157">
        <f>$C$37*$C$50</f>
        <v>23649750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4402200</v>
      </c>
      <c r="F51" s="157">
        <f>$C$51*F11</f>
        <v>10026900</v>
      </c>
      <c r="G51" s="157">
        <f>$C$51*G11</f>
        <v>14597100</v>
      </c>
      <c r="H51" s="157">
        <f>$C$51*H11</f>
        <v>19476000</v>
      </c>
      <c r="I51" s="157">
        <f>$C$51*I11</f>
        <v>23132100</v>
      </c>
    </row>
    <row r="52" spans="2:9">
      <c r="B52" s="138" t="s">
        <v>90</v>
      </c>
      <c r="C52" s="168">
        <v>0.05</v>
      </c>
      <c r="D52" s="167" t="s">
        <v>89</v>
      </c>
      <c r="E52" s="169">
        <f>$C$52*E11</f>
        <v>7337000</v>
      </c>
      <c r="F52" s="169">
        <f>$C$52*F11</f>
        <v>16711500</v>
      </c>
      <c r="G52" s="169">
        <f>$C$52*G11</f>
        <v>24328500</v>
      </c>
      <c r="H52" s="169">
        <f>$C$52*H11</f>
        <v>32460000</v>
      </c>
      <c r="I52" s="169">
        <f>$C$52*I11</f>
        <v>38553500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2567950.0000000005</v>
      </c>
      <c r="F53" s="169">
        <f>$C$53*F11</f>
        <v>5849025.0000000009</v>
      </c>
      <c r="G53" s="169">
        <f>$C$53*G11</f>
        <v>8514975</v>
      </c>
      <c r="H53" s="169">
        <f>$C$53*H11</f>
        <v>11361000.000000002</v>
      </c>
      <c r="I53" s="169">
        <f>$C$53*I11</f>
        <v>13493725.000000002</v>
      </c>
    </row>
    <row r="54" spans="2:9">
      <c r="B54" s="150" t="s">
        <v>92</v>
      </c>
      <c r="C54" s="151">
        <f>SUM(E54:I54)</f>
        <v>1794157225</v>
      </c>
      <c r="D54" s="150"/>
      <c r="E54" s="153">
        <f>SUM(E48:E53)</f>
        <v>216652900</v>
      </c>
      <c r="F54" s="153">
        <f>SUM(F48:F53)</f>
        <v>309929175</v>
      </c>
      <c r="G54" s="153">
        <f t="shared" ref="G54:I54" si="3">SUM(G48:G53)</f>
        <v>395718325</v>
      </c>
      <c r="H54" s="153">
        <f t="shared" si="3"/>
        <v>411706750</v>
      </c>
      <c r="I54" s="153">
        <f t="shared" si="3"/>
        <v>460150075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3">
        <f>C11-C54</f>
        <v>593652775</v>
      </c>
      <c r="D57" s="172"/>
      <c r="E57" s="173">
        <f>E11-E54</f>
        <v>-69912900</v>
      </c>
      <c r="F57" s="173">
        <f>F11-F54</f>
        <v>24300825</v>
      </c>
      <c r="G57" s="173">
        <f>G11-G54</f>
        <v>90851675</v>
      </c>
      <c r="H57" s="173">
        <f>H11-H54</f>
        <v>237493250</v>
      </c>
      <c r="I57" s="173">
        <f>I11-I54</f>
        <v>310919925</v>
      </c>
    </row>
    <row r="58" spans="2:9">
      <c r="B58" s="174" t="s">
        <v>4</v>
      </c>
      <c r="C58" s="175">
        <f>C57/C11</f>
        <v>0.24861809566087753</v>
      </c>
      <c r="D58" s="154"/>
      <c r="E58" s="175">
        <f>E57/E11</f>
        <v>-0.47644064331470626</v>
      </c>
      <c r="F58" s="175">
        <f>F57/F11</f>
        <v>7.2706893456601737E-2</v>
      </c>
      <c r="G58" s="175">
        <f>G57/G11</f>
        <v>0.18671861191606551</v>
      </c>
      <c r="H58" s="175">
        <f>H57/H11</f>
        <v>0.36582447627849662</v>
      </c>
      <c r="I58" s="175">
        <f>I57/I11</f>
        <v>0.40323177532519744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54599000</v>
      </c>
      <c r="F60" s="169">
        <f t="shared" ref="F60:I60" si="4">F45</f>
        <v>54599000</v>
      </c>
      <c r="G60" s="169">
        <f t="shared" si="4"/>
        <v>121265666.66666666</v>
      </c>
      <c r="H60" s="169">
        <f t="shared" si="4"/>
        <v>121265666.66666666</v>
      </c>
      <c r="I60" s="169">
        <f t="shared" si="4"/>
        <v>121265666.66666666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-124511900</v>
      </c>
      <c r="F62" s="153">
        <f t="shared" ref="F62:I62" si="5">F57-F60</f>
        <v>-30298175</v>
      </c>
      <c r="G62" s="153">
        <f t="shared" si="5"/>
        <v>-30413991.666666657</v>
      </c>
      <c r="H62" s="153">
        <f t="shared" si="5"/>
        <v>116227583.33333334</v>
      </c>
      <c r="I62" s="153">
        <f t="shared" si="5"/>
        <v>189654258.33333334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36000000.000000015</v>
      </c>
      <c r="H64" s="123">
        <f>'Parameter Interest'!E5</f>
        <v>28800000.000000011</v>
      </c>
      <c r="I64" s="123">
        <f>'Parameter Interest'!F5</f>
        <v>21600000.000000007</v>
      </c>
    </row>
    <row r="65" spans="2:10">
      <c r="B65" s="138" t="s">
        <v>104</v>
      </c>
      <c r="C65" s="138"/>
      <c r="D65" s="138"/>
      <c r="E65" s="123" t="e">
        <f>E62-E64</f>
        <v>#VALUE!</v>
      </c>
      <c r="F65" s="123">
        <f t="shared" ref="F65:I65" si="6">F62-F64</f>
        <v>-30298175</v>
      </c>
      <c r="G65" s="123">
        <f t="shared" si="6"/>
        <v>-66413991.666666672</v>
      </c>
      <c r="H65" s="123">
        <f t="shared" si="6"/>
        <v>87427583.333333328</v>
      </c>
      <c r="I65" s="123">
        <f t="shared" si="6"/>
        <v>168054258.33333334</v>
      </c>
    </row>
    <row r="66" spans="2:10">
      <c r="B66" s="138" t="s">
        <v>95</v>
      </c>
      <c r="C66" s="176">
        <v>0.02</v>
      </c>
      <c r="E66" s="157" t="e">
        <f>IF(E65&lt;0,0,E65*$C$66)</f>
        <v>#VALUE!</v>
      </c>
      <c r="F66" s="157">
        <f>IF(F65&lt;0,0,F65*$C$66)</f>
        <v>0</v>
      </c>
      <c r="G66" s="157">
        <f t="shared" ref="G66:I66" si="7">IF(G65&lt;0,0,G65*$C$66)</f>
        <v>0</v>
      </c>
      <c r="H66" s="157">
        <f t="shared" si="7"/>
        <v>1748551.6666666665</v>
      </c>
      <c r="I66" s="157">
        <f t="shared" si="7"/>
        <v>3361085.166666667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#VALUE!</v>
      </c>
      <c r="F68" s="178">
        <f t="shared" ref="F68:I68" si="8">F65-F66</f>
        <v>-30298175</v>
      </c>
      <c r="G68" s="178">
        <f t="shared" si="8"/>
        <v>-66413991.666666672</v>
      </c>
      <c r="H68" s="178">
        <f t="shared" si="8"/>
        <v>85679031.666666657</v>
      </c>
      <c r="I68" s="178">
        <f t="shared" si="8"/>
        <v>164693173.16666669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-SUM(E33:E35)</f>
        <v>-272995000</v>
      </c>
      <c r="F72" s="157">
        <f>-SUM(F33:F34)</f>
        <v>0</v>
      </c>
      <c r="G72" s="157">
        <f>-SUM(G33:G34)</f>
        <v>-200000000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/>
      <c r="E73" s="181" t="e">
        <f>E68+E72+E60</f>
        <v>#VALUE!</v>
      </c>
      <c r="F73" s="181">
        <f t="shared" ref="F73:I73" si="9">F68+F72+F60</f>
        <v>24300825</v>
      </c>
      <c r="G73" s="181">
        <f t="shared" si="9"/>
        <v>-145148325.00000003</v>
      </c>
      <c r="H73" s="181">
        <f t="shared" si="9"/>
        <v>206944698.33333331</v>
      </c>
      <c r="I73" s="181">
        <f t="shared" si="9"/>
        <v>285958839.83333337</v>
      </c>
    </row>
    <row r="74" spans="2:10">
      <c r="B74" s="145" t="s">
        <v>99</v>
      </c>
      <c r="C74" s="145"/>
      <c r="D74" s="182"/>
      <c r="E74" s="187" t="e">
        <f>D74+E73</f>
        <v>#VALUE!</v>
      </c>
      <c r="F74" s="187" t="e">
        <f t="shared" ref="F74:I74" si="10">E74+F73</f>
        <v>#VALUE!</v>
      </c>
      <c r="G74" s="187" t="e">
        <f t="shared" si="10"/>
        <v>#VALUE!</v>
      </c>
      <c r="H74" s="187" t="e">
        <f t="shared" si="10"/>
        <v>#VALUE!</v>
      </c>
      <c r="I74" s="187" t="e">
        <f t="shared" si="10"/>
        <v>#VALUE!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#VALUE!</v>
      </c>
      <c r="F75" s="164" t="e">
        <f>IF(AND(E74&lt;0,F74&gt;0),F30-(F74/F73),0)</f>
        <v>#VALUE!</v>
      </c>
      <c r="G75" s="164" t="e">
        <f>IF(AND(F74&lt;0,G74&gt;0),G30-(G74/G73),0)</f>
        <v>#VALUE!</v>
      </c>
      <c r="H75" s="164" t="e">
        <f>IF(AND(G74&lt;0,H74&gt;0),H30-(H74/H73),0)</f>
        <v>#VALUE!</v>
      </c>
      <c r="I75" s="164" t="e">
        <f>IF(AND(H74&lt;0,I74&gt;0),I30-(I74/I73),0)</f>
        <v>#VALUE!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AVERAGE(E68:I68)/C37</f>
        <v>#VALUE!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#VALUE!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C58</f>
        <v>0.24861809566087753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#VALUE!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K84"/>
  <sheetViews>
    <sheetView showGridLines="0" zoomScale="70" zoomScaleNormal="70" workbookViewId="0">
      <selection activeCell="C25" sqref="C25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Assumption!E7</f>
        <v>0.4</v>
      </c>
      <c r="F6" s="191">
        <f>Assumption!F7</f>
        <v>0.65</v>
      </c>
      <c r="G6" s="191">
        <f>Assumption!G7</f>
        <v>0.7</v>
      </c>
      <c r="H6" s="191">
        <f>Assumption!H7</f>
        <v>0.75</v>
      </c>
      <c r="I6" s="191">
        <f>Assumption!I7</f>
        <v>0.8</v>
      </c>
    </row>
    <row r="7" spans="1:9" s="126" customFormat="1">
      <c r="A7" s="76"/>
      <c r="B7" s="126" t="s">
        <v>59</v>
      </c>
      <c r="C7" s="127"/>
      <c r="D7" s="129"/>
      <c r="E7" s="128">
        <v>300</v>
      </c>
      <c r="F7" s="128">
        <v>300</v>
      </c>
      <c r="G7" s="128">
        <v>300</v>
      </c>
      <c r="H7" s="128">
        <v>300</v>
      </c>
      <c r="I7" s="128">
        <v>300</v>
      </c>
    </row>
    <row r="8" spans="1:9" s="159" customFormat="1">
      <c r="A8" s="158"/>
      <c r="B8" s="159" t="s">
        <v>86</v>
      </c>
      <c r="C8" s="160"/>
      <c r="D8" s="161"/>
      <c r="E8" s="353">
        <f>E7*E6</f>
        <v>120</v>
      </c>
      <c r="F8" s="353">
        <f>F7*F6</f>
        <v>195</v>
      </c>
      <c r="G8" s="353">
        <f>G7*G6</f>
        <v>210</v>
      </c>
      <c r="H8" s="353">
        <f>H7*H6</f>
        <v>225</v>
      </c>
      <c r="I8" s="353">
        <f>I7*I6</f>
        <v>240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3433120000</v>
      </c>
      <c r="D11" s="117" t="s">
        <v>17</v>
      </c>
      <c r="E11" s="122">
        <f>Revenue!E25</f>
        <v>272160000</v>
      </c>
      <c r="F11" s="122">
        <f>Revenue!F25</f>
        <v>631240000</v>
      </c>
      <c r="G11" s="122">
        <f>Revenue!G25</f>
        <v>785670000</v>
      </c>
      <c r="H11" s="122">
        <f>Revenue!H25</f>
        <v>842460000</v>
      </c>
      <c r="I11" s="122">
        <f>Revenue!I25</f>
        <v>901590000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153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500000*125</f>
        <v>62500000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$C$33*E8</f>
        <v>120000000</v>
      </c>
      <c r="F33" s="149">
        <f>$C$33*(F8-E8)</f>
        <v>75000000</v>
      </c>
      <c r="G33" s="149">
        <f>$C$33*(G8-F8)</f>
        <v>15000000</v>
      </c>
      <c r="H33" s="149">
        <f>$C$33*(H8-G8)</f>
        <v>15000000</v>
      </c>
      <c r="I33" s="149">
        <f>$C$33*(I8-H8)</f>
        <v>15000000</v>
      </c>
      <c r="J33" s="187"/>
    </row>
    <row r="34" spans="2:11">
      <c r="B34" s="145" t="s">
        <v>87</v>
      </c>
      <c r="C34" s="147"/>
      <c r="D34" s="148"/>
      <c r="E34" s="149">
        <f>$C$25</f>
        <v>62500000</v>
      </c>
      <c r="F34" s="149"/>
      <c r="G34" s="149"/>
      <c r="H34" s="149"/>
      <c r="I34" s="149"/>
    </row>
    <row r="35" spans="2:11">
      <c r="B35" s="145" t="s">
        <v>257</v>
      </c>
      <c r="C35" s="355">
        <v>0.2</v>
      </c>
      <c r="D35" s="148"/>
      <c r="E35" s="149">
        <f>C35*C25</f>
        <v>12500000</v>
      </c>
      <c r="F35" s="149"/>
      <c r="G35" s="149"/>
      <c r="H35" s="149"/>
      <c r="I35" s="149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315000000</v>
      </c>
      <c r="D37" s="152"/>
      <c r="E37" s="153">
        <f>SUM(E33:E36)</f>
        <v>195000000</v>
      </c>
      <c r="F37" s="153">
        <f>SUM(F33:F36)</f>
        <v>75000000</v>
      </c>
      <c r="G37" s="153">
        <f>SUM(G33:G36)</f>
        <v>15000000</v>
      </c>
      <c r="H37" s="153">
        <f>SUM(H33:H36)</f>
        <v>15000000</v>
      </c>
      <c r="I37" s="153">
        <f>SUM(I33:I36)</f>
        <v>15000000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39000000</v>
      </c>
      <c r="F40" s="157">
        <f>E40</f>
        <v>39000000</v>
      </c>
      <c r="G40" s="157">
        <f t="shared" ref="G40:I40" si="0">F40</f>
        <v>39000000</v>
      </c>
      <c r="H40" s="157">
        <f t="shared" si="0"/>
        <v>39000000</v>
      </c>
      <c r="I40" s="157">
        <f t="shared" si="0"/>
        <v>39000000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18750000</v>
      </c>
      <c r="G41" s="157">
        <f>F41</f>
        <v>18750000</v>
      </c>
      <c r="H41" s="157">
        <f t="shared" ref="H41:I41" si="1">G41</f>
        <v>18750000</v>
      </c>
      <c r="I41" s="157">
        <f t="shared" si="1"/>
        <v>18750000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5000000</v>
      </c>
      <c r="H42" s="157">
        <f>G42</f>
        <v>5000000</v>
      </c>
      <c r="I42" s="157">
        <f t="shared" ref="I42" si="2">H42</f>
        <v>5000000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7500000</v>
      </c>
      <c r="I43" s="157">
        <f>H43</f>
        <v>7500000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15000000</v>
      </c>
    </row>
    <row r="45" spans="2:11">
      <c r="B45" s="150" t="s">
        <v>85</v>
      </c>
      <c r="C45" s="150"/>
      <c r="D45" s="150"/>
      <c r="E45" s="153">
        <f>SUM(E40:E44)</f>
        <v>39000000</v>
      </c>
      <c r="F45" s="153">
        <f>SUM(F40:F44)</f>
        <v>57750000</v>
      </c>
      <c r="G45" s="153">
        <f>SUM(G40:G44)</f>
        <v>62750000</v>
      </c>
      <c r="H45" s="153">
        <f>SUM(H40:H44)</f>
        <v>70250000</v>
      </c>
      <c r="I45" s="153">
        <f>SUM(I40:I44)</f>
        <v>85250000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>$C$48*E11</f>
        <v>68040000</v>
      </c>
      <c r="F48" s="157">
        <f>$C$48*F11</f>
        <v>157810000</v>
      </c>
      <c r="G48" s="157">
        <f>$C$48*G11</f>
        <v>196417500</v>
      </c>
      <c r="H48" s="157">
        <f>$C$48*H11</f>
        <v>210615000</v>
      </c>
      <c r="I48" s="157">
        <f>$C$48*I11</f>
        <v>225397500</v>
      </c>
      <c r="J48" s="187"/>
      <c r="K48" s="187"/>
    </row>
    <row r="49" spans="2:10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10">
      <c r="B50" s="138" t="s">
        <v>88</v>
      </c>
      <c r="C50" s="166">
        <v>0.1</v>
      </c>
      <c r="D50" s="167" t="s">
        <v>89</v>
      </c>
      <c r="E50" s="157">
        <f>$C$50*E11</f>
        <v>27216000</v>
      </c>
      <c r="F50" s="157">
        <f>$C$50*F11</f>
        <v>63124000</v>
      </c>
      <c r="G50" s="157">
        <f>$C$50*G11</f>
        <v>78567000</v>
      </c>
      <c r="H50" s="157">
        <f>$C$50*H11</f>
        <v>84246000</v>
      </c>
      <c r="I50" s="157">
        <f>$C$50*I11</f>
        <v>90159000</v>
      </c>
    </row>
    <row r="51" spans="2:10">
      <c r="B51" s="138" t="s">
        <v>109</v>
      </c>
      <c r="C51" s="166">
        <v>0.03</v>
      </c>
      <c r="D51" s="167" t="s">
        <v>89</v>
      </c>
      <c r="E51" s="157">
        <f>$C$51*E11</f>
        <v>8164800</v>
      </c>
      <c r="F51" s="157">
        <f>$C$51*F11</f>
        <v>18937200</v>
      </c>
      <c r="G51" s="157">
        <f>$C$51*G11</f>
        <v>23570100</v>
      </c>
      <c r="H51" s="157">
        <f>$C$51*H11</f>
        <v>25273800</v>
      </c>
      <c r="I51" s="157">
        <f>$C$51*I11</f>
        <v>27047700</v>
      </c>
    </row>
    <row r="52" spans="2:10">
      <c r="B52" s="138" t="s">
        <v>90</v>
      </c>
      <c r="C52" s="168">
        <v>0.04</v>
      </c>
      <c r="D52" s="167" t="s">
        <v>89</v>
      </c>
      <c r="E52" s="169">
        <f>$C$52*E11</f>
        <v>10886400</v>
      </c>
      <c r="F52" s="169">
        <f>$C$52*F11</f>
        <v>25249600</v>
      </c>
      <c r="G52" s="169">
        <f>$C$52*G11</f>
        <v>31426800</v>
      </c>
      <c r="H52" s="169">
        <f>$C$52*H11</f>
        <v>33698400</v>
      </c>
      <c r="I52" s="169">
        <f>$C$52*I11</f>
        <v>36063600</v>
      </c>
    </row>
    <row r="53" spans="2:10">
      <c r="B53" s="138" t="s">
        <v>91</v>
      </c>
      <c r="C53" s="170">
        <v>1.7500000000000002E-2</v>
      </c>
      <c r="D53" s="167" t="s">
        <v>89</v>
      </c>
      <c r="E53" s="169">
        <f>$C$53*E11</f>
        <v>4762800</v>
      </c>
      <c r="F53" s="169">
        <f>$C$53*F11</f>
        <v>11046700.000000002</v>
      </c>
      <c r="G53" s="169">
        <f>$C$53*G11</f>
        <v>13749225.000000002</v>
      </c>
      <c r="H53" s="169">
        <f>$C$53*H11</f>
        <v>14743050.000000002</v>
      </c>
      <c r="I53" s="169">
        <f>$C$53*I11</f>
        <v>15777825.000000002</v>
      </c>
    </row>
    <row r="54" spans="2:10">
      <c r="B54" s="150" t="s">
        <v>92</v>
      </c>
      <c r="C54" s="151">
        <f>SUM(E54:I54)</f>
        <v>2476990000</v>
      </c>
      <c r="D54" s="150"/>
      <c r="E54" s="153">
        <f t="shared" ref="E54:I54" si="3">SUM(E48:E53)</f>
        <v>314070000</v>
      </c>
      <c r="F54" s="153">
        <f t="shared" si="3"/>
        <v>471167500</v>
      </c>
      <c r="G54" s="153">
        <f t="shared" si="3"/>
        <v>538730625</v>
      </c>
      <c r="H54" s="153">
        <f t="shared" si="3"/>
        <v>563576250</v>
      </c>
      <c r="I54" s="153">
        <f t="shared" si="3"/>
        <v>589445625</v>
      </c>
    </row>
    <row r="55" spans="2:10">
      <c r="B55" s="138"/>
      <c r="C55" s="138"/>
      <c r="D55" s="138"/>
      <c r="E55" s="157"/>
      <c r="F55" s="157"/>
      <c r="G55" s="157"/>
      <c r="H55" s="157"/>
      <c r="I55" s="157"/>
    </row>
    <row r="56" spans="2:10">
      <c r="B56" s="138"/>
      <c r="C56" s="138"/>
      <c r="D56" s="138"/>
      <c r="E56" s="157"/>
      <c r="F56" s="138"/>
      <c r="G56" s="138"/>
      <c r="H56" s="138"/>
      <c r="I56" s="155"/>
    </row>
    <row r="57" spans="2:10">
      <c r="B57" s="171" t="s">
        <v>0</v>
      </c>
      <c r="C57" s="171"/>
      <c r="D57" s="172"/>
      <c r="E57" s="173">
        <f>E11-E54</f>
        <v>-41910000</v>
      </c>
      <c r="F57" s="173">
        <f>F11-F54</f>
        <v>160072500</v>
      </c>
      <c r="G57" s="173">
        <f>G11-G54</f>
        <v>246939375</v>
      </c>
      <c r="H57" s="173">
        <f>H11-H54</f>
        <v>278883750</v>
      </c>
      <c r="I57" s="173">
        <f>I11-I54</f>
        <v>312144375</v>
      </c>
    </row>
    <row r="58" spans="2:10">
      <c r="B58" s="174" t="s">
        <v>4</v>
      </c>
      <c r="C58" s="154"/>
      <c r="D58" s="154"/>
      <c r="E58" s="175">
        <f>E57/E11</f>
        <v>-0.15399029982363316</v>
      </c>
      <c r="F58" s="175">
        <f>F57/F11</f>
        <v>0.25358421519548824</v>
      </c>
      <c r="G58" s="175">
        <f>G57/G11</f>
        <v>0.31430419259994652</v>
      </c>
      <c r="H58" s="175">
        <f>H57/H11</f>
        <v>0.33103500462929991</v>
      </c>
      <c r="I58" s="175">
        <f>I57/I11</f>
        <v>0.34621543606295546</v>
      </c>
    </row>
    <row r="59" spans="2:10">
      <c r="B59" s="138"/>
      <c r="C59" s="138"/>
      <c r="D59" s="138"/>
      <c r="E59" s="138"/>
      <c r="F59" s="138"/>
      <c r="G59" s="138"/>
      <c r="H59" s="138"/>
      <c r="I59" s="155"/>
    </row>
    <row r="60" spans="2:10">
      <c r="B60" s="138" t="s">
        <v>93</v>
      </c>
      <c r="C60" s="138"/>
      <c r="D60" s="156"/>
      <c r="E60" s="169">
        <f>E45</f>
        <v>39000000</v>
      </c>
      <c r="F60" s="169">
        <f t="shared" ref="F60:I60" si="4">F45</f>
        <v>57750000</v>
      </c>
      <c r="G60" s="169">
        <f t="shared" si="4"/>
        <v>62750000</v>
      </c>
      <c r="H60" s="169">
        <f t="shared" si="4"/>
        <v>70250000</v>
      </c>
      <c r="I60" s="169">
        <f t="shared" si="4"/>
        <v>85250000</v>
      </c>
      <c r="J60" s="169"/>
    </row>
    <row r="61" spans="2:10">
      <c r="B61" s="138"/>
      <c r="C61" s="138"/>
      <c r="D61" s="138"/>
      <c r="E61" s="138"/>
      <c r="F61" s="138"/>
      <c r="G61" s="138"/>
      <c r="H61" s="138"/>
      <c r="I61" s="155"/>
    </row>
    <row r="62" spans="2:10">
      <c r="B62" s="150" t="s">
        <v>94</v>
      </c>
      <c r="C62" s="150"/>
      <c r="D62" s="150"/>
      <c r="E62" s="153">
        <f>E57-E60</f>
        <v>-80910000</v>
      </c>
      <c r="F62" s="153">
        <f t="shared" ref="F62:I62" si="5">F57-F60</f>
        <v>102322500</v>
      </c>
      <c r="G62" s="153">
        <f t="shared" si="5"/>
        <v>184189375</v>
      </c>
      <c r="H62" s="153">
        <f t="shared" si="5"/>
        <v>208633750</v>
      </c>
      <c r="I62" s="153">
        <f t="shared" si="5"/>
        <v>226894375</v>
      </c>
    </row>
    <row r="63" spans="2:10">
      <c r="B63" s="138"/>
      <c r="C63" s="138"/>
      <c r="D63" s="138"/>
      <c r="E63" s="138"/>
      <c r="F63" s="138"/>
      <c r="G63" s="138"/>
      <c r="H63" s="138"/>
      <c r="I63" s="155"/>
    </row>
    <row r="64" spans="2:10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36000000.000000015</v>
      </c>
      <c r="H64" s="123">
        <f>'Parameter Interest'!E5</f>
        <v>28800000.000000011</v>
      </c>
      <c r="I64" s="123">
        <f>'Parameter Interest'!F5</f>
        <v>21600000.000000007</v>
      </c>
    </row>
    <row r="65" spans="2:10">
      <c r="B65" s="138" t="s">
        <v>104</v>
      </c>
      <c r="C65" s="138"/>
      <c r="D65" s="138"/>
      <c r="E65" s="123" t="e">
        <f>E62-E64</f>
        <v>#VALUE!</v>
      </c>
      <c r="F65" s="123">
        <f t="shared" ref="F65:I65" si="6">F62-F64</f>
        <v>102322500</v>
      </c>
      <c r="G65" s="123">
        <f t="shared" si="6"/>
        <v>148189375</v>
      </c>
      <c r="H65" s="123">
        <f t="shared" si="6"/>
        <v>179833750</v>
      </c>
      <c r="I65" s="123">
        <f t="shared" si="6"/>
        <v>205294375</v>
      </c>
    </row>
    <row r="66" spans="2:10">
      <c r="B66" s="138" t="s">
        <v>95</v>
      </c>
      <c r="C66" s="176">
        <v>0.02</v>
      </c>
      <c r="E66" s="157" t="e">
        <f>IF(E65&lt;0,0,E65*$C$66)</f>
        <v>#VALUE!</v>
      </c>
      <c r="F66" s="157">
        <f>IF(F65&lt;0,0,F65*$C$66)</f>
        <v>2046450</v>
      </c>
      <c r="G66" s="157">
        <f t="shared" ref="G66:I66" si="7">IF(G65&lt;0,0,G65*$C$66)</f>
        <v>2963787.5</v>
      </c>
      <c r="H66" s="157">
        <f t="shared" si="7"/>
        <v>3596675</v>
      </c>
      <c r="I66" s="157">
        <f t="shared" si="7"/>
        <v>4105887.5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#VALUE!</v>
      </c>
      <c r="F68" s="178">
        <f t="shared" ref="F68:I68" si="8">F65-F66</f>
        <v>100276050</v>
      </c>
      <c r="G68" s="178">
        <f t="shared" si="8"/>
        <v>145225587.5</v>
      </c>
      <c r="H68" s="178">
        <f t="shared" si="8"/>
        <v>176237075</v>
      </c>
      <c r="I68" s="178">
        <f t="shared" si="8"/>
        <v>201188487.5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-182500000</v>
      </c>
      <c r="F72" s="157">
        <f>-SUM(F33:F34)</f>
        <v>-75000000</v>
      </c>
      <c r="G72" s="157">
        <f>-SUM(G33:G34)</f>
        <v>-15000000</v>
      </c>
      <c r="H72" s="157">
        <f>-SUM(H33:H34)</f>
        <v>-15000000</v>
      </c>
      <c r="I72" s="157">
        <f>-SUM(I33:I34)</f>
        <v>-15000000</v>
      </c>
    </row>
    <row r="73" spans="2:10">
      <c r="B73" s="180" t="s">
        <v>98</v>
      </c>
      <c r="C73" s="180"/>
      <c r="D73" s="181">
        <f>-C25</f>
        <v>-62500000</v>
      </c>
      <c r="E73" s="181" t="e">
        <f>E68+E45</f>
        <v>#VALUE!</v>
      </c>
      <c r="F73" s="181">
        <f t="shared" ref="F73:I73" si="9">F68+F45</f>
        <v>158026050</v>
      </c>
      <c r="G73" s="181">
        <f t="shared" si="9"/>
        <v>207975587.5</v>
      </c>
      <c r="H73" s="181">
        <f t="shared" si="9"/>
        <v>246487075</v>
      </c>
      <c r="I73" s="181">
        <f t="shared" si="9"/>
        <v>286438487.5</v>
      </c>
    </row>
    <row r="74" spans="2:10">
      <c r="B74" s="145" t="s">
        <v>99</v>
      </c>
      <c r="C74" s="145"/>
      <c r="D74" s="182">
        <f>D73</f>
        <v>-62500000</v>
      </c>
      <c r="E74" s="187" t="e">
        <f>D74+E73</f>
        <v>#VALUE!</v>
      </c>
      <c r="F74" s="187" t="e">
        <f t="shared" ref="F74:I74" si="10">E74+F73</f>
        <v>#VALUE!</v>
      </c>
      <c r="G74" s="187" t="e">
        <f t="shared" si="10"/>
        <v>#VALUE!</v>
      </c>
      <c r="H74" s="187" t="e">
        <f t="shared" si="10"/>
        <v>#VALUE!</v>
      </c>
      <c r="I74" s="187" t="e">
        <f t="shared" si="10"/>
        <v>#VALUE!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#VALUE!</v>
      </c>
      <c r="F75" s="164" t="e">
        <f>IF(AND(E74&lt;0,F74&gt;0),F30-(F74/F73),0)</f>
        <v>#VALUE!</v>
      </c>
      <c r="G75" s="164" t="e">
        <f>IF(AND(F74&lt;0,G74&gt;0),G30-(G74/G73),0)</f>
        <v>#VALUE!</v>
      </c>
      <c r="H75" s="164" t="e">
        <f>IF(AND(G74&lt;0,H74&gt;0),H30-(H74/H73),0)</f>
        <v>#VALUE!</v>
      </c>
      <c r="I75" s="164" t="e">
        <f>IF(AND(H74&lt;0,I74&gt;0),I30-(I74/I73),0)</f>
        <v>#VALUE!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AVERAGE(E68:I68)/C25</f>
        <v>#VALUE!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#VALUE!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0.34621543606295546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#VALUE!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honeticPr fontId="170" type="noConversion"/>
  <pageMargins left="0.7" right="0.7" top="0.75" bottom="0.75" header="0.3" footer="0.3"/>
  <pageSetup paperSize="9" scale="5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>
    <pageSetUpPr fitToPage="1"/>
  </sheetPr>
  <dimension ref="A1:K84"/>
  <sheetViews>
    <sheetView showGridLines="0" topLeftCell="A34" zoomScale="70" zoomScaleNormal="70" workbookViewId="0">
      <selection activeCell="E11" sqref="E11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Assumption!E8</f>
        <v>0.6</v>
      </c>
      <c r="F6" s="191">
        <f>Assumption!F8</f>
        <v>0.7</v>
      </c>
      <c r="G6" s="191">
        <f>Assumption!G8</f>
        <v>0.72</v>
      </c>
      <c r="H6" s="191">
        <f>Assumption!H8</f>
        <v>0.77</v>
      </c>
      <c r="I6" s="191">
        <f>Assumption!I8</f>
        <v>0.8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353">
        <f>E7*E6</f>
        <v>216</v>
      </c>
      <c r="F8" s="353">
        <f>F7*F6</f>
        <v>251.99999999999997</v>
      </c>
      <c r="G8" s="353">
        <f>G7*G6</f>
        <v>259.2</v>
      </c>
      <c r="H8" s="353">
        <f>H7*H6</f>
        <v>277.2</v>
      </c>
      <c r="I8" s="353">
        <f>I7*I6</f>
        <v>288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3766620000</v>
      </c>
      <c r="D11" s="117" t="s">
        <v>17</v>
      </c>
      <c r="E11" s="122">
        <f>Revenue!E33</f>
        <v>406860000</v>
      </c>
      <c r="F11" s="122">
        <f>Revenue!F33</f>
        <v>761490000</v>
      </c>
      <c r="G11" s="122">
        <f>Revenue!G33</f>
        <v>822560000</v>
      </c>
      <c r="H11" s="122">
        <f>Revenue!H33</f>
        <v>865460000</v>
      </c>
      <c r="I11" s="122">
        <f>Revenue!I33</f>
        <v>910250000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153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$C$33*E8</f>
        <v>216000000</v>
      </c>
      <c r="F33" s="149">
        <f>$C$33*(F8-E8)</f>
        <v>35999999.99999997</v>
      </c>
      <c r="G33" s="149">
        <f>$C$33*(G8-F8)</f>
        <v>7200000.0000000168</v>
      </c>
      <c r="H33" s="149">
        <f>$C$33*(H8-G8)</f>
        <v>18000000</v>
      </c>
      <c r="I33" s="149">
        <f>$C$33*(I8-H8)</f>
        <v>10800000.000000011</v>
      </c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257</v>
      </c>
      <c r="C35" s="355">
        <v>0.2</v>
      </c>
      <c r="D35" s="148"/>
      <c r="E35" s="149">
        <f>C35*C25</f>
        <v>14700000</v>
      </c>
      <c r="F35" s="149"/>
      <c r="G35" s="149"/>
      <c r="H35" s="149"/>
      <c r="I35" s="149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376200000</v>
      </c>
      <c r="D37" s="152"/>
      <c r="E37" s="153">
        <f>SUM(E33:E36)</f>
        <v>304200000</v>
      </c>
      <c r="F37" s="153">
        <f>SUM(F33:F36)</f>
        <v>35999999.99999997</v>
      </c>
      <c r="G37" s="153">
        <f>SUM(G33:G36)</f>
        <v>7200000.0000000168</v>
      </c>
      <c r="H37" s="153">
        <f>SUM(H33:H36)</f>
        <v>18000000</v>
      </c>
      <c r="I37" s="153">
        <f>SUM(I33:I36)</f>
        <v>10800000.000000011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60840000</v>
      </c>
      <c r="F40" s="157">
        <f>E40</f>
        <v>60840000</v>
      </c>
      <c r="G40" s="157">
        <f t="shared" ref="G40:I42" si="1">F40</f>
        <v>60840000</v>
      </c>
      <c r="H40" s="157">
        <f t="shared" si="1"/>
        <v>60840000</v>
      </c>
      <c r="I40" s="157">
        <f t="shared" si="1"/>
        <v>60840000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8999999.9999999925</v>
      </c>
      <c r="G41" s="157">
        <f>F41</f>
        <v>8999999.9999999925</v>
      </c>
      <c r="H41" s="157">
        <f t="shared" si="1"/>
        <v>8999999.9999999925</v>
      </c>
      <c r="I41" s="157">
        <f t="shared" si="1"/>
        <v>8999999.9999999925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2400000.0000000056</v>
      </c>
      <c r="H42" s="157">
        <f>G42</f>
        <v>2400000.0000000056</v>
      </c>
      <c r="I42" s="157">
        <f t="shared" si="1"/>
        <v>2400000.0000000056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9000000</v>
      </c>
      <c r="I43" s="157">
        <f>H43</f>
        <v>9000000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10800000.000000011</v>
      </c>
    </row>
    <row r="45" spans="2:11">
      <c r="B45" s="150" t="s">
        <v>85</v>
      </c>
      <c r="C45" s="150"/>
      <c r="D45" s="150"/>
      <c r="E45" s="153">
        <f>SUM(E40:E44)</f>
        <v>60840000</v>
      </c>
      <c r="F45" s="153">
        <f>SUM(F40:F44)</f>
        <v>69840000</v>
      </c>
      <c r="G45" s="153">
        <f>SUM(G40:G44)</f>
        <v>72240000</v>
      </c>
      <c r="H45" s="153">
        <f>SUM(H40:H44)</f>
        <v>81240000</v>
      </c>
      <c r="I45" s="153">
        <f>SUM(I40:I44)</f>
        <v>92040000.000000015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>$C$48*E11</f>
        <v>101715000</v>
      </c>
      <c r="F48" s="157">
        <f>$C$48*F11</f>
        <v>190372500</v>
      </c>
      <c r="G48" s="157">
        <f>$C$48*G11</f>
        <v>205640000</v>
      </c>
      <c r="H48" s="157">
        <f>$C$48*H11</f>
        <v>216365000</v>
      </c>
      <c r="I48" s="157">
        <f>$C$48*I11</f>
        <v>227562500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>
        <f>$C$50*E11</f>
        <v>40686000</v>
      </c>
      <c r="F50" s="157">
        <f>$C$50*F11</f>
        <v>76149000</v>
      </c>
      <c r="G50" s="157">
        <f>$C$50*G11</f>
        <v>82256000</v>
      </c>
      <c r="H50" s="157">
        <f>$C$50*H11</f>
        <v>86546000</v>
      </c>
      <c r="I50" s="157">
        <f>$C$50*I11</f>
        <v>91025000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12205800</v>
      </c>
      <c r="F51" s="157">
        <f>$C$51*F11</f>
        <v>22844700</v>
      </c>
      <c r="G51" s="157">
        <f>$C$51*G11</f>
        <v>24676800</v>
      </c>
      <c r="H51" s="157">
        <f>$C$51*H11</f>
        <v>25963800</v>
      </c>
      <c r="I51" s="157">
        <f>$C$51*I11</f>
        <v>27307500</v>
      </c>
    </row>
    <row r="52" spans="2:9">
      <c r="B52" s="138" t="s">
        <v>90</v>
      </c>
      <c r="C52" s="168">
        <v>0.04</v>
      </c>
      <c r="D52" s="167" t="s">
        <v>89</v>
      </c>
      <c r="E52" s="169">
        <f>$C$52*E11</f>
        <v>16274400</v>
      </c>
      <c r="F52" s="169">
        <f>$C$52*F11</f>
        <v>30459600</v>
      </c>
      <c r="G52" s="169">
        <f>$C$52*G11</f>
        <v>32902400</v>
      </c>
      <c r="H52" s="169">
        <f>$C$52*H11</f>
        <v>34618400</v>
      </c>
      <c r="I52" s="169">
        <f>$C$52*I11</f>
        <v>36410000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7120050.0000000009</v>
      </c>
      <c r="F53" s="169">
        <f>$C$53*F11</f>
        <v>13326075.000000002</v>
      </c>
      <c r="G53" s="169">
        <f>$C$53*G11</f>
        <v>14394800.000000002</v>
      </c>
      <c r="H53" s="169">
        <f>$C$53*H11</f>
        <v>15145550.000000002</v>
      </c>
      <c r="I53" s="169">
        <f>$C$53*I11</f>
        <v>15929375.000000002</v>
      </c>
    </row>
    <row r="54" spans="2:9">
      <c r="B54" s="150" t="s">
        <v>92</v>
      </c>
      <c r="C54" s="151">
        <f>SUM(E54:I54)</f>
        <v>2622896250</v>
      </c>
      <c r="D54" s="150"/>
      <c r="E54" s="153">
        <f t="shared" ref="E54:I54" si="2">SUM(E48:E53)</f>
        <v>373001250</v>
      </c>
      <c r="F54" s="153">
        <f t="shared" si="2"/>
        <v>528151875</v>
      </c>
      <c r="G54" s="153">
        <f t="shared" si="2"/>
        <v>554870000</v>
      </c>
      <c r="H54" s="153">
        <f t="shared" si="2"/>
        <v>573638750</v>
      </c>
      <c r="I54" s="153">
        <f t="shared" si="2"/>
        <v>593234375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>
        <f>E11-E54</f>
        <v>33858750</v>
      </c>
      <c r="F57" s="173">
        <f>F11-F54</f>
        <v>233338125</v>
      </c>
      <c r="G57" s="173">
        <f>G11-G54</f>
        <v>267690000</v>
      </c>
      <c r="H57" s="173">
        <f>H11-H54</f>
        <v>291821250</v>
      </c>
      <c r="I57" s="173">
        <f>I11-I54</f>
        <v>317015625</v>
      </c>
    </row>
    <row r="58" spans="2:9">
      <c r="B58" s="174" t="s">
        <v>4</v>
      </c>
      <c r="C58" s="154"/>
      <c r="D58" s="154"/>
      <c r="E58" s="175">
        <f>E57/E11</f>
        <v>8.3219657867571156E-2</v>
      </c>
      <c r="F58" s="175">
        <f>F57/F11</f>
        <v>0.30642309813654811</v>
      </c>
      <c r="G58" s="175">
        <f>G57/G11</f>
        <v>0.32543522660960905</v>
      </c>
      <c r="H58" s="175">
        <f>H57/H11</f>
        <v>0.3371862939939454</v>
      </c>
      <c r="I58" s="175">
        <f>I57/I11</f>
        <v>0.34827313924745951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60840000</v>
      </c>
      <c r="F60" s="169">
        <f t="shared" ref="F60:I60" si="3">F45</f>
        <v>69840000</v>
      </c>
      <c r="G60" s="169">
        <f t="shared" si="3"/>
        <v>72240000</v>
      </c>
      <c r="H60" s="169">
        <f t="shared" si="3"/>
        <v>81240000</v>
      </c>
      <c r="I60" s="169">
        <f t="shared" si="3"/>
        <v>92040000.000000015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-26981250</v>
      </c>
      <c r="F62" s="153">
        <f t="shared" ref="F62:I62" si="4">F57-F60</f>
        <v>163498125</v>
      </c>
      <c r="G62" s="153">
        <f t="shared" si="4"/>
        <v>195450000</v>
      </c>
      <c r="H62" s="153">
        <f t="shared" si="4"/>
        <v>210581250</v>
      </c>
      <c r="I62" s="153">
        <f t="shared" si="4"/>
        <v>224975625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36000000.000000015</v>
      </c>
      <c r="H64" s="123">
        <f>'Parameter Interest'!E5</f>
        <v>28800000.000000011</v>
      </c>
      <c r="I64" s="123">
        <f>'Parameter Interest'!F5</f>
        <v>21600000.000000007</v>
      </c>
    </row>
    <row r="65" spans="2:10">
      <c r="B65" s="138" t="s">
        <v>104</v>
      </c>
      <c r="C65" s="138"/>
      <c r="D65" s="138"/>
      <c r="E65" s="123" t="e">
        <f>E62-E64</f>
        <v>#VALUE!</v>
      </c>
      <c r="F65" s="123">
        <f t="shared" ref="F65:I65" si="5">F62-F64</f>
        <v>163498125</v>
      </c>
      <c r="G65" s="123">
        <f t="shared" si="5"/>
        <v>159450000</v>
      </c>
      <c r="H65" s="123">
        <f t="shared" si="5"/>
        <v>181781250</v>
      </c>
      <c r="I65" s="123">
        <f t="shared" si="5"/>
        <v>203375625</v>
      </c>
    </row>
    <row r="66" spans="2:10">
      <c r="B66" s="138" t="s">
        <v>95</v>
      </c>
      <c r="C66" s="176">
        <v>0.02</v>
      </c>
      <c r="E66" s="157" t="e">
        <f>IF(E65&lt;0,0,E65*$C$66)</f>
        <v>#VALUE!</v>
      </c>
      <c r="F66" s="157">
        <f>IF(F65&lt;0,0,F65*$C$66)</f>
        <v>3269962.5</v>
      </c>
      <c r="G66" s="157">
        <f t="shared" ref="G66:I66" si="6">IF(G65&lt;0,0,G65*$C$66)</f>
        <v>3189000</v>
      </c>
      <c r="H66" s="157">
        <f t="shared" si="6"/>
        <v>3635625</v>
      </c>
      <c r="I66" s="157">
        <f t="shared" si="6"/>
        <v>4067512.5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#VALUE!</v>
      </c>
      <c r="F68" s="178">
        <f t="shared" ref="F68:I68" si="7">F65-F66</f>
        <v>160228162.5</v>
      </c>
      <c r="G68" s="178">
        <f t="shared" si="7"/>
        <v>156261000</v>
      </c>
      <c r="H68" s="178">
        <f t="shared" si="7"/>
        <v>178145625</v>
      </c>
      <c r="I68" s="178">
        <f t="shared" si="7"/>
        <v>199308112.5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-289500000</v>
      </c>
      <c r="F72" s="157">
        <f>-SUM(F33:F34)</f>
        <v>-35999999.99999997</v>
      </c>
      <c r="G72" s="157">
        <f>-SUM(G33:G34)</f>
        <v>-7200000.0000000168</v>
      </c>
      <c r="H72" s="157">
        <f>-SUM(H33:H34)</f>
        <v>-18000000</v>
      </c>
      <c r="I72" s="157">
        <f>-SUM(I33:I34)</f>
        <v>-10800000.000000011</v>
      </c>
    </row>
    <row r="73" spans="2:10">
      <c r="B73" s="180" t="s">
        <v>98</v>
      </c>
      <c r="C73" s="180"/>
      <c r="D73" s="181">
        <f>-C25</f>
        <v>-73500000</v>
      </c>
      <c r="E73" s="181" t="e">
        <f>E68+E45</f>
        <v>#VALUE!</v>
      </c>
      <c r="F73" s="181">
        <f t="shared" ref="F73:I73" si="8">F68+F45</f>
        <v>230068162.5</v>
      </c>
      <c r="G73" s="181">
        <f t="shared" si="8"/>
        <v>228501000</v>
      </c>
      <c r="H73" s="181">
        <f t="shared" si="8"/>
        <v>259385625</v>
      </c>
      <c r="I73" s="181">
        <f t="shared" si="8"/>
        <v>291348112.5</v>
      </c>
    </row>
    <row r="74" spans="2:10">
      <c r="B74" s="145" t="s">
        <v>99</v>
      </c>
      <c r="C74" s="145"/>
      <c r="D74" s="182">
        <f>D73</f>
        <v>-73500000</v>
      </c>
      <c r="E74" s="187" t="e">
        <f>D74+E73</f>
        <v>#VALUE!</v>
      </c>
      <c r="F74" s="187" t="e">
        <f t="shared" ref="F74:I74" si="9">E74+F73</f>
        <v>#VALUE!</v>
      </c>
      <c r="G74" s="187" t="e">
        <f t="shared" si="9"/>
        <v>#VALUE!</v>
      </c>
      <c r="H74" s="187" t="e">
        <f t="shared" si="9"/>
        <v>#VALUE!</v>
      </c>
      <c r="I74" s="187" t="e">
        <f t="shared" si="9"/>
        <v>#VALUE!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#VALUE!</v>
      </c>
      <c r="F75" s="164" t="e">
        <f>IF(AND(E74&lt;0,F74&gt;0),F30-(F74/F73),0)</f>
        <v>#VALUE!</v>
      </c>
      <c r="G75" s="164" t="e">
        <f>IF(AND(F74&lt;0,G74&gt;0),G30-(G74/G73),0)</f>
        <v>#VALUE!</v>
      </c>
      <c r="H75" s="164" t="e">
        <f>IF(AND(G74&lt;0,H74&gt;0),H30-(H74/H73),0)</f>
        <v>#VALUE!</v>
      </c>
      <c r="I75" s="164" t="e">
        <f>IF(AND(H74&lt;0,I74&gt;0),I30-(I74/I73),0)</f>
        <v>#VALUE!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AVERAGE(E68:I68)/C25</f>
        <v>#VALUE!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#VALUE!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0.34827313924745951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#VALUE!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5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92D050"/>
    <pageSetUpPr fitToPage="1"/>
  </sheetPr>
  <dimension ref="A1:K84"/>
  <sheetViews>
    <sheetView showGridLines="0" topLeftCell="A61" zoomScale="70" zoomScaleNormal="70" workbookViewId="0">
      <selection activeCell="F48" sqref="F48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Assumption!E9</f>
        <v>0.22</v>
      </c>
      <c r="F6" s="191">
        <f>Assumption!F9</f>
        <v>0.34</v>
      </c>
      <c r="G6" s="191">
        <f>Assumption!G9</f>
        <v>0.48</v>
      </c>
      <c r="H6" s="191">
        <f>Assumption!H9</f>
        <v>0.62</v>
      </c>
      <c r="I6" s="191">
        <f>Assumption!I9</f>
        <v>0.7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353">
        <f>E7*E6</f>
        <v>79.2</v>
      </c>
      <c r="F8" s="353">
        <f>F7*F6</f>
        <v>122.4</v>
      </c>
      <c r="G8" s="353">
        <f>G7*G6</f>
        <v>172.79999999999998</v>
      </c>
      <c r="H8" s="353">
        <f>H7*H6</f>
        <v>223.2</v>
      </c>
      <c r="I8" s="353">
        <f>I7*I6</f>
        <v>251.99999999999997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2387810000</v>
      </c>
      <c r="D11" s="117" t="s">
        <v>17</v>
      </c>
      <c r="E11" s="122">
        <f>Revenue!E41</f>
        <v>146740000</v>
      </c>
      <c r="F11" s="122">
        <f>Revenue!F41</f>
        <v>334230000</v>
      </c>
      <c r="G11" s="122">
        <f>Revenue!G41</f>
        <v>486570000</v>
      </c>
      <c r="H11" s="122">
        <f>Revenue!H41</f>
        <v>649200000</v>
      </c>
      <c r="I11" s="122">
        <f>Revenue!I41</f>
        <v>771070000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153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257</v>
      </c>
      <c r="C35" s="355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232995000</v>
      </c>
      <c r="D37" s="152"/>
      <c r="E37" s="153">
        <f>SUM(E33:E36)</f>
        <v>232995000</v>
      </c>
      <c r="F37" s="153">
        <f>SUM(F33:F36)</f>
        <v>0</v>
      </c>
      <c r="G37" s="153">
        <f>SUM(G33:G36)</f>
        <v>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46599000</v>
      </c>
      <c r="F40" s="157">
        <f>E40</f>
        <v>46599000</v>
      </c>
      <c r="G40" s="157">
        <f t="shared" ref="G40:I42" si="1">F40</f>
        <v>46599000</v>
      </c>
      <c r="H40" s="157">
        <f t="shared" si="1"/>
        <v>46599000</v>
      </c>
      <c r="I40" s="157">
        <f t="shared" si="1"/>
        <v>46599000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0</v>
      </c>
      <c r="H42" s="157">
        <f>G42</f>
        <v>0</v>
      </c>
      <c r="I42" s="157">
        <f t="shared" si="1"/>
        <v>0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46599000</v>
      </c>
      <c r="F45" s="153">
        <f>SUM(F40:F44)</f>
        <v>46599000</v>
      </c>
      <c r="G45" s="153">
        <f>SUM(G40:G44)</f>
        <v>46599000</v>
      </c>
      <c r="H45" s="153">
        <f>SUM(H40:H44)</f>
        <v>46599000</v>
      </c>
      <c r="I45" s="153">
        <f>SUM(I40:I44)</f>
        <v>46599000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 t="shared" ref="E48:G48" si="2">$C$48*E11</f>
        <v>36685000</v>
      </c>
      <c r="F48" s="157">
        <f t="shared" si="2"/>
        <v>83557500</v>
      </c>
      <c r="G48" s="157">
        <f t="shared" si="2"/>
        <v>121642500</v>
      </c>
      <c r="H48" s="157">
        <f>$C$48*H11</f>
        <v>162300000</v>
      </c>
      <c r="I48" s="157">
        <f>$C$48*I11</f>
        <v>192767500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>
        <f>$C$50*E11</f>
        <v>14674000</v>
      </c>
      <c r="F50" s="157">
        <f>$C$50*F11</f>
        <v>33423000</v>
      </c>
      <c r="G50" s="157">
        <f>$C$50*G11</f>
        <v>48657000</v>
      </c>
      <c r="H50" s="157">
        <f>$C$50*H11</f>
        <v>64920000</v>
      </c>
      <c r="I50" s="157">
        <f>$C$50*I11</f>
        <v>77107000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4402200</v>
      </c>
      <c r="F51" s="157">
        <f>$C$51*F11</f>
        <v>10026900</v>
      </c>
      <c r="G51" s="157">
        <f>$C$51*G11</f>
        <v>14597100</v>
      </c>
      <c r="H51" s="157">
        <f>$C$51*H11</f>
        <v>19476000</v>
      </c>
      <c r="I51" s="157">
        <f>$C$51*I11</f>
        <v>23132100</v>
      </c>
    </row>
    <row r="52" spans="2:9">
      <c r="B52" s="138" t="s">
        <v>90</v>
      </c>
      <c r="C52" s="168">
        <v>0.04</v>
      </c>
      <c r="D52" s="167" t="s">
        <v>89</v>
      </c>
      <c r="E52" s="169">
        <f>$C$52*E11</f>
        <v>5869600</v>
      </c>
      <c r="F52" s="169">
        <f>$C$52*F11</f>
        <v>13369200</v>
      </c>
      <c r="G52" s="169">
        <f>$C$52*G11</f>
        <v>19462800</v>
      </c>
      <c r="H52" s="169">
        <f>$C$52*H11</f>
        <v>25968000</v>
      </c>
      <c r="I52" s="169">
        <f>$C$52*I11</f>
        <v>30842800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2567950.0000000005</v>
      </c>
      <c r="F53" s="169">
        <f>$C$53*F11</f>
        <v>5849025.0000000009</v>
      </c>
      <c r="G53" s="169">
        <f>$C$53*G11</f>
        <v>8514975</v>
      </c>
      <c r="H53" s="169">
        <f>$C$53*H11</f>
        <v>11361000.000000002</v>
      </c>
      <c r="I53" s="169">
        <f>$C$53*I11</f>
        <v>13493725.000000002</v>
      </c>
    </row>
    <row r="54" spans="2:9">
      <c r="B54" s="150" t="s">
        <v>92</v>
      </c>
      <c r="C54" s="151">
        <f>SUM(E54:I54)</f>
        <v>2019666875</v>
      </c>
      <c r="D54" s="150"/>
      <c r="E54" s="153">
        <f t="shared" ref="E54:I54" si="3">SUM(E48:E53)</f>
        <v>259198750</v>
      </c>
      <c r="F54" s="153">
        <f t="shared" si="3"/>
        <v>341225625</v>
      </c>
      <c r="G54" s="153">
        <f t="shared" si="3"/>
        <v>407874375</v>
      </c>
      <c r="H54" s="153">
        <f t="shared" si="3"/>
        <v>479025000</v>
      </c>
      <c r="I54" s="153">
        <f t="shared" si="3"/>
        <v>532343125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>
        <f>E11-E54</f>
        <v>-112458750</v>
      </c>
      <c r="F57" s="173">
        <f>F11-F54</f>
        <v>-6995625</v>
      </c>
      <c r="G57" s="173">
        <f>G11-G54</f>
        <v>78695625</v>
      </c>
      <c r="H57" s="173">
        <f>H11-H54</f>
        <v>170175000</v>
      </c>
      <c r="I57" s="173">
        <f>I11-I54</f>
        <v>238726875</v>
      </c>
    </row>
    <row r="58" spans="2:9">
      <c r="B58" s="174" t="s">
        <v>4</v>
      </c>
      <c r="C58" s="154"/>
      <c r="D58" s="154"/>
      <c r="E58" s="175">
        <f>E57/E11</f>
        <v>-0.76638101403843528</v>
      </c>
      <c r="F58" s="175">
        <f>F57/F11</f>
        <v>-2.0930571761960327E-2</v>
      </c>
      <c r="G58" s="175">
        <f>G57/G11</f>
        <v>0.16173546457858068</v>
      </c>
      <c r="H58" s="175">
        <f>H57/H11</f>
        <v>0.26213031423290201</v>
      </c>
      <c r="I58" s="175">
        <f>I57/I11</f>
        <v>0.30960467272750852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46599000</v>
      </c>
      <c r="F60" s="169">
        <f t="shared" ref="F60:I60" si="4">F45</f>
        <v>46599000</v>
      </c>
      <c r="G60" s="169">
        <f t="shared" si="4"/>
        <v>46599000</v>
      </c>
      <c r="H60" s="169">
        <f t="shared" si="4"/>
        <v>46599000</v>
      </c>
      <c r="I60" s="169">
        <f t="shared" si="4"/>
        <v>46599000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-159057750</v>
      </c>
      <c r="F62" s="153">
        <f t="shared" ref="F62:I62" si="5">F57-F60</f>
        <v>-53594625</v>
      </c>
      <c r="G62" s="153">
        <f t="shared" si="5"/>
        <v>32096625</v>
      </c>
      <c r="H62" s="153">
        <f t="shared" si="5"/>
        <v>123576000</v>
      </c>
      <c r="I62" s="153">
        <f t="shared" si="5"/>
        <v>192127875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36000000.000000015</v>
      </c>
      <c r="H64" s="123">
        <f>'Parameter Interest'!E5</f>
        <v>28800000.000000011</v>
      </c>
      <c r="I64" s="123">
        <f>'Parameter Interest'!F5</f>
        <v>21600000.000000007</v>
      </c>
    </row>
    <row r="65" spans="2:10">
      <c r="B65" s="138" t="s">
        <v>104</v>
      </c>
      <c r="C65" s="138"/>
      <c r="D65" s="138"/>
      <c r="E65" s="123" t="e">
        <f>E62-E64</f>
        <v>#VALUE!</v>
      </c>
      <c r="F65" s="123">
        <f t="shared" ref="F65:I65" si="6">F62-F64</f>
        <v>-53594625</v>
      </c>
      <c r="G65" s="123">
        <f t="shared" si="6"/>
        <v>-3903375.0000000149</v>
      </c>
      <c r="H65" s="123">
        <f t="shared" si="6"/>
        <v>94775999.999999985</v>
      </c>
      <c r="I65" s="123">
        <f t="shared" si="6"/>
        <v>170527875</v>
      </c>
    </row>
    <row r="66" spans="2:10">
      <c r="B66" s="138" t="s">
        <v>95</v>
      </c>
      <c r="C66" s="176">
        <v>0.02</v>
      </c>
      <c r="E66" s="157" t="e">
        <f>IF(E65&lt;0,0,E65*$C$66)</f>
        <v>#VALUE!</v>
      </c>
      <c r="F66" s="157">
        <f>IF(F65&lt;0,0,F65*$C$66)</f>
        <v>0</v>
      </c>
      <c r="G66" s="157">
        <f t="shared" ref="G66:I66" si="7">IF(G65&lt;0,0,G65*$C$66)</f>
        <v>0</v>
      </c>
      <c r="H66" s="157">
        <f t="shared" si="7"/>
        <v>1895519.9999999998</v>
      </c>
      <c r="I66" s="157">
        <f t="shared" si="7"/>
        <v>3410557.5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#VALUE!</v>
      </c>
      <c r="F68" s="178">
        <f t="shared" ref="F68:I68" si="8">F65-F66</f>
        <v>-53594625</v>
      </c>
      <c r="G68" s="178">
        <f t="shared" si="8"/>
        <v>-3903375.0000000149</v>
      </c>
      <c r="H68" s="178">
        <f t="shared" si="8"/>
        <v>92880479.999999985</v>
      </c>
      <c r="I68" s="178">
        <f t="shared" si="8"/>
        <v>167117317.5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-220500000</v>
      </c>
      <c r="F72" s="157">
        <f>-SUM(F33:F34)</f>
        <v>0</v>
      </c>
      <c r="G72" s="157">
        <f>-SUM(G33:G34)</f>
        <v>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>
        <f>-C25</f>
        <v>-73500000</v>
      </c>
      <c r="E73" s="181" t="e">
        <f>E68+E45</f>
        <v>#VALUE!</v>
      </c>
      <c r="F73" s="181">
        <f t="shared" ref="F73:I73" si="9">F68+F45</f>
        <v>-6995625</v>
      </c>
      <c r="G73" s="181">
        <f t="shared" si="9"/>
        <v>42695624.999999985</v>
      </c>
      <c r="H73" s="181">
        <f t="shared" si="9"/>
        <v>139479480</v>
      </c>
      <c r="I73" s="181">
        <f t="shared" si="9"/>
        <v>213716317.5</v>
      </c>
    </row>
    <row r="74" spans="2:10">
      <c r="B74" s="145" t="s">
        <v>99</v>
      </c>
      <c r="C74" s="145"/>
      <c r="D74" s="182">
        <f>D73</f>
        <v>-73500000</v>
      </c>
      <c r="E74" s="187" t="e">
        <f>D74+E73</f>
        <v>#VALUE!</v>
      </c>
      <c r="F74" s="187" t="e">
        <f t="shared" ref="F74:I74" si="10">E74+F73</f>
        <v>#VALUE!</v>
      </c>
      <c r="G74" s="187" t="e">
        <f t="shared" si="10"/>
        <v>#VALUE!</v>
      </c>
      <c r="H74" s="187" t="e">
        <f t="shared" si="10"/>
        <v>#VALUE!</v>
      </c>
      <c r="I74" s="187" t="e">
        <f t="shared" si="10"/>
        <v>#VALUE!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#VALUE!</v>
      </c>
      <c r="F75" s="164" t="e">
        <f>IF(AND(E74&lt;0,F74&gt;0),F30-(F74/F73),0)</f>
        <v>#VALUE!</v>
      </c>
      <c r="G75" s="164" t="e">
        <f>IF(AND(F74&lt;0,G74&gt;0),G30-(G74/G73),0)</f>
        <v>#VALUE!</v>
      </c>
      <c r="H75" s="164" t="e">
        <f>IF(AND(G74&lt;0,H74&gt;0),H30-(H74/H73),0)</f>
        <v>#VALUE!</v>
      </c>
      <c r="I75" s="164" t="e">
        <f>IF(AND(H74&lt;0,I74&gt;0),I30-(I74/I73),0)</f>
        <v>#VALUE!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AVERAGE(E68:I68)/C25</f>
        <v>#VALUE!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#VALUE!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0.30960467272750852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#VALUE!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"/>
  <dimension ref="A1:XFD67"/>
  <sheetViews>
    <sheetView zoomScale="70" zoomScaleNormal="70" workbookViewId="0">
      <selection activeCell="D4" sqref="D4"/>
    </sheetView>
  </sheetViews>
  <sheetFormatPr defaultColWidth="8.58203125" defaultRowHeight="15.5"/>
  <cols>
    <col min="1" max="1" width="13.5" style="204" bestFit="1" customWidth="1"/>
    <col min="2" max="2" width="15.83203125" style="204" bestFit="1" customWidth="1"/>
    <col min="3" max="4" width="14.5" style="204" bestFit="1" customWidth="1"/>
    <col min="5" max="5" width="16.58203125" style="204" customWidth="1"/>
    <col min="6" max="6" width="14.5" style="204" bestFit="1" customWidth="1"/>
    <col min="7" max="7" width="12.83203125" style="204" bestFit="1" customWidth="1"/>
    <col min="8" max="8" width="14.5" style="204" bestFit="1" customWidth="1"/>
    <col min="9" max="9" width="14.58203125" style="204" customWidth="1"/>
    <col min="10" max="10" width="19.58203125" style="204" customWidth="1"/>
    <col min="11" max="11" width="24" style="204" bestFit="1" customWidth="1"/>
    <col min="12" max="12" width="9.1640625" style="204" bestFit="1" customWidth="1"/>
    <col min="13" max="16384" width="8.58203125" style="204"/>
  </cols>
  <sheetData>
    <row r="1" spans="1:21 16384:16384" customFormat="1">
      <c r="A1" s="623" t="s">
        <v>381</v>
      </c>
      <c r="B1" s="624">
        <v>5</v>
      </c>
      <c r="C1" s="625">
        <v>2024</v>
      </c>
      <c r="D1" s="625">
        <f>C1+1</f>
        <v>2025</v>
      </c>
      <c r="E1" s="625">
        <f t="shared" ref="E1:R1" si="0">D1+1</f>
        <v>2026</v>
      </c>
      <c r="F1" s="625">
        <f t="shared" si="0"/>
        <v>2027</v>
      </c>
      <c r="G1" s="625">
        <f t="shared" si="0"/>
        <v>2028</v>
      </c>
      <c r="H1" s="625">
        <f t="shared" si="0"/>
        <v>2029</v>
      </c>
      <c r="I1" s="625">
        <f t="shared" si="0"/>
        <v>2030</v>
      </c>
      <c r="J1" s="625">
        <f t="shared" si="0"/>
        <v>2031</v>
      </c>
      <c r="K1" s="625">
        <f t="shared" si="0"/>
        <v>2032</v>
      </c>
      <c r="L1" s="625">
        <f t="shared" si="0"/>
        <v>2033</v>
      </c>
      <c r="M1" s="625">
        <f t="shared" si="0"/>
        <v>2034</v>
      </c>
      <c r="N1" s="625">
        <f t="shared" si="0"/>
        <v>2035</v>
      </c>
      <c r="O1" s="625">
        <f t="shared" si="0"/>
        <v>2036</v>
      </c>
      <c r="P1" s="625">
        <f t="shared" si="0"/>
        <v>2037</v>
      </c>
      <c r="Q1" s="625">
        <f t="shared" si="0"/>
        <v>2038</v>
      </c>
      <c r="R1" s="625">
        <f t="shared" si="0"/>
        <v>2039</v>
      </c>
    </row>
    <row r="2" spans="1:21 16384:16384" customFormat="1">
      <c r="A2" s="626">
        <v>2024</v>
      </c>
      <c r="B2" t="s">
        <v>382</v>
      </c>
      <c r="C2" s="627">
        <f>IRR!H17</f>
        <v>66000000</v>
      </c>
      <c r="D2" s="628">
        <f>C2-C3</f>
        <v>52800000</v>
      </c>
      <c r="E2" s="628">
        <f>D2-C3</f>
        <v>39600000</v>
      </c>
      <c r="F2" s="628">
        <f>E2-C3</f>
        <v>26400000</v>
      </c>
      <c r="G2" s="628">
        <f>F2-C3</f>
        <v>13200000</v>
      </c>
      <c r="H2" s="628">
        <f>G2-$C$3</f>
        <v>0</v>
      </c>
      <c r="I2" s="628"/>
      <c r="J2" s="628"/>
      <c r="K2" s="628"/>
      <c r="P2" s="628"/>
      <c r="S2" s="628"/>
      <c r="T2">
        <v>2013</v>
      </c>
      <c r="U2" s="627">
        <v>1726670811.6800001</v>
      </c>
    </row>
    <row r="3" spans="1:21 16384:16384" customFormat="1">
      <c r="A3" s="629"/>
      <c r="B3" t="s">
        <v>112</v>
      </c>
      <c r="C3" s="627">
        <f>C2/B1</f>
        <v>13200000</v>
      </c>
      <c r="D3" s="627"/>
      <c r="E3" s="627"/>
      <c r="T3">
        <v>2014</v>
      </c>
      <c r="U3" s="627">
        <v>422342499</v>
      </c>
    </row>
    <row r="4" spans="1:21 16384:16384" customFormat="1">
      <c r="A4" s="629"/>
      <c r="B4" t="s">
        <v>113</v>
      </c>
      <c r="C4" s="627">
        <f>(($C$2*IRR!$F$4*6)/12)</f>
        <v>3300000</v>
      </c>
      <c r="D4" s="628">
        <f>AVERAGE(C2:D2)*IRR!$F$4</f>
        <v>5940000</v>
      </c>
      <c r="E4" s="628">
        <f>AVERAGE(D2:E2)*IRR!$F$4</f>
        <v>4620000</v>
      </c>
      <c r="F4" s="628">
        <f>AVERAGE(E2:F2)*IRR!$F$4</f>
        <v>3300000</v>
      </c>
      <c r="G4" s="628">
        <f>AVERAGE(F2:G2)*IRR!$F$4</f>
        <v>1980000</v>
      </c>
      <c r="H4" s="628">
        <f>AVERAGE(G2:H2)*IRR!$F$4</f>
        <v>660000</v>
      </c>
      <c r="I4" s="628">
        <f>AVERAGE(H2:I2)*IRR!$F$4</f>
        <v>0</v>
      </c>
      <c r="J4" s="628"/>
      <c r="K4" s="628"/>
      <c r="P4" s="628"/>
      <c r="S4" s="628"/>
      <c r="T4">
        <v>2016</v>
      </c>
      <c r="U4" s="627">
        <v>10773000</v>
      </c>
    </row>
    <row r="5" spans="1:21 16384:16384" customFormat="1">
      <c r="A5" s="626">
        <v>2025</v>
      </c>
      <c r="B5" t="s">
        <v>382</v>
      </c>
      <c r="C5" s="627"/>
      <c r="D5" s="628">
        <f>IRR!I17</f>
        <v>36000000.000000015</v>
      </c>
      <c r="E5" s="628">
        <f>D5-D6</f>
        <v>28800000.000000011</v>
      </c>
      <c r="F5" s="628">
        <f>E5-D6</f>
        <v>21600000.000000007</v>
      </c>
      <c r="G5" s="628">
        <f>F5-D6</f>
        <v>14400000.000000004</v>
      </c>
      <c r="H5" s="628">
        <f>G5-D6</f>
        <v>7200000.0000000009</v>
      </c>
      <c r="I5" s="628">
        <f>H5-D6</f>
        <v>0</v>
      </c>
      <c r="J5" s="628"/>
      <c r="K5" s="628"/>
      <c r="T5">
        <v>2017</v>
      </c>
      <c r="U5" s="627">
        <v>102210600</v>
      </c>
    </row>
    <row r="6" spans="1:21 16384:16384" customFormat="1">
      <c r="A6" s="629"/>
      <c r="B6" t="s">
        <v>112</v>
      </c>
      <c r="C6" s="627"/>
      <c r="D6" s="628">
        <f>D5/B1</f>
        <v>7200000.0000000028</v>
      </c>
      <c r="E6" s="628"/>
      <c r="F6" s="628"/>
      <c r="G6" s="628"/>
      <c r="H6" s="628"/>
      <c r="I6" s="628"/>
      <c r="J6" s="628"/>
      <c r="K6" s="628"/>
    </row>
    <row r="7" spans="1:21 16384:16384" customFormat="1">
      <c r="A7" s="629"/>
      <c r="B7" t="s">
        <v>113</v>
      </c>
      <c r="C7" s="627"/>
      <c r="D7" s="627">
        <f>(($D$5*IRR!$F$4*6)/12)</f>
        <v>1800000.0000000009</v>
      </c>
      <c r="E7" s="628">
        <f>AVERAGE(D5:E5)*IRR!$F$4</f>
        <v>3240000.0000000019</v>
      </c>
      <c r="F7" s="628">
        <f>AVERAGE(E5:F5)*IRR!$F$4</f>
        <v>2520000.0000000009</v>
      </c>
      <c r="G7" s="628">
        <f>AVERAGE(F5:G5)*IRR!$F$4</f>
        <v>1800000.0000000009</v>
      </c>
      <c r="H7" s="628">
        <f>AVERAGE(G5:H5)*IRR!$F$4</f>
        <v>1080000.0000000002</v>
      </c>
      <c r="I7" s="628">
        <f>AVERAGE(H5:I5)*IRR!$F$4</f>
        <v>360000.00000000006</v>
      </c>
      <c r="J7" s="628">
        <f>AVERAGE(I5:J5)*IRR!$F$4</f>
        <v>0</v>
      </c>
      <c r="K7" s="628"/>
    </row>
    <row r="8" spans="1:21 16384:16384" customFormat="1">
      <c r="A8" s="626">
        <v>2026</v>
      </c>
      <c r="B8" t="s">
        <v>382</v>
      </c>
      <c r="C8" s="627"/>
      <c r="E8" s="628">
        <f>IRR!J17</f>
        <v>242000000</v>
      </c>
      <c r="F8" s="628">
        <f>E8-E9</f>
        <v>193600000</v>
      </c>
      <c r="G8" s="628">
        <f>F8-E9</f>
        <v>145200000</v>
      </c>
      <c r="H8" s="628">
        <f>G8-E9</f>
        <v>96800000</v>
      </c>
      <c r="I8" s="628">
        <f>H8-E9</f>
        <v>48400000</v>
      </c>
      <c r="J8" s="628">
        <f>I8-E9</f>
        <v>0</v>
      </c>
      <c r="K8" s="628"/>
    </row>
    <row r="9" spans="1:21 16384:16384" customFormat="1">
      <c r="A9" s="629"/>
      <c r="B9" t="s">
        <v>112</v>
      </c>
      <c r="C9" s="627"/>
      <c r="E9" s="628">
        <f>E8/B1</f>
        <v>48400000</v>
      </c>
      <c r="F9" s="628"/>
      <c r="G9" s="628"/>
      <c r="H9" s="628"/>
      <c r="I9" s="628"/>
      <c r="J9" s="628"/>
      <c r="K9" s="628"/>
    </row>
    <row r="10" spans="1:21 16384:16384" customFormat="1">
      <c r="A10" s="629"/>
      <c r="B10" t="s">
        <v>113</v>
      </c>
      <c r="C10" s="627"/>
      <c r="E10" s="627">
        <f>(($E$8*IRR!$F$4*6)/12)</f>
        <v>12100000</v>
      </c>
      <c r="F10" s="628">
        <f>AVERAGE(E8:F8)*IRR!$F$4</f>
        <v>21780000</v>
      </c>
      <c r="G10" s="628">
        <f>AVERAGE(F8:G8)*IRR!$F$4</f>
        <v>16940000</v>
      </c>
      <c r="H10" s="628">
        <f>AVERAGE(G8:H8)*IRR!$F$4</f>
        <v>12100000</v>
      </c>
      <c r="I10" s="628">
        <f>AVERAGE(H8:I8)*IRR!$F$4</f>
        <v>7260000</v>
      </c>
      <c r="J10" s="628">
        <f>AVERAGE(I8:J8)*IRR!$F$4</f>
        <v>2420000</v>
      </c>
      <c r="K10" s="628">
        <f>AVERAGE(J8:K8)*IRR!$F$4</f>
        <v>0</v>
      </c>
    </row>
    <row r="11" spans="1:21 16384:16384" customFormat="1">
      <c r="A11" s="626">
        <v>2027</v>
      </c>
      <c r="B11" t="s">
        <v>382</v>
      </c>
      <c r="C11" s="627"/>
      <c r="E11" s="627"/>
      <c r="F11" s="628">
        <f>IRR!K17</f>
        <v>41999999.999999985</v>
      </c>
      <c r="G11" s="628">
        <f>F11-$F$12</f>
        <v>33599999.999999985</v>
      </c>
      <c r="H11" s="628">
        <f>G11-$F$12</f>
        <v>25199999.999999989</v>
      </c>
      <c r="I11" s="628">
        <f>H11-$F$12</f>
        <v>16799999.999999993</v>
      </c>
      <c r="J11" s="628">
        <f>I11-$F$12</f>
        <v>8399999.9999999963</v>
      </c>
      <c r="K11" s="628">
        <f>J11-$F$12</f>
        <v>0</v>
      </c>
    </row>
    <row r="12" spans="1:21 16384:16384" customFormat="1">
      <c r="A12" s="629"/>
      <c r="B12" t="s">
        <v>112</v>
      </c>
      <c r="C12" s="627"/>
      <c r="E12" s="627"/>
      <c r="F12" s="628">
        <f>F11/B1</f>
        <v>8399999.9999999963</v>
      </c>
      <c r="G12" s="628"/>
      <c r="H12" s="628"/>
      <c r="I12" s="628"/>
      <c r="J12" s="628"/>
      <c r="K12" s="628"/>
    </row>
    <row r="13" spans="1:21 16384:16384" customFormat="1">
      <c r="A13" s="629"/>
      <c r="B13" t="s">
        <v>113</v>
      </c>
      <c r="C13" s="627"/>
      <c r="E13" s="627"/>
      <c r="F13" s="628">
        <f>(($F$11*IRR!$F$4*6)/12)</f>
        <v>2099999.9999999995</v>
      </c>
      <c r="G13" s="628">
        <f>AVERAGE(F11:G11)*IRR!$F$4</f>
        <v>3779999.9999999986</v>
      </c>
      <c r="H13" s="628">
        <f>AVERAGE(G11:H11)*IRR!$F$4</f>
        <v>2939999.9999999986</v>
      </c>
      <c r="I13" s="628">
        <f>AVERAGE(H11:I11)*IRR!$F$4</f>
        <v>2099999.9999999995</v>
      </c>
      <c r="J13" s="628">
        <f>AVERAGE(I11:J11)*IRR!$F$4</f>
        <v>1259999.9999999995</v>
      </c>
      <c r="K13" s="628">
        <f>AVERAGE(J11:K11)*IRR!$F$4</f>
        <v>419999.99999999983</v>
      </c>
      <c r="L13" s="628">
        <f>AVERAGE(K11:L11)*IRR!$F$4</f>
        <v>0</v>
      </c>
      <c r="XFD13" s="628"/>
    </row>
    <row r="14" spans="1:21 16384:16384" customFormat="1">
      <c r="A14" s="626">
        <v>2028</v>
      </c>
      <c r="B14" t="s">
        <v>382</v>
      </c>
      <c r="C14" s="627"/>
      <c r="E14" s="627"/>
      <c r="F14" s="628"/>
      <c r="G14" s="628">
        <f>IRR!L17</f>
        <v>24000000</v>
      </c>
      <c r="H14" s="628">
        <f>G14-$G$15</f>
        <v>19200000</v>
      </c>
      <c r="I14" s="628">
        <f>H14-$G$15</f>
        <v>14400000</v>
      </c>
      <c r="J14" s="628">
        <f>I14-$G$15</f>
        <v>9600000</v>
      </c>
      <c r="K14" s="628">
        <f>J14-$G$15</f>
        <v>4800000</v>
      </c>
      <c r="L14" s="628">
        <f>K14-$G$15</f>
        <v>0</v>
      </c>
    </row>
    <row r="15" spans="1:21 16384:16384" customFormat="1">
      <c r="A15" s="629"/>
      <c r="B15" t="s">
        <v>112</v>
      </c>
      <c r="C15" s="627"/>
      <c r="E15" s="627"/>
      <c r="F15" s="628"/>
      <c r="G15" s="628">
        <f>G14/B1</f>
        <v>4800000</v>
      </c>
      <c r="H15" s="628"/>
      <c r="I15" s="628"/>
      <c r="J15" s="628"/>
      <c r="K15" s="628"/>
    </row>
    <row r="16" spans="1:21 16384:16384" customFormat="1">
      <c r="A16" s="629"/>
      <c r="B16" t="s">
        <v>113</v>
      </c>
      <c r="C16" s="627"/>
      <c r="E16" s="627"/>
      <c r="F16" s="628"/>
      <c r="G16" s="628">
        <f>(($G$14*IRR!$F$4*6)/12)</f>
        <v>1200000</v>
      </c>
      <c r="H16" s="628">
        <f>AVERAGE(G14:H14)*IRR!$F$4</f>
        <v>2160000</v>
      </c>
      <c r="I16" s="628">
        <f>AVERAGE(H14:I14)*IRR!$F$4</f>
        <v>1680000</v>
      </c>
      <c r="J16" s="628">
        <f>AVERAGE(I14:J14)*IRR!$F$4</f>
        <v>1200000</v>
      </c>
      <c r="K16" s="628">
        <f>AVERAGE(J14:K14)*IRR!$F$4</f>
        <v>720000</v>
      </c>
      <c r="L16" s="628">
        <f>AVERAGE(K14:L14)*IRR!$F$4</f>
        <v>240000</v>
      </c>
      <c r="M16" s="628">
        <f>AVERAGE(L14:M14)*IRR!$F$4</f>
        <v>0</v>
      </c>
    </row>
    <row r="17" spans="1:18" customFormat="1">
      <c r="A17" s="629"/>
      <c r="C17" s="627"/>
      <c r="E17" s="627"/>
      <c r="F17" s="628"/>
      <c r="G17" s="628"/>
      <c r="H17" s="628"/>
      <c r="I17" s="628"/>
      <c r="J17" s="628"/>
      <c r="K17" s="628"/>
    </row>
    <row r="18" spans="1:18" customFormat="1">
      <c r="A18" s="623"/>
      <c r="B18" s="630" t="s">
        <v>383</v>
      </c>
      <c r="C18" s="631">
        <f>C10+C7+C4+C13+C16</f>
        <v>3300000</v>
      </c>
      <c r="D18" s="631">
        <f t="shared" ref="D18:L18" si="1">D10+D7+D4+D13+D16</f>
        <v>7740000.0000000009</v>
      </c>
      <c r="E18" s="631">
        <f t="shared" si="1"/>
        <v>19960000</v>
      </c>
      <c r="F18" s="631">
        <f t="shared" si="1"/>
        <v>29700000</v>
      </c>
      <c r="G18" s="631">
        <f t="shared" si="1"/>
        <v>25700000</v>
      </c>
      <c r="H18" s="631">
        <f t="shared" si="1"/>
        <v>18940000</v>
      </c>
      <c r="I18" s="631">
        <f t="shared" si="1"/>
        <v>11400000</v>
      </c>
      <c r="J18" s="631">
        <f t="shared" si="1"/>
        <v>4880000</v>
      </c>
      <c r="K18" s="631">
        <f t="shared" si="1"/>
        <v>1139999.9999999998</v>
      </c>
      <c r="L18" s="631">
        <f t="shared" si="1"/>
        <v>240000</v>
      </c>
      <c r="M18" s="631">
        <f t="shared" ref="M18:N18" si="2">M10+M7+M4</f>
        <v>0</v>
      </c>
      <c r="N18" s="631">
        <f t="shared" si="2"/>
        <v>0</v>
      </c>
      <c r="O18" s="631" t="e">
        <f>#REF!+#REF!+#REF!+#REF!+O10+O7+R4+#REF!+#REF!+#REF!+#REF!</f>
        <v>#REF!</v>
      </c>
      <c r="P18" s="631" t="e">
        <f>#REF!+#REF!+#REF!+#REF!+P10+P7+S4+#REF!+#REF!+#REF!+#REF!</f>
        <v>#REF!</v>
      </c>
      <c r="Q18" s="631" t="e">
        <f>#REF!+#REF!+#REF!+#REF!+Q10+Q7+T4+#REF!+#REF!+#REF!+#REF!</f>
        <v>#REF!</v>
      </c>
      <c r="R18" s="631">
        <f>R10+R7+R4</f>
        <v>0</v>
      </c>
    </row>
    <row r="27" spans="1:18">
      <c r="F27" s="207" t="s">
        <v>114</v>
      </c>
      <c r="G27" s="207" t="s">
        <v>115</v>
      </c>
      <c r="H27" s="207" t="s">
        <v>116</v>
      </c>
      <c r="I27" s="208" t="s">
        <v>117</v>
      </c>
      <c r="J27" s="659" t="s">
        <v>118</v>
      </c>
      <c r="K27" s="659" t="s">
        <v>119</v>
      </c>
    </row>
    <row r="28" spans="1:18">
      <c r="E28" s="209" t="s">
        <v>120</v>
      </c>
      <c r="F28" s="210">
        <v>1</v>
      </c>
      <c r="G28" s="211">
        <v>1</v>
      </c>
      <c r="H28" s="211">
        <v>1</v>
      </c>
      <c r="I28" s="212">
        <f>157+58</f>
        <v>215</v>
      </c>
      <c r="J28" s="659"/>
      <c r="K28" s="659"/>
    </row>
    <row r="29" spans="1:18">
      <c r="B29" s="660" t="s">
        <v>121</v>
      </c>
      <c r="C29" s="213" t="s">
        <v>122</v>
      </c>
      <c r="D29" s="214">
        <f>C46</f>
        <v>3500000</v>
      </c>
      <c r="E29" s="213" t="s">
        <v>114</v>
      </c>
      <c r="F29" s="207">
        <f>F28</f>
        <v>1</v>
      </c>
      <c r="G29" s="207"/>
      <c r="H29" s="207"/>
      <c r="I29" s="208"/>
      <c r="J29" s="215">
        <f>F29*D29</f>
        <v>3500000</v>
      </c>
    </row>
    <row r="30" spans="1:18">
      <c r="B30" s="661"/>
      <c r="C30" s="213" t="s">
        <v>123</v>
      </c>
      <c r="D30" s="216">
        <v>600000</v>
      </c>
      <c r="E30" s="213" t="s">
        <v>114</v>
      </c>
      <c r="F30" s="207">
        <f>F28</f>
        <v>1</v>
      </c>
      <c r="G30" s="207"/>
      <c r="H30" s="207"/>
      <c r="I30" s="208">
        <f>IF($I$27&lt;=120,2,IF($I$27&gt;220,4,3))</f>
        <v>4</v>
      </c>
      <c r="J30" s="216">
        <f>D30*F30</f>
        <v>600000</v>
      </c>
    </row>
    <row r="31" spans="1:18">
      <c r="B31" s="662"/>
      <c r="C31" s="213" t="s">
        <v>121</v>
      </c>
      <c r="D31" s="216">
        <v>200000</v>
      </c>
      <c r="E31" s="213" t="s">
        <v>124</v>
      </c>
      <c r="F31" s="207"/>
      <c r="G31" s="207">
        <f>G28</f>
        <v>1</v>
      </c>
      <c r="H31" s="207"/>
      <c r="I31" s="208"/>
      <c r="J31" s="216">
        <f>G31*D31</f>
        <v>200000</v>
      </c>
    </row>
    <row r="32" spans="1:18">
      <c r="B32" s="213" t="s">
        <v>125</v>
      </c>
      <c r="C32" s="213" t="s">
        <v>125</v>
      </c>
      <c r="D32" s="216">
        <v>450000</v>
      </c>
      <c r="E32" s="213" t="s">
        <v>116</v>
      </c>
      <c r="F32" s="207">
        <f>F28</f>
        <v>1</v>
      </c>
      <c r="G32" s="207"/>
      <c r="H32" s="207">
        <f>H28</f>
        <v>1</v>
      </c>
      <c r="I32" s="208">
        <f t="shared" ref="I32:I33" si="3">IF($I$27&lt;=120,2,IF($I$27&gt;220,4,3))</f>
        <v>4</v>
      </c>
      <c r="J32" s="216">
        <f>H32*D32*I32</f>
        <v>1800000</v>
      </c>
    </row>
    <row r="33" spans="1:11">
      <c r="B33" s="213" t="s">
        <v>126</v>
      </c>
      <c r="C33" s="213" t="s">
        <v>126</v>
      </c>
      <c r="D33" s="216">
        <v>120000</v>
      </c>
      <c r="E33" s="213" t="s">
        <v>114</v>
      </c>
      <c r="F33" s="207">
        <f>F28</f>
        <v>1</v>
      </c>
      <c r="G33" s="207"/>
      <c r="H33" s="207"/>
      <c r="I33" s="208">
        <f t="shared" si="3"/>
        <v>4</v>
      </c>
      <c r="J33" s="216">
        <f>I33*D33*F33</f>
        <v>480000</v>
      </c>
    </row>
    <row r="34" spans="1:11">
      <c r="J34" s="217">
        <f>SUM(J29:J33)</f>
        <v>6580000</v>
      </c>
      <c r="K34" s="218">
        <f>J34*4</f>
        <v>26320000</v>
      </c>
    </row>
    <row r="37" spans="1:11">
      <c r="K37" s="206"/>
    </row>
    <row r="38" spans="1:11">
      <c r="B38" s="207" t="s">
        <v>127</v>
      </c>
      <c r="C38" s="207" t="s">
        <v>122</v>
      </c>
      <c r="E38" s="213" t="s">
        <v>128</v>
      </c>
      <c r="K38" s="219"/>
    </row>
    <row r="39" spans="1:11">
      <c r="A39" s="204" t="s">
        <v>129</v>
      </c>
      <c r="B39" s="205">
        <v>16800000</v>
      </c>
      <c r="C39" s="205">
        <v>4000000</v>
      </c>
      <c r="E39" s="204" t="s">
        <v>130</v>
      </c>
      <c r="K39" s="206"/>
    </row>
    <row r="40" spans="1:11">
      <c r="A40" s="204" t="s">
        <v>131</v>
      </c>
      <c r="B40" s="205"/>
      <c r="C40" s="205">
        <v>3000000</v>
      </c>
      <c r="E40" s="204" t="s">
        <v>132</v>
      </c>
      <c r="I40" s="205">
        <v>10000000</v>
      </c>
    </row>
    <row r="41" spans="1:11">
      <c r="A41" s="204" t="s">
        <v>133</v>
      </c>
      <c r="B41" s="205">
        <v>15600000</v>
      </c>
      <c r="C41" s="205">
        <v>2500000</v>
      </c>
      <c r="E41" s="204" t="s">
        <v>132</v>
      </c>
      <c r="H41" s="204" t="s">
        <v>134</v>
      </c>
      <c r="I41" s="205">
        <v>12000000</v>
      </c>
    </row>
    <row r="42" spans="1:11">
      <c r="A42" s="204" t="s">
        <v>135</v>
      </c>
      <c r="B42" s="205">
        <v>15000000</v>
      </c>
      <c r="C42" s="205">
        <v>2000000</v>
      </c>
      <c r="E42" s="204" t="s">
        <v>132</v>
      </c>
      <c r="H42" s="204" t="s">
        <v>136</v>
      </c>
      <c r="I42" s="205">
        <v>14000000</v>
      </c>
    </row>
    <row r="43" spans="1:11">
      <c r="A43" s="204" t="s">
        <v>137</v>
      </c>
      <c r="B43" s="205">
        <v>15000000</v>
      </c>
      <c r="C43" s="205">
        <v>1850000</v>
      </c>
      <c r="E43" s="204" t="s">
        <v>132</v>
      </c>
      <c r="H43" s="204" t="s">
        <v>138</v>
      </c>
      <c r="I43" s="205">
        <v>14000000</v>
      </c>
    </row>
    <row r="44" spans="1:11">
      <c r="A44" s="204" t="s">
        <v>139</v>
      </c>
      <c r="B44" s="205">
        <v>12000000</v>
      </c>
      <c r="C44" s="205">
        <v>1200000</v>
      </c>
      <c r="E44" s="204" t="s">
        <v>132</v>
      </c>
      <c r="H44" s="204" t="s">
        <v>129</v>
      </c>
      <c r="I44" s="205">
        <v>17000000</v>
      </c>
    </row>
    <row r="45" spans="1:11">
      <c r="A45" s="204" t="s">
        <v>140</v>
      </c>
      <c r="B45" s="205">
        <v>16800000</v>
      </c>
      <c r="C45" s="205">
        <v>2000000</v>
      </c>
      <c r="E45" s="204" t="s">
        <v>132</v>
      </c>
      <c r="H45" s="204" t="s">
        <v>140</v>
      </c>
      <c r="I45" s="205">
        <v>14000000</v>
      </c>
    </row>
    <row r="46" spans="1:11">
      <c r="A46" s="204" t="s">
        <v>141</v>
      </c>
      <c r="B46" s="205">
        <v>15720000</v>
      </c>
      <c r="C46" s="205">
        <v>3500000</v>
      </c>
    </row>
    <row r="47" spans="1:11">
      <c r="A47" s="204" t="s">
        <v>142</v>
      </c>
      <c r="C47" s="205">
        <v>2800000</v>
      </c>
    </row>
    <row r="48" spans="1:11">
      <c r="A48" s="204" t="s">
        <v>143</v>
      </c>
      <c r="B48" s="204">
        <v>0</v>
      </c>
      <c r="C48" s="205">
        <v>0</v>
      </c>
      <c r="D48" s="204" t="s">
        <v>144</v>
      </c>
    </row>
    <row r="50" spans="1:3">
      <c r="B50" s="207" t="s">
        <v>145</v>
      </c>
      <c r="C50" s="207"/>
    </row>
    <row r="51" spans="1:3">
      <c r="B51" s="205">
        <v>7000000</v>
      </c>
    </row>
    <row r="53" spans="1:3">
      <c r="A53" s="213" t="s">
        <v>146</v>
      </c>
      <c r="B53" s="206"/>
    </row>
    <row r="54" spans="1:3">
      <c r="A54" s="204" t="s">
        <v>147</v>
      </c>
    </row>
    <row r="55" spans="1:3">
      <c r="A55" s="204" t="s">
        <v>148</v>
      </c>
      <c r="B55" s="205">
        <v>36000000</v>
      </c>
    </row>
    <row r="56" spans="1:3">
      <c r="A56" s="204" t="s">
        <v>149</v>
      </c>
      <c r="B56" s="205">
        <v>42000000</v>
      </c>
    </row>
    <row r="57" spans="1:3">
      <c r="A57" s="204" t="s">
        <v>150</v>
      </c>
      <c r="B57" s="205">
        <v>48000000</v>
      </c>
    </row>
    <row r="59" spans="1:3">
      <c r="A59" s="204" t="s">
        <v>151</v>
      </c>
    </row>
    <row r="60" spans="1:3">
      <c r="A60" s="204" t="s">
        <v>152</v>
      </c>
      <c r="B60" s="205">
        <v>75000000</v>
      </c>
    </row>
    <row r="61" spans="1:3">
      <c r="A61" s="204" t="s">
        <v>150</v>
      </c>
      <c r="B61" s="205">
        <v>95000000</v>
      </c>
    </row>
    <row r="65" spans="1:11">
      <c r="A65" s="613" t="s">
        <v>90</v>
      </c>
      <c r="B65" s="614">
        <v>20000000</v>
      </c>
      <c r="C65" s="615">
        <f>B65+C66</f>
        <v>20400000</v>
      </c>
      <c r="D65" s="615">
        <f>C65+D67</f>
        <v>20808000</v>
      </c>
      <c r="E65" s="615">
        <f t="shared" ref="E65:K65" si="4">D65+E67</f>
        <v>21224160</v>
      </c>
      <c r="F65" s="615">
        <f t="shared" si="4"/>
        <v>21648643.199999999</v>
      </c>
      <c r="G65" s="615">
        <f t="shared" si="4"/>
        <v>22081616.063999999</v>
      </c>
      <c r="H65" s="615">
        <f t="shared" si="4"/>
        <v>22523248.385279998</v>
      </c>
      <c r="I65" s="615">
        <f t="shared" si="4"/>
        <v>22973713.352985598</v>
      </c>
      <c r="J65" s="615">
        <f t="shared" si="4"/>
        <v>23433187.620045312</v>
      </c>
      <c r="K65" s="615">
        <f t="shared" si="4"/>
        <v>24604847.001047578</v>
      </c>
    </row>
    <row r="66" spans="1:11">
      <c r="A66" s="616">
        <v>0.02</v>
      </c>
      <c r="B66" s="613"/>
      <c r="C66" s="615">
        <f>C67</f>
        <v>400000</v>
      </c>
      <c r="D66" s="615">
        <f>D67+C66</f>
        <v>808000</v>
      </c>
      <c r="E66" s="615">
        <f t="shared" ref="E66:J66" si="5">E67+D66</f>
        <v>1224160</v>
      </c>
      <c r="F66" s="615">
        <f t="shared" si="5"/>
        <v>1648643.2</v>
      </c>
      <c r="G66" s="615">
        <f t="shared" si="5"/>
        <v>2081616.064</v>
      </c>
      <c r="H66" s="615">
        <f t="shared" si="5"/>
        <v>2523248.38528</v>
      </c>
      <c r="I66" s="615">
        <f t="shared" si="5"/>
        <v>2973713.3529856</v>
      </c>
      <c r="J66" s="615">
        <f t="shared" si="5"/>
        <v>3433187.6200453117</v>
      </c>
      <c r="K66" s="615">
        <v>9754628.4311155453</v>
      </c>
    </row>
    <row r="67" spans="1:11">
      <c r="A67" s="613"/>
      <c r="B67" s="613"/>
      <c r="C67" s="615">
        <f>$A$66*B65</f>
        <v>400000</v>
      </c>
      <c r="D67" s="615">
        <f t="shared" ref="D67:I67" si="6">$A$66*C65</f>
        <v>408000</v>
      </c>
      <c r="E67" s="615">
        <f t="shared" si="6"/>
        <v>416160</v>
      </c>
      <c r="F67" s="615">
        <f t="shared" si="6"/>
        <v>424483.2</v>
      </c>
      <c r="G67" s="615">
        <f t="shared" si="6"/>
        <v>432972.864</v>
      </c>
      <c r="H67" s="615">
        <f t="shared" si="6"/>
        <v>441632.32127999997</v>
      </c>
      <c r="I67" s="615">
        <f t="shared" si="6"/>
        <v>450464.96770559996</v>
      </c>
      <c r="J67" s="615">
        <f>$A$66*I65</f>
        <v>459474.26705971197</v>
      </c>
      <c r="K67" s="615">
        <v>1171659.3810022655</v>
      </c>
    </row>
  </sheetData>
  <mergeCells count="3">
    <mergeCell ref="J27:J28"/>
    <mergeCell ref="K27:K28"/>
    <mergeCell ref="B29:B31"/>
  </mergeCells>
  <conditionalFormatting sqref="C4:K7 C18:R18">
    <cfRule type="cellIs" dxfId="39" priority="21" operator="lessThan">
      <formula>0</formula>
    </cfRule>
  </conditionalFormatting>
  <conditionalFormatting sqref="C8:C17 P4 S4 U4 E8:K9 E10 E11:K12 E13:F13 E14:K15 E17:K17 E16:G16">
    <cfRule type="cellIs" dxfId="38" priority="22" operator="lessThan">
      <formula>0</formula>
    </cfRule>
  </conditionalFormatting>
  <conditionalFormatting sqref="F10">
    <cfRule type="cellIs" dxfId="37" priority="20" operator="lessThan">
      <formula>0</formula>
    </cfRule>
  </conditionalFormatting>
  <conditionalFormatting sqref="G10">
    <cfRule type="cellIs" dxfId="36" priority="19" operator="lessThan">
      <formula>0</formula>
    </cfRule>
  </conditionalFormatting>
  <conditionalFormatting sqref="H10">
    <cfRule type="cellIs" dxfId="35" priority="18" operator="lessThan">
      <formula>0</formula>
    </cfRule>
  </conditionalFormatting>
  <conditionalFormatting sqref="I10">
    <cfRule type="cellIs" dxfId="34" priority="17" operator="lessThan">
      <formula>0</formula>
    </cfRule>
  </conditionalFormatting>
  <conditionalFormatting sqref="J10">
    <cfRule type="cellIs" dxfId="33" priority="16" operator="lessThan">
      <formula>0</formula>
    </cfRule>
  </conditionalFormatting>
  <conditionalFormatting sqref="K10">
    <cfRule type="cellIs" dxfId="32" priority="15" operator="lessThan">
      <formula>0</formula>
    </cfRule>
  </conditionalFormatting>
  <conditionalFormatting sqref="G13">
    <cfRule type="cellIs" dxfId="31" priority="14" operator="lessThan">
      <formula>0</formula>
    </cfRule>
  </conditionalFormatting>
  <conditionalFormatting sqref="H13">
    <cfRule type="cellIs" dxfId="30" priority="13" operator="lessThan">
      <formula>0</formula>
    </cfRule>
  </conditionalFormatting>
  <conditionalFormatting sqref="I13">
    <cfRule type="cellIs" dxfId="29" priority="12" operator="lessThan">
      <formula>0</formula>
    </cfRule>
  </conditionalFormatting>
  <conditionalFormatting sqref="J13">
    <cfRule type="cellIs" dxfId="28" priority="11" operator="lessThan">
      <formula>0</formula>
    </cfRule>
  </conditionalFormatting>
  <conditionalFormatting sqref="XFD13">
    <cfRule type="cellIs" dxfId="27" priority="10" operator="lessThan">
      <formula>0</formula>
    </cfRule>
  </conditionalFormatting>
  <conditionalFormatting sqref="K13">
    <cfRule type="cellIs" dxfId="26" priority="9" operator="lessThan">
      <formula>0</formula>
    </cfRule>
  </conditionalFormatting>
  <conditionalFormatting sqref="L13">
    <cfRule type="cellIs" dxfId="25" priority="8" operator="lessThan">
      <formula>0</formula>
    </cfRule>
  </conditionalFormatting>
  <conditionalFormatting sqref="L14">
    <cfRule type="cellIs" dxfId="24" priority="7" operator="lessThan">
      <formula>0</formula>
    </cfRule>
  </conditionalFormatting>
  <conditionalFormatting sqref="H16">
    <cfRule type="cellIs" dxfId="23" priority="6" operator="lessThan">
      <formula>0</formula>
    </cfRule>
  </conditionalFormatting>
  <conditionalFormatting sqref="I16">
    <cfRule type="cellIs" dxfId="22" priority="5" operator="lessThan">
      <formula>0</formula>
    </cfRule>
  </conditionalFormatting>
  <conditionalFormatting sqref="J16">
    <cfRule type="cellIs" dxfId="21" priority="4" operator="lessThan">
      <formula>0</formula>
    </cfRule>
  </conditionalFormatting>
  <conditionalFormatting sqref="K16">
    <cfRule type="cellIs" dxfId="20" priority="3" operator="lessThan">
      <formula>0</formula>
    </cfRule>
  </conditionalFormatting>
  <conditionalFormatting sqref="L16">
    <cfRule type="cellIs" dxfId="19" priority="2" operator="lessThan">
      <formula>0</formula>
    </cfRule>
  </conditionalFormatting>
  <conditionalFormatting sqref="M16">
    <cfRule type="cellIs" dxfId="18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8">
    <pageSetUpPr fitToPage="1"/>
  </sheetPr>
  <dimension ref="B2:W67"/>
  <sheetViews>
    <sheetView showGridLines="0" view="pageBreakPreview" topLeftCell="L52" zoomScale="120" zoomScaleNormal="70" zoomScaleSheetLayoutView="120" workbookViewId="0">
      <selection activeCell="I9" sqref="I9"/>
    </sheetView>
  </sheetViews>
  <sheetFormatPr defaultColWidth="8.33203125" defaultRowHeight="14.5"/>
  <cols>
    <col min="1" max="2" width="8.33203125" style="220"/>
    <col min="3" max="3" width="11" style="220" customWidth="1"/>
    <col min="4" max="4" width="16.1640625" style="220" customWidth="1"/>
    <col min="5" max="5" width="12.33203125" style="220" customWidth="1"/>
    <col min="6" max="6" width="12.83203125" style="220" customWidth="1"/>
    <col min="7" max="8" width="12.33203125" style="220" customWidth="1"/>
    <col min="9" max="9" width="11.1640625" style="220" customWidth="1"/>
    <col min="10" max="10" width="12.33203125" style="220" customWidth="1"/>
    <col min="11" max="11" width="11.33203125" style="220" customWidth="1"/>
    <col min="12" max="12" width="12.58203125" style="220" customWidth="1"/>
    <col min="13" max="13" width="9.58203125" style="220" customWidth="1"/>
    <col min="14" max="14" width="11.1640625" style="220" customWidth="1"/>
    <col min="15" max="17" width="9.58203125" style="220" customWidth="1"/>
    <col min="18" max="18" width="11.6640625" style="220" customWidth="1"/>
    <col min="19" max="26" width="9.58203125" style="220" customWidth="1"/>
    <col min="27" max="27" width="12.33203125" style="220" customWidth="1"/>
    <col min="28" max="16384" width="8.33203125" style="220"/>
  </cols>
  <sheetData>
    <row r="2" spans="2:20">
      <c r="B2" s="260" t="s">
        <v>224</v>
      </c>
      <c r="L2" s="260" t="s">
        <v>223</v>
      </c>
    </row>
    <row r="3" spans="2:20">
      <c r="B3" s="320" t="s">
        <v>193</v>
      </c>
      <c r="C3" s="319" t="s">
        <v>192</v>
      </c>
      <c r="D3" s="319"/>
      <c r="E3" s="319" t="s">
        <v>191</v>
      </c>
      <c r="F3" s="319"/>
      <c r="G3" s="319"/>
      <c r="H3" s="319"/>
      <c r="L3" s="320" t="s">
        <v>193</v>
      </c>
      <c r="M3" s="319" t="s">
        <v>192</v>
      </c>
      <c r="O3" s="319" t="s">
        <v>191</v>
      </c>
      <c r="P3" s="318"/>
      <c r="Q3" s="318"/>
    </row>
    <row r="4" spans="2:20">
      <c r="B4" s="261">
        <v>1</v>
      </c>
      <c r="C4" s="317" t="s">
        <v>222</v>
      </c>
      <c r="D4" s="316"/>
      <c r="E4" s="220" t="s">
        <v>155</v>
      </c>
      <c r="F4" s="268">
        <v>1</v>
      </c>
      <c r="G4" s="220" t="s">
        <v>154</v>
      </c>
      <c r="H4" s="268">
        <v>0</v>
      </c>
      <c r="L4" s="261">
        <v>1</v>
      </c>
      <c r="M4" s="260" t="s">
        <v>221</v>
      </c>
      <c r="O4" s="220" t="s">
        <v>220</v>
      </c>
    </row>
    <row r="5" spans="2:20" ht="16" thickBot="1">
      <c r="B5" s="664">
        <v>2</v>
      </c>
      <c r="E5" s="220" t="s">
        <v>219</v>
      </c>
      <c r="L5" s="261">
        <v>2</v>
      </c>
      <c r="M5" s="260" t="s">
        <v>218</v>
      </c>
      <c r="O5" s="220" t="s">
        <v>217</v>
      </c>
      <c r="R5" s="315"/>
    </row>
    <row r="6" spans="2:20">
      <c r="B6" s="664"/>
      <c r="C6" s="314" t="s">
        <v>163</v>
      </c>
      <c r="D6" s="260"/>
      <c r="E6" s="313" t="s">
        <v>216</v>
      </c>
      <c r="F6" s="312" t="s">
        <v>215</v>
      </c>
      <c r="G6" s="312" t="s">
        <v>214</v>
      </c>
      <c r="H6" s="312" t="s">
        <v>213</v>
      </c>
      <c r="I6" s="311" t="s">
        <v>212</v>
      </c>
      <c r="J6" s="264"/>
      <c r="L6" s="261">
        <v>3</v>
      </c>
      <c r="M6" s="260" t="s">
        <v>211</v>
      </c>
      <c r="O6" s="220" t="s">
        <v>210</v>
      </c>
      <c r="R6" s="310">
        <v>0.05</v>
      </c>
      <c r="S6" s="264"/>
      <c r="T6" s="264"/>
    </row>
    <row r="7" spans="2:20">
      <c r="B7" s="664"/>
      <c r="C7" s="220" t="s">
        <v>209</v>
      </c>
      <c r="E7" s="309">
        <v>0.4</v>
      </c>
      <c r="F7" s="273">
        <v>0.65</v>
      </c>
      <c r="G7" s="273">
        <v>0.7</v>
      </c>
      <c r="H7" s="273">
        <v>0.75</v>
      </c>
      <c r="I7" s="308">
        <v>0.8</v>
      </c>
      <c r="J7" s="264"/>
      <c r="L7" s="261">
        <v>4</v>
      </c>
      <c r="M7" s="260" t="s">
        <v>208</v>
      </c>
      <c r="O7" s="220" t="s">
        <v>207</v>
      </c>
      <c r="R7" s="273">
        <v>0.05</v>
      </c>
    </row>
    <row r="8" spans="2:20">
      <c r="B8" s="664"/>
      <c r="C8" s="220" t="s">
        <v>206</v>
      </c>
      <c r="E8" s="309">
        <v>0.6</v>
      </c>
      <c r="F8" s="273">
        <v>0.7</v>
      </c>
      <c r="G8" s="273">
        <v>0.72</v>
      </c>
      <c r="H8" s="273">
        <v>0.77</v>
      </c>
      <c r="I8" s="308">
        <v>0.8</v>
      </c>
      <c r="J8" s="264"/>
      <c r="L8" s="261">
        <v>5</v>
      </c>
      <c r="M8" s="260" t="s">
        <v>205</v>
      </c>
      <c r="O8" s="220" t="s">
        <v>204</v>
      </c>
    </row>
    <row r="9" spans="2:20" ht="16" thickBot="1">
      <c r="B9" s="664"/>
      <c r="C9" s="220" t="s">
        <v>203</v>
      </c>
      <c r="E9" s="307">
        <v>0.22</v>
      </c>
      <c r="F9" s="306">
        <v>0.34</v>
      </c>
      <c r="G9" s="306">
        <v>0.48</v>
      </c>
      <c r="H9" s="306">
        <v>0.62</v>
      </c>
      <c r="I9" s="305">
        <v>0.7</v>
      </c>
      <c r="J9" s="264"/>
      <c r="L9" s="261">
        <v>6</v>
      </c>
      <c r="M9" s="260" t="s">
        <v>202</v>
      </c>
      <c r="O9" s="220" t="s">
        <v>201</v>
      </c>
      <c r="Q9" s="304"/>
      <c r="R9" s="273">
        <v>0</v>
      </c>
    </row>
    <row r="10" spans="2:20" ht="15" thickBot="1">
      <c r="B10" s="664">
        <v>3</v>
      </c>
      <c r="C10" s="663" t="s">
        <v>200</v>
      </c>
      <c r="D10" s="286"/>
      <c r="E10" s="303" t="s">
        <v>155</v>
      </c>
      <c r="F10" s="300" t="s">
        <v>199</v>
      </c>
      <c r="G10" s="302" t="s">
        <v>198</v>
      </c>
      <c r="H10" s="301" t="s">
        <v>154</v>
      </c>
      <c r="I10" s="300" t="s">
        <v>199</v>
      </c>
      <c r="J10" s="299" t="s">
        <v>198</v>
      </c>
    </row>
    <row r="11" spans="2:20" ht="15" thickTop="1">
      <c r="B11" s="664"/>
      <c r="C11" s="663"/>
      <c r="D11" s="286"/>
      <c r="E11" s="298" t="s">
        <v>197</v>
      </c>
      <c r="F11" s="295">
        <v>0.65</v>
      </c>
      <c r="G11" s="297">
        <v>750000</v>
      </c>
      <c r="H11" s="296"/>
      <c r="I11" s="295"/>
      <c r="J11" s="290"/>
      <c r="K11" s="289"/>
      <c r="L11" s="260" t="s">
        <v>196</v>
      </c>
    </row>
    <row r="12" spans="2:20">
      <c r="B12" s="664"/>
      <c r="C12" s="663"/>
      <c r="D12" s="286"/>
      <c r="E12" s="294" t="s">
        <v>195</v>
      </c>
      <c r="F12" s="291">
        <v>0.25</v>
      </c>
      <c r="G12" s="293">
        <v>850000</v>
      </c>
      <c r="H12" s="292"/>
      <c r="I12" s="291"/>
      <c r="J12" s="290"/>
      <c r="K12" s="289"/>
    </row>
    <row r="13" spans="2:20">
      <c r="B13" s="664"/>
      <c r="C13" s="663"/>
      <c r="D13" s="286"/>
      <c r="E13" s="294" t="s">
        <v>194</v>
      </c>
      <c r="F13" s="291">
        <v>0.2</v>
      </c>
      <c r="G13" s="293">
        <v>1100000</v>
      </c>
      <c r="H13" s="292"/>
      <c r="I13" s="291"/>
      <c r="J13" s="290"/>
      <c r="K13" s="289"/>
      <c r="L13" s="288" t="s">
        <v>193</v>
      </c>
      <c r="M13" s="287" t="s">
        <v>192</v>
      </c>
      <c r="N13" s="287" t="s">
        <v>191</v>
      </c>
    </row>
    <row r="14" spans="2:20" ht="15" thickBot="1">
      <c r="B14" s="664"/>
      <c r="C14" s="663"/>
      <c r="D14" s="286"/>
      <c r="E14" s="285"/>
      <c r="F14" s="284"/>
      <c r="G14" s="283"/>
      <c r="H14" s="282"/>
      <c r="I14" s="281"/>
      <c r="J14" s="280"/>
      <c r="L14" s="276">
        <v>1</v>
      </c>
      <c r="M14" s="275" t="s">
        <v>190</v>
      </c>
      <c r="N14" s="279">
        <v>0.125</v>
      </c>
    </row>
    <row r="15" spans="2:20" ht="15.5">
      <c r="B15" s="261">
        <v>4</v>
      </c>
      <c r="C15" s="260" t="s">
        <v>189</v>
      </c>
      <c r="D15" s="260"/>
      <c r="E15" s="278" t="s">
        <v>188</v>
      </c>
      <c r="F15" s="277">
        <v>500000</v>
      </c>
      <c r="H15" s="220" t="s">
        <v>187</v>
      </c>
      <c r="I15" s="277">
        <v>0</v>
      </c>
      <c r="L15" s="276">
        <v>2</v>
      </c>
      <c r="M15" s="275" t="s">
        <v>186</v>
      </c>
      <c r="N15" s="274">
        <v>0.06</v>
      </c>
    </row>
    <row r="16" spans="2:20">
      <c r="B16" s="261">
        <v>5</v>
      </c>
      <c r="C16" s="260" t="s">
        <v>185</v>
      </c>
      <c r="D16" s="260"/>
      <c r="E16" s="220" t="s">
        <v>184</v>
      </c>
    </row>
    <row r="17" spans="2:23" ht="15.5">
      <c r="B17" s="261">
        <v>6</v>
      </c>
      <c r="C17" s="260" t="s">
        <v>183</v>
      </c>
      <c r="D17" s="260"/>
      <c r="E17" s="220" t="s">
        <v>182</v>
      </c>
      <c r="H17" s="273">
        <v>0.5</v>
      </c>
      <c r="I17" s="264"/>
      <c r="L17" s="260" t="s">
        <v>181</v>
      </c>
      <c r="M17" s="272"/>
      <c r="Q17" s="271">
        <f>E20*E7</f>
        <v>0.27999999999999997</v>
      </c>
    </row>
    <row r="18" spans="2:23">
      <c r="B18" s="261">
        <v>7</v>
      </c>
      <c r="C18" s="260" t="s">
        <v>180</v>
      </c>
      <c r="D18" s="260"/>
      <c r="E18" s="270" t="s">
        <v>179</v>
      </c>
      <c r="G18" s="269"/>
      <c r="H18" s="268">
        <v>0.5</v>
      </c>
      <c r="L18" s="267"/>
      <c r="M18" s="262" t="s">
        <v>178</v>
      </c>
      <c r="Q18" s="264">
        <f>E20*E8</f>
        <v>0.42</v>
      </c>
    </row>
    <row r="19" spans="2:23" ht="15.5">
      <c r="B19" s="261">
        <v>8</v>
      </c>
      <c r="C19" s="260" t="s">
        <v>177</v>
      </c>
      <c r="D19" s="260"/>
      <c r="E19" s="266"/>
      <c r="F19" s="220" t="s">
        <v>176</v>
      </c>
      <c r="L19" s="265"/>
      <c r="M19" s="262" t="s">
        <v>175</v>
      </c>
      <c r="Q19" s="264">
        <f>E20*E9</f>
        <v>0.154</v>
      </c>
    </row>
    <row r="20" spans="2:23" ht="15.5">
      <c r="B20" s="261">
        <v>9</v>
      </c>
      <c r="C20" s="260" t="s">
        <v>174</v>
      </c>
      <c r="D20" s="260"/>
      <c r="E20" s="263">
        <v>0.7</v>
      </c>
      <c r="M20" s="262"/>
    </row>
    <row r="21" spans="2:23">
      <c r="B21" s="261">
        <v>10</v>
      </c>
      <c r="C21" s="260" t="s">
        <v>173</v>
      </c>
      <c r="D21" s="260"/>
      <c r="E21" s="259">
        <v>300</v>
      </c>
      <c r="G21" s="220" t="s">
        <v>172</v>
      </c>
      <c r="H21" s="258">
        <f>ROUNDDOWN(E20*I7*E21,0)</f>
        <v>168</v>
      </c>
    </row>
    <row r="22" spans="2:23" ht="15" thickBot="1">
      <c r="I22" s="220" t="s">
        <v>171</v>
      </c>
    </row>
    <row r="23" spans="2:23">
      <c r="B23" s="245" t="s">
        <v>163</v>
      </c>
      <c r="C23" s="257" t="s">
        <v>170</v>
      </c>
      <c r="D23" s="244"/>
      <c r="E23" s="243"/>
      <c r="F23" s="244" t="s">
        <v>169</v>
      </c>
      <c r="G23" s="244"/>
      <c r="H23" s="243"/>
      <c r="I23" s="245" t="s">
        <v>168</v>
      </c>
      <c r="J23" s="244"/>
      <c r="K23" s="243"/>
      <c r="L23" s="244" t="s">
        <v>167</v>
      </c>
      <c r="M23" s="244"/>
      <c r="N23" s="243"/>
      <c r="O23" s="244" t="s">
        <v>166</v>
      </c>
      <c r="P23" s="244"/>
      <c r="Q23" s="243"/>
      <c r="R23" s="244" t="s">
        <v>165</v>
      </c>
      <c r="S23" s="244"/>
      <c r="T23" s="243"/>
      <c r="U23" s="244" t="s">
        <v>164</v>
      </c>
      <c r="V23" s="244"/>
      <c r="W23" s="243"/>
    </row>
    <row r="24" spans="2:23" ht="15" thickBot="1">
      <c r="B24" s="242"/>
      <c r="C24" s="256" t="s">
        <v>156</v>
      </c>
      <c r="D24" s="240" t="s">
        <v>155</v>
      </c>
      <c r="E24" s="239" t="s">
        <v>154</v>
      </c>
      <c r="F24" s="240" t="s">
        <v>156</v>
      </c>
      <c r="G24" s="240" t="s">
        <v>155</v>
      </c>
      <c r="H24" s="239" t="s">
        <v>154</v>
      </c>
      <c r="I24" s="241" t="s">
        <v>156</v>
      </c>
      <c r="J24" s="240" t="s">
        <v>155</v>
      </c>
      <c r="K24" s="239" t="s">
        <v>154</v>
      </c>
      <c r="L24" s="240" t="s">
        <v>156</v>
      </c>
      <c r="M24" s="240" t="s">
        <v>155</v>
      </c>
      <c r="N24" s="239" t="s">
        <v>154</v>
      </c>
      <c r="O24" s="240" t="s">
        <v>156</v>
      </c>
      <c r="P24" s="240" t="s">
        <v>155</v>
      </c>
      <c r="Q24" s="239" t="s">
        <v>154</v>
      </c>
      <c r="R24" s="240" t="s">
        <v>156</v>
      </c>
      <c r="S24" s="240" t="s">
        <v>155</v>
      </c>
      <c r="T24" s="239" t="s">
        <v>154</v>
      </c>
      <c r="U24" s="240" t="s">
        <v>156</v>
      </c>
      <c r="V24" s="240" t="s">
        <v>155</v>
      </c>
      <c r="W24" s="239" t="s">
        <v>154</v>
      </c>
    </row>
    <row r="25" spans="2:23">
      <c r="B25" s="233"/>
      <c r="C25" s="254" t="s">
        <v>68</v>
      </c>
      <c r="D25" s="231"/>
      <c r="E25" s="230"/>
      <c r="F25" s="231"/>
      <c r="G25" s="231"/>
      <c r="H25" s="230"/>
      <c r="I25" s="231"/>
      <c r="J25" s="231"/>
      <c r="K25" s="230"/>
      <c r="L25" s="231"/>
      <c r="M25" s="231"/>
      <c r="N25" s="230"/>
      <c r="O25" s="231"/>
      <c r="P25" s="231"/>
      <c r="Q25" s="230"/>
      <c r="R25" s="231"/>
      <c r="S25" s="231"/>
      <c r="T25" s="230"/>
      <c r="U25" s="231"/>
      <c r="V25" s="231"/>
      <c r="W25" s="230"/>
    </row>
    <row r="26" spans="2:23" ht="15.5">
      <c r="B26" s="229" t="s">
        <v>27</v>
      </c>
      <c r="C26" s="248">
        <f>F26-($O$49/12)</f>
        <v>3.333333333333343E-2</v>
      </c>
      <c r="D26" s="226">
        <f>ROUNDDOWN(C26*$F$4*$E$21*$E$20,0)</f>
        <v>7</v>
      </c>
      <c r="E26" s="225">
        <f>ROUNDDOWN(C26*$H$4*$E$21*$E$20,0)</f>
        <v>0</v>
      </c>
      <c r="F26" s="236">
        <f>I26-($O$49/12)</f>
        <v>6.6666666666666763E-2</v>
      </c>
      <c r="G26" s="226">
        <f>ROUNDDOWN(F26*$F$4*$E$21*$E$20,0)</f>
        <v>14</v>
      </c>
      <c r="H26" s="225">
        <f>ROUNDDOWN(F26*$H$4*$E$21*$E$20,0)</f>
        <v>0</v>
      </c>
      <c r="I26" s="227">
        <f>L26-($O$49/12)</f>
        <v>0.10000000000000009</v>
      </c>
      <c r="J26" s="226">
        <f>ROUNDDOWN(I26*$F$4*$E$21*$E$20,0)</f>
        <v>21</v>
      </c>
      <c r="K26" s="225">
        <f>ROUNDDOWN(I26*$H$4*$E$21*$E$20,0)</f>
        <v>0</v>
      </c>
      <c r="L26" s="236">
        <f>O26-($O$49/12)</f>
        <v>0.13333333333333341</v>
      </c>
      <c r="M26" s="226">
        <f>ROUNDDOWN(L26*$F$4*$E$21*$E$20,0)</f>
        <v>28</v>
      </c>
      <c r="N26" s="225">
        <f>ROUNDDOWN(L26*$H$4*$E$21*$E$20,0)</f>
        <v>0</v>
      </c>
      <c r="O26" s="236">
        <f>R26-($O$49/12)</f>
        <v>0.16666666666666674</v>
      </c>
      <c r="P26" s="226">
        <f>ROUNDDOWN(O26*$F$4*$E$21*$E$20,0)</f>
        <v>35</v>
      </c>
      <c r="Q26" s="225">
        <f>ROUNDDOWN(O26*$H$4*$E$21*$E$20,0)</f>
        <v>0</v>
      </c>
      <c r="R26" s="236">
        <f>U26-($O$49/12)</f>
        <v>0.20000000000000007</v>
      </c>
      <c r="S26" s="226">
        <f>ROUNDDOWN(R26*$F$4*$E$21*$E$20,0)</f>
        <v>42</v>
      </c>
      <c r="T26" s="225">
        <f>ROUNDDOWN(R26*$H$4*$E$21*$E$20,0)</f>
        <v>0</v>
      </c>
      <c r="U26" s="236">
        <f>C49-($O$49/12)</f>
        <v>0.23333333333333339</v>
      </c>
      <c r="V26" s="226">
        <f>ROUNDDOWN(U26*$F$4*$E$21*$E$20,0)</f>
        <v>49</v>
      </c>
      <c r="W26" s="225">
        <f>ROUNDDOWN(U26*$H$4*$E$21*$E$20,0)</f>
        <v>0</v>
      </c>
    </row>
    <row r="27" spans="2:23" ht="15.5">
      <c r="B27" s="228" t="s">
        <v>32</v>
      </c>
      <c r="C27" s="248">
        <f>F27-($O$50/12)</f>
        <v>5.0000000000000037E-2</v>
      </c>
      <c r="D27" s="226">
        <f>ROUNDDOWN(C27*$F$4*$E$21*$E$20,0)</f>
        <v>10</v>
      </c>
      <c r="E27" s="225">
        <f>ROUNDDOWN(C27*$H$4*$E$21*$E$20,0)</f>
        <v>0</v>
      </c>
      <c r="F27" s="236">
        <f>I27-($O$50/12)</f>
        <v>0.10000000000000003</v>
      </c>
      <c r="G27" s="226">
        <f>ROUNDDOWN(F27*$F$4*$E$21*$E$20,0)</f>
        <v>21</v>
      </c>
      <c r="H27" s="225">
        <f>ROUNDDOWN(F27*$H$4*$E$21*$E$20,0)</f>
        <v>0</v>
      </c>
      <c r="I27" s="227">
        <f>L27-($O$50/12)</f>
        <v>0.15000000000000002</v>
      </c>
      <c r="J27" s="226">
        <f>ROUNDDOWN(I27*$F$4*$E$21*$E$20,0)</f>
        <v>31</v>
      </c>
      <c r="K27" s="225">
        <f>ROUNDDOWN(I27*$H$4*$E$21*$E$20,0)</f>
        <v>0</v>
      </c>
      <c r="L27" s="236">
        <f>O27-($O$50/12)</f>
        <v>0.2</v>
      </c>
      <c r="M27" s="226">
        <f>ROUNDDOWN(L27*$F$4*$E$21*$E$20,0)</f>
        <v>42</v>
      </c>
      <c r="N27" s="225">
        <f>ROUNDDOWN(L27*$H$4*$E$21*$E$20,0)</f>
        <v>0</v>
      </c>
      <c r="O27" s="236">
        <f>R27-($O$50/12)</f>
        <v>0.25</v>
      </c>
      <c r="P27" s="226">
        <f>ROUNDDOWN(O27*$F$4*$E$21*$E$20,0)</f>
        <v>52</v>
      </c>
      <c r="Q27" s="225">
        <f>ROUNDDOWN(O27*$H$4*$E$21*$E$20,0)</f>
        <v>0</v>
      </c>
      <c r="R27" s="236">
        <f>U27-($O$50/12)</f>
        <v>0.3</v>
      </c>
      <c r="S27" s="226">
        <f>ROUNDDOWN(R27*$F$4*$E$21*$E$20,0)</f>
        <v>63</v>
      </c>
      <c r="T27" s="225">
        <f>ROUNDDOWN(R27*$H$4*$E$21*$E$20,0)</f>
        <v>0</v>
      </c>
      <c r="U27" s="236">
        <f>C50-($O$50/12)</f>
        <v>0.35</v>
      </c>
      <c r="V27" s="226">
        <f>ROUNDDOWN(U27*$F$4*$E$21*$E$20,0)</f>
        <v>73</v>
      </c>
      <c r="W27" s="225">
        <f>ROUNDDOWN(U27*$H$4*$E$21*$E$20,0)</f>
        <v>0</v>
      </c>
    </row>
    <row r="28" spans="2:23" ht="16" thickBot="1">
      <c r="B28" s="224" t="s">
        <v>33</v>
      </c>
      <c r="C28" s="255">
        <f>F28-($O$51/12)</f>
        <v>1.8333333333333278E-2</v>
      </c>
      <c r="D28" s="226">
        <f>ROUNDDOWN(C28*$F$4*$E$21*$E$20,0)</f>
        <v>3</v>
      </c>
      <c r="E28" s="225">
        <f>ROUNDDOWN(C28*$H$4*$E$21*$E$20,0)</f>
        <v>0</v>
      </c>
      <c r="F28" s="235">
        <f>I28-($O$51/12)</f>
        <v>3.6666666666666611E-2</v>
      </c>
      <c r="G28" s="226">
        <f>ROUNDDOWN(F28*$F$4*$E$21*$E$20,0)</f>
        <v>7</v>
      </c>
      <c r="H28" s="225">
        <f>ROUNDDOWN(F28*$H$4*$E$21*$E$20,0)</f>
        <v>0</v>
      </c>
      <c r="I28" s="234">
        <f>L28-($O$51/12)</f>
        <v>5.4999999999999945E-2</v>
      </c>
      <c r="J28" s="226">
        <f>ROUNDDOWN(I28*$F$4*$E$21*$E$20,0)</f>
        <v>11</v>
      </c>
      <c r="K28" s="225">
        <f>ROUNDDOWN(I28*$H$4*$E$21*$E$20,0)</f>
        <v>0</v>
      </c>
      <c r="L28" s="235">
        <f>O28-($O$51/12)</f>
        <v>7.3333333333333278E-2</v>
      </c>
      <c r="M28" s="226">
        <f>ROUNDDOWN(L28*$F$4*$E$21*$E$20,0)</f>
        <v>15</v>
      </c>
      <c r="N28" s="225">
        <f>ROUNDDOWN(L28*$H$4*$E$21*$E$20,0)</f>
        <v>0</v>
      </c>
      <c r="O28" s="235">
        <f>R28-($O$51/12)</f>
        <v>9.1666666666666619E-2</v>
      </c>
      <c r="P28" s="226">
        <f>ROUNDDOWN(O28*$F$4*$E$21*$E$20,0)</f>
        <v>19</v>
      </c>
      <c r="Q28" s="225">
        <f>ROUNDDOWN(O28*$H$4*$E$21*$E$20,0)</f>
        <v>0</v>
      </c>
      <c r="R28" s="235">
        <f>U28-($O$51/12)</f>
        <v>0.10999999999999996</v>
      </c>
      <c r="S28" s="226">
        <f>ROUNDDOWN(R28*$F$4*$E$21*$E$20,0)</f>
        <v>23</v>
      </c>
      <c r="T28" s="225">
        <f>ROUNDDOWN(R28*$H$4*$E$21*$E$20,0)</f>
        <v>0</v>
      </c>
      <c r="U28" s="235">
        <f>C51-($O$51/12)</f>
        <v>0.1283333333333333</v>
      </c>
      <c r="V28" s="226">
        <f>ROUNDDOWN(U28*$F$4*$E$21*$E$20,0)</f>
        <v>26</v>
      </c>
      <c r="W28" s="225">
        <f>ROUNDDOWN(U28*$H$4*$E$21*$E$20,0)</f>
        <v>0</v>
      </c>
    </row>
    <row r="29" spans="2:23">
      <c r="B29" s="233"/>
      <c r="C29" s="254" t="s">
        <v>69</v>
      </c>
      <c r="D29" s="231"/>
      <c r="E29" s="230"/>
      <c r="F29" s="231"/>
      <c r="G29" s="231"/>
      <c r="H29" s="230"/>
      <c r="I29" s="231"/>
      <c r="J29" s="231"/>
      <c r="K29" s="230"/>
      <c r="L29" s="231"/>
      <c r="M29" s="231"/>
      <c r="N29" s="230"/>
      <c r="O29" s="231"/>
      <c r="P29" s="231"/>
      <c r="Q29" s="230"/>
      <c r="R29" s="231"/>
      <c r="S29" s="231"/>
      <c r="T29" s="230"/>
      <c r="U29" s="231"/>
      <c r="V29" s="231"/>
      <c r="W29" s="230"/>
    </row>
    <row r="30" spans="2:23" ht="15.5">
      <c r="B30" s="229" t="s">
        <v>27</v>
      </c>
      <c r="C30" s="248">
        <f>F30-(($O$53-$O$49)/12)</f>
        <v>0.42083333333333317</v>
      </c>
      <c r="D30" s="226">
        <f>ROUNDDOWN(C30*$F$4*$E$21*$E$20,0)</f>
        <v>88</v>
      </c>
      <c r="E30" s="225">
        <f>ROUNDDOWN(C30*$H$4*$E$21*$E$20,0)</f>
        <v>0</v>
      </c>
      <c r="F30" s="236">
        <f>I30-(($O$53-$O$49)/12)</f>
        <v>0.44166666666666649</v>
      </c>
      <c r="G30" s="226">
        <f>ROUNDDOWN(F30*$F$4*$E$21*$E$20,0)</f>
        <v>92</v>
      </c>
      <c r="H30" s="225">
        <f>ROUNDDOWN(F30*$H$4*$E$21*$E$20,0)</f>
        <v>0</v>
      </c>
      <c r="I30" s="227">
        <f>L30-(($O$53-$O$49)/12)</f>
        <v>0.4624999999999998</v>
      </c>
      <c r="J30" s="226">
        <f>ROUNDDOWN(I30*$F$4*$E$21*$E$20,0)</f>
        <v>97</v>
      </c>
      <c r="K30" s="225">
        <f>ROUNDDOWN(I30*$H$4*$E$21*$E$20,0)</f>
        <v>0</v>
      </c>
      <c r="L30" s="236">
        <f>O30-(($O$53-$O$49)/12)</f>
        <v>0.48333333333333311</v>
      </c>
      <c r="M30" s="226">
        <f>ROUNDDOWN(L30*$F$4*$E$21*$E$20,0)</f>
        <v>101</v>
      </c>
      <c r="N30" s="225">
        <f>ROUNDDOWN(L30*$H$4*$E$21*$E$20,0)</f>
        <v>0</v>
      </c>
      <c r="O30" s="236">
        <f>R30-(($O$53-$O$49)/12)</f>
        <v>0.50416666666666643</v>
      </c>
      <c r="P30" s="226">
        <f>ROUNDDOWN(O30*$F$4*$E$21*$E$20,0)</f>
        <v>105</v>
      </c>
      <c r="Q30" s="225">
        <f>ROUNDDOWN(O30*$H$4*$E$21*$E$20,0)</f>
        <v>0</v>
      </c>
      <c r="R30" s="236">
        <f>U30-(($O$53-$O$49)/12)</f>
        <v>0.5249999999999998</v>
      </c>
      <c r="S30" s="226">
        <f>ROUNDDOWN(R30*$F$4*$E$21*$E$20,0)</f>
        <v>110</v>
      </c>
      <c r="T30" s="225">
        <f>ROUNDDOWN(R30*$H$4*$E$21*$E$20,0)</f>
        <v>0</v>
      </c>
      <c r="U30" s="236">
        <f>C53-(($O$53-$O$49)/12)</f>
        <v>0.54583333333333317</v>
      </c>
      <c r="V30" s="226">
        <f>ROUNDDOWN(U30*$F$4*$E$21*$E$20,0)</f>
        <v>114</v>
      </c>
      <c r="W30" s="225">
        <f>ROUNDDOWN(U30*$H$4*$E$21*$E$20,0)</f>
        <v>0</v>
      </c>
    </row>
    <row r="31" spans="2:23" ht="15.5">
      <c r="B31" s="228" t="s">
        <v>32</v>
      </c>
      <c r="C31" s="248">
        <f>F31-(($O$54-$O$50)/12)</f>
        <v>0.60833333333333361</v>
      </c>
      <c r="D31" s="226">
        <f>ROUNDDOWN(C31*$F$4*$E$21*$E$20,0)</f>
        <v>127</v>
      </c>
      <c r="E31" s="225">
        <f>ROUNDDOWN(C31*$H$4*$E$21*$E$20,0)</f>
        <v>0</v>
      </c>
      <c r="F31" s="236">
        <f>I31-(($O$54-$O$50)/12)</f>
        <v>0.61666666666666692</v>
      </c>
      <c r="G31" s="226">
        <f>ROUNDDOWN(F31*$F$4*$E$21*$E$20,0)</f>
        <v>129</v>
      </c>
      <c r="H31" s="225">
        <f>ROUNDDOWN(F31*$H$4*$E$21*$E$20,0)</f>
        <v>0</v>
      </c>
      <c r="I31" s="227">
        <f>L31-(($O$54-$O$50)/12)</f>
        <v>0.62500000000000022</v>
      </c>
      <c r="J31" s="226">
        <f>ROUNDDOWN(I31*$F$4*$E$21*$E$20,0)</f>
        <v>131</v>
      </c>
      <c r="K31" s="225">
        <f>ROUNDDOWN(I31*$H$4*$E$21*$E$20,0)</f>
        <v>0</v>
      </c>
      <c r="L31" s="236">
        <f>O31-(($O$54-$O$50)/12)</f>
        <v>0.63333333333333353</v>
      </c>
      <c r="M31" s="226">
        <f>ROUNDDOWN(L31*$F$4*$E$21*$E$20,0)</f>
        <v>133</v>
      </c>
      <c r="N31" s="225">
        <f>ROUNDDOWN(L31*$H$4*$E$21*$E$20,0)</f>
        <v>0</v>
      </c>
      <c r="O31" s="236">
        <f>R31-(($O$54-$O$50)/12)</f>
        <v>0.64166666666666683</v>
      </c>
      <c r="P31" s="226">
        <f>ROUNDDOWN(O31*$F$4*$E$21*$E$20,0)</f>
        <v>134</v>
      </c>
      <c r="Q31" s="225">
        <f>ROUNDDOWN(O31*$H$4*$E$21*$E$20,0)</f>
        <v>0</v>
      </c>
      <c r="R31" s="236">
        <f>U31-(($O$54-$O$50)/12)</f>
        <v>0.65000000000000013</v>
      </c>
      <c r="S31" s="226">
        <f>ROUNDDOWN(R31*$F$4*$E$21*$E$20,0)</f>
        <v>136</v>
      </c>
      <c r="T31" s="225">
        <f>ROUNDDOWN(R31*$H$4*$E$21*$E$20,0)</f>
        <v>0</v>
      </c>
      <c r="U31" s="236">
        <f>C54-(($O$54-$O$50)/12)</f>
        <v>0.65833333333333344</v>
      </c>
      <c r="V31" s="226">
        <f>ROUNDDOWN(U31*$F$4*$E$21*$E$20,0)</f>
        <v>138</v>
      </c>
      <c r="W31" s="225">
        <f>ROUNDDOWN(U31*$H$4*$E$21*$E$20,0)</f>
        <v>0</v>
      </c>
    </row>
    <row r="32" spans="2:23" ht="16" thickBot="1">
      <c r="B32" s="224" t="s">
        <v>33</v>
      </c>
      <c r="C32" s="255">
        <f>F32-(($O$55-$O$51)/12)</f>
        <v>0.22999999999999993</v>
      </c>
      <c r="D32" s="226">
        <f>ROUNDDOWN(C32*$F$4*$E$21*$E$20,0)</f>
        <v>48</v>
      </c>
      <c r="E32" s="225">
        <f>ROUNDDOWN(C32*$H$4*$E$21*$E$20,0)</f>
        <v>0</v>
      </c>
      <c r="F32" s="235">
        <f>I32-(($O$55-$O$51)/12)</f>
        <v>0.23999999999999994</v>
      </c>
      <c r="G32" s="226">
        <f>ROUNDDOWN(F32*$F$4*$E$21*$E$20,0)</f>
        <v>50</v>
      </c>
      <c r="H32" s="225">
        <f>ROUNDDOWN(F32*$H$4*$E$21*$E$20,0)</f>
        <v>0</v>
      </c>
      <c r="I32" s="234">
        <f>L32-(($O$55-$O$51)/12)</f>
        <v>0.24999999999999994</v>
      </c>
      <c r="J32" s="226">
        <f>ROUNDDOWN(I32*$F$4*$E$21*$E$20,0)</f>
        <v>52</v>
      </c>
      <c r="K32" s="225">
        <f>ROUNDDOWN(I32*$H$4*$E$21*$E$20,0)</f>
        <v>0</v>
      </c>
      <c r="L32" s="235">
        <f>O32-(($O$55-$O$51)/12)</f>
        <v>0.25999999999999995</v>
      </c>
      <c r="M32" s="226">
        <f>ROUNDDOWN(L32*$F$4*$E$21*$E$20,0)</f>
        <v>54</v>
      </c>
      <c r="N32" s="225">
        <f>ROUNDDOWN(L32*$H$4*$E$21*$E$20,0)</f>
        <v>0</v>
      </c>
      <c r="O32" s="235">
        <f>R32-(($O$55-$O$51)/12)</f>
        <v>0.26999999999999996</v>
      </c>
      <c r="P32" s="226">
        <f>ROUNDDOWN(O32*$F$4*$E$21*$E$20,0)</f>
        <v>56</v>
      </c>
      <c r="Q32" s="225">
        <f>ROUNDDOWN(O32*$H$4*$E$21*$E$20,0)</f>
        <v>0</v>
      </c>
      <c r="R32" s="235">
        <f>U32-(($O$55-$O$51)/12)</f>
        <v>0.27999999999999997</v>
      </c>
      <c r="S32" s="226">
        <f>ROUNDDOWN(R32*$F$4*$E$21*$E$20,0)</f>
        <v>58</v>
      </c>
      <c r="T32" s="225">
        <f>ROUNDDOWN(R32*$H$4*$E$21*$E$20,0)</f>
        <v>0</v>
      </c>
      <c r="U32" s="235">
        <f>C55-(($O$55-$O$51)/12)</f>
        <v>0.28999999999999998</v>
      </c>
      <c r="V32" s="226">
        <f>ROUNDDOWN(U32*$F$4*$E$21*$E$20,0)</f>
        <v>60</v>
      </c>
      <c r="W32" s="225">
        <f>ROUNDDOWN(U32*$H$4*$E$21*$E$20,0)</f>
        <v>0</v>
      </c>
    </row>
    <row r="33" spans="2:23">
      <c r="B33" s="233"/>
      <c r="C33" s="254" t="s">
        <v>70</v>
      </c>
      <c r="D33" s="231"/>
      <c r="E33" s="230"/>
      <c r="F33" s="231"/>
      <c r="G33" s="231"/>
      <c r="H33" s="230"/>
      <c r="I33" s="231"/>
      <c r="J33" s="231"/>
      <c r="K33" s="230"/>
      <c r="L33" s="231"/>
      <c r="M33" s="231"/>
      <c r="N33" s="230"/>
      <c r="O33" s="231"/>
      <c r="P33" s="231"/>
      <c r="Q33" s="230"/>
      <c r="R33" s="231"/>
      <c r="S33" s="231"/>
      <c r="T33" s="230"/>
      <c r="U33" s="231"/>
      <c r="V33" s="231"/>
      <c r="W33" s="230"/>
    </row>
    <row r="34" spans="2:23" ht="15.5">
      <c r="B34" s="229" t="s">
        <v>27</v>
      </c>
      <c r="C34" s="248">
        <f>F34-($O$57-$O$53)/12</f>
        <v>0.65416666666666679</v>
      </c>
      <c r="D34" s="226">
        <f>ROUNDDOWN(C34*$F$4*$E$21*$E$20,0)</f>
        <v>137</v>
      </c>
      <c r="E34" s="225">
        <f>ROUNDDOWN(C34*$H$4*$E$21*$E$20,0)</f>
        <v>0</v>
      </c>
      <c r="F34" s="236">
        <f>I34-($O$57-$O$53)/12</f>
        <v>0.65833333333333344</v>
      </c>
      <c r="G34" s="226">
        <f>ROUNDDOWN(F34*$F$4*$E$21*$E$20,0)</f>
        <v>138</v>
      </c>
      <c r="H34" s="225">
        <f>ROUNDDOWN(F34*$H$4*$E$21*$E$20,0)</f>
        <v>0</v>
      </c>
      <c r="I34" s="236">
        <f>L34-($O$57-$O$53)/12</f>
        <v>0.66250000000000009</v>
      </c>
      <c r="J34" s="226">
        <f>ROUNDDOWN(I34*$F$4*$E$21*$E$20,0)</f>
        <v>139</v>
      </c>
      <c r="K34" s="225">
        <f>ROUNDDOWN(I34*$H$4*$E$21*$E$20,0)</f>
        <v>0</v>
      </c>
      <c r="L34" s="227">
        <f>O34-($O$57-$O$53)/12</f>
        <v>0.66666666666666674</v>
      </c>
      <c r="M34" s="226">
        <f>ROUNDDOWN(L34*$F$4*$E$21*$E$20,0)</f>
        <v>140</v>
      </c>
      <c r="N34" s="225">
        <f>ROUNDDOWN(L34*$H$4*$E$21*$E$20,0)</f>
        <v>0</v>
      </c>
      <c r="O34" s="236">
        <f>R34-($O$57-$O$53)/12</f>
        <v>0.67083333333333339</v>
      </c>
      <c r="P34" s="226">
        <f>ROUNDDOWN(O34*$F$4*$E$21*$E$20,0)</f>
        <v>140</v>
      </c>
      <c r="Q34" s="225">
        <f>ROUNDDOWN(O34*$H$4*$E$21*$E$20,0)</f>
        <v>0</v>
      </c>
      <c r="R34" s="236">
        <f>U34-($O$57-$O$53)/12</f>
        <v>0.67500000000000004</v>
      </c>
      <c r="S34" s="226">
        <f>ROUNDDOWN(R34*$F$4*$E$21*$E$20,0)</f>
        <v>141</v>
      </c>
      <c r="T34" s="225">
        <f>ROUNDDOWN(R34*$H$4*$E$21*$E$20,0)</f>
        <v>0</v>
      </c>
      <c r="U34" s="236">
        <f>C57-($O$57-$O$53)/12</f>
        <v>0.6791666666666667</v>
      </c>
      <c r="V34" s="226">
        <f>ROUNDDOWN(U34*$F$4*$E$21*$E$20,0)</f>
        <v>142</v>
      </c>
      <c r="W34" s="225">
        <f>ROUNDDOWN(U34*$H$4*$E$21*$E$20,0)</f>
        <v>0</v>
      </c>
    </row>
    <row r="35" spans="2:23" ht="15.5">
      <c r="B35" s="228" t="s">
        <v>32</v>
      </c>
      <c r="C35" s="248">
        <f>F35-($O$58-$O$54)/12</f>
        <v>0.70166666666666622</v>
      </c>
      <c r="D35" s="226">
        <f>ROUNDDOWN(C35*$F$4*$E$21*$E$20,0)</f>
        <v>147</v>
      </c>
      <c r="E35" s="225">
        <f>ROUNDDOWN(C35*$H$4*$E$21*$E$20,0)</f>
        <v>0</v>
      </c>
      <c r="F35" s="236">
        <f>I35-($O$58-$O$54)/12</f>
        <v>0.70333333333333292</v>
      </c>
      <c r="G35" s="226">
        <f>ROUNDDOWN(F35*$F$4*$E$21*$E$20,0)</f>
        <v>147</v>
      </c>
      <c r="H35" s="225">
        <f>ROUNDDOWN(F35*$H$4*$E$21*$E$20,0)</f>
        <v>0</v>
      </c>
      <c r="I35" s="236">
        <f>L35-($O$58-$O$54)/12</f>
        <v>0.70499999999999963</v>
      </c>
      <c r="J35" s="226">
        <f>ROUNDDOWN(I35*$F$4*$E$21*$E$20,0)</f>
        <v>148</v>
      </c>
      <c r="K35" s="225">
        <f>ROUNDDOWN(I35*$H$4*$E$21*$E$20,0)</f>
        <v>0</v>
      </c>
      <c r="L35" s="227">
        <f>O35-($O$58-$O$54)/12</f>
        <v>0.70666666666666633</v>
      </c>
      <c r="M35" s="226">
        <f>ROUNDDOWN(L35*$F$4*$E$21*$E$20,0)</f>
        <v>148</v>
      </c>
      <c r="N35" s="225">
        <f>ROUNDDOWN(L35*$H$4*$E$21*$E$20,0)</f>
        <v>0</v>
      </c>
      <c r="O35" s="236">
        <f>R35-($O$58-$O$54)/12</f>
        <v>0.70833333333333304</v>
      </c>
      <c r="P35" s="226">
        <f>ROUNDDOWN(O35*$F$4*$E$21*$E$20,0)</f>
        <v>148</v>
      </c>
      <c r="Q35" s="225">
        <f>ROUNDDOWN(O35*$H$4*$E$21*$E$20,0)</f>
        <v>0</v>
      </c>
      <c r="R35" s="236">
        <f>U35-($O$58-$O$54)/12</f>
        <v>0.70999999999999974</v>
      </c>
      <c r="S35" s="226">
        <f>ROUNDDOWN(R35*$F$4*$E$21*$E$20,0)</f>
        <v>149</v>
      </c>
      <c r="T35" s="225">
        <f>ROUNDDOWN(R35*$H$4*$E$21*$E$20,0)</f>
        <v>0</v>
      </c>
      <c r="U35" s="236">
        <f>C58-($O$58-$O$54)/12</f>
        <v>0.71166666666666645</v>
      </c>
      <c r="V35" s="226">
        <f>ROUNDDOWN(U35*$F$4*$E$21*$E$20,0)</f>
        <v>149</v>
      </c>
      <c r="W35" s="225">
        <f>ROUNDDOWN(U35*$H$4*$E$21*$E$20,0)</f>
        <v>0</v>
      </c>
    </row>
    <row r="36" spans="2:23" ht="16" thickBot="1">
      <c r="B36" s="224" t="s">
        <v>33</v>
      </c>
      <c r="C36" s="255">
        <f>F36-($O$59-$O$55)/12</f>
        <v>0.35166666666666674</v>
      </c>
      <c r="D36" s="226">
        <f>ROUNDDOWN(C36*$F$4*$E$21*$E$20,0)</f>
        <v>73</v>
      </c>
      <c r="E36" s="225">
        <f>ROUNDDOWN(C36*$H$4*$E$21*$E$20,0)</f>
        <v>0</v>
      </c>
      <c r="F36" s="235">
        <f>I36-($O$59-$O$55)/12</f>
        <v>0.3633333333333334</v>
      </c>
      <c r="G36" s="226">
        <f>ROUNDDOWN(F36*$F$4*$E$21*$E$20,0)</f>
        <v>76</v>
      </c>
      <c r="H36" s="225">
        <f>ROUNDDOWN(F36*$H$4*$E$21*$E$20,0)</f>
        <v>0</v>
      </c>
      <c r="I36" s="235">
        <f>L36-($O$59-$O$55)/12</f>
        <v>0.37500000000000006</v>
      </c>
      <c r="J36" s="226">
        <f>ROUNDDOWN(I36*$F$4*$E$21*$E$20,0)</f>
        <v>78</v>
      </c>
      <c r="K36" s="225">
        <f>ROUNDDOWN(I36*$H$4*$E$21*$E$20,0)</f>
        <v>0</v>
      </c>
      <c r="L36" s="234">
        <f>O36-($O$59-$O$55)/12</f>
        <v>0.38666666666666671</v>
      </c>
      <c r="M36" s="226">
        <f>ROUNDDOWN(L36*$F$4*$E$21*$E$20,0)</f>
        <v>81</v>
      </c>
      <c r="N36" s="225">
        <f>ROUNDDOWN(L36*$H$4*$E$21*$E$20,0)</f>
        <v>0</v>
      </c>
      <c r="O36" s="235">
        <f>R36-($O$59-$O$55)/12</f>
        <v>0.39833333333333337</v>
      </c>
      <c r="P36" s="226">
        <f>ROUNDDOWN(O36*$F$4*$E$21*$E$20,0)</f>
        <v>83</v>
      </c>
      <c r="Q36" s="225">
        <f>ROUNDDOWN(O36*$H$4*$E$21*$E$20,0)</f>
        <v>0</v>
      </c>
      <c r="R36" s="235">
        <f>U36-($O$59-$O$55)/12</f>
        <v>0.41000000000000003</v>
      </c>
      <c r="S36" s="226">
        <f>ROUNDDOWN(R36*$F$4*$E$21*$E$20,0)</f>
        <v>86</v>
      </c>
      <c r="T36" s="225">
        <f>ROUNDDOWN(R36*$H$4*$E$21*$E$20,0)</f>
        <v>0</v>
      </c>
      <c r="U36" s="235">
        <f>C59-($O$59-$O$55)/12</f>
        <v>0.42166666666666669</v>
      </c>
      <c r="V36" s="226">
        <f>ROUNDDOWN(U36*$F$4*$E$21*$E$20,0)</f>
        <v>88</v>
      </c>
      <c r="W36" s="225">
        <f>ROUNDDOWN(U36*$H$4*$E$21*$E$20,0)</f>
        <v>0</v>
      </c>
    </row>
    <row r="37" spans="2:23">
      <c r="B37" s="233"/>
      <c r="C37" s="254" t="s">
        <v>71</v>
      </c>
      <c r="D37" s="231"/>
      <c r="E37" s="230"/>
      <c r="F37" s="231"/>
      <c r="G37" s="231"/>
      <c r="H37" s="230"/>
      <c r="I37" s="231"/>
      <c r="J37" s="231"/>
      <c r="K37" s="230"/>
      <c r="L37" s="231"/>
      <c r="M37" s="231"/>
      <c r="N37" s="230"/>
      <c r="O37" s="231"/>
      <c r="P37" s="231"/>
      <c r="Q37" s="230"/>
      <c r="R37" s="231"/>
      <c r="S37" s="231"/>
      <c r="T37" s="230"/>
      <c r="U37" s="231"/>
      <c r="V37" s="231"/>
      <c r="W37" s="230"/>
    </row>
    <row r="38" spans="2:23" ht="15.5">
      <c r="B38" s="229" t="s">
        <v>27</v>
      </c>
      <c r="C38" s="248">
        <f>F38-($O$61-$O$57)/12</f>
        <v>0.70416666666666683</v>
      </c>
      <c r="D38" s="226">
        <f>ROUNDDOWN(C38*$F$4*$E$21*$E$20,0)</f>
        <v>147</v>
      </c>
      <c r="E38" s="225">
        <f>ROUNDDOWN(C38*$H$4*$E$21*$E$20,0)</f>
        <v>0</v>
      </c>
      <c r="F38" s="236">
        <f>I38-($O$61-$O$57)/12</f>
        <v>0.70833333333333348</v>
      </c>
      <c r="G38" s="226">
        <f>ROUNDDOWN(F38*$F$4*$E$21*$E$20,0)</f>
        <v>148</v>
      </c>
      <c r="H38" s="225">
        <f>ROUNDDOWN(F38*$H$4*$E$21*$E$20,0)</f>
        <v>0</v>
      </c>
      <c r="I38" s="227">
        <f>L38-($O$61-$O$57)/12</f>
        <v>0.71250000000000013</v>
      </c>
      <c r="J38" s="226">
        <f>ROUNDDOWN(I38*$F$4*$E$21*$E$20,0)</f>
        <v>149</v>
      </c>
      <c r="K38" s="225">
        <f>ROUNDDOWN(I38*$H$4*$E$21*$E$20,0)</f>
        <v>0</v>
      </c>
      <c r="L38" s="227">
        <f>O38-($O$61-$O$57)/12</f>
        <v>0.71666666666666679</v>
      </c>
      <c r="M38" s="226">
        <f>ROUNDDOWN(L38*$F$4*$E$21*$E$20,0)</f>
        <v>150</v>
      </c>
      <c r="N38" s="225">
        <f>ROUNDDOWN(L38*$H$4*$E$21*$E$20,0)</f>
        <v>0</v>
      </c>
      <c r="O38" s="236">
        <f>R38-($O$61-$O$57)/12</f>
        <v>0.72083333333333344</v>
      </c>
      <c r="P38" s="226">
        <f>ROUNDDOWN(O38*$F$4*$E$21*$E$20,0)</f>
        <v>151</v>
      </c>
      <c r="Q38" s="225">
        <f>ROUNDDOWN(O38*$H$4*$E$21*$E$20,0)</f>
        <v>0</v>
      </c>
      <c r="R38" s="236">
        <f>U38-($O$61-$O$57)/12</f>
        <v>0.72500000000000009</v>
      </c>
      <c r="S38" s="226">
        <f>ROUNDDOWN(R38*$F$4*$E$21*$E$20,0)</f>
        <v>152</v>
      </c>
      <c r="T38" s="225">
        <f>ROUNDDOWN(R38*$H$4*$E$21*$E$20,0)</f>
        <v>0</v>
      </c>
      <c r="U38" s="236">
        <f>C61-($O$61-$O$57)/12</f>
        <v>0.72916666666666674</v>
      </c>
      <c r="V38" s="226">
        <f>ROUNDDOWN(U38*$F$4*$E$21*$E$20,0)</f>
        <v>153</v>
      </c>
      <c r="W38" s="225">
        <f>ROUNDDOWN(U38*$H$4*$E$21*$E$20,0)</f>
        <v>0</v>
      </c>
    </row>
    <row r="39" spans="2:23" ht="15.5">
      <c r="B39" s="228" t="s">
        <v>32</v>
      </c>
      <c r="C39" s="248">
        <f>F39-($O$62-$O$58)/12</f>
        <v>0.72416666666666685</v>
      </c>
      <c r="D39" s="226">
        <f>ROUNDDOWN(C39*$F$4*$E$21*$E$20,0)</f>
        <v>152</v>
      </c>
      <c r="E39" s="225">
        <f>ROUNDDOWN(C39*$H$4*$E$21*$E$20,0)</f>
        <v>0</v>
      </c>
      <c r="F39" s="236">
        <f>I39-($O$62-$O$58)/12</f>
        <v>0.7283333333333335</v>
      </c>
      <c r="G39" s="226">
        <f>ROUNDDOWN(F39*$F$4*$E$21*$E$20,0)</f>
        <v>152</v>
      </c>
      <c r="H39" s="225">
        <f>ROUNDDOWN(F39*$H$4*$E$21*$E$20,0)</f>
        <v>0</v>
      </c>
      <c r="I39" s="227">
        <f>L39-($O$62-$O$58)/12</f>
        <v>0.73250000000000015</v>
      </c>
      <c r="J39" s="226">
        <f>ROUNDDOWN(I39*$F$4*$E$21*$E$20,0)</f>
        <v>153</v>
      </c>
      <c r="K39" s="225">
        <f>ROUNDDOWN(I39*$H$4*$E$21*$E$20,0)</f>
        <v>0</v>
      </c>
      <c r="L39" s="227">
        <f>O39-($O$62-$O$58)/12</f>
        <v>0.7366666666666668</v>
      </c>
      <c r="M39" s="226">
        <f>ROUNDDOWN(L39*$F$4*$E$21*$E$20,0)</f>
        <v>154</v>
      </c>
      <c r="N39" s="225">
        <f>ROUNDDOWN(L39*$H$4*$E$21*$E$20,0)</f>
        <v>0</v>
      </c>
      <c r="O39" s="236">
        <f>R39-($O$62-$O$58)/12</f>
        <v>0.74083333333333345</v>
      </c>
      <c r="P39" s="226">
        <f>ROUNDDOWN(O39*$F$4*$E$21*$E$20,0)</f>
        <v>155</v>
      </c>
      <c r="Q39" s="225">
        <f>ROUNDDOWN(O39*$H$4*$E$21*$E$20,0)</f>
        <v>0</v>
      </c>
      <c r="R39" s="236">
        <f>U39-($O$62-$O$58)/12</f>
        <v>0.74500000000000011</v>
      </c>
      <c r="S39" s="226">
        <f>ROUNDDOWN(R39*$F$4*$E$21*$E$20,0)</f>
        <v>156</v>
      </c>
      <c r="T39" s="225">
        <f>ROUNDDOWN(R39*$H$4*$E$21*$E$20,0)</f>
        <v>0</v>
      </c>
      <c r="U39" s="236">
        <f>C62-($O$62-$O$58)/12</f>
        <v>0.74916666666666676</v>
      </c>
      <c r="V39" s="226">
        <f>ROUNDDOWN(U39*$F$4*$E$21*$E$20,0)</f>
        <v>157</v>
      </c>
      <c r="W39" s="225">
        <f>ROUNDDOWN(U39*$H$4*$E$21*$E$20,0)</f>
        <v>0</v>
      </c>
    </row>
    <row r="40" spans="2:23" ht="16" thickBot="1">
      <c r="B40" s="224" t="s">
        <v>33</v>
      </c>
      <c r="C40" s="255">
        <f>F40-($O$63-$O$59)/12</f>
        <v>0.4916666666666662</v>
      </c>
      <c r="D40" s="226">
        <f>ROUNDDOWN(C40*$F$4*$E$21*$E$20,0)</f>
        <v>103</v>
      </c>
      <c r="E40" s="225">
        <f>ROUNDDOWN(C40*$H$4*$E$21*$E$20,0)</f>
        <v>0</v>
      </c>
      <c r="F40" s="235">
        <f>I40-($O$63-$O$59)/12</f>
        <v>0.50333333333333286</v>
      </c>
      <c r="G40" s="226">
        <f>ROUNDDOWN(F40*$F$4*$E$21*$E$20,0)</f>
        <v>105</v>
      </c>
      <c r="H40" s="225">
        <f>ROUNDDOWN(F40*$H$4*$E$21*$E$20,0)</f>
        <v>0</v>
      </c>
      <c r="I40" s="234">
        <f>L40-($O$63-$O$59)/12</f>
        <v>0.51499999999999957</v>
      </c>
      <c r="J40" s="226">
        <f>ROUNDDOWN(I40*$F$4*$E$21*$E$20,0)</f>
        <v>108</v>
      </c>
      <c r="K40" s="225">
        <f>ROUNDDOWN(I40*$H$4*$E$21*$E$20,0)</f>
        <v>0</v>
      </c>
      <c r="L40" s="234">
        <f>O40-($O$63-$O$59)/12</f>
        <v>0.52666666666666628</v>
      </c>
      <c r="M40" s="226">
        <f>ROUNDDOWN(L40*$F$4*$E$21*$E$20,0)</f>
        <v>110</v>
      </c>
      <c r="N40" s="225">
        <f>ROUNDDOWN(L40*$H$4*$E$21*$E$20,0)</f>
        <v>0</v>
      </c>
      <c r="O40" s="235">
        <f>R40-($O$63-$O$59)/12</f>
        <v>0.538333333333333</v>
      </c>
      <c r="P40" s="226">
        <f>ROUNDDOWN(O40*$F$4*$E$21*$E$20,0)</f>
        <v>113</v>
      </c>
      <c r="Q40" s="225">
        <f>ROUNDDOWN(O40*$H$4*$E$21*$E$20,0)</f>
        <v>0</v>
      </c>
      <c r="R40" s="235">
        <f>U40-($O$63-$O$59)/12</f>
        <v>0.54999999999999971</v>
      </c>
      <c r="S40" s="226">
        <f>ROUNDDOWN(R40*$F$4*$E$21*$E$20,0)</f>
        <v>115</v>
      </c>
      <c r="T40" s="225">
        <f>ROUNDDOWN(R40*$H$4*$E$21*$E$20,0)</f>
        <v>0</v>
      </c>
      <c r="U40" s="235">
        <f>C63-($O$63-$O$59)/12</f>
        <v>0.56166666666666643</v>
      </c>
      <c r="V40" s="226">
        <f>ROUNDDOWN(U40*$F$4*$E$21*$E$20,0)</f>
        <v>117</v>
      </c>
      <c r="W40" s="225">
        <f>ROUNDDOWN(U40*$H$4*$E$21*$E$20,0)</f>
        <v>0</v>
      </c>
    </row>
    <row r="41" spans="2:23">
      <c r="B41" s="233"/>
      <c r="C41" s="254" t="s">
        <v>72</v>
      </c>
      <c r="D41" s="231"/>
      <c r="E41" s="230"/>
      <c r="F41" s="231"/>
      <c r="G41" s="231"/>
      <c r="H41" s="230"/>
      <c r="I41" s="231"/>
      <c r="J41" s="231"/>
      <c r="K41" s="230"/>
      <c r="L41" s="231"/>
      <c r="M41" s="231"/>
      <c r="N41" s="230"/>
      <c r="O41" s="231"/>
      <c r="P41" s="231"/>
      <c r="Q41" s="230"/>
      <c r="R41" s="231"/>
      <c r="S41" s="231"/>
      <c r="T41" s="230"/>
      <c r="U41" s="231"/>
      <c r="V41" s="231"/>
      <c r="W41" s="230"/>
    </row>
    <row r="42" spans="2:23" ht="15.5">
      <c r="B42" s="229" t="s">
        <v>27</v>
      </c>
      <c r="C42" s="253">
        <f>F42-($O$65-$O$61)/12</f>
        <v>0.75416666666666687</v>
      </c>
      <c r="D42" s="250">
        <f>ROUNDDOWN(C42*$F$4*$E$21*$E$20,0)</f>
        <v>158</v>
      </c>
      <c r="E42" s="249">
        <f>ROUNDDOWN(C42*$H$4*$E$21*$E$20,0)</f>
        <v>0</v>
      </c>
      <c r="F42" s="251">
        <f>I42-($O$65-$O$61)/12</f>
        <v>0.75833333333333353</v>
      </c>
      <c r="G42" s="250">
        <f>ROUNDDOWN(F42*$F$4*$E$21*$E$20,0)</f>
        <v>159</v>
      </c>
      <c r="H42" s="249">
        <f>ROUNDDOWN(F42*$H$4*$E$21*$E$20,0)</f>
        <v>0</v>
      </c>
      <c r="I42" s="252">
        <f>L42-($O$65-$O$61)/12</f>
        <v>0.76250000000000018</v>
      </c>
      <c r="J42" s="250">
        <f>ROUNDDOWN(I42*$F$4*$E$21*$E$20,0)</f>
        <v>160</v>
      </c>
      <c r="K42" s="249">
        <f>ROUNDDOWN(I42*$H$4*$E$21*$E$20,0)</f>
        <v>0</v>
      </c>
      <c r="L42" s="252">
        <f>O42-($O$65-$O$61)/12</f>
        <v>0.76666666666666683</v>
      </c>
      <c r="M42" s="250">
        <f>ROUNDDOWN(L42*$F$4*$E$21*$E$20,0)</f>
        <v>161</v>
      </c>
      <c r="N42" s="249">
        <f>ROUNDDOWN(L42*$H$4*$E$21*$E$20,0)</f>
        <v>0</v>
      </c>
      <c r="O42" s="251">
        <f>R42-($O$65-$O$61)/12</f>
        <v>0.77083333333333348</v>
      </c>
      <c r="P42" s="250">
        <f>ROUNDDOWN(O42*$F$4*$E$21*$E$20,0)</f>
        <v>161</v>
      </c>
      <c r="Q42" s="249">
        <f>ROUNDDOWN(O42*$H$4*$E$21*$E$20,0)</f>
        <v>0</v>
      </c>
      <c r="R42" s="251">
        <f>U42-($O$65-$O$61)/12</f>
        <v>0.77500000000000013</v>
      </c>
      <c r="S42" s="250">
        <f>ROUNDDOWN(R42*$F$4*$E$21*$E$20,0)</f>
        <v>162</v>
      </c>
      <c r="T42" s="249">
        <f>ROUNDDOWN(R42*$H$4*$E$21*$E$20,0)</f>
        <v>0</v>
      </c>
      <c r="U42" s="251">
        <f>C65-($O$65-$O$61)/12</f>
        <v>0.77916666666666679</v>
      </c>
      <c r="V42" s="250">
        <f>ROUNDDOWN(U42*$F$4*$E$21*$E$20,0)</f>
        <v>163</v>
      </c>
      <c r="W42" s="249">
        <f>ROUNDDOWN(U42*$H$4*$E$21*$E$20,0)</f>
        <v>0</v>
      </c>
    </row>
    <row r="43" spans="2:23" ht="15.5">
      <c r="B43" s="228" t="s">
        <v>32</v>
      </c>
      <c r="C43" s="248">
        <f>F43-($O$66-$O$62)/12</f>
        <v>0.77250000000000063</v>
      </c>
      <c r="D43" s="226">
        <f>ROUNDDOWN(C43*$F$4*$E$21*$E$20,0)</f>
        <v>162</v>
      </c>
      <c r="E43" s="225">
        <f>ROUNDDOWN(C43*$H$4*$E$21*$E$20,0)</f>
        <v>0</v>
      </c>
      <c r="F43" s="236">
        <f>I43-($O$66-$O$62)/12</f>
        <v>0.77500000000000058</v>
      </c>
      <c r="G43" s="226">
        <f>ROUNDDOWN(F43*$F$4*$E$21*$E$20,0)</f>
        <v>162</v>
      </c>
      <c r="H43" s="225">
        <f>ROUNDDOWN(F43*$H$4*$E$21*$E$20,0)</f>
        <v>0</v>
      </c>
      <c r="I43" s="227">
        <f>L43-($O$66-$O$62)/12</f>
        <v>0.77750000000000052</v>
      </c>
      <c r="J43" s="226">
        <f>ROUNDDOWN(I43*$F$4*$E$21*$E$20,0)</f>
        <v>163</v>
      </c>
      <c r="K43" s="225">
        <f>ROUNDDOWN(I43*$H$4*$E$21*$E$20,0)</f>
        <v>0</v>
      </c>
      <c r="L43" s="227">
        <f>O43-($O$66-$O$62)/12</f>
        <v>0.78000000000000047</v>
      </c>
      <c r="M43" s="226">
        <f>ROUNDDOWN(L43*$F$4*$E$21*$E$20,0)</f>
        <v>163</v>
      </c>
      <c r="N43" s="225">
        <f>ROUNDDOWN(L43*$H$4*$E$21*$E$20,0)</f>
        <v>0</v>
      </c>
      <c r="O43" s="236">
        <f>R43-($O$66-$O$62)/12</f>
        <v>0.78250000000000042</v>
      </c>
      <c r="P43" s="226">
        <f>ROUNDDOWN(O43*$F$4*$E$21*$E$20,0)</f>
        <v>164</v>
      </c>
      <c r="Q43" s="225">
        <f>ROUNDDOWN(O43*$H$4*$E$21*$E$20,0)</f>
        <v>0</v>
      </c>
      <c r="R43" s="236">
        <f>U43-($O$66-$O$62)/12</f>
        <v>0.78500000000000036</v>
      </c>
      <c r="S43" s="226">
        <f>ROUNDDOWN(R43*$F$4*$E$21*$E$20,0)</f>
        <v>164</v>
      </c>
      <c r="T43" s="225">
        <f>ROUNDDOWN(R43*$H$4*$E$21*$E$20,0)</f>
        <v>0</v>
      </c>
      <c r="U43" s="236">
        <f>C66-($O$66-$O$62)/12</f>
        <v>0.78750000000000031</v>
      </c>
      <c r="V43" s="226">
        <f>ROUNDDOWN(U43*$F$4*$E$21*$E$20,0)</f>
        <v>165</v>
      </c>
      <c r="W43" s="225">
        <f>ROUNDDOWN(U43*$H$4*$E$21*$E$20,0)</f>
        <v>0</v>
      </c>
    </row>
    <row r="44" spans="2:23" ht="16" thickBot="1">
      <c r="B44" s="224" t="s">
        <v>33</v>
      </c>
      <c r="C44" s="247">
        <f>F44-($O$67-$O$63)/12</f>
        <v>0.62666666666666615</v>
      </c>
      <c r="D44" s="222">
        <f>ROUNDDOWN(C44*$F$4*$E$21*$E$20,0)</f>
        <v>131</v>
      </c>
      <c r="E44" s="221">
        <f>ROUNDDOWN(C44*$H$4*$E$21*$E$20,0)</f>
        <v>0</v>
      </c>
      <c r="F44" s="246">
        <f>I44-($O$67-$O$63)/12</f>
        <v>0.63333333333333286</v>
      </c>
      <c r="G44" s="222">
        <f>ROUNDDOWN(F44*$F$4*$E$21*$E$20,0)</f>
        <v>133</v>
      </c>
      <c r="H44" s="221">
        <f>ROUNDDOWN(F44*$H$4*$E$21*$E$20,0)</f>
        <v>0</v>
      </c>
      <c r="I44" s="223">
        <f>L44-($O$67-$O$63)/12</f>
        <v>0.63999999999999957</v>
      </c>
      <c r="J44" s="222">
        <f>ROUNDDOWN(I44*$F$4*$E$21*$E$20,0)</f>
        <v>134</v>
      </c>
      <c r="K44" s="221">
        <f>ROUNDDOWN(I44*$H$4*$E$21*$E$20,0)</f>
        <v>0</v>
      </c>
      <c r="L44" s="223">
        <f>O44-($O$67-$O$63)/12</f>
        <v>0.64666666666666628</v>
      </c>
      <c r="M44" s="222">
        <f>ROUNDDOWN(L44*$F$4*$E$21*$E$20,0)</f>
        <v>135</v>
      </c>
      <c r="N44" s="221">
        <f>ROUNDDOWN(L44*$H$4*$E$21*$E$20,0)</f>
        <v>0</v>
      </c>
      <c r="O44" s="246">
        <f>R44-($O$67-$O$63)/12</f>
        <v>0.65333333333333299</v>
      </c>
      <c r="P44" s="222">
        <f>ROUNDDOWN(O44*$F$4*$E$21*$E$20,0)</f>
        <v>137</v>
      </c>
      <c r="Q44" s="221">
        <f>ROUNDDOWN(O44*$H$4*$E$21*$E$20,0)</f>
        <v>0</v>
      </c>
      <c r="R44" s="246">
        <f>U44-($O$67-$O$63)/12</f>
        <v>0.6599999999999997</v>
      </c>
      <c r="S44" s="222">
        <f>ROUNDDOWN(R44*$F$4*$E$21*$E$20,0)</f>
        <v>138</v>
      </c>
      <c r="T44" s="221">
        <f>ROUNDDOWN(R44*$H$4*$E$21*$E$20,0)</f>
        <v>0</v>
      </c>
      <c r="U44" s="246">
        <f>C67-($O$67-$O$63)/12</f>
        <v>0.66666666666666641</v>
      </c>
      <c r="V44" s="222">
        <f>ROUNDDOWN(U44*$F$4*$E$21*$E$20,0)</f>
        <v>140</v>
      </c>
      <c r="W44" s="221">
        <f>ROUNDDOWN(U44*$H$4*$E$21*$E$20,0)</f>
        <v>0</v>
      </c>
    </row>
    <row r="45" spans="2:23" ht="15" thickBot="1"/>
    <row r="46" spans="2:23">
      <c r="B46" s="245" t="s">
        <v>163</v>
      </c>
      <c r="C46" s="245" t="s">
        <v>162</v>
      </c>
      <c r="D46" s="244"/>
      <c r="E46" s="243"/>
      <c r="F46" s="244" t="s">
        <v>161</v>
      </c>
      <c r="G46" s="244"/>
      <c r="H46" s="243"/>
      <c r="I46" s="244" t="s">
        <v>160</v>
      </c>
      <c r="J46" s="244"/>
      <c r="K46" s="243"/>
      <c r="L46" s="244" t="s">
        <v>159</v>
      </c>
      <c r="M46" s="244"/>
      <c r="N46" s="243"/>
      <c r="O46" s="244" t="s">
        <v>158</v>
      </c>
      <c r="P46" s="244"/>
      <c r="Q46" s="243"/>
      <c r="R46" s="244" t="s">
        <v>157</v>
      </c>
      <c r="S46" s="243"/>
    </row>
    <row r="47" spans="2:23" ht="15" thickBot="1">
      <c r="B47" s="242"/>
      <c r="C47" s="241" t="s">
        <v>156</v>
      </c>
      <c r="D47" s="240" t="s">
        <v>155</v>
      </c>
      <c r="E47" s="239" t="s">
        <v>154</v>
      </c>
      <c r="F47" s="240" t="s">
        <v>156</v>
      </c>
      <c r="G47" s="240" t="s">
        <v>155</v>
      </c>
      <c r="H47" s="239" t="s">
        <v>154</v>
      </c>
      <c r="I47" s="240" t="s">
        <v>156</v>
      </c>
      <c r="J47" s="240" t="s">
        <v>155</v>
      </c>
      <c r="K47" s="239" t="s">
        <v>154</v>
      </c>
      <c r="L47" s="240" t="s">
        <v>156</v>
      </c>
      <c r="M47" s="240" t="s">
        <v>155</v>
      </c>
      <c r="N47" s="239" t="s">
        <v>154</v>
      </c>
      <c r="O47" s="240" t="s">
        <v>156</v>
      </c>
      <c r="P47" s="240" t="s">
        <v>155</v>
      </c>
      <c r="Q47" s="239" t="s">
        <v>154</v>
      </c>
      <c r="R47" s="240" t="s">
        <v>155</v>
      </c>
      <c r="S47" s="239" t="s">
        <v>154</v>
      </c>
    </row>
    <row r="48" spans="2:23">
      <c r="B48" s="233"/>
      <c r="C48" s="232" t="s">
        <v>68</v>
      </c>
      <c r="D48" s="231"/>
      <c r="E48" s="230"/>
      <c r="F48" s="231"/>
      <c r="G48" s="231"/>
      <c r="H48" s="230"/>
      <c r="I48" s="231"/>
      <c r="J48" s="231"/>
      <c r="K48" s="230"/>
      <c r="L48" s="231"/>
      <c r="M48" s="231"/>
      <c r="N48" s="230"/>
      <c r="O48" s="231"/>
      <c r="P48" s="231"/>
      <c r="Q48" s="230"/>
      <c r="R48" s="231"/>
      <c r="S48" s="230"/>
    </row>
    <row r="49" spans="2:21" ht="15.5">
      <c r="B49" s="229" t="s">
        <v>27</v>
      </c>
      <c r="C49" s="227">
        <f>F49-($O$49/12)</f>
        <v>0.26666666666666672</v>
      </c>
      <c r="D49" s="226">
        <f>ROUNDDOWN(C49*$F$4*$E$21*$E$20,0)</f>
        <v>56</v>
      </c>
      <c r="E49" s="225">
        <f>ROUNDDOWN(C49*$H$4*$E$21*$E$20,0)</f>
        <v>0</v>
      </c>
      <c r="F49" s="236">
        <f>I49-($O$49/12)</f>
        <v>0.30000000000000004</v>
      </c>
      <c r="G49" s="226">
        <f>ROUNDDOWN(F49*$F$4*$E$21*$E$20,0)</f>
        <v>63</v>
      </c>
      <c r="H49" s="225">
        <f>ROUNDDOWN(F49*$H$4*$E$21*$E$20,0)</f>
        <v>0</v>
      </c>
      <c r="I49" s="236">
        <f>L49-($O$49/12)</f>
        <v>0.33333333333333337</v>
      </c>
      <c r="J49" s="226">
        <f>ROUNDDOWN(I49*$F$4*$E$21*$E$20,0)</f>
        <v>70</v>
      </c>
      <c r="K49" s="225">
        <f>ROUNDDOWN(I49*$H$4*$E$21*$E$20,0)</f>
        <v>0</v>
      </c>
      <c r="L49" s="236">
        <f>O49-($O$49/12)</f>
        <v>0.3666666666666667</v>
      </c>
      <c r="M49" s="226">
        <f>ROUNDDOWN(L49*$F$4*$E$21*$E$20,0)</f>
        <v>77</v>
      </c>
      <c r="N49" s="225">
        <f>ROUNDDOWN(L49*$H$4*$E$21*$E$20,0)</f>
        <v>0</v>
      </c>
      <c r="O49" s="236">
        <f>E7</f>
        <v>0.4</v>
      </c>
      <c r="P49" s="226">
        <f>ROUNDDOWN(O49*$F$4*$E$21*$E$20,0)</f>
        <v>84</v>
      </c>
      <c r="Q49" s="225">
        <f>ROUNDDOWN(O49*$H$4*$E$21*$E$20,0)</f>
        <v>0</v>
      </c>
      <c r="R49" s="226">
        <f t="shared" ref="R49:S51" si="0">P49</f>
        <v>84</v>
      </c>
      <c r="S49" s="225">
        <f t="shared" si="0"/>
        <v>0</v>
      </c>
      <c r="U49" s="238">
        <f>R49/360</f>
        <v>0.23333333333333334</v>
      </c>
    </row>
    <row r="50" spans="2:21" ht="15.5">
      <c r="B50" s="228" t="s">
        <v>32</v>
      </c>
      <c r="C50" s="227">
        <f>F50-($O$50/12)</f>
        <v>0.39999999999999997</v>
      </c>
      <c r="D50" s="226">
        <f>ROUNDDOWN(C50*$F$4*$E$21*$E$20,0)</f>
        <v>84</v>
      </c>
      <c r="E50" s="225">
        <f>ROUNDDOWN(C50*$H$4*$E$21*$E$20,0)</f>
        <v>0</v>
      </c>
      <c r="F50" s="236">
        <f>I50-($O$50/12)</f>
        <v>0.44999999999999996</v>
      </c>
      <c r="G50" s="226">
        <f>ROUNDDOWN(F50*$F$4*$E$21*$E$20,0)</f>
        <v>94</v>
      </c>
      <c r="H50" s="225">
        <f>ROUNDDOWN(F50*$H$4*$E$21*$E$20,0)</f>
        <v>0</v>
      </c>
      <c r="I50" s="236">
        <f>L50-($O$50/12)</f>
        <v>0.49999999999999994</v>
      </c>
      <c r="J50" s="226">
        <f>ROUNDDOWN(I50*$F$4*$E$21*$E$20,0)</f>
        <v>105</v>
      </c>
      <c r="K50" s="225">
        <f>ROUNDDOWN(I50*$H$4*$E$21*$E$20,0)</f>
        <v>0</v>
      </c>
      <c r="L50" s="236">
        <f>O50-($O$50/12)</f>
        <v>0.54999999999999993</v>
      </c>
      <c r="M50" s="226">
        <f>ROUNDDOWN(L50*$F$4*$E$21*$E$20,0)</f>
        <v>115</v>
      </c>
      <c r="N50" s="225">
        <f>ROUNDDOWN(L50*$H$4*$E$21*$E$20,0)</f>
        <v>0</v>
      </c>
      <c r="O50" s="236">
        <f>E8</f>
        <v>0.6</v>
      </c>
      <c r="P50" s="226">
        <f>ROUNDDOWN(O50*$F$4*$E$21*$E$20,0)</f>
        <v>126</v>
      </c>
      <c r="Q50" s="225">
        <f>ROUNDDOWN(O50*$H$4*$E$21*$E$20,0)</f>
        <v>0</v>
      </c>
      <c r="R50" s="226">
        <f t="shared" si="0"/>
        <v>126</v>
      </c>
      <c r="S50" s="225">
        <f t="shared" si="0"/>
        <v>0</v>
      </c>
      <c r="U50" s="237">
        <f>R49+R53+R57+R61+R65</f>
        <v>168</v>
      </c>
    </row>
    <row r="51" spans="2:21" ht="16" thickBot="1">
      <c r="B51" s="224" t="s">
        <v>33</v>
      </c>
      <c r="C51" s="234">
        <f>F51-($O$51/12)</f>
        <v>0.14666666666666664</v>
      </c>
      <c r="D51" s="226">
        <f>ROUNDDOWN(C51*$F$4*$E$21*$E$20,0)</f>
        <v>30</v>
      </c>
      <c r="E51" s="225">
        <f>ROUNDDOWN(C51*$H$4*$E$21*$E$20,0)</f>
        <v>0</v>
      </c>
      <c r="F51" s="235">
        <f>I51-($O$51/12)</f>
        <v>0.16499999999999998</v>
      </c>
      <c r="G51" s="226">
        <f>ROUNDDOWN(F51*$F$4*$E$21*$E$20,0)</f>
        <v>34</v>
      </c>
      <c r="H51" s="225">
        <f>ROUNDDOWN(F51*$H$4*$E$21*$E$20,0)</f>
        <v>0</v>
      </c>
      <c r="I51" s="235">
        <f>L51-($O$51/12)</f>
        <v>0.18333333333333332</v>
      </c>
      <c r="J51" s="226">
        <f>ROUNDDOWN(I51*$F$4*$E$21*$E$20,0)</f>
        <v>38</v>
      </c>
      <c r="K51" s="225">
        <f>ROUNDDOWN(I51*$H$4*$E$21*$E$20,0)</f>
        <v>0</v>
      </c>
      <c r="L51" s="235">
        <f>O51-($O$51/12)</f>
        <v>0.20166666666666666</v>
      </c>
      <c r="M51" s="226">
        <f>ROUNDDOWN(L51*$F$4*$E$21*$E$20,0)</f>
        <v>42</v>
      </c>
      <c r="N51" s="225">
        <f>ROUNDDOWN(L51*$H$4*$E$21*$E$20,0)</f>
        <v>0</v>
      </c>
      <c r="O51" s="235">
        <f>E9</f>
        <v>0.22</v>
      </c>
      <c r="P51" s="226">
        <f>ROUNDDOWN(O51*$F$4*$E$21*$E$20,0)</f>
        <v>46</v>
      </c>
      <c r="Q51" s="225">
        <f>ROUNDDOWN(O51*$H$4*$E$21*$E$20,0)</f>
        <v>0</v>
      </c>
      <c r="R51" s="226">
        <f t="shared" si="0"/>
        <v>46</v>
      </c>
      <c r="S51" s="225">
        <f t="shared" si="0"/>
        <v>0</v>
      </c>
      <c r="U51" s="237">
        <f>S49+S53+S57+S61+S65</f>
        <v>0</v>
      </c>
    </row>
    <row r="52" spans="2:21">
      <c r="B52" s="233"/>
      <c r="C52" s="232" t="s">
        <v>69</v>
      </c>
      <c r="D52" s="231"/>
      <c r="E52" s="230"/>
      <c r="F52" s="231"/>
      <c r="G52" s="231"/>
      <c r="H52" s="230"/>
      <c r="I52" s="231"/>
      <c r="J52" s="231"/>
      <c r="K52" s="230"/>
      <c r="L52" s="231"/>
      <c r="M52" s="231"/>
      <c r="N52" s="230"/>
      <c r="O52" s="231"/>
      <c r="P52" s="231"/>
      <c r="Q52" s="230"/>
      <c r="R52" s="231"/>
      <c r="S52" s="230"/>
    </row>
    <row r="53" spans="2:21" ht="15.5">
      <c r="B53" s="229" t="s">
        <v>27</v>
      </c>
      <c r="C53" s="227">
        <f>F53-(($O$53-$O$49)/12)</f>
        <v>0.56666666666666654</v>
      </c>
      <c r="D53" s="226">
        <f>ROUNDDOWN(C53*$F$4*$E$21*$E$20,0)</f>
        <v>119</v>
      </c>
      <c r="E53" s="225">
        <f>ROUNDDOWN(C53*$H$4*$E$21*$E$20,0)</f>
        <v>0</v>
      </c>
      <c r="F53" s="236">
        <f>I53-(($O$53-$O$49)/12)</f>
        <v>0.58749999999999991</v>
      </c>
      <c r="G53" s="226">
        <f>ROUNDDOWN(F53*$F$4*$E$21*$E$20,0)</f>
        <v>123</v>
      </c>
      <c r="H53" s="225">
        <f>ROUNDDOWN(F53*$H$4*$E$21*$E$20,0)</f>
        <v>0</v>
      </c>
      <c r="I53" s="236">
        <f>L53-(($O$53-$O$49)/12)</f>
        <v>0.60833333333333328</v>
      </c>
      <c r="J53" s="226">
        <f>ROUNDDOWN(I53*$F$4*$E$21*$E$20,0)</f>
        <v>127</v>
      </c>
      <c r="K53" s="225">
        <f>ROUNDDOWN(I53*$H$4*$E$21*$E$20,0)</f>
        <v>0</v>
      </c>
      <c r="L53" s="236">
        <f>O53-(($O$53-$O$49)/12)</f>
        <v>0.62916666666666665</v>
      </c>
      <c r="M53" s="226">
        <f>ROUNDDOWN(L53*$F$4*$E$21*$E$20,0)</f>
        <v>132</v>
      </c>
      <c r="N53" s="225">
        <f>ROUNDDOWN(L53*$H$4*$E$21*$E$20,0)</f>
        <v>0</v>
      </c>
      <c r="O53" s="236">
        <f>F7</f>
        <v>0.65</v>
      </c>
      <c r="P53" s="226">
        <f>ROUNDDOWN(O53*$F$4*$E$21*$E$20,0)</f>
        <v>136</v>
      </c>
      <c r="Q53" s="225">
        <f>ROUNDDOWN(O53*$H$4*$E$21*$E$20,0)</f>
        <v>0</v>
      </c>
      <c r="R53" s="226">
        <f t="shared" ref="R53:S55" si="1">P53-P49</f>
        <v>52</v>
      </c>
      <c r="S53" s="225">
        <f t="shared" si="1"/>
        <v>0</v>
      </c>
    </row>
    <row r="54" spans="2:21" ht="15.5">
      <c r="B54" s="228" t="s">
        <v>32</v>
      </c>
      <c r="C54" s="227">
        <f>F54-(($O$54-$O$50)/12)</f>
        <v>0.66666666666666674</v>
      </c>
      <c r="D54" s="226">
        <f>ROUNDDOWN(C54*$F$4*$E$21*$E$20,0)</f>
        <v>140</v>
      </c>
      <c r="E54" s="225">
        <f>ROUNDDOWN(C54*$H$4*$E$21*$E$20,0)</f>
        <v>0</v>
      </c>
      <c r="F54" s="236">
        <f>I54-(($O$54-$O$50)/12)</f>
        <v>0.67500000000000004</v>
      </c>
      <c r="G54" s="226">
        <f>ROUNDDOWN(F54*$F$4*$E$21*$E$20,0)</f>
        <v>141</v>
      </c>
      <c r="H54" s="225">
        <f>ROUNDDOWN(F54*$H$4*$E$21*$E$20,0)</f>
        <v>0</v>
      </c>
      <c r="I54" s="236">
        <f>L54-(($O$54-$O$50)/12)</f>
        <v>0.68333333333333335</v>
      </c>
      <c r="J54" s="226">
        <f>ROUNDDOWN(I54*$F$4*$E$21*$E$20,0)</f>
        <v>143</v>
      </c>
      <c r="K54" s="225">
        <f>ROUNDDOWN(I54*$H$4*$E$21*$E$20,0)</f>
        <v>0</v>
      </c>
      <c r="L54" s="236">
        <f>O54-(($O$54-$O$50)/12)</f>
        <v>0.69166666666666665</v>
      </c>
      <c r="M54" s="226">
        <f>ROUNDDOWN(L54*$F$4*$E$21*$E$20,0)</f>
        <v>145</v>
      </c>
      <c r="N54" s="225">
        <f>ROUNDDOWN(L54*$H$4*$E$21*$E$20,0)</f>
        <v>0</v>
      </c>
      <c r="O54" s="236">
        <f>F8</f>
        <v>0.7</v>
      </c>
      <c r="P54" s="226">
        <f>ROUNDDOWN(O54*$F$4*$E$21*$E$20,0)</f>
        <v>147</v>
      </c>
      <c r="Q54" s="225">
        <f>ROUNDDOWN(O54*$H$4*$E$21*$E$20,0)</f>
        <v>0</v>
      </c>
      <c r="R54" s="226">
        <f t="shared" si="1"/>
        <v>21</v>
      </c>
      <c r="S54" s="225">
        <f t="shared" si="1"/>
        <v>0</v>
      </c>
    </row>
    <row r="55" spans="2:21" ht="16" thickBot="1">
      <c r="B55" s="224" t="s">
        <v>33</v>
      </c>
      <c r="C55" s="234">
        <f>F55-(($O$55-$O$51)/12)</f>
        <v>0.3</v>
      </c>
      <c r="D55" s="226">
        <f>ROUNDDOWN(C55*$F$4*$E$21*$E$20,0)</f>
        <v>63</v>
      </c>
      <c r="E55" s="225">
        <f>ROUNDDOWN(C55*$H$4*$E$21*$E$20,0)</f>
        <v>0</v>
      </c>
      <c r="F55" s="235">
        <f>I55-(($O$55-$O$51)/12)</f>
        <v>0.31</v>
      </c>
      <c r="G55" s="226">
        <f>ROUNDDOWN(F55*$F$4*$E$21*$E$20,0)</f>
        <v>65</v>
      </c>
      <c r="H55" s="225">
        <f>ROUNDDOWN(F55*$H$4*$E$21*$E$20,0)</f>
        <v>0</v>
      </c>
      <c r="I55" s="235">
        <f>L55-(($O$55-$O$51)/12)</f>
        <v>0.32</v>
      </c>
      <c r="J55" s="226">
        <f>ROUNDDOWN(I55*$F$4*$E$21*$E$20,0)</f>
        <v>67</v>
      </c>
      <c r="K55" s="225">
        <f>ROUNDDOWN(I55*$H$4*$E$21*$E$20,0)</f>
        <v>0</v>
      </c>
      <c r="L55" s="235">
        <f>O55-(($O$55-$O$51)/12)</f>
        <v>0.33</v>
      </c>
      <c r="M55" s="226">
        <f>ROUNDDOWN(L55*$F$4*$E$21*$E$20,0)</f>
        <v>69</v>
      </c>
      <c r="N55" s="225">
        <f>ROUNDDOWN(L55*$H$4*$E$21*$E$20,0)</f>
        <v>0</v>
      </c>
      <c r="O55" s="235">
        <f>F9</f>
        <v>0.34</v>
      </c>
      <c r="P55" s="226">
        <f>ROUNDDOWN(O55*$F$4*$E$21*$E$20,0)</f>
        <v>71</v>
      </c>
      <c r="Q55" s="225">
        <f>ROUNDDOWN(O55*$H$4*$E$21*$E$20,0)</f>
        <v>0</v>
      </c>
      <c r="R55" s="226">
        <f t="shared" si="1"/>
        <v>25</v>
      </c>
      <c r="S55" s="225">
        <f t="shared" si="1"/>
        <v>0</v>
      </c>
    </row>
    <row r="56" spans="2:21">
      <c r="B56" s="233"/>
      <c r="C56" s="232" t="s">
        <v>70</v>
      </c>
      <c r="D56" s="231"/>
      <c r="E56" s="230"/>
      <c r="F56" s="231"/>
      <c r="G56" s="231"/>
      <c r="H56" s="230"/>
      <c r="I56" s="231"/>
      <c r="J56" s="231"/>
      <c r="K56" s="230"/>
      <c r="L56" s="231"/>
      <c r="M56" s="231"/>
      <c r="N56" s="230"/>
      <c r="O56" s="231"/>
      <c r="P56" s="231"/>
      <c r="Q56" s="230"/>
      <c r="R56" s="231"/>
      <c r="S56" s="230"/>
    </row>
    <row r="57" spans="2:21" ht="15.5">
      <c r="B57" s="229" t="s">
        <v>27</v>
      </c>
      <c r="C57" s="227">
        <f>F57-($O$57-$O$53)/12</f>
        <v>0.68333333333333335</v>
      </c>
      <c r="D57" s="226">
        <f>ROUNDDOWN(C57*$F$4*$E$21*$E$20,0)</f>
        <v>143</v>
      </c>
      <c r="E57" s="225">
        <f>ROUNDDOWN(C57*$H$4*$E$21*$E$20,0)</f>
        <v>0</v>
      </c>
      <c r="F57" s="227">
        <f>I57-($O$57-$O$53)/12</f>
        <v>0.6875</v>
      </c>
      <c r="G57" s="226">
        <f>ROUNDDOWN(F57*$F$4*$E$21*$E$20,0)</f>
        <v>144</v>
      </c>
      <c r="H57" s="225">
        <f>ROUNDDOWN(F57*$H$4*$E$21*$E$20,0)</f>
        <v>0</v>
      </c>
      <c r="I57" s="227">
        <f>L57-($O$57-$O$53)/12</f>
        <v>0.69166666666666665</v>
      </c>
      <c r="J57" s="226">
        <f>ROUNDDOWN(I57*$F$4*$E$21*$E$20,0)</f>
        <v>145</v>
      </c>
      <c r="K57" s="225">
        <f>ROUNDDOWN(I57*$H$4*$E$21*$E$20,0)</f>
        <v>0</v>
      </c>
      <c r="L57" s="227">
        <f>O57-($O$57-$O$53)/12</f>
        <v>0.6958333333333333</v>
      </c>
      <c r="M57" s="226">
        <f>ROUNDDOWN(L57*$F$4*$E$21*$E$20,0)</f>
        <v>146</v>
      </c>
      <c r="N57" s="225">
        <f>ROUNDDOWN(L57*$H$4*$E$21*$E$20,0)</f>
        <v>0</v>
      </c>
      <c r="O57" s="227">
        <f>G7</f>
        <v>0.7</v>
      </c>
      <c r="P57" s="226">
        <f>ROUNDDOWN(O57*$F$4*$E$21*$E$20,0)</f>
        <v>147</v>
      </c>
      <c r="Q57" s="225">
        <f>ROUNDDOWN(O57*$H$4*$E$21*$E$20,0)</f>
        <v>0</v>
      </c>
      <c r="R57" s="226">
        <f t="shared" ref="R57:S59" si="2">P57-P53</f>
        <v>11</v>
      </c>
      <c r="S57" s="225">
        <f t="shared" si="2"/>
        <v>0</v>
      </c>
    </row>
    <row r="58" spans="2:21" ht="15.5">
      <c r="B58" s="228" t="s">
        <v>32</v>
      </c>
      <c r="C58" s="227">
        <f>F58-($O$58-$O$54)/12</f>
        <v>0.71333333333333315</v>
      </c>
      <c r="D58" s="226">
        <f>ROUNDDOWN(C58*$F$4*$E$21*$E$20,0)</f>
        <v>149</v>
      </c>
      <c r="E58" s="225">
        <f>ROUNDDOWN(C58*$H$4*$E$21*$E$20,0)</f>
        <v>0</v>
      </c>
      <c r="F58" s="227">
        <f>I58-($O$58-$O$54)/12</f>
        <v>0.71499999999999986</v>
      </c>
      <c r="G58" s="226">
        <f>ROUNDDOWN(F58*$F$4*$E$21*$E$20,0)</f>
        <v>150</v>
      </c>
      <c r="H58" s="225">
        <f>ROUNDDOWN(F58*$H$4*$E$21*$E$20,0)</f>
        <v>0</v>
      </c>
      <c r="I58" s="227">
        <f>L58-($O$58-$O$54)/12</f>
        <v>0.71666666666666656</v>
      </c>
      <c r="J58" s="226">
        <f>ROUNDDOWN(I58*$F$4*$E$21*$E$20,0)</f>
        <v>150</v>
      </c>
      <c r="K58" s="225">
        <f>ROUNDDOWN(I58*$H$4*$E$21*$E$20,0)</f>
        <v>0</v>
      </c>
      <c r="L58" s="227">
        <f>O58-($O$58-$O$54)/12</f>
        <v>0.71833333333333327</v>
      </c>
      <c r="M58" s="226">
        <f>ROUNDDOWN(L58*$F$4*$E$21*$E$20,0)</f>
        <v>150</v>
      </c>
      <c r="N58" s="225">
        <f>ROUNDDOWN(L58*$H$4*$E$21*$E$20,0)</f>
        <v>0</v>
      </c>
      <c r="O58" s="227">
        <f>G8</f>
        <v>0.72</v>
      </c>
      <c r="P58" s="226">
        <f>ROUNDDOWN(O58*$F$4*$E$21*$E$20,0)</f>
        <v>151</v>
      </c>
      <c r="Q58" s="225">
        <f>ROUNDDOWN(O58*$H$4*$E$21*$E$20,0)</f>
        <v>0</v>
      </c>
      <c r="R58" s="226">
        <f t="shared" si="2"/>
        <v>4</v>
      </c>
      <c r="S58" s="225">
        <f t="shared" si="2"/>
        <v>0</v>
      </c>
      <c r="U58" s="220">
        <f>P49+P53+P57+P61+P65</f>
        <v>692</v>
      </c>
    </row>
    <row r="59" spans="2:21" ht="16" thickBot="1">
      <c r="B59" s="224" t="s">
        <v>33</v>
      </c>
      <c r="C59" s="234">
        <f>F59-($O$59-$O$55)/12</f>
        <v>0.43333333333333335</v>
      </c>
      <c r="D59" s="226">
        <f>ROUNDDOWN(C59*$F$4*$E$21*$E$20,0)</f>
        <v>91</v>
      </c>
      <c r="E59" s="225">
        <f>ROUNDDOWN(C59*$H$4*$E$21*$E$20,0)</f>
        <v>0</v>
      </c>
      <c r="F59" s="234">
        <f>I59-($O$59-$O$55)/12</f>
        <v>0.44500000000000001</v>
      </c>
      <c r="G59" s="226">
        <f>ROUNDDOWN(F59*$F$4*$E$21*$E$20,0)</f>
        <v>93</v>
      </c>
      <c r="H59" s="225">
        <f>ROUNDDOWN(F59*$H$4*$E$21*$E$20,0)</f>
        <v>0</v>
      </c>
      <c r="I59" s="234">
        <f>L59-($O$59-$O$55)/12</f>
        <v>0.45666666666666667</v>
      </c>
      <c r="J59" s="226">
        <f>ROUNDDOWN(I59*$F$4*$E$21*$E$20,0)</f>
        <v>95</v>
      </c>
      <c r="K59" s="225">
        <f>ROUNDDOWN(I59*$H$4*$E$21*$E$20,0)</f>
        <v>0</v>
      </c>
      <c r="L59" s="234">
        <f>O59-($O$59-$O$55)/12</f>
        <v>0.46833333333333332</v>
      </c>
      <c r="M59" s="226">
        <f>ROUNDDOWN(L59*$F$4*$E$21*$E$20,0)</f>
        <v>98</v>
      </c>
      <c r="N59" s="225">
        <f>ROUNDDOWN(L59*$H$4*$E$21*$E$20,0)</f>
        <v>0</v>
      </c>
      <c r="O59" s="234">
        <f>G9</f>
        <v>0.48</v>
      </c>
      <c r="P59" s="226">
        <f>ROUNDDOWN(O59*$F$4*$E$21*$E$20,0)</f>
        <v>100</v>
      </c>
      <c r="Q59" s="225">
        <f>ROUNDDOWN(O59*$H$4*$E$21*$E$20,0)</f>
        <v>0</v>
      </c>
      <c r="R59" s="226">
        <f t="shared" si="2"/>
        <v>29</v>
      </c>
      <c r="S59" s="225">
        <f t="shared" si="2"/>
        <v>0</v>
      </c>
    </row>
    <row r="60" spans="2:21">
      <c r="B60" s="233"/>
      <c r="C60" s="232" t="s">
        <v>71</v>
      </c>
      <c r="D60" s="231"/>
      <c r="E60" s="230"/>
      <c r="F60" s="231"/>
      <c r="G60" s="231"/>
      <c r="H60" s="230"/>
      <c r="I60" s="231"/>
      <c r="J60" s="231"/>
      <c r="K60" s="230"/>
      <c r="L60" s="231"/>
      <c r="M60" s="231"/>
      <c r="N60" s="230"/>
      <c r="O60" s="231"/>
      <c r="P60" s="231"/>
      <c r="Q60" s="230"/>
      <c r="R60" s="231"/>
      <c r="S60" s="230"/>
    </row>
    <row r="61" spans="2:21" ht="15.5">
      <c r="B61" s="229" t="s">
        <v>27</v>
      </c>
      <c r="C61" s="227">
        <f>F61-($O$61-$O$57)/12</f>
        <v>0.73333333333333339</v>
      </c>
      <c r="D61" s="226">
        <f>ROUNDDOWN(C61*$F$4*$E$21*$E$20,0)</f>
        <v>154</v>
      </c>
      <c r="E61" s="225">
        <f>ROUNDDOWN(C61*$H$4*$E$21*$E$20,0)</f>
        <v>0</v>
      </c>
      <c r="F61" s="227">
        <f>I61-($O$61-$O$57)/12</f>
        <v>0.73750000000000004</v>
      </c>
      <c r="G61" s="226">
        <f>ROUNDDOWN(F61*$F$4*$E$21*$E$20,0)</f>
        <v>154</v>
      </c>
      <c r="H61" s="225">
        <f>ROUNDDOWN(F61*$H$4*$E$21*$E$20,0)</f>
        <v>0</v>
      </c>
      <c r="I61" s="227">
        <f>L61-($O$61-$O$57)/12</f>
        <v>0.7416666666666667</v>
      </c>
      <c r="J61" s="226">
        <f>ROUNDDOWN(I61*$F$4*$E$21*$E$20,0)</f>
        <v>155</v>
      </c>
      <c r="K61" s="225">
        <f>ROUNDDOWN(I61*$H$4*$E$21*$E$20,0)</f>
        <v>0</v>
      </c>
      <c r="L61" s="227">
        <f>O61-($O$61-$O$57)/12</f>
        <v>0.74583333333333335</v>
      </c>
      <c r="M61" s="226">
        <f>ROUNDDOWN(L61*$F$4*$E$21*$E$20,0)</f>
        <v>156</v>
      </c>
      <c r="N61" s="225">
        <f>ROUNDDOWN(L61*$H$4*$E$21*$E$20,0)</f>
        <v>0</v>
      </c>
      <c r="O61" s="227">
        <f>H7</f>
        <v>0.75</v>
      </c>
      <c r="P61" s="226">
        <f>ROUNDDOWN(O61*$F$4*$E$21*$E$20,0)</f>
        <v>157</v>
      </c>
      <c r="Q61" s="225">
        <f>ROUNDDOWN(O61*$H$4*$E$21*$E$20,0)</f>
        <v>0</v>
      </c>
      <c r="R61" s="226">
        <f t="shared" ref="R61:S63" si="3">P61-P57</f>
        <v>10</v>
      </c>
      <c r="S61" s="225">
        <f t="shared" si="3"/>
        <v>0</v>
      </c>
    </row>
    <row r="62" spans="2:21" ht="15.5">
      <c r="B62" s="228" t="s">
        <v>32</v>
      </c>
      <c r="C62" s="227">
        <f>F62-($O$62-$O$58)/12</f>
        <v>0.75333333333333341</v>
      </c>
      <c r="D62" s="226">
        <f>ROUNDDOWN(C62*$F$4*$E$21*$E$20,0)</f>
        <v>158</v>
      </c>
      <c r="E62" s="225">
        <f>ROUNDDOWN(C62*$H$4*$E$21*$E$20,0)</f>
        <v>0</v>
      </c>
      <c r="F62" s="227">
        <f>I62-($O$62-$O$58)/12</f>
        <v>0.75750000000000006</v>
      </c>
      <c r="G62" s="226">
        <f>ROUNDDOWN(F62*$F$4*$E$21*$E$20,0)</f>
        <v>159</v>
      </c>
      <c r="H62" s="225">
        <f>ROUNDDOWN(F62*$H$4*$E$21*$E$20,0)</f>
        <v>0</v>
      </c>
      <c r="I62" s="227">
        <f>L62-($O$62-$O$58)/12</f>
        <v>0.76166666666666671</v>
      </c>
      <c r="J62" s="226">
        <f>ROUNDDOWN(I62*$F$4*$E$21*$E$20,0)</f>
        <v>159</v>
      </c>
      <c r="K62" s="225">
        <f>ROUNDDOWN(I62*$H$4*$E$21*$E$20,0)</f>
        <v>0</v>
      </c>
      <c r="L62" s="227">
        <f>O62-($O$62-$O$58)/12</f>
        <v>0.76583333333333337</v>
      </c>
      <c r="M62" s="226">
        <f>ROUNDDOWN(L62*$F$4*$E$21*$E$20,0)</f>
        <v>160</v>
      </c>
      <c r="N62" s="225">
        <f>ROUNDDOWN(L62*$H$4*$E$21*$E$20,0)</f>
        <v>0</v>
      </c>
      <c r="O62" s="227">
        <f>H8</f>
        <v>0.77</v>
      </c>
      <c r="P62" s="226">
        <f>ROUNDDOWN(O62*$F$4*$E$21*$E$20,0)</f>
        <v>161</v>
      </c>
      <c r="Q62" s="225">
        <f>ROUNDDOWN(O62*$H$4*$E$21*$E$20,0)</f>
        <v>0</v>
      </c>
      <c r="R62" s="226">
        <f t="shared" si="3"/>
        <v>10</v>
      </c>
      <c r="S62" s="225">
        <f t="shared" si="3"/>
        <v>0</v>
      </c>
    </row>
    <row r="63" spans="2:21" ht="16" thickBot="1">
      <c r="B63" s="224" t="s">
        <v>33</v>
      </c>
      <c r="C63" s="234">
        <f>F63-($O$63-$O$59)/12</f>
        <v>0.57333333333333314</v>
      </c>
      <c r="D63" s="226">
        <f>ROUNDDOWN(C63*$F$4*$E$21*$E$20,0)</f>
        <v>120</v>
      </c>
      <c r="E63" s="225">
        <f>ROUNDDOWN(C63*$H$4*$E$21*$E$20,0)</f>
        <v>0</v>
      </c>
      <c r="F63" s="234">
        <f>I63-($O$63-$O$59)/12</f>
        <v>0.58499999999999985</v>
      </c>
      <c r="G63" s="226">
        <f>ROUNDDOWN(F63*$F$4*$E$21*$E$20,0)</f>
        <v>122</v>
      </c>
      <c r="H63" s="225">
        <f>ROUNDDOWN(F63*$H$4*$E$21*$E$20,0)</f>
        <v>0</v>
      </c>
      <c r="I63" s="234">
        <f>L63-($O$63-$O$59)/12</f>
        <v>0.59666666666666657</v>
      </c>
      <c r="J63" s="226">
        <f>ROUNDDOWN(I63*$F$4*$E$21*$E$20,0)</f>
        <v>125</v>
      </c>
      <c r="K63" s="225">
        <f>ROUNDDOWN(I63*$H$4*$E$21*$E$20,0)</f>
        <v>0</v>
      </c>
      <c r="L63" s="234">
        <f>O63-($O$63-$O$59)/12</f>
        <v>0.60833333333333328</v>
      </c>
      <c r="M63" s="226">
        <f>ROUNDDOWN(L63*$F$4*$E$21*$E$20,0)</f>
        <v>127</v>
      </c>
      <c r="N63" s="225">
        <f>ROUNDDOWN(L63*$H$4*$E$21*$E$20,0)</f>
        <v>0</v>
      </c>
      <c r="O63" s="234">
        <f>H9</f>
        <v>0.62</v>
      </c>
      <c r="P63" s="226">
        <f>ROUNDDOWN(O63*$F$4*$E$21*$E$20,0)</f>
        <v>130</v>
      </c>
      <c r="Q63" s="225">
        <f>ROUNDDOWN(O63*$H$4*$E$21*$E$20,0)</f>
        <v>0</v>
      </c>
      <c r="R63" s="226">
        <f t="shared" si="3"/>
        <v>30</v>
      </c>
      <c r="S63" s="225">
        <f t="shared" si="3"/>
        <v>0</v>
      </c>
    </row>
    <row r="64" spans="2:21">
      <c r="B64" s="233"/>
      <c r="C64" s="232" t="s">
        <v>72</v>
      </c>
      <c r="D64" s="231"/>
      <c r="E64" s="230"/>
      <c r="F64" s="231"/>
      <c r="G64" s="231"/>
      <c r="H64" s="230"/>
      <c r="I64" s="231"/>
      <c r="J64" s="231"/>
      <c r="K64" s="230"/>
      <c r="L64" s="231"/>
      <c r="M64" s="231"/>
      <c r="N64" s="230"/>
      <c r="O64" s="231"/>
      <c r="P64" s="231"/>
      <c r="Q64" s="230"/>
      <c r="R64" s="231"/>
      <c r="S64" s="230"/>
    </row>
    <row r="65" spans="2:19" ht="15.5">
      <c r="B65" s="229" t="s">
        <v>27</v>
      </c>
      <c r="C65" s="227">
        <f>F65-($O$65-$O$61)/12</f>
        <v>0.78333333333333344</v>
      </c>
      <c r="D65" s="226">
        <f>ROUNDDOWN(C65*$F$4*$E$21*$E$20,0)</f>
        <v>164</v>
      </c>
      <c r="E65" s="225">
        <f>ROUNDDOWN(C65*$H$4*$E$21*$E$20,0)</f>
        <v>0</v>
      </c>
      <c r="F65" s="227">
        <f>I65-($O$65-$O$61)/12</f>
        <v>0.78750000000000009</v>
      </c>
      <c r="G65" s="226">
        <f>ROUNDDOWN(F65*$F$4*$E$21*$E$20,0)</f>
        <v>165</v>
      </c>
      <c r="H65" s="225">
        <f>ROUNDDOWN(F65*$H$4*$E$21*$E$20,0)</f>
        <v>0</v>
      </c>
      <c r="I65" s="227">
        <f>L65-($O$65-$O$61)/12</f>
        <v>0.79166666666666674</v>
      </c>
      <c r="J65" s="226">
        <f>ROUNDDOWN(I65*$F$4*$E$21*$E$20,0)</f>
        <v>166</v>
      </c>
      <c r="K65" s="225">
        <f>ROUNDDOWN(I65*$H$4*$E$21*$E$20,0)</f>
        <v>0</v>
      </c>
      <c r="L65" s="227">
        <f>O65-($O$65-$O$61)/12</f>
        <v>0.79583333333333339</v>
      </c>
      <c r="M65" s="226">
        <f>ROUNDDOWN(L65*$F$4*$E$21*$E$20,0)</f>
        <v>167</v>
      </c>
      <c r="N65" s="225">
        <f>ROUNDDOWN(L65*$H$4*$E$21*$E$20,0)</f>
        <v>0</v>
      </c>
      <c r="O65" s="227">
        <f>I7</f>
        <v>0.8</v>
      </c>
      <c r="P65" s="226">
        <f>ROUNDDOWN(O65*$F$4*$E$21*$E$20,0)</f>
        <v>168</v>
      </c>
      <c r="Q65" s="225">
        <f>ROUNDDOWN(O65*$H$4*$E$21*$E$20,0)</f>
        <v>0</v>
      </c>
      <c r="R65" s="226">
        <f t="shared" ref="R65:S67" si="4">P65-P61</f>
        <v>11</v>
      </c>
      <c r="S65" s="225">
        <f t="shared" si="4"/>
        <v>0</v>
      </c>
    </row>
    <row r="66" spans="2:19" ht="15.5">
      <c r="B66" s="228" t="s">
        <v>32</v>
      </c>
      <c r="C66" s="227">
        <f>F66-($O$66-$O$62)/12</f>
        <v>0.79000000000000026</v>
      </c>
      <c r="D66" s="226">
        <f>ROUNDDOWN(C66*$F$4*$E$21*$E$20,0)</f>
        <v>165</v>
      </c>
      <c r="E66" s="225">
        <f>ROUNDDOWN(C66*$H$4*$E$21*$E$20,0)</f>
        <v>0</v>
      </c>
      <c r="F66" s="227">
        <f>I66-($O$66-$O$62)/12</f>
        <v>0.7925000000000002</v>
      </c>
      <c r="G66" s="226">
        <f>ROUNDDOWN(F66*$F$4*$E$21*$E$20,0)</f>
        <v>166</v>
      </c>
      <c r="H66" s="225">
        <f>ROUNDDOWN(F66*$H$4*$E$21*$E$20,0)</f>
        <v>0</v>
      </c>
      <c r="I66" s="227">
        <f>L66-($O$66-$O$62)/12</f>
        <v>0.79500000000000015</v>
      </c>
      <c r="J66" s="226">
        <f>ROUNDDOWN(I66*$F$4*$E$21*$E$20,0)</f>
        <v>166</v>
      </c>
      <c r="K66" s="225">
        <f>ROUNDDOWN(I66*$H$4*$E$21*$E$20,0)</f>
        <v>0</v>
      </c>
      <c r="L66" s="227">
        <f>O66-($O$66-$O$62)/12</f>
        <v>0.7975000000000001</v>
      </c>
      <c r="M66" s="226">
        <f>ROUNDDOWN(L66*$F$4*$E$21*$E$20,0)</f>
        <v>167</v>
      </c>
      <c r="N66" s="225">
        <f>ROUNDDOWN(L66*$H$4*$E$21*$E$20,0)</f>
        <v>0</v>
      </c>
      <c r="O66" s="227">
        <f>I8</f>
        <v>0.8</v>
      </c>
      <c r="P66" s="226">
        <f>ROUNDDOWN(O66*$F$4*$E$21*$E$20,0)</f>
        <v>168</v>
      </c>
      <c r="Q66" s="225">
        <f>ROUNDDOWN(O66*$H$4*$E$21*$E$20,0)</f>
        <v>0</v>
      </c>
      <c r="R66" s="226">
        <f t="shared" si="4"/>
        <v>7</v>
      </c>
      <c r="S66" s="225">
        <f t="shared" si="4"/>
        <v>0</v>
      </c>
    </row>
    <row r="67" spans="2:19" ht="16" thickBot="1">
      <c r="B67" s="224" t="s">
        <v>33</v>
      </c>
      <c r="C67" s="223">
        <f>F67-($O$67-$O$63)/12</f>
        <v>0.67333333333333312</v>
      </c>
      <c r="D67" s="222">
        <f>ROUNDDOWN(C67*$F$4*$E$21*$E$20,0)</f>
        <v>141</v>
      </c>
      <c r="E67" s="221">
        <f>ROUNDDOWN(C67*$H$4*$E$21*$E$20,0)</f>
        <v>0</v>
      </c>
      <c r="F67" s="223">
        <f>I67-($O$67-$O$63)/12</f>
        <v>0.67999999999999983</v>
      </c>
      <c r="G67" s="222">
        <f>ROUNDDOWN(F67*$F$4*$E$21*$E$20,0)</f>
        <v>142</v>
      </c>
      <c r="H67" s="221">
        <f>ROUNDDOWN(F67*$H$4*$E$21*$E$20,0)</f>
        <v>0</v>
      </c>
      <c r="I67" s="223">
        <f>L67-($O$67-$O$63)/12</f>
        <v>0.68666666666666654</v>
      </c>
      <c r="J67" s="222">
        <f>ROUNDDOWN(I67*$F$4*$E$21*$E$20,0)</f>
        <v>144</v>
      </c>
      <c r="K67" s="221">
        <f>ROUNDDOWN(I67*$H$4*$E$21*$E$20,0)</f>
        <v>0</v>
      </c>
      <c r="L67" s="223">
        <f>O67-($O$67-$O$63)/12</f>
        <v>0.69333333333333325</v>
      </c>
      <c r="M67" s="222">
        <f>ROUNDDOWN(L67*$F$4*$E$21*$E$20,0)</f>
        <v>145</v>
      </c>
      <c r="N67" s="221">
        <f>ROUNDDOWN(L67*$H$4*$E$21*$E$20,0)</f>
        <v>0</v>
      </c>
      <c r="O67" s="223">
        <f>I9</f>
        <v>0.7</v>
      </c>
      <c r="P67" s="222">
        <f>ROUNDDOWN(O67*$F$4*$E$21*$E$20,0)</f>
        <v>147</v>
      </c>
      <c r="Q67" s="221">
        <f>ROUNDDOWN(O67*$H$4*$E$21*$E$20,0)</f>
        <v>0</v>
      </c>
      <c r="R67" s="222">
        <f t="shared" si="4"/>
        <v>17</v>
      </c>
      <c r="S67" s="221">
        <f t="shared" si="4"/>
        <v>0</v>
      </c>
    </row>
  </sheetData>
  <mergeCells count="3">
    <mergeCell ref="C10:C14"/>
    <mergeCell ref="B5:B9"/>
    <mergeCell ref="B10:B14"/>
  </mergeCells>
  <conditionalFormatting sqref="G11:G14">
    <cfRule type="cellIs" dxfId="17" priority="2" operator="lessThan">
      <formula>0</formula>
    </cfRule>
  </conditionalFormatting>
  <conditionalFormatting sqref="J11:J13">
    <cfRule type="cellIs" dxfId="16" priority="1" operator="lessThan">
      <formula>0</formula>
    </cfRule>
  </conditionalFormatting>
  <printOptions horizontalCentered="1" verticalCentered="1"/>
  <pageMargins left="0.25" right="0.25" top="0.36" bottom="0.32" header="0.26" footer="0.21"/>
  <pageSetup paperSize="9" scale="54" fitToHeight="0" orientation="landscape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2:AC93"/>
  <sheetViews>
    <sheetView showGridLines="0" view="pageBreakPreview" zoomScaleNormal="70" zoomScaleSheetLayoutView="100" workbookViewId="0">
      <selection activeCell="E41" sqref="E41"/>
    </sheetView>
  </sheetViews>
  <sheetFormatPr defaultColWidth="9" defaultRowHeight="14.5"/>
  <cols>
    <col min="1" max="3" width="9" style="537"/>
    <col min="4" max="4" width="20.5" style="537" customWidth="1"/>
    <col min="5" max="5" width="13.6640625" style="537" bestFit="1" customWidth="1"/>
    <col min="6" max="6" width="14.5" style="537" customWidth="1"/>
    <col min="7" max="7" width="13.6640625" style="537" bestFit="1" customWidth="1"/>
    <col min="8" max="8" width="14.5" style="537" bestFit="1" customWidth="1"/>
    <col min="9" max="9" width="13.6640625" style="537" bestFit="1" customWidth="1"/>
    <col min="10" max="10" width="12.08203125" style="537" customWidth="1"/>
    <col min="11" max="11" width="16.83203125" style="537" customWidth="1"/>
    <col min="12" max="12" width="18" style="537" customWidth="1"/>
    <col min="13" max="13" width="15.08203125" style="537" bestFit="1" customWidth="1"/>
    <col min="14" max="14" width="12" style="537" bestFit="1" customWidth="1"/>
    <col min="15" max="15" width="15.08203125" style="537" bestFit="1" customWidth="1"/>
    <col min="16" max="17" width="12" style="537" bestFit="1" customWidth="1"/>
    <col min="18" max="18" width="1.5" style="537" customWidth="1"/>
    <col min="19" max="19" width="9" style="537"/>
    <col min="20" max="20" width="18.08203125" style="537" customWidth="1"/>
    <col min="21" max="21" width="11.08203125" style="537" bestFit="1" customWidth="1"/>
    <col min="22" max="22" width="11" style="537" bestFit="1" customWidth="1"/>
    <col min="23" max="25" width="12" style="537" bestFit="1" customWidth="1"/>
    <col min="26" max="26" width="9" style="537"/>
    <col min="27" max="28" width="11" style="537" bestFit="1" customWidth="1"/>
    <col min="29" max="29" width="10.08203125" style="537" bestFit="1" customWidth="1"/>
    <col min="30" max="16384" width="9" style="537"/>
  </cols>
  <sheetData>
    <row r="2" spans="3:10" ht="24.5">
      <c r="C2" s="536" t="s">
        <v>224</v>
      </c>
    </row>
    <row r="3" spans="3:10" ht="24.5">
      <c r="C3" s="536"/>
    </row>
    <row r="4" spans="3:10">
      <c r="C4" s="538" t="s">
        <v>326</v>
      </c>
      <c r="D4" s="538"/>
      <c r="E4" s="539">
        <v>0.5</v>
      </c>
    </row>
    <row r="5" spans="3:10" ht="24.5">
      <c r="C5" s="536"/>
    </row>
    <row r="6" spans="3:10">
      <c r="C6" s="540" t="s">
        <v>173</v>
      </c>
      <c r="E6" s="541">
        <f>Assumption!E21</f>
        <v>300</v>
      </c>
      <c r="G6" s="537" t="s">
        <v>172</v>
      </c>
      <c r="H6" s="619">
        <f>Assumption!H21</f>
        <v>168</v>
      </c>
    </row>
    <row r="7" spans="3:10">
      <c r="C7" s="538" t="s">
        <v>327</v>
      </c>
      <c r="D7" s="538"/>
      <c r="E7" s="542"/>
      <c r="F7" s="542"/>
    </row>
    <row r="8" spans="3:10" ht="7.5" customHeight="1">
      <c r="C8" s="543"/>
    </row>
    <row r="9" spans="3:10" ht="26">
      <c r="C9" s="544" t="s">
        <v>193</v>
      </c>
      <c r="D9" s="544" t="s">
        <v>2</v>
      </c>
      <c r="E9" s="544" t="s">
        <v>328</v>
      </c>
      <c r="F9" s="545" t="s">
        <v>198</v>
      </c>
      <c r="G9" s="544" t="s">
        <v>329</v>
      </c>
      <c r="H9" s="544" t="s">
        <v>330</v>
      </c>
      <c r="I9" s="546" t="s">
        <v>331</v>
      </c>
    </row>
    <row r="10" spans="3:10">
      <c r="C10" s="547">
        <v>1</v>
      </c>
      <c r="D10" s="548" t="str">
        <f>Assumption!E10</f>
        <v>SOHO</v>
      </c>
      <c r="E10" s="549" t="str">
        <f>Assumption!E11</f>
        <v>30 Mbps</v>
      </c>
      <c r="F10" s="550">
        <f>Assumption!G11</f>
        <v>750000</v>
      </c>
      <c r="G10" s="551">
        <f>Assumption!F11</f>
        <v>0.65</v>
      </c>
      <c r="H10" s="552">
        <f>(F10*G10)+(F11*G11)+(F12*G12)+(F13*G13)</f>
        <v>920000</v>
      </c>
      <c r="I10" s="553">
        <f>Assumption!F15</f>
        <v>500000</v>
      </c>
    </row>
    <row r="11" spans="3:10">
      <c r="C11" s="547"/>
      <c r="D11" s="548"/>
      <c r="E11" s="549" t="str">
        <f>Assumption!E12</f>
        <v>50 Mbps</v>
      </c>
      <c r="F11" s="550">
        <f>Assumption!G12</f>
        <v>850000</v>
      </c>
      <c r="G11" s="551">
        <f>Assumption!F12</f>
        <v>0.25</v>
      </c>
      <c r="H11" s="554"/>
      <c r="I11" s="554"/>
      <c r="J11" s="555"/>
    </row>
    <row r="12" spans="3:10">
      <c r="C12" s="547"/>
      <c r="D12" s="548"/>
      <c r="E12" s="549" t="str">
        <f>Assumption!E13</f>
        <v>100 Mbps</v>
      </c>
      <c r="F12" s="550">
        <f>Assumption!G13</f>
        <v>1100000</v>
      </c>
      <c r="G12" s="551">
        <f>Assumption!F13</f>
        <v>0.2</v>
      </c>
      <c r="H12" s="554"/>
      <c r="I12" s="554"/>
      <c r="J12" s="555"/>
    </row>
    <row r="13" spans="3:10">
      <c r="C13" s="547"/>
      <c r="D13" s="548"/>
      <c r="E13" s="549">
        <f>Assumption!E14</f>
        <v>0</v>
      </c>
      <c r="F13" s="550">
        <f>Assumption!G14</f>
        <v>0</v>
      </c>
      <c r="G13" s="551">
        <f>Assumption!F14</f>
        <v>0</v>
      </c>
      <c r="H13" s="554"/>
      <c r="I13" s="554"/>
    </row>
    <row r="14" spans="3:10" ht="15.5">
      <c r="C14" s="547">
        <v>2</v>
      </c>
      <c r="D14" s="548" t="str">
        <f>Assumption!H10</f>
        <v>Dedicated</v>
      </c>
      <c r="E14" s="549">
        <f>Assumption!H11</f>
        <v>0</v>
      </c>
      <c r="F14" s="556">
        <f>Assumption!J11</f>
        <v>0</v>
      </c>
      <c r="G14" s="551">
        <f>Assumption!I11</f>
        <v>0</v>
      </c>
      <c r="H14" s="552">
        <f>(F14*G14)+(F15*G15)+(F16*G16)</f>
        <v>0</v>
      </c>
      <c r="I14" s="557">
        <f>Assumption!I15</f>
        <v>0</v>
      </c>
    </row>
    <row r="15" spans="3:10">
      <c r="C15" s="547"/>
      <c r="D15" s="548"/>
      <c r="E15" s="549">
        <f>Assumption!H12</f>
        <v>0</v>
      </c>
      <c r="F15" s="556">
        <f>Assumption!J12</f>
        <v>0</v>
      </c>
      <c r="G15" s="551">
        <f>Assumption!I12</f>
        <v>0</v>
      </c>
      <c r="H15" s="554"/>
      <c r="I15" s="554"/>
    </row>
    <row r="16" spans="3:10">
      <c r="C16" s="547"/>
      <c r="D16" s="548"/>
      <c r="E16" s="549">
        <f>Assumption!H13</f>
        <v>0</v>
      </c>
      <c r="F16" s="556">
        <f>Assumption!J13</f>
        <v>0</v>
      </c>
      <c r="G16" s="551">
        <f>Assumption!I13</f>
        <v>0</v>
      </c>
      <c r="H16" s="554"/>
      <c r="I16" s="554"/>
      <c r="J16" s="555"/>
    </row>
    <row r="17" spans="1:29" ht="15.5">
      <c r="C17" s="547">
        <v>3</v>
      </c>
      <c r="D17" s="548" t="s">
        <v>332</v>
      </c>
      <c r="E17" s="549"/>
      <c r="F17" s="556"/>
      <c r="G17" s="551"/>
      <c r="H17" s="558"/>
      <c r="I17" s="554"/>
      <c r="J17" s="555"/>
    </row>
    <row r="18" spans="1:29" s="559" customFormat="1" ht="15.5">
      <c r="C18" s="560"/>
      <c r="D18" s="561"/>
      <c r="E18" s="562"/>
      <c r="F18" s="562"/>
      <c r="G18" s="563"/>
      <c r="H18" s="564"/>
      <c r="J18" s="565"/>
    </row>
    <row r="19" spans="1:29">
      <c r="C19" s="547" t="s">
        <v>193</v>
      </c>
      <c r="D19" s="548" t="s">
        <v>2</v>
      </c>
      <c r="E19" s="566" t="str">
        <f>E9</f>
        <v>Product Name</v>
      </c>
      <c r="F19" s="566" t="s">
        <v>333</v>
      </c>
      <c r="G19" s="567"/>
      <c r="H19" s="568"/>
      <c r="I19" s="569"/>
      <c r="J19" s="555"/>
    </row>
    <row r="20" spans="1:29" ht="15.5">
      <c r="C20" s="570">
        <v>1</v>
      </c>
      <c r="D20" s="571" t="s">
        <v>334</v>
      </c>
      <c r="E20" s="569" t="s">
        <v>335</v>
      </c>
      <c r="F20" s="572">
        <v>3</v>
      </c>
      <c r="G20" s="551"/>
      <c r="H20" s="557"/>
      <c r="I20" s="554"/>
      <c r="J20" s="555"/>
    </row>
    <row r="21" spans="1:29">
      <c r="J21" s="555"/>
    </row>
    <row r="22" spans="1:29">
      <c r="C22" s="538" t="s">
        <v>336</v>
      </c>
      <c r="D22" s="538"/>
      <c r="E22" s="542"/>
      <c r="F22" s="542"/>
    </row>
    <row r="23" spans="1:29" ht="5.25" customHeight="1">
      <c r="A23" s="573"/>
      <c r="B23" s="573"/>
      <c r="C23" s="538"/>
      <c r="K23" s="574"/>
    </row>
    <row r="24" spans="1:29">
      <c r="C24" s="544" t="s">
        <v>193</v>
      </c>
      <c r="D24" s="544" t="s">
        <v>249</v>
      </c>
      <c r="E24" s="544" t="s">
        <v>68</v>
      </c>
      <c r="F24" s="544" t="s">
        <v>69</v>
      </c>
      <c r="G24" s="544" t="s">
        <v>70</v>
      </c>
      <c r="H24" s="544" t="s">
        <v>71</v>
      </c>
      <c r="I24" s="544" t="s">
        <v>72</v>
      </c>
    </row>
    <row r="25" spans="1:29">
      <c r="C25" s="547">
        <v>1</v>
      </c>
      <c r="D25" s="548" t="str">
        <f>D10</f>
        <v>SOHO</v>
      </c>
      <c r="E25" s="549">
        <f>$H$10*$E$4*(Assumption!D26+Assumption!G26+Assumption!J26+Assumption!M26+Assumption!P26+Assumption!S26+Assumption!V26+Assumption!D49+Assumption!G49+Assumption!J49+Assumption!M49+Assumption!P49)</f>
        <v>251160000</v>
      </c>
      <c r="F25" s="549">
        <f>$H$10*$E$4*(Assumption!D30+Assumption!G30+Assumption!J30+Assumption!M30+Assumption!P30+Assumption!S30+Assumption!V30+Assumption!D53+Assumption!G53+Assumption!J53+Assumption!M53+Assumption!P53)</f>
        <v>618240000</v>
      </c>
      <c r="G25" s="549">
        <f>$H$10*$E$4*(Assumption!D34+Assumption!G34+Assumption!J34+Assumption!M34+Assumption!P34+Assumption!S34+Assumption!V34+Assumption!D57+Assumption!G57+Assumption!J57+Assumption!M57+Assumption!P57)</f>
        <v>782920000</v>
      </c>
      <c r="H25" s="549">
        <f>$H$10*$E$4*(Assumption!D38+Assumption!G38+Assumption!J38+Assumption!M38+Assumption!P38+Assumption!S38+Assumption!V38+Assumption!D61+Assumption!G61+Assumption!J61+Assumption!M61+Assumption!P61)</f>
        <v>839960000</v>
      </c>
      <c r="I25" s="549">
        <f>$H$10*$E$4*(Assumption!D42+Assumption!G42+Assumption!J42+Assumption!M42+Assumption!P42+Assumption!S42+Assumption!V42+Assumption!D65+Assumption!G65+Assumption!J65+Assumption!M65+Assumption!P65)</f>
        <v>898840000</v>
      </c>
    </row>
    <row r="26" spans="1:29">
      <c r="C26" s="547">
        <v>2</v>
      </c>
      <c r="D26" s="548" t="str">
        <f>D14</f>
        <v>Dedicated</v>
      </c>
      <c r="E26" s="549">
        <f>$H$14*E4*(Assumption!E26+Assumption!H26+Assumption!K26+Assumption!N26+Assumption!Q26+Assumption!T26+Assumption!W26+Assumption!E49+Assumption!H49+Assumption!K49+Assumption!N49+Assumption!Q49)</f>
        <v>0</v>
      </c>
      <c r="F26" s="549">
        <f>$H$14*E4*(Assumption!E30+Assumption!H30+Assumption!K30+Assumption!N30+Assumption!Q30+Assumption!T30+Assumption!W30+Assumption!E49+Assumption!H49+Assumption!K49+Assumption!N49+Assumption!Q49)</f>
        <v>0</v>
      </c>
      <c r="G26" s="549">
        <f>$H$14*E4*(Assumption!E34+Assumption!H34+Assumption!K34+Assumption!N34+Assumption!Q34+Assumption!T34+Assumption!W34+Assumption!E57+Assumption!H57+Assumption!K57+Assumption!N57+Assumption!Q57)</f>
        <v>0</v>
      </c>
      <c r="H26" s="549">
        <f>$H$14*E4*(Assumption!E38+Assumption!H38+Assumption!K38+Assumption!N38+Assumption!Q38+Assumption!T38+Assumption!W38+Assumption!E61+Assumption!H61+Assumption!K61+Assumption!N61+Assumption!Q61)</f>
        <v>0</v>
      </c>
      <c r="I26" s="549">
        <f>$H$14*E4*(Assumption!E42+Assumption!H42+Assumption!K42+Assumption!N42+Assumption!Q42+Assumption!T42+Assumption!W42+Assumption!E65+Assumption!H65+Assumption!K65+Assumption!N65+Assumption!Q65)</f>
        <v>0</v>
      </c>
    </row>
    <row r="27" spans="1:29">
      <c r="C27" s="547">
        <v>3</v>
      </c>
      <c r="D27" s="548" t="s">
        <v>337</v>
      </c>
      <c r="E27" s="549">
        <f>(($I$10*Assumption!R49)+($I$14*Assumption!S49))*$E$4</f>
        <v>21000000</v>
      </c>
      <c r="F27" s="549">
        <f>(($I$10*Assumption!R53)+($I$14*Assumption!S53))*$E$4</f>
        <v>13000000</v>
      </c>
      <c r="G27" s="549">
        <f>(($I$10*Assumption!R57)+($I$14*Assumption!S57))*$E$4</f>
        <v>2750000</v>
      </c>
      <c r="H27" s="549">
        <f>(($I$10*Assumption!R61)+($I$14*Assumption!S61))*$E$4</f>
        <v>2500000</v>
      </c>
      <c r="I27" s="549">
        <f>(($I$10*Assumption!R65)+($I$14*Assumption!S65))*$E$4</f>
        <v>2750000</v>
      </c>
    </row>
    <row r="28" spans="1:29">
      <c r="C28" s="547">
        <v>4</v>
      </c>
      <c r="D28" s="548" t="s">
        <v>338</v>
      </c>
      <c r="E28" s="549">
        <f>$H$17*(Assumption!E26+Assumption!H26+Assumption!K26+Assumption!N26+Assumption!Q26+Assumption!T26+Assumption!W26+Assumption!E49+Assumption!H49+Assumption!K49+Assumption!N49+Assumption!Q49)</f>
        <v>0</v>
      </c>
      <c r="F28" s="549">
        <f>$H$17*(Assumption!E30+Assumption!H30+Assumption!K30+Assumption!N30+Assumption!Q30+Assumption!T30+Assumption!W30+Assumption!E53+Assumption!H53+Assumption!K53+Assumption!N53+Assumption!Q53)</f>
        <v>0</v>
      </c>
      <c r="G28" s="549">
        <f>H17*(Assumption!E34+Assumption!H34+Assumption!K34+Assumption!N34+Assumption!Q34+Assumption!T34+Assumption!W34+Assumption!E57+Assumption!H57+Assumption!K57+Assumption!N57+Assumption!Q57)</f>
        <v>0</v>
      </c>
      <c r="H28" s="549">
        <f>H17*(Assumption!E38+Assumption!H38+Assumption!K38+Assumption!N38+Assumption!Q38+Assumption!T38+Assumption!W38+Assumption!E61+Assumption!H61+Assumption!K61+Assumption!N61+Assumption!Q61)</f>
        <v>0</v>
      </c>
      <c r="I28" s="549">
        <f>H17*(Assumption!E42+Assumption!H42+Assumption!K42+Assumption!N42+Assumption!Q42+Assumption!T42+Assumption!W42+Assumption!E65+Assumption!H65+Assumption!K65+Assumption!N65+Assumption!Q65)</f>
        <v>0</v>
      </c>
    </row>
    <row r="29" spans="1:29">
      <c r="C29" s="547">
        <v>5</v>
      </c>
      <c r="D29" s="548" t="s">
        <v>339</v>
      </c>
      <c r="E29" s="549">
        <f>Assumption!$H$18*Assumption!$H$21*Assumption!$E$19*12</f>
        <v>0</v>
      </c>
      <c r="F29" s="549">
        <f>Assumption!$H$18*Assumption!$H$21*Assumption!$E$19*12</f>
        <v>0</v>
      </c>
      <c r="G29" s="549">
        <f>Assumption!$H$18*Assumption!$H$21*Assumption!$E$19*12</f>
        <v>0</v>
      </c>
      <c r="H29" s="549">
        <f>Assumption!$H$18*Assumption!$H$21*Assumption!$E$19*12</f>
        <v>0</v>
      </c>
      <c r="I29" s="549">
        <f>Assumption!$H$18*Assumption!$H$21*Assumption!$E$19*12</f>
        <v>0</v>
      </c>
    </row>
    <row r="30" spans="1:29">
      <c r="C30" s="547"/>
      <c r="D30" s="548"/>
      <c r="E30" s="549">
        <f>SUM(E25:E29)</f>
        <v>272160000</v>
      </c>
      <c r="F30" s="549">
        <f>SUM(F25:F29)</f>
        <v>631240000</v>
      </c>
      <c r="G30" s="549">
        <f>SUM(G25:G29)</f>
        <v>785670000</v>
      </c>
      <c r="H30" s="549">
        <f>SUM(H25:H29)</f>
        <v>842460000</v>
      </c>
      <c r="I30" s="549">
        <f>SUM(I25:I29)</f>
        <v>901590000</v>
      </c>
    </row>
    <row r="31" spans="1:29">
      <c r="AB31" s="537" t="s">
        <v>340</v>
      </c>
      <c r="AC31" s="537" t="s">
        <v>155</v>
      </c>
    </row>
    <row r="32" spans="1:29">
      <c r="C32" s="544" t="s">
        <v>193</v>
      </c>
      <c r="D32" s="544" t="s">
        <v>253</v>
      </c>
      <c r="E32" s="544" t="s">
        <v>68</v>
      </c>
      <c r="F32" s="544" t="s">
        <v>69</v>
      </c>
      <c r="G32" s="544" t="s">
        <v>70</v>
      </c>
      <c r="H32" s="544" t="s">
        <v>71</v>
      </c>
      <c r="I32" s="544" t="s">
        <v>72</v>
      </c>
    </row>
    <row r="33" spans="3:11">
      <c r="C33" s="547">
        <v>1</v>
      </c>
      <c r="D33" s="548" t="str">
        <f>D10</f>
        <v>SOHO</v>
      </c>
      <c r="E33" s="549">
        <f>$H$10*$E$4*(Assumption!D27+Assumption!G27+Assumption!J27+Assumption!M27+Assumption!P27+Assumption!S27+Assumption!V27+Assumption!D50+Assumption!G50+Assumption!J50+Assumption!M50+Assumption!P50)</f>
        <v>375360000</v>
      </c>
      <c r="F33" s="549">
        <f>$H$10*$E$4*(Assumption!D31+Assumption!G31+Assumption!J31+Assumption!M31+Assumption!P31+Assumption!S31+Assumption!V31+Assumption!D54+Assumption!G54+Assumption!J54+Assumption!M54+Assumption!P54)</f>
        <v>756240000</v>
      </c>
      <c r="G33" s="549">
        <f>$H$10*$E$4*(Assumption!D35+Assumption!G35+Assumption!J35+Assumption!M35+Assumption!P35+Assumption!S35+Assumption!V35+Assumption!D58+Assumption!G58+Assumption!J58+Assumption!M58+Assumption!P58)</f>
        <v>821560000</v>
      </c>
      <c r="H33" s="549">
        <f>$H$10*$E$4*(Assumption!D39+Assumption!G39+Assumption!J39+Assumption!M39+Assumption!P39+Assumption!S39+Assumption!V39+Assumption!D62+Assumption!G62+Assumption!J62+Assumption!M62+Assumption!P62)</f>
        <v>862960000</v>
      </c>
      <c r="I33" s="549">
        <f>$H$10*$E$4*(Assumption!D43+Assumption!G43+Assumption!J43+Assumption!M43+Assumption!P43+Assumption!S43+Assumption!V43+Assumption!D66+Assumption!G66+Assumption!J66+Assumption!M66+Assumption!P66)</f>
        <v>908500000</v>
      </c>
      <c r="J33" s="555"/>
    </row>
    <row r="34" spans="3:11">
      <c r="C34" s="547">
        <v>2</v>
      </c>
      <c r="D34" s="548" t="str">
        <f>D14</f>
        <v>Dedicated</v>
      </c>
      <c r="E34" s="549">
        <f>$H$14*E4*(Assumption!E27+Assumption!H27+Assumption!K27+Assumption!N27+Assumption!Q27+Assumption!T27+Assumption!W27+Assumption!E50+Assumption!H50+Assumption!K50+Assumption!N50+Assumption!Q50)</f>
        <v>0</v>
      </c>
      <c r="F34" s="549">
        <f>$H$14*E4*(Assumption!E31+Assumption!H31+Assumption!K31+Assumption!N31+Assumption!Q31+Assumption!T31+Assumption!W31+Assumption!E54+Assumption!H54+Assumption!K54+Assumption!N54+Assumption!Q54)</f>
        <v>0</v>
      </c>
      <c r="G34" s="549">
        <f>$H$14*E4*(Assumption!E35+Assumption!H35+Assumption!K35+Assumption!N35+Assumption!Q35+Assumption!T35+Assumption!W35+Assumption!E58+Assumption!H58+Assumption!K58+Assumption!N58+Assumption!Q58)</f>
        <v>0</v>
      </c>
      <c r="H34" s="549">
        <f>$H$14*E4*(Assumption!E39+Assumption!H39+Assumption!K39+Assumption!N39+Assumption!Q39+Assumption!T39+Assumption!W39+Assumption!E62+Assumption!H62+Assumption!K62+Assumption!N62+Assumption!Q62)</f>
        <v>0</v>
      </c>
      <c r="I34" s="549">
        <f>$H$14*E4*(Assumption!E43+Assumption!H43+Assumption!K43+Assumption!N43+Assumption!Q43+Assumption!T43+Assumption!W43+Assumption!E66+Assumption!H66+Assumption!K66+Assumption!N66+Assumption!Q66)</f>
        <v>0</v>
      </c>
      <c r="J34" s="555"/>
    </row>
    <row r="35" spans="3:11">
      <c r="C35" s="547">
        <v>3</v>
      </c>
      <c r="D35" s="548" t="s">
        <v>337</v>
      </c>
      <c r="E35" s="549">
        <f>(($I$10*Assumption!R50)+($I$14*Assumption!S50))*$E$4</f>
        <v>31500000</v>
      </c>
      <c r="F35" s="549">
        <f>(($I$10*Assumption!R54)+($I$14*Assumption!S54))*$E$4</f>
        <v>5250000</v>
      </c>
      <c r="G35" s="549">
        <f>(($I$10*Assumption!R58)+($I$14*Assumption!S58))*$E$4</f>
        <v>1000000</v>
      </c>
      <c r="H35" s="549">
        <f>(($I$10*Assumption!R62)+($I$14*Assumption!S62))*$E$4</f>
        <v>2500000</v>
      </c>
      <c r="I35" s="549">
        <f>(($I$10*Assumption!R66)+($I$14*Assumption!S66))*$E$4</f>
        <v>1750000</v>
      </c>
    </row>
    <row r="36" spans="3:11">
      <c r="C36" s="547">
        <v>4</v>
      </c>
      <c r="D36" s="548" t="s">
        <v>338</v>
      </c>
      <c r="E36" s="549">
        <f>$H$17*(Assumption!E27+Assumption!H27+Assumption!K27+Assumption!N27+Assumption!Q27+Assumption!T27+Assumption!W27+Assumption!E50+Assumption!H50+Assumption!K50+Assumption!N50+Assumption!Q50)</f>
        <v>0</v>
      </c>
      <c r="F36" s="549">
        <f>H17*(Assumption!E31+Assumption!H31+Assumption!K31+Assumption!N31+Assumption!Q31+Assumption!T31+Assumption!W31+Assumption!W54+Assumption!H54+Assumption!K54+Assumption!N54+Assumption!Q54)</f>
        <v>0</v>
      </c>
      <c r="G36" s="549">
        <f>$H$17*(Assumption!E35+Assumption!H35+Assumption!K35+Assumption!N35+Assumption!Q35+Assumption!T35+Assumption!W35+Assumption!E58+Assumption!H58+Assumption!K58+Assumption!N58+Assumption!Q58)</f>
        <v>0</v>
      </c>
      <c r="H36" s="549">
        <f>H17*(Assumption!E39+Assumption!H39+Assumption!K39+Assumption!N39+Assumption!Q39+Assumption!T39+Assumption!W39+Assumption!E62+Assumption!H62+Assumption!K62+Assumption!N62+Assumption!Q62)</f>
        <v>0</v>
      </c>
      <c r="I36" s="549">
        <f>H17*(Assumption!E43+Assumption!H43+Assumption!K43+Assumption!N43+Assumption!Q43+Assumption!T43+Assumption!W43+Assumption!E66+Assumption!H66+Assumption!K66+Assumption!N66+Assumption!Q66)</f>
        <v>0</v>
      </c>
    </row>
    <row r="37" spans="3:11" ht="15.5">
      <c r="C37" s="547">
        <v>5</v>
      </c>
      <c r="D37" s="548" t="s">
        <v>339</v>
      </c>
      <c r="E37" s="549">
        <f>Assumption!$H$18*Assumption!$H$21*Assumption!$E$19*12</f>
        <v>0</v>
      </c>
      <c r="F37" s="549">
        <f>Assumption!$H$18*Assumption!$H$21*Assumption!$E$19*12</f>
        <v>0</v>
      </c>
      <c r="G37" s="549">
        <f>Assumption!$H$18*Assumption!$H$21*Assumption!$E$19*12</f>
        <v>0</v>
      </c>
      <c r="H37" s="549">
        <f>Assumption!$H$18*Assumption!$H$21*Assumption!$E$19*12</f>
        <v>0</v>
      </c>
      <c r="I37" s="549">
        <f>Assumption!$H$18*Assumption!$H$21*Assumption!$E$19*12</f>
        <v>0</v>
      </c>
      <c r="K37" s="574"/>
    </row>
    <row r="38" spans="3:11">
      <c r="C38" s="547"/>
      <c r="D38" s="548"/>
      <c r="E38" s="549">
        <f>SUM(E33:E37)</f>
        <v>406860000</v>
      </c>
      <c r="F38" s="549">
        <f>SUM(F33:F37)</f>
        <v>761490000</v>
      </c>
      <c r="G38" s="549">
        <f>SUM(G33:G37)</f>
        <v>822560000</v>
      </c>
      <c r="H38" s="549">
        <f>SUM(H33:H37)</f>
        <v>865460000</v>
      </c>
      <c r="I38" s="549">
        <f>SUM(I33:I37)</f>
        <v>910250000</v>
      </c>
    </row>
    <row r="39" spans="3:11">
      <c r="J39" s="555"/>
    </row>
    <row r="40" spans="3:11">
      <c r="C40" s="544" t="s">
        <v>193</v>
      </c>
      <c r="D40" s="544" t="s">
        <v>254</v>
      </c>
      <c r="E40" s="544" t="s">
        <v>68</v>
      </c>
      <c r="F40" s="544" t="s">
        <v>69</v>
      </c>
      <c r="G40" s="544" t="s">
        <v>70</v>
      </c>
      <c r="H40" s="544" t="s">
        <v>71</v>
      </c>
      <c r="I40" s="544" t="s">
        <v>72</v>
      </c>
    </row>
    <row r="41" spans="3:11">
      <c r="C41" s="547">
        <v>1</v>
      </c>
      <c r="D41" s="548" t="str">
        <f>D10</f>
        <v>SOHO</v>
      </c>
      <c r="E41" s="549">
        <f>$H$10*$E$4*(Assumption!D28+Assumption!G28+Assumption!J28+Assumption!M28+Assumption!P28+Assumption!S28+Assumption!V28+Assumption!D51+Assumption!G51+Assumption!J51+Assumption!M51+Assumption!P51)</f>
        <v>135240000</v>
      </c>
      <c r="F41" s="549">
        <f>$H$10*$E$4*(Assumption!D32+Assumption!G32+Assumption!J32+Assumption!M32+Assumption!P32+Assumption!S32+Assumption!V32+Assumption!D55+Assumption!G55+Assumption!J55+Assumption!M55+Assumption!P55)</f>
        <v>327980000</v>
      </c>
      <c r="G41" s="549">
        <f>$H$10*$E$4*(Assumption!D36+Assumption!G36+Assumption!J36+Assumption!M36+Assumption!P36+Assumption!S36+Assumption!V36+Assumption!D59+Assumption!G59+Assumption!J59+Assumption!M59+Assumption!P59)</f>
        <v>479320000</v>
      </c>
      <c r="H41" s="549">
        <f>$H$10*$E$4*(Assumption!D40+Assumption!G40+Assumption!J40+Assumption!M40+Assumption!P40+Assumption!S40+Assumption!V40+Assumption!D63+Assumption!G63+Assumption!J63+Assumption!M63+Assumption!P63)</f>
        <v>641700000</v>
      </c>
      <c r="I41" s="549">
        <f>$H$10*$E$4*(Assumption!D44+Assumption!G44+Assumption!J44+Assumption!M44+Assumption!P44+Assumption!S44+Assumption!V44+Assumption!D67+Assumption!G67+Assumption!J67+Assumption!M67+Assumption!P67)</f>
        <v>766820000</v>
      </c>
    </row>
    <row r="42" spans="3:11">
      <c r="C42" s="547">
        <v>2</v>
      </c>
      <c r="D42" s="548" t="str">
        <f>D14</f>
        <v>Dedicated</v>
      </c>
      <c r="E42" s="549">
        <f>$H$14*E4*(Assumption!E28+Assumption!H28+Assumption!K28+Assumption!N28+Assumption!Q28+Assumption!T28+Assumption!W28+Assumption!E51+Assumption!H51+Assumption!K51+Assumption!N51+Assumption!Q51)</f>
        <v>0</v>
      </c>
      <c r="F42" s="549">
        <f>$H$14*E4*(Assumption!E32+Assumption!H32+Assumption!K32+Assumption!N32+Assumption!Q32+Assumption!T32+Assumption!W32+Assumption!E55+Assumption!H55+Assumption!K55+Assumption!N55+Assumption!Q55)</f>
        <v>0</v>
      </c>
      <c r="G42" s="549">
        <f>$H$14*E4*(Assumption!E36+Assumption!H36+Assumption!K36+Assumption!N36+Assumption!Q36+Assumption!T36+Assumption!W36+Assumption!E59+Assumption!H59+Assumption!K59+Assumption!N59+Assumption!Q59)</f>
        <v>0</v>
      </c>
      <c r="H42" s="549">
        <f>$H$14*E4*(Assumption!E40+Assumption!H40+Assumption!K40+Assumption!N40+Assumption!Q40+Assumption!T40+Assumption!W40+Assumption!E63+Assumption!H63+Assumption!K63+Assumption!N63+Assumption!Q63)</f>
        <v>0</v>
      </c>
      <c r="I42" s="549">
        <f>$H$14*E4*(Assumption!E44+Assumption!H44+Assumption!K44+Assumption!N44+Assumption!Q44+Assumption!T44+Assumption!W44+Assumption!E67+Assumption!H67+Assumption!K67+Assumption!N67+Assumption!Q67)</f>
        <v>0</v>
      </c>
    </row>
    <row r="43" spans="3:11">
      <c r="C43" s="547">
        <v>3</v>
      </c>
      <c r="D43" s="548" t="s">
        <v>337</v>
      </c>
      <c r="E43" s="549">
        <f>(($I$10*Assumption!R51)+($I$14*Assumption!S51))*$E$4</f>
        <v>11500000</v>
      </c>
      <c r="F43" s="549">
        <f>(($I$10*Assumption!R55)+($I$14*Assumption!S55))*$E$4</f>
        <v>6250000</v>
      </c>
      <c r="G43" s="549">
        <f>(($I$10*Assumption!R59)+($I$14*Assumption!S59))*$E$4</f>
        <v>7250000</v>
      </c>
      <c r="H43" s="549">
        <f>(($I$10*Assumption!R63)+($I$14*Assumption!S63))*$E$4</f>
        <v>7500000</v>
      </c>
      <c r="I43" s="549">
        <f>(($I$10*Assumption!R67)+($I$14*Assumption!S67))*$E$4</f>
        <v>4250000</v>
      </c>
    </row>
    <row r="44" spans="3:11">
      <c r="C44" s="547">
        <v>4</v>
      </c>
      <c r="D44" s="548" t="s">
        <v>338</v>
      </c>
      <c r="E44" s="549">
        <f>$H$17*(Assumption!E28+Assumption!H28+Assumption!K28+Assumption!N28+Assumption!Q28+Assumption!T28+Assumption!W28+Assumption!E51+Assumption!H51+Assumption!K51+Assumption!N51+Assumption!Q51)</f>
        <v>0</v>
      </c>
      <c r="F44" s="549">
        <f>$H$17*(Assumption!E32+Assumption!H32+Assumption!K32+Assumption!N32+Assumption!Q32+Assumption!T32+Assumption!W32+Assumption!E55+Assumption!H55+Assumption!K55+Assumption!N55+Assumption!Q55)</f>
        <v>0</v>
      </c>
      <c r="G44" s="549">
        <f>H17*(Assumption!E36+Assumption!H36+Assumption!K36+Assumption!N36+Assumption!Q36+Assumption!T36+Assumption!W36+Assumption!E59+Assumption!H59+Assumption!K59+Assumption!N59+Assumption!Q59)</f>
        <v>0</v>
      </c>
      <c r="H44" s="549">
        <f>H17*(Assumption!E40+Assumption!H40+Assumption!K40+Assumption!N40+Assumption!Q40+Assumption!T40+Assumption!W40+Assumption!E63+Assumption!H63+Assumption!K63+Assumption!N63+Assumption!Q63)</f>
        <v>0</v>
      </c>
      <c r="I44" s="549">
        <f>$H$17*(Assumption!E44+Assumption!H44+Assumption!K44+Assumption!N44+Assumption!Q44+Assumption!T44+Assumption!W44+Assumption!E67+Assumption!H67+Assumption!K67+Assumption!N67+Assumption!Q67)</f>
        <v>0</v>
      </c>
    </row>
    <row r="45" spans="3:11">
      <c r="C45" s="547">
        <v>5</v>
      </c>
      <c r="D45" s="548" t="s">
        <v>339</v>
      </c>
      <c r="E45" s="549">
        <f>Assumption!$H$18*Assumption!$H$21*Assumption!$E$19*12</f>
        <v>0</v>
      </c>
      <c r="F45" s="549">
        <f>Assumption!$H$18*Assumption!$H$21*Assumption!$E$19*12</f>
        <v>0</v>
      </c>
      <c r="G45" s="549">
        <f>Assumption!$H$18*Assumption!$H$21*Assumption!$E$19*12</f>
        <v>0</v>
      </c>
      <c r="H45" s="549">
        <f>Assumption!$H$18*Assumption!$H$21*Assumption!$E$19*12</f>
        <v>0</v>
      </c>
      <c r="I45" s="549">
        <f>Assumption!$H$18*Assumption!$H$21*Assumption!$E$19*12</f>
        <v>0</v>
      </c>
    </row>
    <row r="46" spans="3:11">
      <c r="C46" s="547"/>
      <c r="D46" s="548"/>
      <c r="E46" s="549">
        <f>SUM(E41:E45)</f>
        <v>146740000</v>
      </c>
      <c r="F46" s="549">
        <f>SUM(F41:F45)</f>
        <v>334230000</v>
      </c>
      <c r="G46" s="549">
        <f>SUM(G41:G45)</f>
        <v>486570000</v>
      </c>
      <c r="H46" s="549">
        <f>SUM(H41:H45)</f>
        <v>649200000</v>
      </c>
      <c r="I46" s="549">
        <f>SUM(I41:I45)</f>
        <v>771070000</v>
      </c>
      <c r="J46" s="555"/>
    </row>
    <row r="47" spans="3:11" ht="4.5" customHeight="1">
      <c r="J47" s="555"/>
    </row>
    <row r="48" spans="3:11" ht="25" thickBot="1">
      <c r="C48" s="536" t="s">
        <v>223</v>
      </c>
      <c r="F48" s="537" t="s">
        <v>341</v>
      </c>
      <c r="G48" s="575"/>
    </row>
    <row r="49" spans="3:15" ht="16" thickBot="1">
      <c r="E49" s="576" t="s">
        <v>342</v>
      </c>
      <c r="F49" s="577">
        <v>0</v>
      </c>
      <c r="G49" s="578" t="s">
        <v>343</v>
      </c>
      <c r="H49" s="579"/>
      <c r="K49" s="575"/>
    </row>
    <row r="50" spans="3:15" ht="16" thickBot="1">
      <c r="C50" s="538" t="s">
        <v>344</v>
      </c>
      <c r="D50" s="538"/>
      <c r="E50" s="576" t="s">
        <v>345</v>
      </c>
      <c r="F50" s="580"/>
      <c r="G50" s="581" t="s">
        <v>346</v>
      </c>
      <c r="H50" s="582">
        <f>Assumption!H21</f>
        <v>168</v>
      </c>
      <c r="K50" s="575"/>
    </row>
    <row r="51" spans="3:15" ht="15" thickBot="1">
      <c r="C51" s="543"/>
    </row>
    <row r="52" spans="3:15" ht="15" thickBot="1">
      <c r="C52" s="583" t="s">
        <v>193</v>
      </c>
      <c r="D52" s="583" t="s">
        <v>347</v>
      </c>
      <c r="E52" s="583" t="s">
        <v>216</v>
      </c>
      <c r="F52" s="583" t="s">
        <v>215</v>
      </c>
      <c r="G52" s="583" t="s">
        <v>214</v>
      </c>
      <c r="H52" s="583" t="s">
        <v>213</v>
      </c>
      <c r="I52" s="583" t="s">
        <v>212</v>
      </c>
      <c r="L52" s="584" t="s">
        <v>348</v>
      </c>
      <c r="M52" s="585">
        <v>158990000</v>
      </c>
    </row>
    <row r="53" spans="3:15" ht="15" thickBot="1">
      <c r="C53" s="586">
        <v>1</v>
      </c>
      <c r="D53" s="587" t="s">
        <v>342</v>
      </c>
      <c r="E53" s="588">
        <f>IRR!H17</f>
        <v>66000000</v>
      </c>
      <c r="F53" s="588">
        <f>0%*$F$49</f>
        <v>0</v>
      </c>
      <c r="G53" s="589">
        <v>200000000</v>
      </c>
      <c r="H53" s="589"/>
      <c r="I53" s="589"/>
      <c r="L53" s="584" t="s">
        <v>349</v>
      </c>
      <c r="M53" s="585">
        <v>259200000</v>
      </c>
      <c r="N53" s="537" t="s">
        <v>350</v>
      </c>
      <c r="O53" s="590">
        <v>213200000</v>
      </c>
    </row>
    <row r="54" spans="3:15" ht="15" thickBot="1">
      <c r="C54" s="586">
        <v>2</v>
      </c>
      <c r="D54" s="587" t="s">
        <v>351</v>
      </c>
      <c r="E54" s="589"/>
      <c r="F54" s="589"/>
      <c r="G54" s="589"/>
      <c r="H54" s="589">
        <f>$F$50*Assumption!R61</f>
        <v>0</v>
      </c>
      <c r="I54" s="589">
        <f>$F$50*Assumption!R65</f>
        <v>0</v>
      </c>
      <c r="K54" s="591"/>
      <c r="L54" s="584" t="s">
        <v>352</v>
      </c>
      <c r="M54" s="585">
        <v>81134500</v>
      </c>
    </row>
    <row r="55" spans="3:15" ht="16" thickBot="1">
      <c r="C55" s="586"/>
      <c r="D55" s="587" t="s">
        <v>353</v>
      </c>
      <c r="E55" s="589"/>
      <c r="F55" s="589"/>
      <c r="G55" s="589"/>
      <c r="H55" s="589">
        <f>$F$50*Assumption!R62</f>
        <v>0</v>
      </c>
      <c r="I55" s="589">
        <f>$F$50*Assumption!R66</f>
        <v>0</v>
      </c>
      <c r="K55" s="575"/>
    </row>
    <row r="56" spans="3:15" ht="16" thickBot="1">
      <c r="C56" s="586"/>
      <c r="D56" s="587" t="s">
        <v>354</v>
      </c>
      <c r="E56" s="589"/>
      <c r="F56" s="589"/>
      <c r="G56" s="589"/>
      <c r="H56" s="589">
        <f>$F$50*Assumption!R63</f>
        <v>0</v>
      </c>
      <c r="I56" s="589">
        <f>$F$50*Assumption!R67</f>
        <v>0</v>
      </c>
      <c r="K56" s="575"/>
    </row>
    <row r="57" spans="3:15" ht="15" thickBot="1">
      <c r="C57" s="586">
        <v>3</v>
      </c>
      <c r="D57" s="587" t="s">
        <v>355</v>
      </c>
      <c r="E57" s="589">
        <f>$H$49*Assumption!S49</f>
        <v>0</v>
      </c>
      <c r="F57" s="589">
        <f>$H$49*Assumption!S53</f>
        <v>0</v>
      </c>
      <c r="G57" s="589">
        <f>$H$49*Assumption!S57</f>
        <v>0</v>
      </c>
      <c r="H57" s="589">
        <f>$H$49*Assumption!S61</f>
        <v>0</v>
      </c>
      <c r="I57" s="589">
        <f>$H$49*Assumption!S65</f>
        <v>0</v>
      </c>
    </row>
    <row r="58" spans="3:15" ht="15" thickBot="1">
      <c r="C58" s="586"/>
      <c r="D58" s="587" t="s">
        <v>356</v>
      </c>
      <c r="E58" s="589">
        <f>$H$49*Assumption!S50</f>
        <v>0</v>
      </c>
      <c r="F58" s="589">
        <f>$H$49*Assumption!S54</f>
        <v>0</v>
      </c>
      <c r="G58" s="589">
        <f>$H$49*Assumption!S58</f>
        <v>0</v>
      </c>
      <c r="H58" s="589">
        <f>$H$49*Assumption!S62</f>
        <v>0</v>
      </c>
      <c r="I58" s="589">
        <f>$H$49*Assumption!S66</f>
        <v>0</v>
      </c>
    </row>
    <row r="59" spans="3:15" ht="15" thickBot="1">
      <c r="C59" s="586"/>
      <c r="D59" s="587" t="s">
        <v>357</v>
      </c>
      <c r="E59" s="589">
        <f>$H$49*Assumption!S51</f>
        <v>0</v>
      </c>
      <c r="F59" s="589">
        <f>$H$49*Assumption!S55</f>
        <v>0</v>
      </c>
      <c r="G59" s="589">
        <f>$H$49*Assumption!S59</f>
        <v>0</v>
      </c>
      <c r="H59" s="589">
        <f>$H$49*Assumption!S63</f>
        <v>0</v>
      </c>
      <c r="I59" s="589">
        <f>$H$49*Assumption!S67</f>
        <v>0</v>
      </c>
    </row>
    <row r="60" spans="3:15" ht="15" thickBot="1">
      <c r="C60" s="586"/>
      <c r="D60" s="587" t="s">
        <v>358</v>
      </c>
      <c r="E60" s="589"/>
      <c r="F60" s="589"/>
      <c r="G60" s="589"/>
      <c r="H60" s="589">
        <f>H53+H54+H57</f>
        <v>0</v>
      </c>
      <c r="I60" s="589">
        <f>I53+I54+I57</f>
        <v>0</v>
      </c>
    </row>
    <row r="61" spans="3:15" ht="15" thickBot="1">
      <c r="C61" s="586"/>
      <c r="D61" s="587" t="s">
        <v>359</v>
      </c>
      <c r="E61" s="589"/>
      <c r="F61" s="589"/>
      <c r="G61" s="589"/>
      <c r="H61" s="589">
        <f>H53+H55+H58</f>
        <v>0</v>
      </c>
      <c r="I61" s="589">
        <f>I53+I55+I58</f>
        <v>0</v>
      </c>
    </row>
    <row r="62" spans="3:15" ht="15" thickBot="1">
      <c r="C62" s="586"/>
      <c r="D62" s="587" t="s">
        <v>360</v>
      </c>
      <c r="E62" s="589"/>
      <c r="F62" s="589"/>
      <c r="G62" s="589"/>
      <c r="H62" s="589">
        <f>H53+H56+H59</f>
        <v>0</v>
      </c>
      <c r="I62" s="589">
        <f>I53+I56+I59</f>
        <v>0</v>
      </c>
    </row>
    <row r="63" spans="3:15" ht="15" thickBot="1">
      <c r="C63" s="592" t="s">
        <v>250</v>
      </c>
      <c r="D63" s="593" t="s">
        <v>361</v>
      </c>
      <c r="E63" s="577">
        <f>E60+F60+G60+H60+I60</f>
        <v>0</v>
      </c>
      <c r="F63" s="592" t="s">
        <v>362</v>
      </c>
      <c r="G63" s="577"/>
      <c r="H63" s="592" t="s">
        <v>363</v>
      </c>
      <c r="I63" s="594"/>
    </row>
    <row r="64" spans="3:15">
      <c r="C64" s="595"/>
      <c r="D64" s="596"/>
      <c r="E64" s="597"/>
      <c r="F64" s="595"/>
      <c r="G64" s="597"/>
      <c r="H64" s="595"/>
      <c r="I64" s="597"/>
    </row>
    <row r="65" spans="3:10">
      <c r="C65" s="538" t="s">
        <v>208</v>
      </c>
      <c r="D65" s="538"/>
      <c r="E65" s="598">
        <v>0.4</v>
      </c>
      <c r="F65" s="598">
        <v>0.4</v>
      </c>
      <c r="G65" s="598">
        <v>0.4</v>
      </c>
      <c r="H65" s="598">
        <v>0.3</v>
      </c>
      <c r="I65" s="598">
        <v>0.3</v>
      </c>
    </row>
    <row r="66" spans="3:10">
      <c r="C66" s="538" t="s">
        <v>364</v>
      </c>
      <c r="D66" s="538"/>
      <c r="E66" s="600" t="s">
        <v>365</v>
      </c>
      <c r="F66" s="601">
        <f>H10</f>
        <v>920000</v>
      </c>
      <c r="G66" s="599" t="s">
        <v>366</v>
      </c>
      <c r="H66" s="599" t="s">
        <v>367</v>
      </c>
      <c r="I66" s="599"/>
    </row>
    <row r="67" spans="3:10">
      <c r="C67" s="538" t="s">
        <v>368</v>
      </c>
      <c r="D67" s="538"/>
      <c r="E67" s="606" t="s">
        <v>372</v>
      </c>
      <c r="F67" s="605">
        <v>150000</v>
      </c>
      <c r="G67" s="599" t="s">
        <v>366</v>
      </c>
      <c r="H67" s="599" t="s">
        <v>369</v>
      </c>
      <c r="I67" s="599"/>
    </row>
    <row r="68" spans="3:10">
      <c r="E68" s="609"/>
      <c r="F68" s="555"/>
      <c r="G68" s="610"/>
      <c r="H68" s="555"/>
    </row>
    <row r="69" spans="3:10">
      <c r="C69" s="538" t="s">
        <v>370</v>
      </c>
      <c r="D69" s="538"/>
      <c r="E69" s="542"/>
      <c r="F69" s="602"/>
    </row>
    <row r="70" spans="3:10">
      <c r="C70" s="538"/>
      <c r="D70" s="538"/>
      <c r="E70" s="542"/>
      <c r="F70" s="542"/>
    </row>
    <row r="71" spans="3:10">
      <c r="C71" s="544" t="s">
        <v>193</v>
      </c>
      <c r="D71" s="544" t="s">
        <v>249</v>
      </c>
      <c r="E71" s="544" t="s">
        <v>68</v>
      </c>
      <c r="F71" s="544" t="s">
        <v>69</v>
      </c>
      <c r="G71" s="544" t="s">
        <v>70</v>
      </c>
      <c r="H71" s="544" t="s">
        <v>71</v>
      </c>
      <c r="I71" s="544" t="s">
        <v>72</v>
      </c>
      <c r="J71" s="555"/>
    </row>
    <row r="72" spans="3:10">
      <c r="C72" s="547">
        <v>1</v>
      </c>
      <c r="D72" s="548" t="s">
        <v>218</v>
      </c>
      <c r="E72" s="549"/>
      <c r="F72" s="549"/>
      <c r="G72" s="549"/>
      <c r="H72" s="549"/>
      <c r="I72" s="549"/>
      <c r="J72" s="555"/>
    </row>
    <row r="73" spans="3:10">
      <c r="C73" s="547">
        <v>2</v>
      </c>
      <c r="D73" s="548" t="s">
        <v>211</v>
      </c>
      <c r="E73" s="549">
        <f>Assumption!$R$6*'Calculation Sheet'!$E$63</f>
        <v>0</v>
      </c>
      <c r="F73" s="549">
        <f>Assumption!$R$6*'Calculation Sheet'!$E$63</f>
        <v>0</v>
      </c>
      <c r="G73" s="549">
        <f>Assumption!$R$6*'Calculation Sheet'!$E$63</f>
        <v>0</v>
      </c>
      <c r="H73" s="549">
        <f>Assumption!$R$6*'Calculation Sheet'!$E$63</f>
        <v>0</v>
      </c>
      <c r="I73" s="549">
        <f>Assumption!$R$6*'Calculation Sheet'!$E$63</f>
        <v>0</v>
      </c>
    </row>
    <row r="74" spans="3:10">
      <c r="C74" s="547">
        <v>3</v>
      </c>
      <c r="D74" s="548" t="s">
        <v>371</v>
      </c>
      <c r="E74" s="549">
        <f>E65*(E25+E26+E27)</f>
        <v>108864000</v>
      </c>
      <c r="F74" s="549">
        <f>F65*(F25+F26+F27)</f>
        <v>252496000</v>
      </c>
      <c r="G74" s="549">
        <f>G65*(G25+G26+G27)</f>
        <v>314268000</v>
      </c>
      <c r="H74" s="549">
        <f t="shared" ref="H74:I74" si="0">H65*(H25+H26+H27)</f>
        <v>252738000</v>
      </c>
      <c r="I74" s="549">
        <f t="shared" si="0"/>
        <v>270477000</v>
      </c>
      <c r="J74" s="555"/>
    </row>
    <row r="75" spans="3:10">
      <c r="C75" s="547">
        <v>4</v>
      </c>
      <c r="D75" s="548" t="str">
        <f>C66</f>
        <v>Bandwidth WiFi Broadband</v>
      </c>
      <c r="E75" s="549"/>
      <c r="F75" s="549"/>
      <c r="G75" s="549"/>
      <c r="H75" s="549"/>
      <c r="I75" s="549"/>
      <c r="J75" s="555"/>
    </row>
    <row r="76" spans="3:10">
      <c r="C76" s="547">
        <v>5</v>
      </c>
      <c r="D76" s="548" t="s">
        <v>368</v>
      </c>
      <c r="E76" s="607">
        <f>3*150000*12</f>
        <v>5400000</v>
      </c>
      <c r="F76" s="549">
        <f>E76</f>
        <v>5400000</v>
      </c>
      <c r="G76" s="549">
        <f>F76</f>
        <v>5400000</v>
      </c>
      <c r="H76" s="549">
        <f>G76</f>
        <v>5400000</v>
      </c>
      <c r="I76" s="549">
        <f>H76</f>
        <v>5400000</v>
      </c>
      <c r="J76" s="555"/>
    </row>
    <row r="77" spans="3:10">
      <c r="C77" s="547"/>
      <c r="D77" s="548"/>
      <c r="E77" s="549">
        <f>SUM(E72:E76)</f>
        <v>114264000</v>
      </c>
      <c r="F77" s="549">
        <f>SUM(F72:F76)</f>
        <v>257896000</v>
      </c>
      <c r="G77" s="549">
        <f>SUM(G72:G76)</f>
        <v>319668000</v>
      </c>
      <c r="H77" s="549">
        <f>SUM(H72:H76)</f>
        <v>258138000</v>
      </c>
      <c r="I77" s="549">
        <f>SUM(I72:I76)</f>
        <v>275877000</v>
      </c>
    </row>
    <row r="79" spans="3:10">
      <c r="C79" s="544" t="s">
        <v>193</v>
      </c>
      <c r="D79" s="544" t="s">
        <v>253</v>
      </c>
      <c r="E79" s="544" t="s">
        <v>68</v>
      </c>
      <c r="F79" s="544" t="s">
        <v>69</v>
      </c>
      <c r="G79" s="544" t="s">
        <v>70</v>
      </c>
      <c r="H79" s="544" t="s">
        <v>71</v>
      </c>
      <c r="I79" s="544" t="s">
        <v>72</v>
      </c>
    </row>
    <row r="80" spans="3:10">
      <c r="C80" s="547">
        <v>1</v>
      </c>
      <c r="D80" s="548" t="s">
        <v>218</v>
      </c>
      <c r="E80" s="549"/>
      <c r="F80" s="549"/>
      <c r="G80" s="549"/>
      <c r="H80" s="549"/>
      <c r="I80" s="549"/>
    </row>
    <row r="81" spans="3:10">
      <c r="C81" s="547">
        <v>2</v>
      </c>
      <c r="D81" s="548" t="s">
        <v>211</v>
      </c>
      <c r="E81" s="549">
        <f>Assumption!$R$6*'Calculation Sheet'!$G$63</f>
        <v>0</v>
      </c>
      <c r="F81" s="549">
        <f>Assumption!$R$6*'Calculation Sheet'!$G$63</f>
        <v>0</v>
      </c>
      <c r="G81" s="549">
        <f>Assumption!$R$6*'Calculation Sheet'!$G$63</f>
        <v>0</v>
      </c>
      <c r="H81" s="549">
        <f>Assumption!$R$6*'Calculation Sheet'!$G$63</f>
        <v>0</v>
      </c>
      <c r="I81" s="549">
        <f>Assumption!$R$6*'Calculation Sheet'!$G$63</f>
        <v>0</v>
      </c>
    </row>
    <row r="82" spans="3:10">
      <c r="C82" s="547">
        <v>3</v>
      </c>
      <c r="D82" s="548" t="s">
        <v>371</v>
      </c>
      <c r="E82" s="549">
        <f>E65*(E33+E34+E35)</f>
        <v>162744000</v>
      </c>
      <c r="F82" s="549">
        <f t="shared" ref="F82:I82" si="1">F65*(F33+F34+F35)</f>
        <v>304596000</v>
      </c>
      <c r="G82" s="549">
        <f t="shared" si="1"/>
        <v>329024000</v>
      </c>
      <c r="H82" s="549">
        <f t="shared" si="1"/>
        <v>259638000</v>
      </c>
      <c r="I82" s="549">
        <f t="shared" si="1"/>
        <v>273075000</v>
      </c>
    </row>
    <row r="83" spans="3:10">
      <c r="C83" s="547">
        <v>4</v>
      </c>
      <c r="D83" s="548" t="str">
        <f t="shared" ref="D83:I83" si="2">D75</f>
        <v>Bandwidth WiFi Broadband</v>
      </c>
      <c r="E83" s="549">
        <f t="shared" si="2"/>
        <v>0</v>
      </c>
      <c r="F83" s="549">
        <f t="shared" si="2"/>
        <v>0</v>
      </c>
      <c r="G83" s="549">
        <f t="shared" si="2"/>
        <v>0</v>
      </c>
      <c r="H83" s="549">
        <f t="shared" si="2"/>
        <v>0</v>
      </c>
      <c r="I83" s="549">
        <f t="shared" si="2"/>
        <v>0</v>
      </c>
    </row>
    <row r="84" spans="3:10">
      <c r="C84" s="547">
        <v>5</v>
      </c>
      <c r="D84" s="548" t="s">
        <v>368</v>
      </c>
      <c r="E84" s="607">
        <f>3*150000*12</f>
        <v>5400000</v>
      </c>
      <c r="F84" s="549">
        <f>E84</f>
        <v>5400000</v>
      </c>
      <c r="G84" s="549">
        <f>F84</f>
        <v>5400000</v>
      </c>
      <c r="H84" s="549">
        <f>G84</f>
        <v>5400000</v>
      </c>
      <c r="I84" s="549">
        <f>H84</f>
        <v>5400000</v>
      </c>
      <c r="J84" s="555"/>
    </row>
    <row r="85" spans="3:10">
      <c r="C85" s="547"/>
      <c r="D85" s="548"/>
      <c r="E85" s="549">
        <f>SUM(E80:E84)</f>
        <v>168144000</v>
      </c>
      <c r="F85" s="549">
        <f>SUM(F80:F84)</f>
        <v>309996000</v>
      </c>
      <c r="G85" s="549">
        <f>SUM(G80:G84)</f>
        <v>334424000</v>
      </c>
      <c r="H85" s="549">
        <f>SUM(H80:H84)</f>
        <v>265038000</v>
      </c>
      <c r="I85" s="549">
        <f>SUM(I80:I84)</f>
        <v>278475000</v>
      </c>
    </row>
    <row r="87" spans="3:10">
      <c r="C87" s="544" t="s">
        <v>193</v>
      </c>
      <c r="D87" s="544" t="s">
        <v>254</v>
      </c>
      <c r="E87" s="544" t="s">
        <v>68</v>
      </c>
      <c r="F87" s="544" t="s">
        <v>69</v>
      </c>
      <c r="G87" s="544" t="s">
        <v>70</v>
      </c>
      <c r="H87" s="544" t="s">
        <v>71</v>
      </c>
      <c r="I87" s="544" t="s">
        <v>72</v>
      </c>
    </row>
    <row r="88" spans="3:10">
      <c r="C88" s="547">
        <v>1</v>
      </c>
      <c r="D88" s="548" t="s">
        <v>218</v>
      </c>
      <c r="E88" s="549"/>
      <c r="F88" s="549"/>
      <c r="G88" s="549"/>
      <c r="H88" s="549"/>
      <c r="I88" s="549"/>
      <c r="J88" s="555"/>
    </row>
    <row r="89" spans="3:10">
      <c r="C89" s="547">
        <v>2</v>
      </c>
      <c r="D89" s="548" t="s">
        <v>211</v>
      </c>
      <c r="E89" s="549">
        <f>Assumption!$R$6*'Calculation Sheet'!$I$63</f>
        <v>0</v>
      </c>
      <c r="F89" s="549">
        <f>Assumption!$R$6*'Calculation Sheet'!$I$63</f>
        <v>0</v>
      </c>
      <c r="G89" s="549">
        <f>Assumption!$R$6*'Calculation Sheet'!$I$63</f>
        <v>0</v>
      </c>
      <c r="H89" s="549">
        <f>Assumption!$R$6*'Calculation Sheet'!$I$63</f>
        <v>0</v>
      </c>
      <c r="I89" s="549">
        <f>Assumption!$R$6*'Calculation Sheet'!$I$63</f>
        <v>0</v>
      </c>
      <c r="J89" s="555"/>
    </row>
    <row r="90" spans="3:10">
      <c r="C90" s="547">
        <v>3</v>
      </c>
      <c r="D90" s="548" t="s">
        <v>371</v>
      </c>
      <c r="E90" s="549">
        <f>E65*(E41+E42+E43)</f>
        <v>58696000</v>
      </c>
      <c r="F90" s="549">
        <f t="shared" ref="F90:H90" si="3">F65*(F41+F42+F43)</f>
        <v>133692000</v>
      </c>
      <c r="G90" s="549">
        <f t="shared" si="3"/>
        <v>194628000</v>
      </c>
      <c r="H90" s="549">
        <f t="shared" si="3"/>
        <v>194760000</v>
      </c>
      <c r="I90" s="549">
        <f>I65*(I41+I42+I43)</f>
        <v>231321000</v>
      </c>
    </row>
    <row r="91" spans="3:10">
      <c r="C91" s="547">
        <v>4</v>
      </c>
      <c r="D91" s="548" t="str">
        <f t="shared" ref="D91:I91" si="4">D83</f>
        <v>Bandwidth WiFi Broadband</v>
      </c>
      <c r="E91" s="549">
        <f>E83</f>
        <v>0</v>
      </c>
      <c r="F91" s="549">
        <f t="shared" si="4"/>
        <v>0</v>
      </c>
      <c r="G91" s="549">
        <f t="shared" si="4"/>
        <v>0</v>
      </c>
      <c r="H91" s="549">
        <f t="shared" si="4"/>
        <v>0</v>
      </c>
      <c r="I91" s="549">
        <f t="shared" si="4"/>
        <v>0</v>
      </c>
    </row>
    <row r="92" spans="3:10">
      <c r="C92" s="547">
        <v>5</v>
      </c>
      <c r="D92" s="548" t="s">
        <v>368</v>
      </c>
      <c r="E92" s="607">
        <f>3*150000*12</f>
        <v>5400000</v>
      </c>
      <c r="F92" s="549">
        <f>E92</f>
        <v>5400000</v>
      </c>
      <c r="G92" s="549">
        <f>F92</f>
        <v>5400000</v>
      </c>
      <c r="H92" s="549">
        <f>G92</f>
        <v>5400000</v>
      </c>
      <c r="I92" s="549">
        <f>H92</f>
        <v>5400000</v>
      </c>
      <c r="J92" s="555"/>
    </row>
    <row r="93" spans="3:10">
      <c r="C93" s="547"/>
      <c r="D93" s="548"/>
      <c r="E93" s="549">
        <f>SUM(E88:E92)</f>
        <v>64096000</v>
      </c>
      <c r="F93" s="549">
        <f>SUM(F88:F92)</f>
        <v>139092000</v>
      </c>
      <c r="G93" s="549">
        <f>SUM(G88:G92)</f>
        <v>200028000</v>
      </c>
      <c r="H93" s="549">
        <f>SUM(H88:H92)</f>
        <v>200160000</v>
      </c>
      <c r="I93" s="549">
        <f>SUM(I88:I92)</f>
        <v>236721000</v>
      </c>
    </row>
  </sheetData>
  <conditionalFormatting sqref="E54:I59 E25:I30 E53:F53 E10:E13 E14:F18 E72:I77">
    <cfRule type="cellIs" dxfId="15" priority="18" operator="lessThan">
      <formula>0</formula>
    </cfRule>
  </conditionalFormatting>
  <conditionalFormatting sqref="E60:I60">
    <cfRule type="cellIs" dxfId="14" priority="17" operator="lessThan">
      <formula>0</formula>
    </cfRule>
  </conditionalFormatting>
  <conditionalFormatting sqref="E33:I38">
    <cfRule type="cellIs" dxfId="13" priority="16" operator="lessThan">
      <formula>0</formula>
    </cfRule>
  </conditionalFormatting>
  <conditionalFormatting sqref="E41:I46">
    <cfRule type="cellIs" dxfId="12" priority="15" operator="lessThan">
      <formula>0</formula>
    </cfRule>
  </conditionalFormatting>
  <conditionalFormatting sqref="E80:I81 E85:I85">
    <cfRule type="cellIs" dxfId="11" priority="14" operator="lessThan">
      <formula>0</formula>
    </cfRule>
  </conditionalFormatting>
  <conditionalFormatting sqref="E88:I89 E93:I93">
    <cfRule type="cellIs" dxfId="10" priority="13" operator="lessThan">
      <formula>0</formula>
    </cfRule>
  </conditionalFormatting>
  <conditionalFormatting sqref="E83:I83">
    <cfRule type="cellIs" dxfId="9" priority="12" operator="lessThan">
      <formula>0</formula>
    </cfRule>
  </conditionalFormatting>
  <conditionalFormatting sqref="E91:I91">
    <cfRule type="cellIs" dxfId="8" priority="11" operator="lessThan">
      <formula>0</formula>
    </cfRule>
  </conditionalFormatting>
  <conditionalFormatting sqref="G53:I53">
    <cfRule type="cellIs" dxfId="7" priority="10" operator="lessThan">
      <formula>0</formula>
    </cfRule>
  </conditionalFormatting>
  <conditionalFormatting sqref="E61:I62">
    <cfRule type="cellIs" dxfId="6" priority="9" operator="lessThan">
      <formula>0</formula>
    </cfRule>
  </conditionalFormatting>
  <conditionalFormatting sqref="E82:I82">
    <cfRule type="cellIs" dxfId="5" priority="8" operator="lessThan">
      <formula>0</formula>
    </cfRule>
  </conditionalFormatting>
  <conditionalFormatting sqref="E90:I90">
    <cfRule type="cellIs" dxfId="4" priority="7" operator="lessThan">
      <formula>0</formula>
    </cfRule>
  </conditionalFormatting>
  <conditionalFormatting sqref="F10:F13">
    <cfRule type="cellIs" dxfId="3" priority="6" operator="lessThan">
      <formula>0</formula>
    </cfRule>
  </conditionalFormatting>
  <conditionalFormatting sqref="E19:F19">
    <cfRule type="cellIs" dxfId="2" priority="5" operator="lessThan">
      <formula>0</formula>
    </cfRule>
  </conditionalFormatting>
  <conditionalFormatting sqref="K54">
    <cfRule type="cellIs" dxfId="1" priority="2" operator="lessThan">
      <formula>0</formula>
    </cfRule>
  </conditionalFormatting>
  <conditionalFormatting sqref="E92:I92 E84:I84">
    <cfRule type="cellIs" dxfId="0" priority="1" operator="lessThan">
      <formula>0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2" orientation="portrait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">
    <pageSetUpPr fitToPage="1"/>
  </sheetPr>
  <dimension ref="B2:L51"/>
  <sheetViews>
    <sheetView showGridLines="0" view="pageBreakPreview" topLeftCell="A9" zoomScale="70" zoomScaleNormal="85" zoomScaleSheetLayoutView="70" workbookViewId="0">
      <selection activeCell="E41" sqref="E41"/>
    </sheetView>
  </sheetViews>
  <sheetFormatPr defaultColWidth="8.33203125" defaultRowHeight="15.5"/>
  <cols>
    <col min="1" max="1" width="8.33203125" style="322"/>
    <col min="2" max="2" width="10.33203125" style="322" customWidth="1"/>
    <col min="3" max="4" width="19.6640625" style="322" customWidth="1"/>
    <col min="5" max="5" width="20.58203125" style="322" customWidth="1"/>
    <col min="6" max="6" width="17.58203125" style="322" bestFit="1" customWidth="1"/>
    <col min="7" max="8" width="16.6640625" style="322" bestFit="1" customWidth="1"/>
    <col min="9" max="9" width="17.83203125" style="322" customWidth="1"/>
    <col min="10" max="10" width="21.58203125" style="322" customWidth="1"/>
    <col min="11" max="11" width="17" style="322" bestFit="1" customWidth="1"/>
    <col min="12" max="12" width="1.83203125" style="322" customWidth="1"/>
    <col min="13" max="16384" width="8.33203125" style="322"/>
  </cols>
  <sheetData>
    <row r="2" spans="2:12">
      <c r="B2" s="321" t="s">
        <v>225</v>
      </c>
    </row>
    <row r="3" spans="2:12">
      <c r="B3" s="323"/>
    </row>
    <row r="4" spans="2:12">
      <c r="B4" s="323"/>
    </row>
    <row r="5" spans="2:12">
      <c r="B5" s="321" t="s">
        <v>226</v>
      </c>
      <c r="E5" s="324" t="str">
        <f>Assumption!C4</f>
        <v>LW Kota Wisata</v>
      </c>
    </row>
    <row r="6" spans="2:12">
      <c r="B6" s="321" t="s">
        <v>227</v>
      </c>
      <c r="E6" s="324" t="s">
        <v>228</v>
      </c>
    </row>
    <row r="7" spans="2:12">
      <c r="B7" s="321" t="s">
        <v>229</v>
      </c>
      <c r="E7" s="324" t="s">
        <v>230</v>
      </c>
    </row>
    <row r="8" spans="2:12">
      <c r="B8" s="321" t="s">
        <v>231</v>
      </c>
      <c r="E8" s="324" t="s">
        <v>232</v>
      </c>
    </row>
    <row r="9" spans="2:12">
      <c r="B9" s="321" t="s">
        <v>233</v>
      </c>
      <c r="E9" s="324" t="s">
        <v>234</v>
      </c>
    </row>
    <row r="10" spans="2:12">
      <c r="B10" s="321" t="s">
        <v>235</v>
      </c>
      <c r="E10" s="325">
        <v>2023</v>
      </c>
    </row>
    <row r="11" spans="2:12">
      <c r="B11" s="321" t="s">
        <v>236</v>
      </c>
      <c r="E11" s="324" t="s">
        <v>237</v>
      </c>
    </row>
    <row r="12" spans="2:12">
      <c r="B12" s="323"/>
    </row>
    <row r="13" spans="2:12">
      <c r="B13" s="326" t="s">
        <v>238</v>
      </c>
    </row>
    <row r="14" spans="2:12">
      <c r="B14" s="323" t="s">
        <v>239</v>
      </c>
      <c r="C14" s="327"/>
      <c r="D14" s="327"/>
      <c r="E14" s="328">
        <f>Assumption!N15</f>
        <v>0.06</v>
      </c>
      <c r="F14" s="323" t="s">
        <v>240</v>
      </c>
      <c r="H14" s="329"/>
    </row>
    <row r="15" spans="2:12">
      <c r="B15" s="323" t="s">
        <v>241</v>
      </c>
      <c r="C15" s="327"/>
      <c r="D15" s="327"/>
      <c r="E15" s="330">
        <v>0.15</v>
      </c>
      <c r="F15" s="323"/>
      <c r="H15" s="329"/>
      <c r="L15" s="329"/>
    </row>
    <row r="16" spans="2:12">
      <c r="B16" s="323" t="s">
        <v>242</v>
      </c>
      <c r="C16" s="327"/>
      <c r="D16" s="327"/>
      <c r="E16" s="328">
        <f>Assumption!N14</f>
        <v>0.125</v>
      </c>
      <c r="F16" s="323" t="s">
        <v>240</v>
      </c>
      <c r="L16" s="329"/>
    </row>
    <row r="17" spans="2:12">
      <c r="B17" s="323" t="s">
        <v>243</v>
      </c>
      <c r="C17" s="327"/>
      <c r="D17" s="327"/>
      <c r="E17" s="331">
        <v>15000</v>
      </c>
      <c r="F17" s="332" t="s">
        <v>244</v>
      </c>
      <c r="L17" s="329"/>
    </row>
    <row r="19" spans="2:12" ht="26.5" thickBot="1">
      <c r="F19" s="333" t="s">
        <v>245</v>
      </c>
      <c r="G19" s="333"/>
      <c r="H19" s="334" t="s">
        <v>246</v>
      </c>
      <c r="I19" s="335" t="e">
        <f>IRR(E29:I29,$E$15)</f>
        <v>#NUM!</v>
      </c>
      <c r="L19" s="330"/>
    </row>
    <row r="20" spans="2:12" ht="26.5" thickBot="1">
      <c r="B20" s="326"/>
      <c r="C20" s="326"/>
      <c r="D20" s="326"/>
      <c r="E20" s="323"/>
      <c r="F20" s="333" t="s">
        <v>247</v>
      </c>
      <c r="G20" s="333"/>
      <c r="H20" s="336" t="s">
        <v>246</v>
      </c>
      <c r="I20" s="335" t="e">
        <f>IRR(D37:I37,$E$15)</f>
        <v>#NUM!</v>
      </c>
    </row>
    <row r="21" spans="2:12" ht="26.5" thickBot="1">
      <c r="B21" s="337"/>
      <c r="F21" s="338" t="s">
        <v>248</v>
      </c>
      <c r="G21" s="339"/>
      <c r="H21" s="340" t="s">
        <v>246</v>
      </c>
      <c r="I21" s="335" t="e">
        <f>IRR(D45:I45,$E$15)</f>
        <v>#NUM!</v>
      </c>
      <c r="L21" s="337"/>
    </row>
    <row r="23" spans="2:12" ht="16" thickBot="1">
      <c r="B23" s="326"/>
      <c r="C23" s="323"/>
      <c r="D23" s="323"/>
      <c r="E23" s="323"/>
      <c r="F23" s="323"/>
      <c r="G23" s="323"/>
      <c r="H23" s="323"/>
      <c r="I23" s="323"/>
      <c r="J23" s="323"/>
    </row>
    <row r="24" spans="2:12" ht="16" thickBot="1">
      <c r="B24" s="341" t="s">
        <v>193</v>
      </c>
      <c r="C24" s="341" t="s">
        <v>249</v>
      </c>
      <c r="D24" s="341"/>
      <c r="E24" s="341" t="s">
        <v>68</v>
      </c>
      <c r="F24" s="341" t="s">
        <v>69</v>
      </c>
      <c r="G24" s="341" t="s">
        <v>70</v>
      </c>
      <c r="H24" s="341" t="s">
        <v>71</v>
      </c>
      <c r="I24" s="341" t="s">
        <v>72</v>
      </c>
      <c r="J24" s="341" t="s">
        <v>250</v>
      </c>
    </row>
    <row r="25" spans="2:12">
      <c r="B25" s="342">
        <v>1</v>
      </c>
      <c r="C25" s="343" t="s">
        <v>23</v>
      </c>
      <c r="D25" s="343"/>
      <c r="E25" s="344">
        <f>'Calculation Sheet'!E30</f>
        <v>272160000</v>
      </c>
      <c r="F25" s="344">
        <f>'Calculation Sheet'!F30</f>
        <v>631240000</v>
      </c>
      <c r="G25" s="344">
        <f>'Calculation Sheet'!G30</f>
        <v>785670000</v>
      </c>
      <c r="H25" s="344">
        <f>'Calculation Sheet'!H30</f>
        <v>842460000</v>
      </c>
      <c r="I25" s="344">
        <f>'Calculation Sheet'!I30</f>
        <v>901590000</v>
      </c>
      <c r="J25" s="344">
        <f>SUM(E25:I25)</f>
        <v>3433120000</v>
      </c>
    </row>
    <row r="26" spans="2:12">
      <c r="B26" s="345">
        <v>2</v>
      </c>
      <c r="C26" s="346" t="s">
        <v>251</v>
      </c>
      <c r="D26" s="346"/>
      <c r="E26" s="347">
        <f>'Calculation Sheet'!E77+'Calculation Sheet'!E53</f>
        <v>180264000</v>
      </c>
      <c r="F26" s="347">
        <f>'Calculation Sheet'!F77+'Calculation Sheet'!F53</f>
        <v>257896000</v>
      </c>
      <c r="G26" s="347">
        <f>'Calculation Sheet'!G77+'Calculation Sheet'!G53</f>
        <v>519668000</v>
      </c>
      <c r="H26" s="347">
        <f>'Calculation Sheet'!H77+'Calculation Sheet'!H53</f>
        <v>258138000</v>
      </c>
      <c r="I26" s="347">
        <f>'Calculation Sheet'!I77+'Calculation Sheet'!I53</f>
        <v>275877000</v>
      </c>
      <c r="J26" s="347">
        <f>SUM(E26:I26)</f>
        <v>1491843000</v>
      </c>
    </row>
    <row r="27" spans="2:12">
      <c r="B27" s="345">
        <v>3</v>
      </c>
      <c r="C27" s="346" t="s">
        <v>252</v>
      </c>
      <c r="D27" s="346"/>
      <c r="E27" s="347">
        <f>E25-E26</f>
        <v>91896000</v>
      </c>
      <c r="F27" s="347">
        <f>F25-F26</f>
        <v>373344000</v>
      </c>
      <c r="G27" s="347">
        <f>G25-G26</f>
        <v>266002000</v>
      </c>
      <c r="H27" s="347">
        <f>H25-H26</f>
        <v>584322000</v>
      </c>
      <c r="I27" s="347">
        <f>I25-I26</f>
        <v>625713000</v>
      </c>
      <c r="J27" s="347">
        <f>SUM(E27:I27)</f>
        <v>1941277000</v>
      </c>
    </row>
    <row r="28" spans="2:12">
      <c r="B28" s="345">
        <v>4</v>
      </c>
      <c r="C28" s="346" t="s">
        <v>113</v>
      </c>
      <c r="D28" s="346"/>
      <c r="E28" s="347">
        <f>IF(E27&lt;1,(E27*70%)*$E$16,E27*$E$14)</f>
        <v>5513760</v>
      </c>
      <c r="F28" s="347">
        <f>IF(F30&lt;1,(F30*70%)*$E$16,F30*$E$14)</f>
        <v>27914400</v>
      </c>
      <c r="G28" s="347">
        <f>IF(G30&lt;1,(G30*70%)*$E$16,G30*$E$14)</f>
        <v>43874520</v>
      </c>
      <c r="H28" s="347">
        <f>IF(H30&lt;1,(H30*70%)*$E$16,H30*$E$14)</f>
        <v>78933840</v>
      </c>
      <c r="I28" s="347">
        <f>IF(I30&lt;1,(I30*70%)*$E$16,I30*$E$14)</f>
        <v>116476620</v>
      </c>
      <c r="J28" s="347">
        <f>SUM(E28:I28)</f>
        <v>272713140</v>
      </c>
    </row>
    <row r="29" spans="2:12" ht="16" thickBot="1">
      <c r="B29" s="348"/>
      <c r="C29" s="349" t="s">
        <v>250</v>
      </c>
      <c r="D29" s="354"/>
      <c r="E29" s="350">
        <f>E27+E28</f>
        <v>97409760</v>
      </c>
      <c r="F29" s="350">
        <f>F27+F28</f>
        <v>401258400</v>
      </c>
      <c r="G29" s="350">
        <f>G27+G28</f>
        <v>309876520</v>
      </c>
      <c r="H29" s="350">
        <f>H27+H28</f>
        <v>663255840</v>
      </c>
      <c r="I29" s="350">
        <f>I27+I28</f>
        <v>742189620</v>
      </c>
      <c r="J29" s="350">
        <f>SUM(E29:I29)</f>
        <v>2213990140</v>
      </c>
    </row>
    <row r="30" spans="2:12">
      <c r="B30" s="337"/>
      <c r="C30" s="321"/>
      <c r="D30" s="321"/>
      <c r="E30" s="331">
        <f>E27</f>
        <v>91896000</v>
      </c>
      <c r="F30" s="331">
        <f>E30+F27</f>
        <v>465240000</v>
      </c>
      <c r="G30" s="331">
        <f>F30+G27</f>
        <v>731242000</v>
      </c>
      <c r="H30" s="331">
        <f>G30+H27</f>
        <v>1315564000</v>
      </c>
      <c r="I30" s="331">
        <f>H30+I27</f>
        <v>1941277000</v>
      </c>
      <c r="J30" s="331"/>
    </row>
    <row r="31" spans="2:12" ht="16" thickBot="1">
      <c r="B31" s="337"/>
      <c r="C31" s="321"/>
      <c r="D31" s="321"/>
      <c r="E31" s="331"/>
      <c r="F31" s="331"/>
      <c r="G31" s="331"/>
      <c r="H31" s="331"/>
      <c r="I31" s="331"/>
      <c r="J31" s="331"/>
    </row>
    <row r="32" spans="2:12" ht="16" thickBot="1">
      <c r="B32" s="341" t="s">
        <v>193</v>
      </c>
      <c r="C32" s="341" t="s">
        <v>253</v>
      </c>
      <c r="D32" s="341"/>
      <c r="E32" s="341" t="s">
        <v>68</v>
      </c>
      <c r="F32" s="341" t="s">
        <v>69</v>
      </c>
      <c r="G32" s="341" t="s">
        <v>70</v>
      </c>
      <c r="H32" s="341" t="s">
        <v>71</v>
      </c>
      <c r="I32" s="341" t="s">
        <v>72</v>
      </c>
      <c r="J32" s="341" t="s">
        <v>250</v>
      </c>
    </row>
    <row r="33" spans="2:11">
      <c r="B33" s="342">
        <v>1</v>
      </c>
      <c r="C33" s="343" t="s">
        <v>23</v>
      </c>
      <c r="D33" s="343"/>
      <c r="E33" s="344">
        <f>'Calculation Sheet'!E38</f>
        <v>406860000</v>
      </c>
      <c r="F33" s="344">
        <f>'Calculation Sheet'!F38</f>
        <v>761490000</v>
      </c>
      <c r="G33" s="344">
        <f>'Calculation Sheet'!G38</f>
        <v>822560000</v>
      </c>
      <c r="H33" s="344">
        <f>'Calculation Sheet'!H38</f>
        <v>865460000</v>
      </c>
      <c r="I33" s="344">
        <f>'Calculation Sheet'!I38</f>
        <v>910250000</v>
      </c>
      <c r="J33" s="344">
        <f>SUM(E33:I33)</f>
        <v>3766620000</v>
      </c>
    </row>
    <row r="34" spans="2:11">
      <c r="B34" s="345">
        <v>2</v>
      </c>
      <c r="C34" s="346" t="s">
        <v>251</v>
      </c>
      <c r="D34" s="346"/>
      <c r="E34" s="347">
        <f>'Calculation Sheet'!E85+'Calculation Sheet'!E53</f>
        <v>234144000</v>
      </c>
      <c r="F34" s="347">
        <f>'Calculation Sheet'!F85+'Calculation Sheet'!F53</f>
        <v>309996000</v>
      </c>
      <c r="G34" s="347">
        <f>'Calculation Sheet'!G85+'Calculation Sheet'!G53</f>
        <v>534424000</v>
      </c>
      <c r="H34" s="347">
        <f>'Calculation Sheet'!H85+'Calculation Sheet'!H53</f>
        <v>265038000</v>
      </c>
      <c r="I34" s="347">
        <f>'Calculation Sheet'!I85+'Calculation Sheet'!I53</f>
        <v>278475000</v>
      </c>
      <c r="J34" s="347">
        <f>SUM(E34:I34)</f>
        <v>1622077000</v>
      </c>
    </row>
    <row r="35" spans="2:11">
      <c r="B35" s="345">
        <v>3</v>
      </c>
      <c r="C35" s="346" t="s">
        <v>252</v>
      </c>
      <c r="D35" s="346"/>
      <c r="E35" s="347">
        <f>E33-E34</f>
        <v>172716000</v>
      </c>
      <c r="F35" s="347">
        <f>F33-F34</f>
        <v>451494000</v>
      </c>
      <c r="G35" s="347">
        <f>G33-G34</f>
        <v>288136000</v>
      </c>
      <c r="H35" s="347">
        <f>H33-H34</f>
        <v>600422000</v>
      </c>
      <c r="I35" s="347">
        <f>I33-I34</f>
        <v>631775000</v>
      </c>
      <c r="J35" s="347">
        <f>SUM(E35:I35)</f>
        <v>2144543000</v>
      </c>
    </row>
    <row r="36" spans="2:11">
      <c r="B36" s="345">
        <v>4</v>
      </c>
      <c r="C36" s="346" t="s">
        <v>113</v>
      </c>
      <c r="D36" s="346"/>
      <c r="E36" s="347">
        <f>IF(E35&lt;1,(E35*70%)*$E$16,E35*$E$14)</f>
        <v>10362960</v>
      </c>
      <c r="F36" s="347">
        <f>IF(F38&lt;1,(F38*70%)*$E$16,F38*$E$14)</f>
        <v>37452600</v>
      </c>
      <c r="G36" s="347">
        <f>IF(G38&lt;1,(G38*70%)*$E$16,G38*$E$14)</f>
        <v>54740760</v>
      </c>
      <c r="H36" s="347">
        <f>IF(H38&lt;1,(H38*70%)*$E$16,H38*$E$14)</f>
        <v>90766080</v>
      </c>
      <c r="I36" s="347">
        <f>IF(I38&lt;1,(I38*70%)*$E$16,I38*$E$14)</f>
        <v>128672580</v>
      </c>
      <c r="J36" s="347">
        <f>SUM(E36:I36)</f>
        <v>321994980</v>
      </c>
    </row>
    <row r="37" spans="2:11" ht="16" thickBot="1">
      <c r="B37" s="348"/>
      <c r="C37" s="349" t="s">
        <v>250</v>
      </c>
      <c r="D37" s="354"/>
      <c r="E37" s="350">
        <f>E35+E36</f>
        <v>183078960</v>
      </c>
      <c r="F37" s="350">
        <f>F35+F36</f>
        <v>488946600</v>
      </c>
      <c r="G37" s="350">
        <f>G35+G36</f>
        <v>342876760</v>
      </c>
      <c r="H37" s="350">
        <f>H35+H36</f>
        <v>691188080</v>
      </c>
      <c r="I37" s="350">
        <f>I35+I36</f>
        <v>760447580</v>
      </c>
      <c r="J37" s="350">
        <f>SUM(E37:I37)</f>
        <v>2466537980</v>
      </c>
    </row>
    <row r="38" spans="2:11">
      <c r="B38" s="337"/>
      <c r="C38" s="321"/>
      <c r="D38" s="321"/>
      <c r="E38" s="331">
        <f>E35</f>
        <v>172716000</v>
      </c>
      <c r="F38" s="331">
        <f>E38+F35</f>
        <v>624210000</v>
      </c>
      <c r="G38" s="331">
        <f>F38+G35</f>
        <v>912346000</v>
      </c>
      <c r="H38" s="331">
        <f>G38+H35</f>
        <v>1512768000</v>
      </c>
      <c r="I38" s="331">
        <f>H38+I35</f>
        <v>2144543000</v>
      </c>
      <c r="J38" s="331"/>
    </row>
    <row r="39" spans="2:11" ht="16" thickBot="1">
      <c r="B39" s="337"/>
      <c r="C39" s="321"/>
      <c r="D39" s="321"/>
      <c r="E39" s="331"/>
      <c r="F39" s="331"/>
      <c r="G39" s="331"/>
      <c r="H39" s="331"/>
      <c r="I39" s="331"/>
      <c r="J39" s="331"/>
    </row>
    <row r="40" spans="2:11" ht="16" thickBot="1">
      <c r="B40" s="341" t="s">
        <v>193</v>
      </c>
      <c r="C40" s="341" t="s">
        <v>254</v>
      </c>
      <c r="D40" s="341"/>
      <c r="E40" s="341" t="s">
        <v>68</v>
      </c>
      <c r="F40" s="341" t="s">
        <v>69</v>
      </c>
      <c r="G40" s="341" t="s">
        <v>70</v>
      </c>
      <c r="H40" s="341" t="s">
        <v>71</v>
      </c>
      <c r="I40" s="341" t="s">
        <v>72</v>
      </c>
      <c r="J40" s="341" t="s">
        <v>250</v>
      </c>
    </row>
    <row r="41" spans="2:11">
      <c r="B41" s="342">
        <v>1</v>
      </c>
      <c r="C41" s="343" t="s">
        <v>23</v>
      </c>
      <c r="D41" s="343"/>
      <c r="E41" s="344">
        <f>'Calculation Sheet'!E46</f>
        <v>146740000</v>
      </c>
      <c r="F41" s="344">
        <f>'Calculation Sheet'!F46</f>
        <v>334230000</v>
      </c>
      <c r="G41" s="344">
        <f>'Calculation Sheet'!G46</f>
        <v>486570000</v>
      </c>
      <c r="H41" s="344">
        <f>'Calculation Sheet'!H46</f>
        <v>649200000</v>
      </c>
      <c r="I41" s="344">
        <f>'Calculation Sheet'!I46</f>
        <v>771070000</v>
      </c>
      <c r="J41" s="344">
        <f>SUM(E41:I41)</f>
        <v>2387810000</v>
      </c>
    </row>
    <row r="42" spans="2:11">
      <c r="B42" s="345">
        <v>2</v>
      </c>
      <c r="C42" s="346" t="s">
        <v>251</v>
      </c>
      <c r="D42" s="346"/>
      <c r="E42" s="347">
        <f>'Calculation Sheet'!E93+'Calculation Sheet'!E53</f>
        <v>130096000</v>
      </c>
      <c r="F42" s="347">
        <f>'Calculation Sheet'!F93+'Calculation Sheet'!F53</f>
        <v>139092000</v>
      </c>
      <c r="G42" s="347">
        <f>'Calculation Sheet'!G93+'Calculation Sheet'!G53</f>
        <v>400028000</v>
      </c>
      <c r="H42" s="347">
        <f>'Calculation Sheet'!H93+'Calculation Sheet'!H53</f>
        <v>200160000</v>
      </c>
      <c r="I42" s="347">
        <f>'Calculation Sheet'!I93+'Calculation Sheet'!I53</f>
        <v>236721000</v>
      </c>
      <c r="J42" s="347">
        <f>SUM(E42:I42)</f>
        <v>1106097000</v>
      </c>
    </row>
    <row r="43" spans="2:11">
      <c r="B43" s="345">
        <v>3</v>
      </c>
      <c r="C43" s="346" t="s">
        <v>252</v>
      </c>
      <c r="D43" s="346"/>
      <c r="E43" s="347">
        <f>E41-E42</f>
        <v>16644000</v>
      </c>
      <c r="F43" s="347">
        <f>F41-F42</f>
        <v>195138000</v>
      </c>
      <c r="G43" s="347">
        <f>G41-G42</f>
        <v>86542000</v>
      </c>
      <c r="H43" s="347">
        <f>H41-H42</f>
        <v>449040000</v>
      </c>
      <c r="I43" s="347">
        <f>I41-I42</f>
        <v>534349000</v>
      </c>
      <c r="J43" s="347">
        <f>SUM(E43:I43)</f>
        <v>1281713000</v>
      </c>
    </row>
    <row r="44" spans="2:11">
      <c r="B44" s="345">
        <v>4</v>
      </c>
      <c r="C44" s="346" t="s">
        <v>113</v>
      </c>
      <c r="D44" s="346"/>
      <c r="E44" s="347">
        <f>IF(E43&lt;1,(E43*70%)*$E$16,E43*$E$14)</f>
        <v>998640</v>
      </c>
      <c r="F44" s="347">
        <f>IF(F46&lt;1,(F46*70%)*$E$16,F46*$E$14)</f>
        <v>12706920</v>
      </c>
      <c r="G44" s="347">
        <f>IF(G46&lt;1,(G46*70%)*$E$16,G46*$E$14)</f>
        <v>17899440</v>
      </c>
      <c r="H44" s="347">
        <f>IF(H46&lt;1,(H46*70%)*$E$16,H46*$E$14)</f>
        <v>44841840</v>
      </c>
      <c r="I44" s="347">
        <f>IF(I46&lt;1,(I46*70%)*$E$16,I46*$E$14)</f>
        <v>76902780</v>
      </c>
      <c r="J44" s="347">
        <f>SUM(E44:I44)</f>
        <v>153349620</v>
      </c>
    </row>
    <row r="45" spans="2:11" ht="16" thickBot="1">
      <c r="B45" s="348"/>
      <c r="C45" s="349" t="s">
        <v>250</v>
      </c>
      <c r="D45" s="354"/>
      <c r="E45" s="350">
        <f>E43+E44</f>
        <v>17642640</v>
      </c>
      <c r="F45" s="350">
        <f>F43+F44</f>
        <v>207844920</v>
      </c>
      <c r="G45" s="350">
        <f>G43+G44</f>
        <v>104441440</v>
      </c>
      <c r="H45" s="350">
        <f>H43+H44</f>
        <v>493881840</v>
      </c>
      <c r="I45" s="350">
        <f>I43+I44</f>
        <v>611251780</v>
      </c>
      <c r="J45" s="350">
        <f>SUM(E45:I45)</f>
        <v>1435062620</v>
      </c>
    </row>
    <row r="46" spans="2:11">
      <c r="C46" s="337"/>
      <c r="D46" s="337"/>
      <c r="E46" s="351">
        <f>E43</f>
        <v>16644000</v>
      </c>
      <c r="F46" s="331">
        <f>F43+E46</f>
        <v>211782000</v>
      </c>
      <c r="G46" s="331">
        <f>G43+F46</f>
        <v>298324000</v>
      </c>
      <c r="H46" s="331">
        <f>H43+G46</f>
        <v>747364000</v>
      </c>
      <c r="I46" s="331">
        <f>I43+H46</f>
        <v>1281713000</v>
      </c>
      <c r="J46" s="331"/>
      <c r="K46" s="331"/>
    </row>
    <row r="51" spans="5:7">
      <c r="E51" s="352"/>
      <c r="F51" s="352" t="s">
        <v>255</v>
      </c>
      <c r="G51" s="352" t="s">
        <v>256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9</vt:i4>
      </vt:variant>
    </vt:vector>
  </HeadingPairs>
  <TitlesOfParts>
    <vt:vector size="21" baseType="lpstr">
      <vt:lpstr>Summary.</vt:lpstr>
      <vt:lpstr>Summary</vt:lpstr>
      <vt:lpstr>Simulation</vt:lpstr>
      <vt:lpstr>IRR</vt:lpstr>
      <vt:lpstr>PnL (D)</vt:lpstr>
      <vt:lpstr>PnL (A)</vt:lpstr>
      <vt:lpstr>PnL (B)</vt:lpstr>
      <vt:lpstr>PnL (C)</vt:lpstr>
      <vt:lpstr>Parameter Interest</vt:lpstr>
      <vt:lpstr>Assumption</vt:lpstr>
      <vt:lpstr>Calculation Sheet</vt:lpstr>
      <vt:lpstr>Revenue</vt:lpstr>
      <vt:lpstr>Assumption!Print_Area</vt:lpstr>
      <vt:lpstr>'Calculation Sheet'!Print_Area</vt:lpstr>
      <vt:lpstr>IRR!Print_Area</vt:lpstr>
      <vt:lpstr>'PnL (A)'!Print_Area</vt:lpstr>
      <vt:lpstr>'PnL (B)'!Print_Area</vt:lpstr>
      <vt:lpstr>'PnL (C)'!Print_Area</vt:lpstr>
      <vt:lpstr>'PnL (D)'!Print_Area</vt:lpstr>
      <vt:lpstr>Revenue!Print_Area</vt:lpstr>
      <vt:lpstr>Summary.!Print_Area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2024-01-09T05:09:48Z</cp:lastPrinted>
  <dcterms:created xsi:type="dcterms:W3CDTF">2013-02-07T06:43:03Z</dcterms:created>
  <dcterms:modified xsi:type="dcterms:W3CDTF">2024-06-13T02:51:32Z</dcterms:modified>
</cp:coreProperties>
</file>