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BUDGET\IRR\IRR Excell On Progress (belum OK)\IRR Park Residence\"/>
    </mc:Choice>
  </mc:AlternateContent>
  <xr:revisionPtr revIDLastSave="0" documentId="13_ncr:1_{A8D84D4A-F046-4BF3-9991-A2EFA16EA257}" xr6:coauthVersionLast="47" xr6:coauthVersionMax="47" xr10:uidLastSave="{00000000-0000-0000-0000-000000000000}"/>
  <bookViews>
    <workbookView xWindow="-108" yWindow="-108" windowWidth="23256" windowHeight="12456" tabRatio="605" firstSheet="2" activeTab="5" xr2:uid="{00000000-000D-0000-FFFF-FFFF00000000}"/>
  </bookViews>
  <sheets>
    <sheet name="IRR (3)" sheetId="4" state="hidden" r:id="rId1"/>
    <sheet name="IRR (2)" sheetId="2" state="hidden" r:id="rId2"/>
    <sheet name="Summary" sheetId="8" r:id="rId3"/>
    <sheet name="IRR" sheetId="1" state="hidden" r:id="rId4"/>
    <sheet name="Sheet2" sheetId="7" state="hidden" r:id="rId5"/>
    <sheet name="IRR (4)" sheetId="12" r:id="rId6"/>
    <sheet name="PARAMETER" sheetId="5" r:id="rId7"/>
    <sheet name="Analisa" sheetId="10" r:id="rId8"/>
    <sheet name="Summary BR" sheetId="11" r:id="rId9"/>
    <sheet name="Tagihan IPL" sheetId="13" r:id="rId10"/>
    <sheet name="Rekap IPL&amp;Rev Share" sheetId="14" r:id="rId11"/>
  </sheets>
  <externalReferences>
    <externalReference r:id="rId12"/>
    <externalReference r:id="rId13"/>
  </externalReferences>
  <definedNames>
    <definedName name="jk" localSheetId="7">#REF!</definedName>
    <definedName name="jk" localSheetId="5">#REF!</definedName>
    <definedName name="jk">#REF!</definedName>
    <definedName name="_xlnm.Print_Area" localSheetId="7">Analisa!$A$2:$F$18</definedName>
    <definedName name="_xlnm.Print_Area" localSheetId="3">IRR!$A$1:$M$47</definedName>
    <definedName name="_xlnm.Print_Area" localSheetId="1">'IRR (2)'!$B$1:$R$79</definedName>
    <definedName name="_xlnm.Print_Area" localSheetId="0">'IRR (3)'!$B$1:$R$82</definedName>
    <definedName name="_xlnm.Print_Area" localSheetId="5">'IRR (4)'!$B$1:$P$60</definedName>
    <definedName name="_xlnm.Print_Area" localSheetId="10">'Rekap IPL&amp;Rev Share'!$A$1:$G$71</definedName>
    <definedName name="_xlnm.Print_Area" localSheetId="2">Summary!$B$2:$N$40</definedName>
    <definedName name="_xlnm.Print_Area" localSheetId="8">'Summary BR'!$A$1:$D$21</definedName>
    <definedName name="_xlnm.Print_Area" localSheetId="9">'Tagihan IPL'!$A$1:$J$48</definedName>
    <definedName name="years_contract">[1]Kerlink!$D$5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3" i="8" l="1"/>
  <c r="O26" i="12"/>
  <c r="I26" i="12"/>
  <c r="J26" i="12"/>
  <c r="K26" i="12"/>
  <c r="L26" i="12"/>
  <c r="M26" i="12"/>
  <c r="N26" i="12"/>
  <c r="H26" i="12"/>
  <c r="O24" i="12"/>
  <c r="N24" i="12"/>
  <c r="M24" i="12"/>
  <c r="L24" i="12"/>
  <c r="K24" i="12"/>
  <c r="J24" i="12"/>
  <c r="I24" i="12"/>
  <c r="H51" i="14"/>
  <c r="M16" i="8"/>
  <c r="M15" i="8"/>
  <c r="M14" i="8"/>
  <c r="I20" i="12"/>
  <c r="I30" i="12" l="1"/>
  <c r="H47" i="12"/>
  <c r="F5" i="14" l="1"/>
  <c r="J34" i="12"/>
  <c r="K34" i="12" s="1"/>
  <c r="L34" i="12" s="1"/>
  <c r="M34" i="12" s="1"/>
  <c r="N34" i="12" s="1"/>
  <c r="I22" i="12"/>
  <c r="I31" i="12" s="1"/>
  <c r="O28" i="12"/>
  <c r="M17" i="8" s="1"/>
  <c r="M47" i="12"/>
  <c r="N47" i="12"/>
  <c r="N42" i="12"/>
  <c r="O18" i="12"/>
  <c r="O29" i="12"/>
  <c r="N30" i="12"/>
  <c r="M22" i="12"/>
  <c r="M31" i="12" s="1"/>
  <c r="N22" i="12"/>
  <c r="H50" i="13"/>
  <c r="J22" i="12"/>
  <c r="J31" i="12" s="1"/>
  <c r="K22" i="12"/>
  <c r="K31" i="12" s="1"/>
  <c r="L22" i="12"/>
  <c r="L31" i="12" s="1"/>
  <c r="G72" i="14"/>
  <c r="G71" i="14"/>
  <c r="C70" i="14"/>
  <c r="F68" i="14"/>
  <c r="F67" i="14"/>
  <c r="F66" i="14"/>
  <c r="F65" i="14"/>
  <c r="F64" i="14"/>
  <c r="F63" i="14"/>
  <c r="F62" i="14"/>
  <c r="F61" i="14"/>
  <c r="F60" i="14"/>
  <c r="F59" i="14"/>
  <c r="F58" i="14"/>
  <c r="F57" i="14"/>
  <c r="F56" i="14"/>
  <c r="F55" i="14"/>
  <c r="F54" i="14"/>
  <c r="F53" i="14"/>
  <c r="F52" i="14"/>
  <c r="F51" i="14"/>
  <c r="F50" i="14"/>
  <c r="E50" i="14"/>
  <c r="D50" i="14"/>
  <c r="F49" i="14"/>
  <c r="E49" i="14"/>
  <c r="D49" i="14"/>
  <c r="F48" i="14"/>
  <c r="E48" i="14"/>
  <c r="D48" i="14"/>
  <c r="F47" i="14"/>
  <c r="E47" i="14"/>
  <c r="D47" i="14"/>
  <c r="F46" i="14"/>
  <c r="E46" i="14"/>
  <c r="D46" i="14"/>
  <c r="F45" i="14"/>
  <c r="E45" i="14"/>
  <c r="D45" i="14"/>
  <c r="F44" i="14"/>
  <c r="E44" i="14"/>
  <c r="D44" i="14"/>
  <c r="F43" i="14"/>
  <c r="E43" i="14"/>
  <c r="D43" i="14"/>
  <c r="F42" i="14"/>
  <c r="E42" i="14"/>
  <c r="D42" i="14"/>
  <c r="F41" i="14"/>
  <c r="E41" i="14"/>
  <c r="D41" i="14"/>
  <c r="F40" i="14"/>
  <c r="E40" i="14"/>
  <c r="D40" i="14"/>
  <c r="F39" i="14"/>
  <c r="E39" i="14"/>
  <c r="D39" i="14"/>
  <c r="F38" i="14"/>
  <c r="E38" i="14"/>
  <c r="D38" i="14"/>
  <c r="F37" i="14"/>
  <c r="E37" i="14"/>
  <c r="D37" i="14"/>
  <c r="F36" i="14"/>
  <c r="E36" i="14"/>
  <c r="D36" i="14"/>
  <c r="G35" i="14"/>
  <c r="F35" i="14" s="1"/>
  <c r="E35" i="14"/>
  <c r="D35" i="14"/>
  <c r="G34" i="14"/>
  <c r="F34" i="14" s="1"/>
  <c r="E34" i="14"/>
  <c r="D34" i="14"/>
  <c r="G33" i="14"/>
  <c r="F33" i="14"/>
  <c r="E33" i="14"/>
  <c r="D33" i="14"/>
  <c r="G32" i="14"/>
  <c r="F32" i="14" s="1"/>
  <c r="E32" i="14"/>
  <c r="D32" i="14"/>
  <c r="G31" i="14"/>
  <c r="F31" i="14" s="1"/>
  <c r="E31" i="14"/>
  <c r="D31" i="14"/>
  <c r="G30" i="14"/>
  <c r="F30" i="14" s="1"/>
  <c r="E30" i="14"/>
  <c r="D30" i="14"/>
  <c r="G29" i="14"/>
  <c r="F29" i="14"/>
  <c r="E29" i="14"/>
  <c r="D29" i="14"/>
  <c r="G28" i="14"/>
  <c r="F28" i="14"/>
  <c r="E28" i="14"/>
  <c r="D28" i="14"/>
  <c r="G27" i="14"/>
  <c r="F27" i="14" s="1"/>
  <c r="E27" i="14"/>
  <c r="D27" i="14"/>
  <c r="G26" i="14"/>
  <c r="F26" i="14" s="1"/>
  <c r="E26" i="14"/>
  <c r="D26" i="14"/>
  <c r="G25" i="14"/>
  <c r="F25" i="14"/>
  <c r="E25" i="14"/>
  <c r="D25" i="14"/>
  <c r="G24" i="14"/>
  <c r="F24" i="14"/>
  <c r="E24" i="14"/>
  <c r="D24" i="14"/>
  <c r="G23" i="14"/>
  <c r="F23" i="14" s="1"/>
  <c r="E23" i="14"/>
  <c r="D23" i="14"/>
  <c r="G22" i="14"/>
  <c r="F22" i="14" s="1"/>
  <c r="E22" i="14"/>
  <c r="D22" i="14"/>
  <c r="G21" i="14"/>
  <c r="F21" i="14"/>
  <c r="E21" i="14"/>
  <c r="D21" i="14"/>
  <c r="G20" i="14"/>
  <c r="F20" i="14"/>
  <c r="E20" i="14"/>
  <c r="D20" i="14"/>
  <c r="G19" i="14"/>
  <c r="F19" i="14" s="1"/>
  <c r="E19" i="14"/>
  <c r="D19" i="14"/>
  <c r="G18" i="14"/>
  <c r="F18" i="14" s="1"/>
  <c r="E18" i="14"/>
  <c r="D18" i="14"/>
  <c r="G17" i="14"/>
  <c r="F17" i="14"/>
  <c r="E17" i="14"/>
  <c r="D17" i="14"/>
  <c r="G16" i="14"/>
  <c r="F16" i="14"/>
  <c r="E16" i="14"/>
  <c r="D16" i="14"/>
  <c r="G15" i="14"/>
  <c r="F15" i="14" s="1"/>
  <c r="E15" i="14"/>
  <c r="D15" i="14"/>
  <c r="G14" i="14"/>
  <c r="F14" i="14" s="1"/>
  <c r="E14" i="14"/>
  <c r="D14" i="14"/>
  <c r="G13" i="14"/>
  <c r="F13" i="14"/>
  <c r="E13" i="14"/>
  <c r="D13" i="14"/>
  <c r="G12" i="14"/>
  <c r="F12" i="14"/>
  <c r="E12" i="14"/>
  <c r="D12" i="14"/>
  <c r="G11" i="14"/>
  <c r="F11" i="14" s="1"/>
  <c r="E11" i="14"/>
  <c r="D11" i="14"/>
  <c r="G10" i="14"/>
  <c r="F10" i="14" s="1"/>
  <c r="E10" i="14"/>
  <c r="D10" i="14"/>
  <c r="G9" i="14"/>
  <c r="F9" i="14"/>
  <c r="E9" i="14"/>
  <c r="D9" i="14"/>
  <c r="G8" i="14"/>
  <c r="F8" i="14"/>
  <c r="E8" i="14"/>
  <c r="D8" i="14"/>
  <c r="G7" i="14"/>
  <c r="F7" i="14" s="1"/>
  <c r="E7" i="14"/>
  <c r="D7" i="14"/>
  <c r="G6" i="14"/>
  <c r="F6" i="14" s="1"/>
  <c r="E6" i="14"/>
  <c r="D6" i="14"/>
  <c r="G5" i="14"/>
  <c r="G70" i="14" s="1"/>
  <c r="E5" i="14"/>
  <c r="E70" i="14" s="1"/>
  <c r="D5" i="14"/>
  <c r="D70" i="14" s="1"/>
  <c r="J19" i="12"/>
  <c r="K19" i="12" s="1"/>
  <c r="L19" i="12" s="1"/>
  <c r="M19" i="12" s="1"/>
  <c r="N19" i="12" s="1"/>
  <c r="M8" i="8"/>
  <c r="G47" i="12"/>
  <c r="J20" i="12" l="1"/>
  <c r="K20" i="12" s="1"/>
  <c r="L20" i="12" s="1"/>
  <c r="O22" i="12"/>
  <c r="O19" i="12"/>
  <c r="N31" i="12"/>
  <c r="F70" i="14"/>
  <c r="H58" i="12"/>
  <c r="I33" i="12"/>
  <c r="I32" i="12" l="1"/>
  <c r="J32" i="12" s="1"/>
  <c r="K32" i="12" s="1"/>
  <c r="L32" i="12" s="1"/>
  <c r="M32" i="12" s="1"/>
  <c r="N32" i="12" s="1"/>
  <c r="O32" i="12" s="1"/>
  <c r="F72" i="14"/>
  <c r="F73" i="14" s="1"/>
  <c r="J33" i="12"/>
  <c r="K33" i="12" s="1"/>
  <c r="L33" i="12" s="1"/>
  <c r="M33" i="12" s="1"/>
  <c r="N33" i="12" s="1"/>
  <c r="O34" i="12"/>
  <c r="K30" i="12"/>
  <c r="N35" i="12"/>
  <c r="O31" i="12"/>
  <c r="L30" i="12"/>
  <c r="M20" i="12"/>
  <c r="J30" i="12"/>
  <c r="H30" i="12"/>
  <c r="N36" i="12" l="1"/>
  <c r="N37" i="12" s="1"/>
  <c r="N38" i="12" s="1"/>
  <c r="O33" i="12"/>
  <c r="M30" i="12"/>
  <c r="O20" i="12"/>
  <c r="J29" i="5"/>
  <c r="J28" i="5"/>
  <c r="K27" i="5" s="1"/>
  <c r="M35" i="12" l="1"/>
  <c r="M36" i="12" s="1"/>
  <c r="M37" i="12" s="1"/>
  <c r="O30" i="12"/>
  <c r="M18" i="8" s="1"/>
  <c r="K29" i="5"/>
  <c r="L27" i="5"/>
  <c r="L29" i="5"/>
  <c r="M38" i="12" l="1"/>
  <c r="M27" i="5"/>
  <c r="M29" i="5" s="1"/>
  <c r="N27" i="5" l="1"/>
  <c r="N29" i="5" s="1"/>
  <c r="O27" i="5" l="1"/>
  <c r="O29" i="5" s="1"/>
  <c r="M5" i="13" l="1"/>
  <c r="L4" i="13"/>
  <c r="L5" i="13"/>
  <c r="L3" i="13"/>
  <c r="K13" i="13"/>
  <c r="K14" i="13"/>
  <c r="K15" i="13"/>
  <c r="K16" i="13"/>
  <c r="K17" i="13"/>
  <c r="K18" i="13"/>
  <c r="K19" i="13"/>
  <c r="K20" i="13"/>
  <c r="K21" i="13"/>
  <c r="K22" i="13"/>
  <c r="K23" i="13"/>
  <c r="K24" i="13"/>
  <c r="K25" i="13"/>
  <c r="K26" i="13"/>
  <c r="K27" i="13"/>
  <c r="K28" i="13"/>
  <c r="K29" i="13"/>
  <c r="K30" i="13"/>
  <c r="K31" i="13"/>
  <c r="K32" i="13"/>
  <c r="K33" i="13"/>
  <c r="K34" i="13"/>
  <c r="K35" i="13"/>
  <c r="K36" i="13"/>
  <c r="K37" i="13"/>
  <c r="K38" i="13"/>
  <c r="K39" i="13"/>
  <c r="K40" i="13"/>
  <c r="K41" i="13"/>
  <c r="K42" i="13"/>
  <c r="K43" i="13"/>
  <c r="K44" i="13"/>
  <c r="K45" i="13"/>
  <c r="K46" i="13"/>
  <c r="K47" i="13"/>
  <c r="K6" i="13"/>
  <c r="K7" i="13"/>
  <c r="K8" i="13"/>
  <c r="K9" i="13"/>
  <c r="K10" i="13"/>
  <c r="K11" i="13"/>
  <c r="K12" i="13"/>
  <c r="I15" i="12"/>
  <c r="J15" i="12" s="1"/>
  <c r="K15" i="12" s="1"/>
  <c r="L15" i="12" s="1"/>
  <c r="M15" i="12" s="1"/>
  <c r="N15" i="12" l="1"/>
  <c r="N57" i="12" s="1"/>
  <c r="M57" i="12"/>
  <c r="I58" i="12"/>
  <c r="J58" i="12" s="1"/>
  <c r="K58" i="12" s="1"/>
  <c r="L58" i="12" s="1"/>
  <c r="M58" i="12" s="1"/>
  <c r="M35" i="5"/>
  <c r="M34" i="5"/>
  <c r="N33" i="5" s="1"/>
  <c r="L32" i="5"/>
  <c r="L31" i="5"/>
  <c r="M30" i="5" s="1"/>
  <c r="H26" i="5"/>
  <c r="H25" i="5"/>
  <c r="I24" i="5" s="1"/>
  <c r="J23" i="5"/>
  <c r="J22" i="5"/>
  <c r="K21" i="5" s="1"/>
  <c r="H19" i="5"/>
  <c r="I18" i="5" s="1"/>
  <c r="H20" i="5"/>
  <c r="N2" i="5"/>
  <c r="O2" i="5" s="1"/>
  <c r="P2" i="5" s="1"/>
  <c r="Q2" i="5" s="1"/>
  <c r="R2" i="5" s="1"/>
  <c r="E11" i="5"/>
  <c r="E10" i="5"/>
  <c r="F9" i="5" s="1"/>
  <c r="G17" i="5"/>
  <c r="F14" i="5"/>
  <c r="D8" i="5"/>
  <c r="D7" i="5"/>
  <c r="E6" i="5" s="1"/>
  <c r="C5" i="5"/>
  <c r="G16" i="5"/>
  <c r="H15" i="5" s="1"/>
  <c r="F13" i="5"/>
  <c r="G12" i="5" s="1"/>
  <c r="G14" i="5" s="1"/>
  <c r="C4" i="5"/>
  <c r="D3" i="5" s="1"/>
  <c r="D5" i="5" s="1"/>
  <c r="D2" i="5"/>
  <c r="E2" i="5" s="1"/>
  <c r="F2" i="5" s="1"/>
  <c r="G2" i="5" s="1"/>
  <c r="H2" i="5" s="1"/>
  <c r="I2" i="5" s="1"/>
  <c r="J2" i="5" s="1"/>
  <c r="K2" i="5" s="1"/>
  <c r="L2" i="5" s="1"/>
  <c r="M2" i="5" s="1"/>
  <c r="N58" i="12" l="1"/>
  <c r="N59" i="12" s="1"/>
  <c r="N40" i="12" s="1"/>
  <c r="N41" i="12" s="1"/>
  <c r="N43" i="12" s="1"/>
  <c r="M59" i="12"/>
  <c r="M40" i="12" s="1"/>
  <c r="M41" i="12" s="1"/>
  <c r="M32" i="5"/>
  <c r="N30" i="5"/>
  <c r="N32" i="5" s="1"/>
  <c r="J24" i="5"/>
  <c r="J26" i="5" s="1"/>
  <c r="I26" i="5"/>
  <c r="N35" i="5"/>
  <c r="O33" i="5"/>
  <c r="O35" i="5" s="1"/>
  <c r="K23" i="5"/>
  <c r="L21" i="5"/>
  <c r="L23" i="5" s="1"/>
  <c r="I20" i="5"/>
  <c r="J18" i="5"/>
  <c r="J20" i="5" s="1"/>
  <c r="E8" i="5"/>
  <c r="F11" i="5"/>
  <c r="G9" i="5"/>
  <c r="G11" i="5" s="1"/>
  <c r="I15" i="5"/>
  <c r="I17" i="5" s="1"/>
  <c r="H17" i="5"/>
  <c r="H12" i="5"/>
  <c r="F6" i="5"/>
  <c r="E3" i="5"/>
  <c r="N44" i="12" l="1"/>
  <c r="N45" i="12" s="1"/>
  <c r="N48" i="12" s="1"/>
  <c r="K24" i="5"/>
  <c r="K26" i="5" s="1"/>
  <c r="P33" i="5"/>
  <c r="P35" i="5" s="1"/>
  <c r="O30" i="5"/>
  <c r="O32" i="5" s="1"/>
  <c r="K18" i="5"/>
  <c r="K20" i="5" s="1"/>
  <c r="M21" i="5"/>
  <c r="M23" i="5" s="1"/>
  <c r="E5" i="5"/>
  <c r="H9" i="5"/>
  <c r="H11" i="5" s="1"/>
  <c r="J15" i="5"/>
  <c r="J17" i="5" s="1"/>
  <c r="F8" i="5"/>
  <c r="H14" i="5"/>
  <c r="F3" i="5"/>
  <c r="G6" i="5"/>
  <c r="I12" i="5"/>
  <c r="P30" i="5" l="1"/>
  <c r="P32" i="5" s="1"/>
  <c r="L24" i="5"/>
  <c r="L26" i="5" s="1"/>
  <c r="Q33" i="5"/>
  <c r="Q35" i="5" s="1"/>
  <c r="N21" i="5"/>
  <c r="N23" i="5" s="1"/>
  <c r="L18" i="5"/>
  <c r="L20" i="5" s="1"/>
  <c r="I9" i="5"/>
  <c r="J11" i="5" s="1"/>
  <c r="I14" i="5"/>
  <c r="K15" i="5"/>
  <c r="G8" i="5"/>
  <c r="F5" i="5"/>
  <c r="C37" i="5" s="1"/>
  <c r="J12" i="5"/>
  <c r="H6" i="5"/>
  <c r="I8" i="5" s="1"/>
  <c r="G3" i="5"/>
  <c r="G5" i="5" s="1"/>
  <c r="D37" i="5" s="1"/>
  <c r="N37" i="5" l="1"/>
  <c r="I42" i="12" s="1"/>
  <c r="P37" i="5"/>
  <c r="K42" i="12" s="1"/>
  <c r="M24" i="5"/>
  <c r="M26" i="5" s="1"/>
  <c r="R33" i="5"/>
  <c r="R35" i="5" s="1"/>
  <c r="R37" i="5" s="1"/>
  <c r="M42" i="12" s="1"/>
  <c r="M43" i="12" s="1"/>
  <c r="Q30" i="5"/>
  <c r="Q32" i="5" s="1"/>
  <c r="M18" i="5"/>
  <c r="M20" i="5" s="1"/>
  <c r="O21" i="5"/>
  <c r="O23" i="5" s="1"/>
  <c r="O37" i="5" s="1"/>
  <c r="I11" i="5"/>
  <c r="I37" i="5" s="1"/>
  <c r="H8" i="5"/>
  <c r="H37" i="5" s="1"/>
  <c r="L15" i="5"/>
  <c r="L17" i="5" s="1"/>
  <c r="L37" i="5" s="1"/>
  <c r="K17" i="5"/>
  <c r="J14" i="5"/>
  <c r="J37" i="5" s="1"/>
  <c r="H3" i="5"/>
  <c r="H5" i="5" s="1"/>
  <c r="E37" i="5" s="1"/>
  <c r="K12" i="5"/>
  <c r="K14" i="5" s="1"/>
  <c r="M44" i="12" l="1"/>
  <c r="M45" i="12" s="1"/>
  <c r="M48" i="12" s="1"/>
  <c r="M37" i="5"/>
  <c r="H42" i="12" s="1"/>
  <c r="K37" i="5"/>
  <c r="Q37" i="5"/>
  <c r="L42" i="12" s="1"/>
  <c r="J42" i="12"/>
  <c r="I3" i="5"/>
  <c r="I5" i="5" s="1"/>
  <c r="F37" i="5" s="1"/>
  <c r="O42" i="12" l="1"/>
  <c r="J3" i="5"/>
  <c r="J5" i="5" s="1"/>
  <c r="G37" i="5" s="1"/>
  <c r="J4" i="13" l="1"/>
  <c r="J5" i="13"/>
  <c r="J6" i="13"/>
  <c r="J7" i="13"/>
  <c r="J8" i="13"/>
  <c r="J9" i="13"/>
  <c r="J10" i="13"/>
  <c r="J11" i="13"/>
  <c r="J12" i="13"/>
  <c r="J13" i="13"/>
  <c r="J14" i="13"/>
  <c r="J15" i="13"/>
  <c r="J16" i="13"/>
  <c r="J17" i="13"/>
  <c r="J18" i="13"/>
  <c r="J19" i="13"/>
  <c r="J20" i="13"/>
  <c r="J21" i="13"/>
  <c r="J22" i="13"/>
  <c r="J23" i="13"/>
  <c r="J24" i="13"/>
  <c r="J25" i="13"/>
  <c r="J26" i="13"/>
  <c r="J27" i="13"/>
  <c r="J28" i="13"/>
  <c r="J29" i="13"/>
  <c r="J30" i="13"/>
  <c r="J31" i="13"/>
  <c r="J32" i="13"/>
  <c r="J33" i="13"/>
  <c r="J34" i="13"/>
  <c r="J35" i="13"/>
  <c r="J36" i="13"/>
  <c r="J37" i="13"/>
  <c r="J38" i="13"/>
  <c r="J39" i="13"/>
  <c r="J40" i="13"/>
  <c r="J41" i="13"/>
  <c r="J42" i="13"/>
  <c r="J43" i="13"/>
  <c r="J44" i="13"/>
  <c r="J45" i="13"/>
  <c r="J46" i="13"/>
  <c r="J47" i="13"/>
  <c r="J3" i="13"/>
  <c r="C18" i="11"/>
  <c r="D18" i="11"/>
  <c r="G5" i="13"/>
  <c r="G48" i="13" s="1"/>
  <c r="H48" i="13"/>
  <c r="F48" i="13"/>
  <c r="I47" i="13"/>
  <c r="H47" i="13"/>
  <c r="I46" i="13"/>
  <c r="H46" i="13"/>
  <c r="I45" i="13"/>
  <c r="H45" i="13"/>
  <c r="I44" i="13"/>
  <c r="H44" i="13"/>
  <c r="I43" i="13"/>
  <c r="H43" i="13"/>
  <c r="I42" i="13"/>
  <c r="H42" i="13"/>
  <c r="I41" i="13"/>
  <c r="H41" i="13"/>
  <c r="I40" i="13"/>
  <c r="H40" i="13"/>
  <c r="I39" i="13"/>
  <c r="H39" i="13"/>
  <c r="I38" i="13"/>
  <c r="H38" i="13"/>
  <c r="I37" i="13"/>
  <c r="H37" i="13"/>
  <c r="I36" i="13"/>
  <c r="H36" i="13"/>
  <c r="I35" i="13"/>
  <c r="H35" i="13"/>
  <c r="I34" i="13"/>
  <c r="H34" i="13"/>
  <c r="I33" i="13"/>
  <c r="H33" i="13"/>
  <c r="I32" i="13"/>
  <c r="H32" i="13"/>
  <c r="I31" i="13"/>
  <c r="H31" i="13"/>
  <c r="I30" i="13"/>
  <c r="H30" i="13"/>
  <c r="I29" i="13"/>
  <c r="H29" i="13"/>
  <c r="I28" i="13"/>
  <c r="H28" i="13"/>
  <c r="I27" i="13"/>
  <c r="H27" i="13"/>
  <c r="I26" i="13"/>
  <c r="H26" i="13"/>
  <c r="I25" i="13"/>
  <c r="H25" i="13"/>
  <c r="I24" i="13"/>
  <c r="H24" i="13"/>
  <c r="I23" i="13"/>
  <c r="H23" i="13"/>
  <c r="I22" i="13"/>
  <c r="H22" i="13"/>
  <c r="I21" i="13"/>
  <c r="H21" i="13"/>
  <c r="I20" i="13"/>
  <c r="H20" i="13"/>
  <c r="I19" i="13"/>
  <c r="H19" i="13"/>
  <c r="I18" i="13"/>
  <c r="H18" i="13"/>
  <c r="I17" i="13"/>
  <c r="H17" i="13"/>
  <c r="I16" i="13"/>
  <c r="H16" i="13"/>
  <c r="I15" i="13"/>
  <c r="H15" i="13"/>
  <c r="I14" i="13"/>
  <c r="H14" i="13"/>
  <c r="I13" i="13"/>
  <c r="H13" i="13"/>
  <c r="I12" i="13"/>
  <c r="H12" i="13"/>
  <c r="I11" i="13"/>
  <c r="H11" i="13"/>
  <c r="I10" i="13"/>
  <c r="H10" i="13"/>
  <c r="I9" i="13"/>
  <c r="H9" i="13"/>
  <c r="I8" i="13"/>
  <c r="H8" i="13"/>
  <c r="I7" i="13"/>
  <c r="H7" i="13"/>
  <c r="I6" i="13"/>
  <c r="H6" i="13"/>
  <c r="I5" i="13"/>
  <c r="I4" i="13"/>
  <c r="G4" i="13"/>
  <c r="I3" i="13"/>
  <c r="I48" i="13" s="1"/>
  <c r="G3" i="13"/>
  <c r="J48" i="13" l="1"/>
  <c r="D14" i="10" l="1"/>
  <c r="F14" i="10" s="1"/>
  <c r="D12" i="10" l="1"/>
  <c r="F12" i="10" s="1"/>
  <c r="H35" i="12" l="1"/>
  <c r="L59" i="12"/>
  <c r="L40" i="12" s="1"/>
  <c r="K59" i="12"/>
  <c r="K40" i="12" s="1"/>
  <c r="J59" i="12"/>
  <c r="J40" i="12" s="1"/>
  <c r="I59" i="12"/>
  <c r="I40" i="12" s="1"/>
  <c r="H59" i="12"/>
  <c r="H40" i="12" s="1"/>
  <c r="L57" i="12"/>
  <c r="K57" i="12"/>
  <c r="J57" i="12"/>
  <c r="I57" i="12"/>
  <c r="H57" i="12"/>
  <c r="L47" i="12"/>
  <c r="K47" i="12"/>
  <c r="J47" i="12"/>
  <c r="I47" i="12"/>
  <c r="G48" i="12"/>
  <c r="M12" i="8"/>
  <c r="O40" i="12" l="1"/>
  <c r="G49" i="12"/>
  <c r="L35" i="12"/>
  <c r="L36" i="12" s="1"/>
  <c r="L37" i="12" s="1"/>
  <c r="L41" i="12" s="1"/>
  <c r="K35" i="12"/>
  <c r="K36" i="12" s="1"/>
  <c r="K37" i="12" s="1"/>
  <c r="J35" i="12"/>
  <c r="J36" i="12" s="1"/>
  <c r="J37" i="12" s="1"/>
  <c r="I35" i="12"/>
  <c r="I36" i="12" s="1"/>
  <c r="I37" i="12" s="1"/>
  <c r="O47" i="12"/>
  <c r="O35" i="12" l="1"/>
  <c r="M19" i="8" s="1"/>
  <c r="I41" i="12"/>
  <c r="I43" i="12" s="1"/>
  <c r="I38" i="12"/>
  <c r="J41" i="12"/>
  <c r="J43" i="12" s="1"/>
  <c r="J44" i="12" s="1"/>
  <c r="J45" i="12" s="1"/>
  <c r="J48" i="12" s="1"/>
  <c r="J38" i="12"/>
  <c r="L43" i="12"/>
  <c r="L38" i="12"/>
  <c r="K41" i="12"/>
  <c r="K43" i="12" s="1"/>
  <c r="K44" i="12" s="1"/>
  <c r="K45" i="12" s="1"/>
  <c r="K48" i="12" s="1"/>
  <c r="K38" i="12"/>
  <c r="H36" i="12"/>
  <c r="H37" i="12" s="1"/>
  <c r="H41" i="12" s="1"/>
  <c r="H43" i="12" s="1"/>
  <c r="O43" i="12" l="1"/>
  <c r="L44" i="12"/>
  <c r="L45" i="12" s="1"/>
  <c r="I44" i="12"/>
  <c r="O36" i="12"/>
  <c r="O37" i="12" s="1"/>
  <c r="O41" i="12" s="1"/>
  <c r="H38" i="12"/>
  <c r="I45" i="12" l="1"/>
  <c r="I48" i="12" s="1"/>
  <c r="O38" i="12"/>
  <c r="G54" i="12" s="1"/>
  <c r="M22" i="8" s="1"/>
  <c r="L48" i="12"/>
  <c r="D16" i="11"/>
  <c r="D12" i="11"/>
  <c r="D11" i="11"/>
  <c r="D16" i="10" l="1"/>
  <c r="F16" i="10" s="1"/>
  <c r="D15" i="10"/>
  <c r="F15" i="10" s="1"/>
  <c r="D13" i="10"/>
  <c r="D11" i="10"/>
  <c r="F11" i="10" s="1"/>
  <c r="F13" i="10" l="1"/>
  <c r="F18" i="10" s="1"/>
  <c r="M21" i="1" l="1"/>
  <c r="I48" i="5" l="1"/>
  <c r="I53" i="5" s="1"/>
  <c r="J53" i="5" s="1"/>
  <c r="F53" i="5"/>
  <c r="H52" i="5"/>
  <c r="F52" i="5"/>
  <c r="G51" i="5"/>
  <c r="J51" i="5" s="1"/>
  <c r="F50" i="5"/>
  <c r="J50" i="5" s="1"/>
  <c r="F49" i="5"/>
  <c r="D49" i="5"/>
  <c r="J49" i="5" l="1"/>
  <c r="I50" i="5"/>
  <c r="I52" i="5"/>
  <c r="J52" i="5" s="1"/>
  <c r="J54" i="5" s="1"/>
  <c r="K54" i="5" s="1"/>
  <c r="M22" i="1" l="1"/>
  <c r="M20" i="1"/>
  <c r="M10" i="8"/>
  <c r="H18" i="1" l="1"/>
  <c r="H23" i="1" s="1"/>
  <c r="H24" i="1" l="1"/>
  <c r="H46" i="1"/>
  <c r="H47" i="1" s="1"/>
  <c r="I35" i="1"/>
  <c r="J35" i="1"/>
  <c r="K35" i="1"/>
  <c r="L35" i="1"/>
  <c r="D2" i="7"/>
  <c r="D4" i="7"/>
  <c r="D3" i="7"/>
  <c r="I18" i="1" l="1"/>
  <c r="J18" i="1" l="1"/>
  <c r="K18" i="1" l="1"/>
  <c r="L18" i="1" l="1"/>
  <c r="M17" i="1"/>
  <c r="M18" i="1" s="1"/>
  <c r="B40" i="5"/>
  <c r="B43" i="5" l="1"/>
  <c r="B42" i="5"/>
  <c r="C40" i="5" s="1"/>
  <c r="D40" i="5" s="1"/>
  <c r="E40" i="5" s="1"/>
  <c r="F40" i="5" s="1"/>
  <c r="Q38" i="2"/>
  <c r="P38" i="2"/>
  <c r="O38" i="2"/>
  <c r="I78" i="2"/>
  <c r="I82" i="2" s="1"/>
  <c r="H81" i="4"/>
  <c r="H83" i="4" s="1"/>
  <c r="L68" i="4"/>
  <c r="K62" i="4"/>
  <c r="L62" i="4" s="1"/>
  <c r="M62" i="4" s="1"/>
  <c r="N62" i="4" s="1"/>
  <c r="O62" i="4" s="1"/>
  <c r="P62" i="4" s="1"/>
  <c r="J61" i="4"/>
  <c r="K61" i="4" s="1"/>
  <c r="L61" i="4" s="1"/>
  <c r="M61" i="4" s="1"/>
  <c r="N61" i="4" s="1"/>
  <c r="O61" i="4" s="1"/>
  <c r="P61" i="4" s="1"/>
  <c r="I60" i="4"/>
  <c r="J60" i="4" s="1"/>
  <c r="K60" i="4" s="1"/>
  <c r="L60" i="4" s="1"/>
  <c r="M60" i="4" s="1"/>
  <c r="N60" i="4" s="1"/>
  <c r="O60" i="4" s="1"/>
  <c r="P60" i="4" s="1"/>
  <c r="H59" i="4"/>
  <c r="I59" i="4" s="1"/>
  <c r="L58" i="4"/>
  <c r="K58" i="4"/>
  <c r="J58" i="4"/>
  <c r="I58" i="4"/>
  <c r="H58" i="4"/>
  <c r="Q43" i="4"/>
  <c r="P43" i="4"/>
  <c r="O43" i="4"/>
  <c r="N43" i="4"/>
  <c r="M43" i="4"/>
  <c r="L43" i="4"/>
  <c r="K43" i="4"/>
  <c r="J43" i="4"/>
  <c r="I43" i="4"/>
  <c r="H43" i="4"/>
  <c r="G43" i="4"/>
  <c r="G44" i="4" s="1"/>
  <c r="Q35" i="4"/>
  <c r="R29" i="4"/>
  <c r="Q28" i="4"/>
  <c r="P28" i="4"/>
  <c r="O28" i="4"/>
  <c r="N28" i="4"/>
  <c r="M28" i="4"/>
  <c r="L28" i="4"/>
  <c r="K28" i="4"/>
  <c r="J28" i="4"/>
  <c r="I28" i="4"/>
  <c r="M27" i="4"/>
  <c r="M24" i="4"/>
  <c r="M30" i="4" s="1"/>
  <c r="L24" i="4"/>
  <c r="K24" i="4"/>
  <c r="K30" i="4" s="1"/>
  <c r="K31" i="4" s="1"/>
  <c r="K32" i="4" s="1"/>
  <c r="J24" i="4"/>
  <c r="I24" i="4"/>
  <c r="H24" i="4"/>
  <c r="R23" i="4"/>
  <c r="N22" i="4"/>
  <c r="O22" i="4" s="1"/>
  <c r="P22" i="4" s="1"/>
  <c r="Q22" i="4" s="1"/>
  <c r="N21" i="4"/>
  <c r="N20" i="4"/>
  <c r="H78" i="2"/>
  <c r="H81" i="2" s="1"/>
  <c r="L65" i="2"/>
  <c r="K59" i="2"/>
  <c r="L59" i="2" s="1"/>
  <c r="M59" i="2" s="1"/>
  <c r="N59" i="2" s="1"/>
  <c r="O59" i="2" s="1"/>
  <c r="P59" i="2" s="1"/>
  <c r="J58" i="2"/>
  <c r="K58" i="2" s="1"/>
  <c r="L58" i="2" s="1"/>
  <c r="M58" i="2" s="1"/>
  <c r="N58" i="2" s="1"/>
  <c r="O58" i="2" s="1"/>
  <c r="P58" i="2" s="1"/>
  <c r="I57" i="2"/>
  <c r="J57" i="2" s="1"/>
  <c r="K57" i="2" s="1"/>
  <c r="L57" i="2" s="1"/>
  <c r="M57" i="2" s="1"/>
  <c r="N57" i="2" s="1"/>
  <c r="O57" i="2" s="1"/>
  <c r="P57" i="2" s="1"/>
  <c r="H56" i="2"/>
  <c r="H66" i="2" s="1"/>
  <c r="H35" i="2" s="1"/>
  <c r="L55" i="2"/>
  <c r="K55" i="2"/>
  <c r="J55" i="2"/>
  <c r="I55" i="2"/>
  <c r="H55" i="2"/>
  <c r="Q43" i="2"/>
  <c r="P43" i="2"/>
  <c r="O43" i="2"/>
  <c r="N43" i="2"/>
  <c r="M43" i="2"/>
  <c r="L43" i="2"/>
  <c r="K43" i="2"/>
  <c r="J43" i="2"/>
  <c r="I43" i="2"/>
  <c r="H43" i="2"/>
  <c r="G43" i="2"/>
  <c r="G44" i="2" s="1"/>
  <c r="Q35" i="2"/>
  <c r="R29" i="2"/>
  <c r="Q28" i="2"/>
  <c r="P28" i="2"/>
  <c r="O28" i="2"/>
  <c r="N28" i="2"/>
  <c r="M28" i="2"/>
  <c r="L28" i="2"/>
  <c r="K28" i="2"/>
  <c r="J28" i="2"/>
  <c r="I28" i="2"/>
  <c r="M27" i="2"/>
  <c r="M24" i="2"/>
  <c r="M30" i="2" s="1"/>
  <c r="L24" i="2"/>
  <c r="L30" i="2" s="1"/>
  <c r="K24" i="2"/>
  <c r="J24" i="2"/>
  <c r="I24" i="2"/>
  <c r="H24" i="2"/>
  <c r="H30" i="2" s="1"/>
  <c r="H31" i="2" s="1"/>
  <c r="H32" i="2" s="1"/>
  <c r="R23" i="2"/>
  <c r="N22" i="2"/>
  <c r="N21" i="2"/>
  <c r="O21" i="2" s="1"/>
  <c r="P21" i="2" s="1"/>
  <c r="Q21" i="2" s="1"/>
  <c r="N20" i="2"/>
  <c r="O20" i="2" s="1"/>
  <c r="P20" i="2" s="1"/>
  <c r="Q20" i="2" s="1"/>
  <c r="R28" i="2" l="1"/>
  <c r="H30" i="1"/>
  <c r="C43" i="5"/>
  <c r="G40" i="5"/>
  <c r="G43" i="5" s="1"/>
  <c r="G45" i="4"/>
  <c r="G46" i="4" s="1"/>
  <c r="G47" i="4" s="1"/>
  <c r="G48" i="4" s="1"/>
  <c r="I84" i="2"/>
  <c r="R28" i="4"/>
  <c r="N24" i="2"/>
  <c r="N30" i="2" s="1"/>
  <c r="I80" i="2"/>
  <c r="J82" i="2" s="1"/>
  <c r="N24" i="4"/>
  <c r="N30" i="4" s="1"/>
  <c r="L31" i="2"/>
  <c r="L32" i="2" s="1"/>
  <c r="K33" i="4"/>
  <c r="J59" i="4"/>
  <c r="I69" i="4"/>
  <c r="I35" i="4" s="1"/>
  <c r="H84" i="4"/>
  <c r="H30" i="4"/>
  <c r="M31" i="4"/>
  <c r="N27" i="4"/>
  <c r="I30" i="4"/>
  <c r="I31" i="4" s="1"/>
  <c r="I32" i="4" s="1"/>
  <c r="H69" i="4"/>
  <c r="H35" i="4" s="1"/>
  <c r="R22" i="4"/>
  <c r="J30" i="4"/>
  <c r="J31" i="4" s="1"/>
  <c r="J32" i="4" s="1"/>
  <c r="L30" i="4"/>
  <c r="L31" i="4" s="1"/>
  <c r="L32" i="4" s="1"/>
  <c r="M32" i="4"/>
  <c r="O20" i="4"/>
  <c r="O21" i="4"/>
  <c r="P21" i="4" s="1"/>
  <c r="Q21" i="4" s="1"/>
  <c r="I56" i="2"/>
  <c r="J56" i="2" s="1"/>
  <c r="K56" i="2" s="1"/>
  <c r="R21" i="2"/>
  <c r="H83" i="2"/>
  <c r="H85" i="2" s="1"/>
  <c r="H38" i="2" s="1"/>
  <c r="H36" i="2"/>
  <c r="H33" i="2"/>
  <c r="G45" i="2"/>
  <c r="H80" i="2"/>
  <c r="I81" i="2" s="1"/>
  <c r="I83" i="2" s="1"/>
  <c r="N27" i="2"/>
  <c r="I30" i="2"/>
  <c r="I31" i="2" s="1"/>
  <c r="I32" i="2" s="1"/>
  <c r="O22" i="2"/>
  <c r="J30" i="2"/>
  <c r="J31" i="2" s="1"/>
  <c r="J32" i="2" s="1"/>
  <c r="M31" i="2"/>
  <c r="M32" i="2" s="1"/>
  <c r="K30" i="2"/>
  <c r="K31" i="2" s="1"/>
  <c r="K32" i="2" s="1"/>
  <c r="R20" i="2"/>
  <c r="I85" i="2" l="1"/>
  <c r="I38" i="2" s="1"/>
  <c r="D43" i="5"/>
  <c r="K84" i="2"/>
  <c r="K82" i="2"/>
  <c r="J84" i="2"/>
  <c r="J66" i="2"/>
  <c r="J35" i="2" s="1"/>
  <c r="J36" i="2" s="1"/>
  <c r="I66" i="2"/>
  <c r="I35" i="2" s="1"/>
  <c r="I36" i="2" s="1"/>
  <c r="I39" i="2" s="1"/>
  <c r="L33" i="4"/>
  <c r="J33" i="4"/>
  <c r="I36" i="4"/>
  <c r="I33" i="4"/>
  <c r="O27" i="4"/>
  <c r="N31" i="4"/>
  <c r="N32" i="4" s="1"/>
  <c r="H31" i="4"/>
  <c r="H32" i="4" s="1"/>
  <c r="P20" i="4"/>
  <c r="O24" i="4"/>
  <c r="K59" i="4"/>
  <c r="J69" i="4"/>
  <c r="J35" i="4" s="1"/>
  <c r="J36" i="4" s="1"/>
  <c r="M33" i="4"/>
  <c r="H85" i="4"/>
  <c r="I84" i="4"/>
  <c r="R21" i="4"/>
  <c r="H39" i="2"/>
  <c r="H40" i="2" s="1"/>
  <c r="H41" i="2" s="1"/>
  <c r="H44" i="2" s="1"/>
  <c r="J33" i="2"/>
  <c r="K33" i="2"/>
  <c r="P22" i="2"/>
  <c r="O24" i="2"/>
  <c r="M33" i="2"/>
  <c r="O27" i="2"/>
  <c r="N31" i="2"/>
  <c r="N32" i="2" s="1"/>
  <c r="J81" i="2"/>
  <c r="J83" i="2" s="1"/>
  <c r="I33" i="2"/>
  <c r="L56" i="2"/>
  <c r="K66" i="2"/>
  <c r="K35" i="2" s="1"/>
  <c r="K36" i="2" s="1"/>
  <c r="L33" i="2"/>
  <c r="H44" i="12" l="1"/>
  <c r="O44" i="12" s="1"/>
  <c r="O45" i="12" s="1"/>
  <c r="J85" i="2"/>
  <c r="J38" i="2" s="1"/>
  <c r="F43" i="5"/>
  <c r="E43" i="5"/>
  <c r="L82" i="2"/>
  <c r="L84" i="2" s="1"/>
  <c r="O30" i="4"/>
  <c r="H36" i="4"/>
  <c r="H39" i="4" s="1"/>
  <c r="H33" i="4"/>
  <c r="Q20" i="4"/>
  <c r="Q24" i="4" s="1"/>
  <c r="P24" i="4"/>
  <c r="L59" i="4"/>
  <c r="K69" i="4"/>
  <c r="K35" i="4" s="1"/>
  <c r="K36" i="4" s="1"/>
  <c r="I39" i="4"/>
  <c r="N33" i="4"/>
  <c r="P27" i="4"/>
  <c r="R27" i="4"/>
  <c r="J84" i="4"/>
  <c r="I85" i="4"/>
  <c r="H45" i="2"/>
  <c r="P27" i="2"/>
  <c r="O30" i="2"/>
  <c r="J39" i="2"/>
  <c r="N33" i="2"/>
  <c r="M56" i="2"/>
  <c r="L66" i="2"/>
  <c r="L35" i="2" s="1"/>
  <c r="Q22" i="2"/>
  <c r="P24" i="2"/>
  <c r="I40" i="2"/>
  <c r="I41" i="2" s="1"/>
  <c r="I44" i="2" s="1"/>
  <c r="K81" i="2"/>
  <c r="K83" i="2" s="1"/>
  <c r="H35" i="1"/>
  <c r="G35" i="1"/>
  <c r="H45" i="12" l="1"/>
  <c r="H48" i="12"/>
  <c r="O48" i="12" s="1"/>
  <c r="M35" i="1"/>
  <c r="K85" i="2"/>
  <c r="K38" i="2" s="1"/>
  <c r="K39" i="2" s="1"/>
  <c r="K40" i="2" s="1"/>
  <c r="K41" i="2" s="1"/>
  <c r="K44" i="2" s="1"/>
  <c r="R20" i="4"/>
  <c r="R24" i="4" s="1"/>
  <c r="M82" i="2"/>
  <c r="M84" i="2" s="1"/>
  <c r="I40" i="4"/>
  <c r="I41" i="4" s="1"/>
  <c r="I44" i="4" s="1"/>
  <c r="M59" i="4"/>
  <c r="L69" i="4"/>
  <c r="L35" i="4" s="1"/>
  <c r="L36" i="4" s="1"/>
  <c r="P30" i="4"/>
  <c r="P31" i="4" s="1"/>
  <c r="P32" i="4" s="1"/>
  <c r="Q30" i="4"/>
  <c r="Q31" i="4" s="1"/>
  <c r="Q32" i="4" s="1"/>
  <c r="H40" i="4"/>
  <c r="H41" i="4" s="1"/>
  <c r="H44" i="4" s="1"/>
  <c r="O31" i="4"/>
  <c r="O32" i="4" s="1"/>
  <c r="E24" i="4"/>
  <c r="K84" i="4"/>
  <c r="K85" i="4" s="1"/>
  <c r="J85" i="4"/>
  <c r="J39" i="4" s="1"/>
  <c r="P30" i="2"/>
  <c r="P31" i="2" s="1"/>
  <c r="P32" i="2" s="1"/>
  <c r="J40" i="2"/>
  <c r="J41" i="2" s="1"/>
  <c r="J44" i="2" s="1"/>
  <c r="L36" i="2"/>
  <c r="L81" i="2"/>
  <c r="L83" i="2" s="1"/>
  <c r="L85" i="2" s="1"/>
  <c r="L38" i="2" s="1"/>
  <c r="O31" i="2"/>
  <c r="O32" i="2" s="1"/>
  <c r="Q24" i="2"/>
  <c r="R22" i="2"/>
  <c r="R24" i="2" s="1"/>
  <c r="R27" i="2"/>
  <c r="N56" i="2"/>
  <c r="M66" i="2"/>
  <c r="M35" i="2" s="1"/>
  <c r="M36" i="2" s="1"/>
  <c r="I45" i="2"/>
  <c r="I46" i="2" s="1"/>
  <c r="H46" i="2"/>
  <c r="G52" i="12" l="1"/>
  <c r="M20" i="8" s="1"/>
  <c r="H49" i="12"/>
  <c r="I49" i="12" s="1"/>
  <c r="G53" i="12"/>
  <c r="M21" i="8" s="1"/>
  <c r="H40" i="5"/>
  <c r="N82" i="2"/>
  <c r="N84" i="2" s="1"/>
  <c r="N85" i="2" s="1"/>
  <c r="N38" i="2" s="1"/>
  <c r="H45" i="4"/>
  <c r="H46" i="4" s="1"/>
  <c r="H47" i="4" s="1"/>
  <c r="P33" i="4"/>
  <c r="Q33" i="4"/>
  <c r="Q36" i="4"/>
  <c r="Q39" i="4" s="1"/>
  <c r="R30" i="4"/>
  <c r="R31" i="4" s="1"/>
  <c r="R32" i="4" s="1"/>
  <c r="O33" i="4"/>
  <c r="J40" i="4"/>
  <c r="J41" i="4" s="1"/>
  <c r="J44" i="4" s="1"/>
  <c r="L84" i="4"/>
  <c r="L85" i="4" s="1"/>
  <c r="L39" i="4" s="1"/>
  <c r="N59" i="4"/>
  <c r="M69" i="4"/>
  <c r="M35" i="4" s="1"/>
  <c r="K39" i="4"/>
  <c r="P33" i="2"/>
  <c r="Q30" i="2"/>
  <c r="O33" i="2"/>
  <c r="E24" i="2"/>
  <c r="M81" i="2"/>
  <c r="M83" i="2" s="1"/>
  <c r="M85" i="2" s="1"/>
  <c r="M38" i="2" s="1"/>
  <c r="L39" i="2"/>
  <c r="J45" i="2"/>
  <c r="J46" i="2" s="1"/>
  <c r="O56" i="2"/>
  <c r="N66" i="2"/>
  <c r="N35" i="2" s="1"/>
  <c r="N36" i="2" s="1"/>
  <c r="J49" i="12" l="1"/>
  <c r="J50" i="12" s="1"/>
  <c r="I50" i="12"/>
  <c r="H50" i="12"/>
  <c r="I40" i="5"/>
  <c r="H43" i="5"/>
  <c r="N39" i="2"/>
  <c r="N40" i="2" s="1"/>
  <c r="N41" i="2" s="1"/>
  <c r="N44" i="2" s="1"/>
  <c r="H48" i="4"/>
  <c r="L40" i="4"/>
  <c r="L41" i="4" s="1"/>
  <c r="L44" i="4" s="1"/>
  <c r="M84" i="4"/>
  <c r="M85" i="4" s="1"/>
  <c r="R38" i="4" s="1"/>
  <c r="M36" i="4"/>
  <c r="N69" i="4"/>
  <c r="N35" i="4" s="1"/>
  <c r="N36" i="4" s="1"/>
  <c r="N39" i="4" s="1"/>
  <c r="O59" i="4"/>
  <c r="R33" i="4"/>
  <c r="G54" i="4" s="1"/>
  <c r="Q40" i="4"/>
  <c r="Q41" i="4" s="1"/>
  <c r="Q44" i="4" s="1"/>
  <c r="K40" i="4"/>
  <c r="K41" i="4" s="1"/>
  <c r="K44" i="4" s="1"/>
  <c r="I45" i="4"/>
  <c r="I46" i="4" s="1"/>
  <c r="I47" i="4" s="1"/>
  <c r="R38" i="2"/>
  <c r="M39" i="2"/>
  <c r="K45" i="2"/>
  <c r="K46" i="2" s="1"/>
  <c r="L40" i="2"/>
  <c r="L41" i="2" s="1"/>
  <c r="L44" i="2" s="1"/>
  <c r="Q31" i="2"/>
  <c r="Q32" i="2" s="1"/>
  <c r="R30" i="2"/>
  <c r="R31" i="2" s="1"/>
  <c r="R32" i="2" s="1"/>
  <c r="O66" i="2"/>
  <c r="O35" i="2" s="1"/>
  <c r="O36" i="2" s="1"/>
  <c r="O39" i="2" s="1"/>
  <c r="P56" i="2"/>
  <c r="P66" i="2" s="1"/>
  <c r="P35" i="2" s="1"/>
  <c r="K49" i="12" l="1"/>
  <c r="K50" i="12" s="1"/>
  <c r="J40" i="5"/>
  <c r="J43" i="5" s="1"/>
  <c r="I43" i="5"/>
  <c r="I48" i="4"/>
  <c r="I49" i="4" s="1"/>
  <c r="H49" i="4"/>
  <c r="O69" i="4"/>
  <c r="O35" i="4" s="1"/>
  <c r="O36" i="4" s="1"/>
  <c r="O39" i="4" s="1"/>
  <c r="P59" i="4"/>
  <c r="P69" i="4" s="1"/>
  <c r="P35" i="4" s="1"/>
  <c r="M39" i="4"/>
  <c r="N40" i="4"/>
  <c r="N41" i="4" s="1"/>
  <c r="N44" i="4" s="1"/>
  <c r="J45" i="4"/>
  <c r="J46" i="4" s="1"/>
  <c r="J47" i="4" s="1"/>
  <c r="M40" i="2"/>
  <c r="M41" i="2" s="1"/>
  <c r="M44" i="2" s="1"/>
  <c r="O40" i="2"/>
  <c r="O41" i="2" s="1"/>
  <c r="O44" i="2" s="1"/>
  <c r="L45" i="2"/>
  <c r="L46" i="2" s="1"/>
  <c r="R35" i="2"/>
  <c r="P67" i="2" s="1"/>
  <c r="P36" i="2"/>
  <c r="P39" i="2" s="1"/>
  <c r="R33" i="2"/>
  <c r="G51" i="2" s="1"/>
  <c r="Q36" i="2"/>
  <c r="Q39" i="2" s="1"/>
  <c r="R39" i="2" s="1"/>
  <c r="Q33" i="2"/>
  <c r="L49" i="12" l="1"/>
  <c r="K40" i="5"/>
  <c r="K43" i="5" s="1"/>
  <c r="R36" i="2"/>
  <c r="J48" i="4"/>
  <c r="K45" i="4"/>
  <c r="K46" i="4" s="1"/>
  <c r="K47" i="4" s="1"/>
  <c r="P36" i="4"/>
  <c r="P39" i="4" s="1"/>
  <c r="R39" i="4" s="1"/>
  <c r="R35" i="4"/>
  <c r="M40" i="4"/>
  <c r="M41" i="4" s="1"/>
  <c r="M44" i="4" s="1"/>
  <c r="O40" i="4"/>
  <c r="O41" i="4" s="1"/>
  <c r="O44" i="4" s="1"/>
  <c r="M45" i="2"/>
  <c r="Q40" i="2"/>
  <c r="P40" i="2"/>
  <c r="P41" i="2" s="1"/>
  <c r="P44" i="2" s="1"/>
  <c r="G36" i="1"/>
  <c r="H28" i="1"/>
  <c r="L50" i="12" l="1"/>
  <c r="G55" i="12" s="1"/>
  <c r="M23" i="8" s="1"/>
  <c r="M49" i="12"/>
  <c r="N49" i="12" s="1"/>
  <c r="J49" i="4"/>
  <c r="K48" i="4"/>
  <c r="K49" i="4" s="1"/>
  <c r="L45" i="4"/>
  <c r="L46" i="4" s="1"/>
  <c r="P40" i="4"/>
  <c r="R40" i="4" s="1"/>
  <c r="P70" i="4"/>
  <c r="R36" i="4"/>
  <c r="R40" i="2"/>
  <c r="R41" i="2" s="1"/>
  <c r="N45" i="2"/>
  <c r="N46" i="2" s="1"/>
  <c r="Q41" i="2"/>
  <c r="Q44" i="2" s="1"/>
  <c r="M46" i="2"/>
  <c r="I47" i="1"/>
  <c r="J47" i="1" l="1"/>
  <c r="L47" i="4"/>
  <c r="L48" i="4" s="1"/>
  <c r="P41" i="4"/>
  <c r="P44" i="4" s="1"/>
  <c r="R41" i="4"/>
  <c r="M45" i="4"/>
  <c r="M46" i="4" s="1"/>
  <c r="M47" i="4" s="1"/>
  <c r="G50" i="2"/>
  <c r="G49" i="2"/>
  <c r="O45" i="2"/>
  <c r="O46" i="2" s="1"/>
  <c r="J45" i="1"/>
  <c r="K45" i="1"/>
  <c r="L45" i="1"/>
  <c r="K47" i="1" l="1"/>
  <c r="M48" i="4"/>
  <c r="L49" i="4"/>
  <c r="G53" i="4"/>
  <c r="N45" i="4"/>
  <c r="N46" i="4" s="1"/>
  <c r="N47" i="4" s="1"/>
  <c r="P45" i="2"/>
  <c r="G37" i="1"/>
  <c r="M23" i="1" l="1"/>
  <c r="M24" i="1" s="1"/>
  <c r="J24" i="1"/>
  <c r="L24" i="1"/>
  <c r="I24" i="1"/>
  <c r="K24" i="1"/>
  <c r="L47" i="1"/>
  <c r="N48" i="4"/>
  <c r="N49" i="4" s="1"/>
  <c r="M49" i="4"/>
  <c r="O45" i="4"/>
  <c r="O46" i="4" s="1"/>
  <c r="O47" i="4" s="1"/>
  <c r="Q45" i="2"/>
  <c r="Q46" i="2" s="1"/>
  <c r="P46" i="2"/>
  <c r="H25" i="1"/>
  <c r="H26" i="1" s="1"/>
  <c r="M25" i="1" l="1"/>
  <c r="M26" i="1" s="1"/>
  <c r="I36" i="1"/>
  <c r="J36" i="1"/>
  <c r="O48" i="4"/>
  <c r="O49" i="4" s="1"/>
  <c r="P45" i="4"/>
  <c r="P46" i="4" s="1"/>
  <c r="P47" i="4" s="1"/>
  <c r="G52" i="2"/>
  <c r="H29" i="1"/>
  <c r="H31" i="1" s="1"/>
  <c r="I45" i="1"/>
  <c r="H45" i="1"/>
  <c r="G42" i="1" l="1"/>
  <c r="P48" i="4"/>
  <c r="P49" i="4" s="1"/>
  <c r="H32" i="1"/>
  <c r="H33" i="1" s="1"/>
  <c r="H36" i="1" s="1"/>
  <c r="Q45" i="4"/>
  <c r="Q46" i="4" s="1"/>
  <c r="Q47" i="4" s="1"/>
  <c r="G52" i="4" s="1"/>
  <c r="K36" i="1"/>
  <c r="K37" i="1" s="1"/>
  <c r="Q48" i="4" l="1"/>
  <c r="Q49" i="4" s="1"/>
  <c r="G55" i="4" s="1"/>
  <c r="R46" i="4"/>
  <c r="H37" i="1"/>
  <c r="H38" i="1" s="1"/>
  <c r="J38" i="1" l="1"/>
  <c r="K38" i="1" l="1"/>
  <c r="I38" i="1"/>
  <c r="M30" i="1" l="1"/>
  <c r="L36" i="1"/>
  <c r="M36" i="1" l="1"/>
  <c r="G40" i="1"/>
  <c r="M28" i="1"/>
  <c r="M29" i="1" s="1"/>
  <c r="L37" i="1"/>
  <c r="L38" i="1" l="1"/>
  <c r="M31" i="1"/>
  <c r="M32" i="1" l="1"/>
  <c r="M33" i="1" s="1"/>
  <c r="G41" i="1" l="1"/>
  <c r="G4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48" authorId="0" shapeId="0" xr:uid="{0C3D5455-CB2E-44E7-B245-E2B84BD7C283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Siti Hapsah</author>
  </authors>
  <commentList>
    <comment ref="F36" authorId="0" shapeId="0" xr:uid="{3E02FD55-3AA8-462D-8D94-15F2E4B30BD9}">
      <text>
        <r>
          <rPr>
            <b/>
            <sz val="9"/>
            <color indexed="81"/>
            <rFont val="Tahoma"/>
            <family val="2"/>
          </rPr>
          <t>Siti Hapsah:</t>
        </r>
        <r>
          <rPr>
            <sz val="9"/>
            <color indexed="81"/>
            <rFont val="Tahoma"/>
            <family val="2"/>
          </rPr>
          <t xml:space="preserve">
menunggu hasil rekonsiliasi dengan MTI untuk paket upgrade</t>
        </r>
      </text>
    </comment>
  </commentList>
</comments>
</file>

<file path=xl/sharedStrings.xml><?xml version="1.0" encoding="utf-8"?>
<sst xmlns="http://schemas.openxmlformats.org/spreadsheetml/2006/main" count="606" uniqueCount="297">
  <si>
    <t>Assumption:</t>
  </si>
  <si>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</si>
  <si>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</si>
  <si>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</si>
  <si>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</si>
  <si>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</si>
  <si>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</si>
  <si>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</si>
  <si>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</si>
  <si>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</si>
  <si>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</si>
  <si>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</si>
  <si>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</si>
  <si>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</si>
  <si>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</si>
  <si>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</si>
  <si>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</si>
  <si>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</si>
  <si>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</si>
  <si>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</si>
  <si>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</si>
  <si>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</si>
  <si>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</si>
  <si>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</si>
  <si>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</si>
  <si>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</si>
  <si>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</si>
  <si>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</si>
  <si>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</si>
  <si>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</si>
  <si>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</si>
  <si>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</si>
  <si>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</si>
  <si>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</si>
  <si>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</si>
  <si>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</si>
  <si>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</si>
  <si>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Telkomsel</t>
  </si>
  <si>
    <t>XL</t>
  </si>
  <si>
    <t>Smartfren</t>
  </si>
  <si>
    <t>IOH</t>
  </si>
  <si>
    <t>Y1</t>
  </si>
  <si>
    <t>Y2</t>
  </si>
  <si>
    <t>Y3</t>
  </si>
  <si>
    <t>Y4</t>
  </si>
  <si>
    <t>Y5</t>
  </si>
  <si>
    <t>Interest Rate</t>
  </si>
  <si>
    <t>Lease to BM</t>
  </si>
  <si>
    <t>Maintenance</t>
  </si>
  <si>
    <t>Y6</t>
  </si>
  <si>
    <t>Y7</t>
  </si>
  <si>
    <t>Y8</t>
  </si>
  <si>
    <t>Y9</t>
  </si>
  <si>
    <t>Y10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</si>
  <si>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</si>
  <si>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</si>
  <si>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</si>
  <si>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</si>
  <si>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</si>
  <si>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</si>
  <si>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</si>
  <si>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</si>
  <si>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</si>
  <si>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AEON DELTAMAS</t>
  </si>
  <si>
    <t>loan</t>
  </si>
  <si>
    <t>Period  (thn)</t>
  </si>
  <si>
    <t>Installment/thn</t>
  </si>
  <si>
    <t>Loan balance</t>
  </si>
  <si>
    <t>Interest</t>
  </si>
  <si>
    <t>Deposito Rate</t>
  </si>
  <si>
    <t>Accumulated FCF after Interest</t>
  </si>
  <si>
    <t>FCFF after Interest</t>
  </si>
  <si>
    <t>Loan balance1</t>
  </si>
  <si>
    <t>Loan balance2</t>
  </si>
  <si>
    <t>Interest1</t>
  </si>
  <si>
    <t>Interest2</t>
  </si>
  <si>
    <t>Total Interest</t>
  </si>
  <si>
    <t>loan u/ capex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</si>
  <si>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</si>
  <si>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</si>
  <si>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</si>
  <si>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</si>
  <si>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</si>
  <si>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</si>
  <si>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</si>
  <si>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</si>
  <si>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</si>
  <si>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</si>
  <si>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</si>
  <si>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</si>
  <si>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</si>
  <si>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</si>
  <si>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</si>
  <si>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</si>
  <si>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</si>
  <si>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</si>
  <si>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</si>
  <si>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</si>
  <si>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</si>
  <si>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</si>
  <si>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</si>
  <si>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Status P&amp;L</t>
  </si>
  <si>
    <t>Interest rate /year</t>
  </si>
  <si>
    <t>Payback (year)</t>
  </si>
  <si>
    <t xml:space="preserve"> Tsel (06 Mei 2020 - 05 Mei 2023) Rp.792.000.000/3th </t>
  </si>
  <si>
    <t xml:space="preserve"> XL (17 Nov 2019 - 16 Nov 2024) Rp.1.405.815.000/5th </t>
  </si>
  <si>
    <t xml:space="preserve"> H3i (18 Jan 2018 - 17 Jan 2023)Rp.1.287.360.000/5th </t>
  </si>
  <si>
    <t>Renewal</t>
  </si>
  <si>
    <t xml:space="preserve">Tanggal P&amp;L:  </t>
  </si>
  <si>
    <t>Prepared by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</si>
  <si>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</si>
  <si>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</si>
  <si>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</si>
  <si>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</si>
  <si>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</si>
  <si>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</si>
  <si>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</si>
  <si>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</si>
  <si>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</si>
  <si>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</si>
  <si>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</si>
  <si>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</si>
  <si>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</si>
  <si>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</si>
  <si>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</si>
  <si>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</si>
  <si>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</si>
  <si>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</si>
  <si>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</si>
  <si>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</si>
  <si>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</si>
  <si>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</si>
  <si>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</si>
  <si>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</si>
  <si>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</si>
  <si>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</si>
  <si>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</si>
  <si>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</si>
  <si>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</si>
  <si>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</si>
  <si>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</si>
  <si>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</si>
  <si>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</si>
  <si>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</si>
  <si>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</si>
  <si>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</si>
  <si>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</si>
  <si>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</si>
  <si>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</si>
  <si>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</si>
  <si>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Target To Achieve by Commercial:</t>
  </si>
  <si>
    <t xml:space="preserve">Erosion Price </t>
  </si>
  <si>
    <t>Apartement The Park Residence</t>
  </si>
  <si>
    <t>Jakut</t>
  </si>
  <si>
    <t xml:space="preserve">Jl. Bukit gading Raya kav 1 </t>
  </si>
  <si>
    <t>Kelapa gading</t>
  </si>
  <si>
    <t>DKI Jakarta</t>
  </si>
  <si>
    <t>Apartment</t>
  </si>
  <si>
    <t>The Park Residence</t>
  </si>
  <si>
    <t xml:space="preserve">Periode </t>
  </si>
  <si>
    <t>Start</t>
  </si>
  <si>
    <t>End</t>
  </si>
  <si>
    <t>Days</t>
  </si>
  <si>
    <t>Rev Tsel</t>
  </si>
  <si>
    <t>Listrik Tsel</t>
  </si>
  <si>
    <t>Antisipasi Add Capex and Pole</t>
  </si>
  <si>
    <t>Profit</t>
  </si>
  <si>
    <t>SUMMARY REVIEW</t>
  </si>
  <si>
    <t xml:space="preserve">Nama Site                          </t>
  </si>
  <si>
    <t>: Apartement The Park Residence</t>
  </si>
  <si>
    <t xml:space="preserve">Nama Pemilik      </t>
  </si>
  <si>
    <t>: PPPSRS-PA</t>
  </si>
  <si>
    <t xml:space="preserve">Alamat Pemilik      </t>
  </si>
  <si>
    <t>: Jl. Bukit gading Raya kav 1 Kelapa gading, Jakut</t>
  </si>
  <si>
    <t xml:space="preserve">Telp                                            </t>
  </si>
  <si>
    <t xml:space="preserve">: </t>
  </si>
  <si>
    <t xml:space="preserve">Obyek Sewa            </t>
  </si>
  <si>
    <t>:   308  titik antenna, RBS room 40 m2, Pole sesuai kebutuhan operator ( 2 Tower )</t>
  </si>
  <si>
    <t xml:space="preserve">No. </t>
  </si>
  <si>
    <t>Keterangan</t>
  </si>
  <si>
    <t>Existing</t>
  </si>
  <si>
    <t>1.</t>
  </si>
  <si>
    <t>Scope Of Lease</t>
  </si>
  <si>
    <t xml:space="preserve">IBC  </t>
  </si>
  <si>
    <t>2.</t>
  </si>
  <si>
    <t>Obyek Sewa</t>
  </si>
  <si>
    <t xml:space="preserve"> 308  titik antenna, RBS room 40 m2, Pole sesuai kebutuhan operator</t>
  </si>
  <si>
    <t>3.</t>
  </si>
  <si>
    <t>13 Maret 2018  -12 Maret 2023</t>
  </si>
  <si>
    <t>4.</t>
  </si>
  <si>
    <t>NO :  0015/03/IRR/IBC/VII/2023</t>
  </si>
  <si>
    <t>OM Tsel</t>
  </si>
  <si>
    <t>Rev XL</t>
  </si>
  <si>
    <t>Sewa BM Tsel</t>
  </si>
  <si>
    <t>Sewa BM XL</t>
  </si>
  <si>
    <t>Hutang IPL</t>
  </si>
  <si>
    <t>Mar-19</t>
  </si>
  <si>
    <t>Sep-22</t>
  </si>
  <si>
    <t>(Inc PPN10% dan 11%)</t>
  </si>
  <si>
    <t>OUTSTANDING IPL THE PARK RESIDENCE</t>
  </si>
  <si>
    <t>No</t>
  </si>
  <si>
    <t>No. Invoice</t>
  </si>
  <si>
    <t>Tgl Invoice</t>
  </si>
  <si>
    <t>Deskripsi</t>
  </si>
  <si>
    <t>Periode</t>
  </si>
  <si>
    <t>DPP</t>
  </si>
  <si>
    <t>Lunas</t>
  </si>
  <si>
    <t>Nelum Lunas</t>
  </si>
  <si>
    <t>PPn</t>
  </si>
  <si>
    <t>PPPSRS 2 TOWER D-E THE PARK RESIDENCE</t>
  </si>
  <si>
    <t>Lunas oleh BM</t>
  </si>
  <si>
    <t>Sisa belum lunas 8.636.364</t>
  </si>
  <si>
    <t>TOTAL</t>
  </si>
  <si>
    <t>Periode Sewa Tsel</t>
  </si>
  <si>
    <t>Periode Sewa XL</t>
  </si>
  <si>
    <t>Harga Sewa Tsel/ Masa</t>
  </si>
  <si>
    <t>Harga Sewa Tsel/ thn</t>
  </si>
  <si>
    <t>Harga Sewa XL/ Masa</t>
  </si>
  <si>
    <t>Harga Sewa XL/ thn</t>
  </si>
  <si>
    <t>13Mar2018 sd 12Mar23</t>
  </si>
  <si>
    <t>Periode Rev. Tsel</t>
  </si>
  <si>
    <t>Periode Rev. XL</t>
  </si>
  <si>
    <t>29Jan2019 sd 28Feb2023</t>
  </si>
  <si>
    <t>24Jul23 sd 23Jul24</t>
  </si>
  <si>
    <t>Kenaikan/ Penurunan Harga</t>
  </si>
  <si>
    <t>1Mar23 sd 28Feb28</t>
  </si>
  <si>
    <t>13 Mar23 sd 12Mar24</t>
  </si>
  <si>
    <t>24Jul23 sd 23Jul24 Setelahnya DROP</t>
  </si>
  <si>
    <t>Mengalami penurunan 25%</t>
  </si>
  <si>
    <t>0015/03/IRR/IBC/VII/2023</t>
  </si>
  <si>
    <t>Citra K.</t>
  </si>
  <si>
    <t>PERHITUNGAN INTEREST EXPENSE based CAPEX</t>
  </si>
  <si>
    <t>Capex tahun</t>
  </si>
  <si>
    <t>2013</t>
  </si>
  <si>
    <t>2014</t>
  </si>
  <si>
    <t>2016</t>
  </si>
  <si>
    <t>2017</t>
  </si>
  <si>
    <t>Interest Exp</t>
  </si>
  <si>
    <t>loan Wifi</t>
  </si>
  <si>
    <t>loan IBC</t>
  </si>
  <si>
    <t>Lease to BM IBC-Tsel</t>
  </si>
  <si>
    <t>REV IBC-Telkomsel</t>
  </si>
  <si>
    <t>REV Share to Mora  from IPL BM (60Mora-40IBS)</t>
  </si>
  <si>
    <t>THE PARK RESIDENCE</t>
  </si>
  <si>
    <t>IBC &amp; OPenNet</t>
  </si>
  <si>
    <t>REV IBC-XL</t>
  </si>
  <si>
    <t>Total CAPEX BV IBC 31DES2022</t>
  </si>
  <si>
    <t>Total CAPEX BV WIFI 31DES2022</t>
  </si>
  <si>
    <t>Total CAPEX WIFI 2023</t>
  </si>
  <si>
    <t>Lease to BM IBC-XL</t>
  </si>
  <si>
    <t>Capex DAS</t>
  </si>
  <si>
    <t>Total COGS Others</t>
  </si>
  <si>
    <t>Total Revenue Wifi (5th)</t>
  </si>
  <si>
    <t>Total Revenue IBC (2th)</t>
  </si>
  <si>
    <t>Total COGS Rent IBC</t>
  </si>
  <si>
    <t>Total COGS Rent Wifi</t>
  </si>
  <si>
    <t>13 Maret 2023 - 12 Maret 2028 ( 5 Thn )</t>
  </si>
  <si>
    <t>BM memiliki hutang ke IBS dari penerimaan IPL dan akan dicicil 10jt/bln</t>
  </si>
  <si>
    <t>REKAP OUTSTANDING THE PARK RESIDENCE</t>
  </si>
  <si>
    <t>Total Tagihan IPL IBS to BM</t>
  </si>
  <si>
    <t>Rev share IPL IBS to MTI (60%)</t>
  </si>
  <si>
    <t>Rev share IPL IBS (40%)</t>
  </si>
  <si>
    <t>Rev Share Broadband IBS to BM (5%)</t>
  </si>
  <si>
    <t>Rev Share Broadband MTI to IBS</t>
  </si>
  <si>
    <t>Des 18</t>
  </si>
  <si>
    <t>Mei-20</t>
  </si>
  <si>
    <t>Augs-20</t>
  </si>
  <si>
    <t>Okt-20</t>
  </si>
  <si>
    <t>Des-20</t>
  </si>
  <si>
    <t>Mei-21</t>
  </si>
  <si>
    <t>Juni 21</t>
  </si>
  <si>
    <t>Juli 21</t>
  </si>
  <si>
    <t>Agust 21</t>
  </si>
  <si>
    <t>Okt 21</t>
  </si>
  <si>
    <t>Des-21</t>
  </si>
  <si>
    <t>Mei 22</t>
  </si>
  <si>
    <t>Juni 22</t>
  </si>
  <si>
    <t>Augst 22</t>
  </si>
  <si>
    <t>IPL berakhir sampai dengan akhir sept 22</t>
  </si>
  <si>
    <t xml:space="preserve">Total </t>
  </si>
  <si>
    <t>Rev from Rev Share Mora (Direct Mora to BM) (Rata2)</t>
  </si>
  <si>
    <t>Rev Share to BM from Direct Mora (5%)</t>
  </si>
  <si>
    <t>REV from IPL BM (125.000/unit) Asumsi 100 tenant (tapi BM Bayar Cicilan 10jt/bln)</t>
  </si>
  <si>
    <t>Hutang IPL BM ke IBSW</t>
  </si>
  <si>
    <t>Hutang Rev Share Mora ke IBSW</t>
  </si>
  <si>
    <t>Note Wifi:</t>
  </si>
  <si>
    <t>REV IBS via IPL tidak dilanjutkan lagi, Mora langsung Direct ke BM (Rev Share ke IBS 5%)</t>
  </si>
  <si>
    <t>Mora akan membayar Rev share ke IBS jika IBS membayar Rev Share dari IPL BM</t>
  </si>
  <si>
    <t>(hutang IPL BM ke IBS 634.761.364, dicicil BM 10jt/bln). &amp; skema Via IPL dihentikan</t>
  </si>
  <si>
    <t>(skema Via IPL dihentikan dilanjutkan dgn ISP direct to BM)</t>
  </si>
  <si>
    <t>Total Capex BV IBC 31Des22</t>
  </si>
  <si>
    <t>Total Capex BV Wifi 31Des22</t>
  </si>
  <si>
    <t>Total Capex BV Wifi 2023</t>
  </si>
  <si>
    <t>BM P3RS tidak bisa meyakinkan kelanjutan sewa sebab setiap 2thn ada penggantian mgm</t>
  </si>
  <si>
    <t>Worse: Jika BM perpanjang sewa hanya setahun, dan Operator sesuai tanggal BM</t>
  </si>
  <si>
    <t>Rev from Rev Share Mora (Direct Mora to BM) Mora Byr Hutang ke IBSW krn BM byr cicilan</t>
  </si>
  <si>
    <t>Rev Share to BM from Direct Mora (5%) karena Mora mulai membayar hutangnya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</si>
</sst>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2" formatCode="_(&quot;Rp&quot;* #,##0_);_(&quot;Rp&quot;* \(#,##0\);_(&quot;Rp&quot;* &quot;-&quot;_);_(@_)"/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(* #,##0_);_(* \(#,##0\);_(* &quot;-&quot;??_);_(@_)"/>
    <numFmt numFmtId="167" formatCode="_(* #,##0.0_);_(* \(#,##0.0\);_(* &quot;-&quot;??_);_(@_)"/>
    <numFmt numFmtId="168" formatCode="_-* #,##0.0_-;\-* #,##0.0_-;_-* &quot;-&quot;_-;_-@_-"/>
    <numFmt numFmtId="169" formatCode="[$-C09]dd\-mmm\-yy;@"/>
    <numFmt numFmtId="170" formatCode="#,###&quot;/thn&quot;"/>
    <numFmt numFmtId="171" formatCode="#,###&quot;/pole&quot;"/>
    <numFmt numFmtId="172" formatCode="&quot;Rp&quot;#,##0;[Red]\-&quot;Rp&quot;#,##0"/>
    <numFmt numFmtId="173" formatCode="[$-409]d\-mmm\-yy;@"/>
    <numFmt numFmtId="179" formatCode="0.0000000"/>
  </numFmts>
  <fonts count="5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</font>
    <font>
      <sz val="14"/>
      <color theme="1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rgb="FF000000"/>
      <name val="Calibri"/>
      <family val="2"/>
    </font>
    <font>
      <b/>
      <i/>
      <sz val="14"/>
      <color rgb="FF000000"/>
      <name val="Calibri"/>
      <family val="2"/>
    </font>
    <font>
      <sz val="10"/>
      <color theme="1"/>
      <name val="Times New Roman"/>
      <family val="1"/>
    </font>
    <font>
      <sz val="12"/>
      <color rgb="FF1F3864"/>
      <name val="Calibri"/>
      <family val="2"/>
      <scheme val="minor"/>
    </font>
    <font>
      <sz val="12"/>
      <color rgb="FF002060"/>
      <name val="Comic Sans MS"/>
      <family val="4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charset val="1"/>
      <scheme val="minor"/>
    </font>
    <font>
      <b/>
      <sz val="10"/>
      <color theme="1"/>
      <name val="Calibri"/>
      <family val="2"/>
      <charset val="1"/>
      <scheme val="minor"/>
    </font>
    <font>
      <b/>
      <i/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2">
    <xf numFmtId="0" fontId="0" fillId="0" borderId="0"/>
    <xf numFmtId="43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8" fillId="0" borderId="0"/>
    <xf numFmtId="0" fontId="26" fillId="0" borderId="0"/>
    <xf numFmtId="43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0" fillId="0" borderId="0"/>
    <xf numFmtId="43" fontId="6" fillId="0" borderId="0" applyFont="0" applyFill="0" applyBorder="0" applyAlignment="0" applyProtection="0"/>
    <xf numFmtId="0" fontId="26" fillId="0" borderId="0"/>
    <xf numFmtId="42" fontId="26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41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" fillId="0" borderId="0"/>
    <xf numFmtId="0" fontId="26" fillId="0" borderId="0"/>
    <xf numFmtId="0" fontId="2" fillId="0" borderId="0"/>
    <xf numFmtId="41" fontId="2" fillId="0" borderId="0" applyFont="0" applyFill="0" applyBorder="0" applyAlignment="0" applyProtection="0"/>
    <xf numFmtId="41" fontId="26" fillId="0" borderId="0" applyFont="0" applyFill="0" applyBorder="0" applyAlignment="0" applyProtection="0"/>
  </cellStyleXfs>
  <cellXfs count="344">
    <xf numFmtId="0" fontId="0" fillId="0" borderId="0" xfId="0"/>
    <xf numFmtId="0" fontId="11" fillId="0" borderId="0" xfId="0" applyFont="1"/>
    <xf numFmtId="0" fontId="0" fillId="0" borderId="0" xfId="0" applyAlignment="1">
      <alignment vertical="center"/>
    </xf>
    <xf numFmtId="0" fontId="12" fillId="0" borderId="0" xfId="0" applyFont="1"/>
    <xf numFmtId="0" fontId="0" fillId="3" borderId="0" xfId="0" applyFill="1"/>
    <xf numFmtId="9" fontId="13" fillId="0" borderId="0" xfId="2" applyNumberFormat="1" applyFont="1"/>
    <xf numFmtId="10" fontId="13" fillId="0" borderId="0" xfId="2" applyNumberFormat="1" applyFont="1"/>
    <xf numFmtId="0" fontId="0" fillId="0" borderId="1" xfId="0" applyBorder="1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16" fillId="0" borderId="0" xfId="0" applyNumberFormat="1" applyFont="1" applyBorder="1"/>
    <xf numFmtId="164" fontId="13" fillId="0" borderId="0" xfId="0" applyNumberFormat="1" applyFont="1" applyBorder="1"/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164" fontId="0" fillId="0" borderId="0" xfId="0" applyNumberFormat="1" applyAlignment="1">
      <alignment vertical="center"/>
    </xf>
    <xf numFmtId="164" fontId="0" fillId="0" borderId="0" xfId="0" applyNumberFormat="1"/>
    <xf numFmtId="0" fontId="14" fillId="0" borderId="0" xfId="0" applyFont="1"/>
    <xf numFmtId="0" fontId="0" fillId="0" borderId="2" xfId="0" applyBorder="1"/>
    <xf numFmtId="164" fontId="0" fillId="0" borderId="2" xfId="0" applyNumberFormat="1" applyBorder="1" applyAlignment="1">
      <alignment vertical="center"/>
    </xf>
    <xf numFmtId="0" fontId="20" fillId="0" borderId="0" xfId="0" applyFont="1"/>
    <xf numFmtId="0" fontId="20" fillId="0" borderId="0" xfId="0" applyFont="1" applyAlignment="1">
      <alignment vertical="center"/>
    </xf>
    <xf numFmtId="43" fontId="20" fillId="0" borderId="0" xfId="1" applyFont="1"/>
    <xf numFmtId="164" fontId="0" fillId="0" borderId="2" xfId="2" applyFont="1" applyBorder="1" applyAlignment="1">
      <alignment vertical="center"/>
    </xf>
    <xf numFmtId="164" fontId="11" fillId="0" borderId="0" xfId="0" applyNumberFormat="1" applyFont="1" applyAlignment="1">
      <alignment vertical="center"/>
    </xf>
    <xf numFmtId="0" fontId="21" fillId="0" borderId="0" xfId="0" applyFont="1"/>
    <xf numFmtId="0" fontId="22" fillId="0" borderId="0" xfId="0" applyFont="1"/>
    <xf numFmtId="9" fontId="21" fillId="0" borderId="0" xfId="3" applyFont="1" applyAlignment="1">
      <alignment vertical="center"/>
    </xf>
    <xf numFmtId="0" fontId="0" fillId="0" borderId="0" xfId="0" applyFill="1" applyBorder="1"/>
    <xf numFmtId="38" fontId="15" fillId="0" borderId="0" xfId="0" applyNumberFormat="1" applyFont="1" applyAlignment="1">
      <alignment vertical="center"/>
    </xf>
    <xf numFmtId="38" fontId="0" fillId="0" borderId="0" xfId="0" applyNumberForma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6" fontId="19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 vertical="center"/>
    </xf>
    <xf numFmtId="166" fontId="0" fillId="0" borderId="0" xfId="0" applyNumberFormat="1" applyAlignment="1">
      <alignment vertical="center"/>
    </xf>
    <xf numFmtId="166" fontId="0" fillId="0" borderId="0" xfId="0" applyNumberFormat="1"/>
    <xf numFmtId="0" fontId="11" fillId="0" borderId="4" xfId="0" applyFont="1" applyBorder="1"/>
    <xf numFmtId="0" fontId="0" fillId="0" borderId="4" xfId="0" applyBorder="1"/>
    <xf numFmtId="166" fontId="11" fillId="0" borderId="4" xfId="0" applyNumberFormat="1" applyFont="1" applyBorder="1" applyAlignment="1">
      <alignment vertical="center"/>
    </xf>
    <xf numFmtId="0" fontId="0" fillId="0" borderId="0" xfId="0" applyBorder="1"/>
    <xf numFmtId="164" fontId="18" fillId="0" borderId="0" xfId="0" applyNumberFormat="1" applyFont="1" applyBorder="1"/>
    <xf numFmtId="164" fontId="17" fillId="0" borderId="0" xfId="0" applyNumberFormat="1" applyFont="1" applyBorder="1"/>
    <xf numFmtId="166" fontId="11" fillId="0" borderId="0" xfId="0" applyNumberFormat="1" applyFont="1" applyBorder="1" applyAlignment="1">
      <alignment vertical="center"/>
    </xf>
    <xf numFmtId="164" fontId="0" fillId="3" borderId="0" xfId="0" applyNumberFormat="1" applyFill="1" applyBorder="1" applyAlignment="1">
      <alignment vertical="center"/>
    </xf>
    <xf numFmtId="164" fontId="0" fillId="3" borderId="0" xfId="0" applyNumberFormat="1" applyFill="1" applyBorder="1"/>
    <xf numFmtId="0" fontId="0" fillId="3" borderId="0" xfId="0" applyFill="1" applyBorder="1"/>
    <xf numFmtId="43" fontId="20" fillId="3" borderId="0" xfId="1" applyFont="1" applyFill="1" applyBorder="1"/>
    <xf numFmtId="164" fontId="0" fillId="3" borderId="0" xfId="2" applyFont="1" applyFill="1" applyBorder="1" applyAlignment="1">
      <alignment vertical="center"/>
    </xf>
    <xf numFmtId="164" fontId="11" fillId="3" borderId="0" xfId="0" applyNumberFormat="1" applyFont="1" applyFill="1" applyBorder="1" applyAlignment="1">
      <alignment vertical="center"/>
    </xf>
    <xf numFmtId="0" fontId="11" fillId="3" borderId="0" xfId="0" applyFont="1" applyFill="1" applyBorder="1"/>
    <xf numFmtId="9" fontId="21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164" fontId="0" fillId="3" borderId="0" xfId="2" applyFont="1" applyFill="1" applyBorder="1"/>
    <xf numFmtId="0" fontId="11" fillId="0" borderId="0" xfId="0" applyFont="1" applyBorder="1" applyAlignment="1">
      <alignment horizontal="center"/>
    </xf>
    <xf numFmtId="0" fontId="24" fillId="0" borderId="6" xfId="0" applyFont="1" applyBorder="1"/>
    <xf numFmtId="0" fontId="24" fillId="0" borderId="3" xfId="0" applyFont="1" applyBorder="1"/>
    <xf numFmtId="0" fontId="24" fillId="0" borderId="8" xfId="0" applyFont="1" applyBorder="1"/>
    <xf numFmtId="0" fontId="24" fillId="0" borderId="0" xfId="0" applyFont="1" applyBorder="1"/>
    <xf numFmtId="164" fontId="24" fillId="0" borderId="9" xfId="0" applyNumberFormat="1" applyFont="1" applyBorder="1"/>
    <xf numFmtId="9" fontId="24" fillId="0" borderId="9" xfId="3" applyFont="1" applyBorder="1"/>
    <xf numFmtId="0" fontId="24" fillId="0" borderId="10" xfId="0" applyFont="1" applyBorder="1"/>
    <xf numFmtId="0" fontId="24" fillId="0" borderId="2" xfId="0" applyFont="1" applyBorder="1"/>
    <xf numFmtId="167" fontId="24" fillId="0" borderId="11" xfId="1" applyNumberFormat="1" applyFont="1" applyBorder="1"/>
    <xf numFmtId="0" fontId="11" fillId="0" borderId="12" xfId="0" applyFont="1" applyBorder="1"/>
    <xf numFmtId="164" fontId="11" fillId="0" borderId="12" xfId="0" applyNumberFormat="1" applyFont="1" applyBorder="1" applyAlignment="1">
      <alignment vertical="center"/>
    </xf>
    <xf numFmtId="166" fontId="10" fillId="0" borderId="0" xfId="17" applyNumberFormat="1" applyFont="1"/>
    <xf numFmtId="164" fontId="0" fillId="0" borderId="0" xfId="2" applyFont="1" applyAlignment="1">
      <alignment vertical="center"/>
    </xf>
    <xf numFmtId="164" fontId="10" fillId="0" borderId="0" xfId="2" applyFont="1" applyFill="1"/>
    <xf numFmtId="166" fontId="0" fillId="4" borderId="0" xfId="0" applyNumberFormat="1" applyFill="1" applyAlignment="1">
      <alignment vertical="center"/>
    </xf>
    <xf numFmtId="0" fontId="24" fillId="5" borderId="1" xfId="0" applyFont="1" applyFill="1" applyBorder="1" applyAlignment="1">
      <alignment horizontal="center"/>
    </xf>
    <xf numFmtId="0" fontId="15" fillId="5" borderId="0" xfId="0" applyFont="1" applyFill="1"/>
    <xf numFmtId="164" fontId="15" fillId="5" borderId="0" xfId="0" applyNumberFormat="1" applyFont="1" applyFill="1" applyAlignment="1">
      <alignment vertical="center"/>
    </xf>
    <xf numFmtId="164" fontId="24" fillId="5" borderId="12" xfId="0" applyNumberFormat="1" applyFont="1" applyFill="1" applyBorder="1" applyAlignment="1">
      <alignment vertical="center"/>
    </xf>
    <xf numFmtId="43" fontId="25" fillId="5" borderId="0" xfId="1" applyFont="1" applyFill="1"/>
    <xf numFmtId="164" fontId="15" fillId="5" borderId="0" xfId="0" applyNumberFormat="1" applyFont="1" applyFill="1" applyBorder="1" applyAlignment="1">
      <alignment vertical="center"/>
    </xf>
    <xf numFmtId="164" fontId="11" fillId="5" borderId="0" xfId="0" applyNumberFormat="1" applyFont="1" applyFill="1" applyAlignment="1">
      <alignment vertical="center"/>
    </xf>
    <xf numFmtId="9" fontId="21" fillId="5" borderId="0" xfId="3" applyFont="1" applyFill="1" applyAlignment="1">
      <alignment vertical="center"/>
    </xf>
    <xf numFmtId="164" fontId="15" fillId="5" borderId="2" xfId="0" applyNumberFormat="1" applyFont="1" applyFill="1" applyBorder="1" applyAlignment="1">
      <alignment vertical="center"/>
    </xf>
    <xf numFmtId="38" fontId="0" fillId="5" borderId="0" xfId="0" applyNumberFormat="1" applyFill="1" applyAlignment="1">
      <alignment vertical="center"/>
    </xf>
    <xf numFmtId="164" fontId="0" fillId="5" borderId="2" xfId="2" applyFont="1" applyFill="1" applyBorder="1"/>
    <xf numFmtId="38" fontId="0" fillId="5" borderId="5" xfId="0" applyNumberFormat="1" applyFill="1" applyBorder="1" applyAlignment="1">
      <alignment vertical="center"/>
    </xf>
    <xf numFmtId="43" fontId="0" fillId="5" borderId="2" xfId="1" applyFont="1" applyFill="1" applyBorder="1"/>
    <xf numFmtId="38" fontId="0" fillId="5" borderId="0" xfId="0" applyNumberFormat="1" applyFill="1"/>
    <xf numFmtId="166" fontId="19" fillId="5" borderId="0" xfId="1" applyNumberFormat="1" applyFont="1" applyFill="1"/>
    <xf numFmtId="0" fontId="15" fillId="0" borderId="0" xfId="0" applyFont="1"/>
    <xf numFmtId="164" fontId="24" fillId="0" borderId="4" xfId="0" applyNumberFormat="1" applyFont="1" applyBorder="1"/>
    <xf numFmtId="164" fontId="24" fillId="0" borderId="0" xfId="0" applyNumberFormat="1" applyFont="1" applyBorder="1"/>
    <xf numFmtId="164" fontId="27" fillId="0" borderId="0" xfId="0" applyNumberFormat="1" applyFont="1" applyBorder="1"/>
    <xf numFmtId="164" fontId="11" fillId="5" borderId="12" xfId="0" applyNumberFormat="1" applyFont="1" applyFill="1" applyBorder="1" applyAlignment="1">
      <alignment vertical="center"/>
    </xf>
    <xf numFmtId="164" fontId="24" fillId="0" borderId="0" xfId="0" applyNumberFormat="1" applyFont="1" applyFill="1" applyBorder="1"/>
    <xf numFmtId="164" fontId="18" fillId="0" borderId="0" xfId="0" applyNumberFormat="1" applyFont="1" applyFill="1" applyBorder="1"/>
    <xf numFmtId="164" fontId="24" fillId="0" borderId="0" xfId="0" applyNumberFormat="1" applyFont="1"/>
    <xf numFmtId="0" fontId="24" fillId="0" borderId="0" xfId="0" applyFont="1"/>
    <xf numFmtId="164" fontId="0" fillId="0" borderId="0" xfId="0" applyNumberFormat="1" applyAlignment="1">
      <alignment horizontal="right" vertical="center"/>
    </xf>
    <xf numFmtId="167" fontId="19" fillId="0" borderId="0" xfId="1" applyNumberFormat="1" applyFont="1"/>
    <xf numFmtId="166" fontId="0" fillId="0" borderId="0" xfId="0" applyNumberFormat="1" applyFill="1" applyAlignment="1">
      <alignment vertical="center"/>
    </xf>
    <xf numFmtId="164" fontId="0" fillId="5" borderId="0" xfId="2" applyFont="1" applyFill="1" applyBorder="1"/>
    <xf numFmtId="9" fontId="28" fillId="0" borderId="0" xfId="0" applyNumberFormat="1" applyFont="1"/>
    <xf numFmtId="9" fontId="24" fillId="0" borderId="7" xfId="0" applyNumberFormat="1" applyFont="1" applyBorder="1"/>
    <xf numFmtId="0" fontId="29" fillId="0" borderId="0" xfId="0" applyFont="1" applyAlignment="1">
      <alignment horizontal="right" vertical="top"/>
    </xf>
    <xf numFmtId="9" fontId="0" fillId="0" borderId="0" xfId="0" applyNumberFormat="1"/>
    <xf numFmtId="164" fontId="0" fillId="0" borderId="0" xfId="2" applyFont="1" applyFill="1"/>
    <xf numFmtId="0" fontId="28" fillId="0" borderId="0" xfId="0" applyFont="1"/>
    <xf numFmtId="38" fontId="28" fillId="0" borderId="0" xfId="0" applyNumberFormat="1" applyFont="1"/>
    <xf numFmtId="166" fontId="30" fillId="0" borderId="0" xfId="1" applyNumberFormat="1" applyFont="1"/>
    <xf numFmtId="167" fontId="30" fillId="0" borderId="0" xfId="1" applyNumberFormat="1" applyFont="1"/>
    <xf numFmtId="166" fontId="30" fillId="5" borderId="0" xfId="1" applyNumberFormat="1" applyFont="1" applyFill="1"/>
    <xf numFmtId="164" fontId="28" fillId="0" borderId="0" xfId="0" applyNumberFormat="1" applyFont="1" applyAlignment="1">
      <alignment vertical="center"/>
    </xf>
    <xf numFmtId="164" fontId="28" fillId="0" borderId="0" xfId="0" applyNumberFormat="1" applyFont="1"/>
    <xf numFmtId="164" fontId="0" fillId="0" borderId="0" xfId="2" applyFont="1"/>
    <xf numFmtId="0" fontId="0" fillId="0" borderId="0" xfId="0" applyFont="1"/>
    <xf numFmtId="0" fontId="11" fillId="0" borderId="0" xfId="0" applyFont="1" applyBorder="1"/>
    <xf numFmtId="0" fontId="0" fillId="0" borderId="18" xfId="0" applyFont="1" applyBorder="1"/>
    <xf numFmtId="0" fontId="0" fillId="0" borderId="0" xfId="0" applyFont="1" applyBorder="1"/>
    <xf numFmtId="0" fontId="0" fillId="0" borderId="19" xfId="0" applyFont="1" applyBorder="1"/>
    <xf numFmtId="0" fontId="0" fillId="0" borderId="16" xfId="0" applyFont="1" applyBorder="1"/>
    <xf numFmtId="0" fontId="0" fillId="0" borderId="1" xfId="0" applyFont="1" applyBorder="1"/>
    <xf numFmtId="0" fontId="0" fillId="0" borderId="17" xfId="0" applyFont="1" applyBorder="1"/>
    <xf numFmtId="0" fontId="32" fillId="0" borderId="0" xfId="0" applyFont="1"/>
    <xf numFmtId="0" fontId="31" fillId="0" borderId="0" xfId="0" applyFont="1" applyBorder="1"/>
    <xf numFmtId="0" fontId="0" fillId="0" borderId="19" xfId="2" applyNumberFormat="1" applyFont="1" applyBorder="1" applyAlignment="1">
      <alignment horizontal="left"/>
    </xf>
    <xf numFmtId="9" fontId="11" fillId="0" borderId="15" xfId="2" applyNumberFormat="1" applyFont="1" applyBorder="1"/>
    <xf numFmtId="164" fontId="11" fillId="0" borderId="19" xfId="2" applyFont="1" applyBorder="1"/>
    <xf numFmtId="9" fontId="11" fillId="0" borderId="19" xfId="2" applyNumberFormat="1" applyFont="1" applyBorder="1"/>
    <xf numFmtId="168" fontId="11" fillId="0" borderId="17" xfId="2" applyNumberFormat="1" applyFont="1" applyBorder="1"/>
    <xf numFmtId="0" fontId="33" fillId="0" borderId="17" xfId="0" applyFont="1" applyBorder="1" applyAlignment="1">
      <alignment vertical="center" wrapText="1"/>
    </xf>
    <xf numFmtId="164" fontId="34" fillId="0" borderId="0" xfId="2" applyFont="1"/>
    <xf numFmtId="0" fontId="34" fillId="0" borderId="0" xfId="0" applyFont="1"/>
    <xf numFmtId="41" fontId="34" fillId="0" borderId="0" xfId="0" applyNumberFormat="1" applyFont="1"/>
    <xf numFmtId="0" fontId="33" fillId="0" borderId="23" xfId="0" applyFont="1" applyBorder="1" applyAlignment="1">
      <alignment vertical="center" wrapText="1"/>
    </xf>
    <xf numFmtId="164" fontId="10" fillId="0" borderId="0" xfId="2" applyFont="1" applyBorder="1" applyAlignment="1">
      <alignment horizontal="center"/>
    </xf>
    <xf numFmtId="164" fontId="0" fillId="0" borderId="0" xfId="2" applyFont="1" applyAlignment="1">
      <alignment horizontal="right" vertical="center"/>
    </xf>
    <xf numFmtId="0" fontId="0" fillId="0" borderId="18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0" fillId="0" borderId="18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18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1" fillId="0" borderId="13" xfId="0" applyFont="1" applyBorder="1" applyAlignment="1">
      <alignment horizontal="left"/>
    </xf>
    <xf numFmtId="0" fontId="11" fillId="0" borderId="18" xfId="0" applyFont="1" applyBorder="1" applyAlignment="1">
      <alignment horizontal="left"/>
    </xf>
    <xf numFmtId="0" fontId="0" fillId="0" borderId="0" xfId="0" applyFont="1" applyBorder="1" applyAlignment="1">
      <alignment horizontal="left" indent="1"/>
    </xf>
    <xf numFmtId="0" fontId="31" fillId="0" borderId="0" xfId="0" applyFont="1" applyBorder="1" applyAlignment="1"/>
    <xf numFmtId="164" fontId="0" fillId="0" borderId="0" xfId="2" applyFont="1" applyBorder="1"/>
    <xf numFmtId="0" fontId="0" fillId="0" borderId="15" xfId="0" applyFont="1" applyBorder="1"/>
    <xf numFmtId="0" fontId="0" fillId="0" borderId="19" xfId="0" applyFont="1" applyBorder="1" applyAlignment="1">
      <alignment horizontal="left" vertical="justify" wrapText="1"/>
    </xf>
    <xf numFmtId="166" fontId="0" fillId="0" borderId="0" xfId="18" applyNumberFormat="1" applyFont="1" applyFill="1" applyBorder="1" applyAlignment="1" applyProtection="1">
      <alignment horizontal="right"/>
      <protection locked="0"/>
    </xf>
    <xf numFmtId="164" fontId="0" fillId="0" borderId="0" xfId="2" applyFont="1" applyFill="1" applyBorder="1"/>
    <xf numFmtId="9" fontId="0" fillId="0" borderId="0" xfId="2" applyNumberFormat="1" applyFont="1" applyBorder="1"/>
    <xf numFmtId="166" fontId="0" fillId="0" borderId="0" xfId="18" applyNumberFormat="1" applyFont="1" applyFill="1" applyBorder="1" applyAlignment="1" applyProtection="1">
      <alignment horizontal="center"/>
      <protection locked="0"/>
    </xf>
    <xf numFmtId="166" fontId="0" fillId="0" borderId="0" xfId="18" applyNumberFormat="1" applyFont="1" applyBorder="1"/>
    <xf numFmtId="0" fontId="11" fillId="0" borderId="24" xfId="0" applyFont="1" applyBorder="1" applyAlignment="1">
      <alignment horizontal="left"/>
    </xf>
    <xf numFmtId="0" fontId="0" fillId="0" borderId="24" xfId="0" applyFont="1" applyBorder="1"/>
    <xf numFmtId="0" fontId="11" fillId="0" borderId="13" xfId="0" applyFont="1" applyBorder="1"/>
    <xf numFmtId="0" fontId="0" fillId="0" borderId="14" xfId="0" applyFont="1" applyBorder="1"/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6" borderId="25" xfId="0" applyFill="1" applyBorder="1"/>
    <xf numFmtId="0" fontId="0" fillId="6" borderId="0" xfId="0" applyFill="1" applyAlignment="1">
      <alignment horizontal="center"/>
    </xf>
    <xf numFmtId="0" fontId="0" fillId="6" borderId="25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5" xfId="0" applyBorder="1"/>
    <xf numFmtId="166" fontId="0" fillId="7" borderId="25" xfId="0" applyNumberFormat="1" applyFill="1" applyBorder="1"/>
    <xf numFmtId="166" fontId="0" fillId="0" borderId="25" xfId="0" applyNumberFormat="1" applyBorder="1" applyAlignment="1">
      <alignment horizontal="center"/>
    </xf>
    <xf numFmtId="166" fontId="0" fillId="0" borderId="25" xfId="1" applyNumberFormat="1" applyFont="1" applyBorder="1"/>
    <xf numFmtId="166" fontId="0" fillId="0" borderId="25" xfId="0" applyNumberFormat="1" applyBorder="1"/>
    <xf numFmtId="166" fontId="0" fillId="8" borderId="25" xfId="1" applyNumberFormat="1" applyFont="1" applyFill="1" applyBorder="1"/>
    <xf numFmtId="166" fontId="0" fillId="5" borderId="2" xfId="1" applyNumberFormat="1" applyFont="1" applyFill="1" applyBorder="1"/>
    <xf numFmtId="14" fontId="31" fillId="0" borderId="0" xfId="0" applyNumberFormat="1" applyFont="1" applyBorder="1" applyAlignment="1"/>
    <xf numFmtId="0" fontId="26" fillId="0" borderId="0" xfId="22" applyFont="1"/>
    <xf numFmtId="0" fontId="4" fillId="0" borderId="0" xfId="23"/>
    <xf numFmtId="0" fontId="26" fillId="0" borderId="25" xfId="22" applyFont="1" applyBorder="1" applyAlignment="1">
      <alignment horizontal="center"/>
    </xf>
    <xf numFmtId="0" fontId="26" fillId="0" borderId="0" xfId="22" applyFont="1" applyBorder="1" applyAlignment="1">
      <alignment horizontal="center"/>
    </xf>
    <xf numFmtId="0" fontId="26" fillId="0" borderId="25" xfId="22" applyFont="1" applyBorder="1"/>
    <xf numFmtId="169" fontId="26" fillId="0" borderId="25" xfId="22" applyNumberFormat="1" applyFont="1" applyBorder="1" applyAlignment="1">
      <alignment horizontal="center"/>
    </xf>
    <xf numFmtId="169" fontId="26" fillId="0" borderId="0" xfId="22" applyNumberFormat="1" applyFont="1" applyBorder="1"/>
    <xf numFmtId="0" fontId="37" fillId="0" borderId="0" xfId="24" applyFont="1" applyBorder="1" applyAlignment="1">
      <alignment horizontal="center"/>
    </xf>
    <xf numFmtId="0" fontId="37" fillId="0" borderId="0" xfId="24" applyFont="1" applyFill="1" applyBorder="1" applyAlignment="1">
      <alignment horizontal="center"/>
    </xf>
    <xf numFmtId="0" fontId="26" fillId="0" borderId="0" xfId="22" applyFont="1" applyBorder="1"/>
    <xf numFmtId="169" fontId="26" fillId="0" borderId="0" xfId="22" applyNumberFormat="1" applyFont="1"/>
    <xf numFmtId="41" fontId="26" fillId="0" borderId="0" xfId="25" applyFont="1" applyBorder="1"/>
    <xf numFmtId="170" fontId="26" fillId="0" borderId="0" xfId="26" applyNumberFormat="1" applyFont="1"/>
    <xf numFmtId="41" fontId="26" fillId="0" borderId="0" xfId="22" applyNumberFormat="1" applyFont="1"/>
    <xf numFmtId="171" fontId="26" fillId="0" borderId="0" xfId="25" applyNumberFormat="1" applyFont="1"/>
    <xf numFmtId="164" fontId="26" fillId="0" borderId="2" xfId="26" applyFont="1" applyBorder="1"/>
    <xf numFmtId="0" fontId="3" fillId="0" borderId="0" xfId="27"/>
    <xf numFmtId="0" fontId="38" fillId="0" borderId="0" xfId="22" applyFont="1" applyAlignment="1"/>
    <xf numFmtId="0" fontId="39" fillId="0" borderId="0" xfId="28" applyFont="1" applyAlignment="1"/>
    <xf numFmtId="0" fontId="39" fillId="0" borderId="0" xfId="28" applyFont="1"/>
    <xf numFmtId="0" fontId="42" fillId="0" borderId="0" xfId="27" applyFont="1" applyAlignment="1">
      <alignment vertical="center" wrapText="1"/>
    </xf>
    <xf numFmtId="0" fontId="33" fillId="0" borderId="31" xfId="27" applyFont="1" applyBorder="1" applyAlignment="1">
      <alignment horizontal="center" vertical="center"/>
    </xf>
    <xf numFmtId="0" fontId="33" fillId="0" borderId="17" xfId="27" applyFont="1" applyBorder="1" applyAlignment="1">
      <alignment vertical="center"/>
    </xf>
    <xf numFmtId="0" fontId="33" fillId="0" borderId="17" xfId="27" applyFont="1" applyBorder="1" applyAlignment="1">
      <alignment vertical="top"/>
    </xf>
    <xf numFmtId="0" fontId="33" fillId="0" borderId="17" xfId="27" applyFont="1" applyBorder="1" applyAlignment="1">
      <alignment horizontal="left" vertical="top" wrapText="1"/>
    </xf>
    <xf numFmtId="172" fontId="33" fillId="0" borderId="17" xfId="27" applyNumberFormat="1" applyFont="1" applyBorder="1" applyAlignment="1">
      <alignment vertical="top"/>
    </xf>
    <xf numFmtId="0" fontId="43" fillId="0" borderId="0" xfId="27" applyFont="1" applyAlignment="1">
      <alignment vertical="center"/>
    </xf>
    <xf numFmtId="0" fontId="33" fillId="0" borderId="0" xfId="27" applyFont="1" applyFill="1" applyBorder="1" applyAlignment="1">
      <alignment vertical="top"/>
    </xf>
    <xf numFmtId="0" fontId="44" fillId="0" borderId="0" xfId="27" applyFont="1" applyAlignment="1">
      <alignment vertical="center"/>
    </xf>
    <xf numFmtId="164" fontId="0" fillId="0" borderId="0" xfId="0" applyNumberFormat="1" applyFill="1" applyAlignment="1">
      <alignment vertical="center"/>
    </xf>
    <xf numFmtId="166" fontId="10" fillId="0" borderId="0" xfId="17" applyNumberFormat="1" applyFont="1" applyFill="1"/>
    <xf numFmtId="170" fontId="26" fillId="0" borderId="0" xfId="26" applyNumberFormat="1" applyFont="1" applyFill="1"/>
    <xf numFmtId="0" fontId="11" fillId="0" borderId="0" xfId="0" applyFont="1" applyBorder="1" applyAlignment="1">
      <alignment horizontal="center"/>
    </xf>
    <xf numFmtId="0" fontId="2" fillId="0" borderId="0" xfId="23" applyFont="1"/>
    <xf numFmtId="0" fontId="2" fillId="0" borderId="0" xfId="23" quotePrefix="1" applyFont="1"/>
    <xf numFmtId="164" fontId="4" fillId="0" borderId="0" xfId="2" applyFont="1"/>
    <xf numFmtId="0" fontId="45" fillId="0" borderId="0" xfId="29" applyFont="1" applyAlignment="1">
      <alignment vertical="center"/>
    </xf>
    <xf numFmtId="0" fontId="46" fillId="0" borderId="0" xfId="29" applyFont="1" applyAlignment="1">
      <alignment vertical="center"/>
    </xf>
    <xf numFmtId="0" fontId="2" fillId="0" borderId="0" xfId="29" applyAlignment="1">
      <alignment vertical="center"/>
    </xf>
    <xf numFmtId="0" fontId="2" fillId="0" borderId="0" xfId="29"/>
    <xf numFmtId="0" fontId="45" fillId="10" borderId="25" xfId="29" applyFont="1" applyFill="1" applyBorder="1" applyAlignment="1">
      <alignment horizontal="center"/>
    </xf>
    <xf numFmtId="0" fontId="46" fillId="0" borderId="25" xfId="29" applyFont="1" applyBorder="1" applyAlignment="1">
      <alignment horizontal="center"/>
    </xf>
    <xf numFmtId="1" fontId="46" fillId="0" borderId="25" xfId="29" applyNumberFormat="1" applyFont="1" applyBorder="1" applyAlignment="1">
      <alignment horizontal="center"/>
    </xf>
    <xf numFmtId="173" fontId="46" fillId="0" borderId="25" xfId="29" applyNumberFormat="1" applyFont="1" applyBorder="1" applyAlignment="1">
      <alignment horizontal="center"/>
    </xf>
    <xf numFmtId="0" fontId="46" fillId="0" borderId="25" xfId="29" applyFont="1" applyBorder="1"/>
    <xf numFmtId="173" fontId="46" fillId="0" borderId="25" xfId="29" applyNumberFormat="1" applyFont="1" applyBorder="1" applyAlignment="1">
      <alignment horizontal="center" vertical="center"/>
    </xf>
    <xf numFmtId="41" fontId="46" fillId="0" borderId="25" xfId="30" applyFont="1" applyFill="1" applyBorder="1" applyAlignment="1">
      <alignment horizontal="center"/>
    </xf>
    <xf numFmtId="41" fontId="46" fillId="0" borderId="25" xfId="30" applyFont="1" applyFill="1" applyBorder="1"/>
    <xf numFmtId="1" fontId="46" fillId="0" borderId="25" xfId="29" applyNumberFormat="1" applyFont="1" applyBorder="1" applyAlignment="1">
      <alignment horizontal="center" vertical="center"/>
    </xf>
    <xf numFmtId="41" fontId="46" fillId="0" borderId="25" xfId="30" applyFont="1" applyFill="1" applyBorder="1" applyAlignment="1">
      <alignment horizontal="center" vertical="center"/>
    </xf>
    <xf numFmtId="0" fontId="2" fillId="0" borderId="33" xfId="29" applyBorder="1"/>
    <xf numFmtId="0" fontId="2" fillId="0" borderId="25" xfId="29" applyBorder="1"/>
    <xf numFmtId="0" fontId="46" fillId="0" borderId="25" xfId="29" applyFont="1" applyBorder="1" applyAlignment="1">
      <alignment horizontal="center" vertical="center"/>
    </xf>
    <xf numFmtId="173" fontId="46" fillId="0" borderId="25" xfId="29" applyNumberFormat="1" applyFont="1" applyBorder="1" applyAlignment="1">
      <alignment horizontal="right" vertical="center"/>
    </xf>
    <xf numFmtId="173" fontId="46" fillId="0" borderId="25" xfId="29" applyNumberFormat="1" applyFont="1" applyBorder="1" applyAlignment="1">
      <alignment horizontal="right"/>
    </xf>
    <xf numFmtId="41" fontId="46" fillId="0" borderId="25" xfId="30" applyFont="1" applyBorder="1"/>
    <xf numFmtId="173" fontId="47" fillId="3" borderId="25" xfId="29" applyNumberFormat="1" applyFont="1" applyFill="1" applyBorder="1" applyAlignment="1">
      <alignment horizontal="right" vertical="center"/>
    </xf>
    <xf numFmtId="0" fontId="46" fillId="0" borderId="0" xfId="29" applyFont="1"/>
    <xf numFmtId="0" fontId="45" fillId="0" borderId="25" xfId="29" applyFont="1" applyBorder="1" applyAlignment="1">
      <alignment horizontal="center"/>
    </xf>
    <xf numFmtId="41" fontId="45" fillId="0" borderId="25" xfId="29" applyNumberFormat="1" applyFont="1" applyBorder="1"/>
    <xf numFmtId="0" fontId="48" fillId="0" borderId="0" xfId="0" applyFont="1" applyBorder="1" applyAlignment="1">
      <alignment horizontal="right" indent="1"/>
    </xf>
    <xf numFmtId="0" fontId="10" fillId="0" borderId="0" xfId="17"/>
    <xf numFmtId="0" fontId="0" fillId="0" borderId="0" xfId="0" quotePrefix="1" applyFont="1" applyBorder="1" applyAlignment="1">
      <alignment horizontal="left" indent="1"/>
    </xf>
    <xf numFmtId="0" fontId="11" fillId="0" borderId="0" xfId="0" applyFont="1" applyBorder="1" applyAlignment="1">
      <alignment horizontal="left"/>
    </xf>
    <xf numFmtId="0" fontId="0" fillId="0" borderId="0" xfId="0" applyFont="1" applyFill="1" applyBorder="1" applyAlignment="1" applyProtection="1">
      <alignment horizontal="left" indent="1"/>
    </xf>
    <xf numFmtId="0" fontId="0" fillId="0" borderId="18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indent="1"/>
    </xf>
    <xf numFmtId="0" fontId="37" fillId="0" borderId="0" xfId="0" applyFont="1"/>
    <xf numFmtId="0" fontId="0" fillId="0" borderId="26" xfId="0" applyBorder="1"/>
    <xf numFmtId="0" fontId="0" fillId="0" borderId="25" xfId="0" applyBorder="1" applyAlignment="1">
      <alignment horizontal="center" vertical="center"/>
    </xf>
    <xf numFmtId="0" fontId="0" fillId="0" borderId="0" xfId="0" quotePrefix="1" applyAlignment="1">
      <alignment horizontal="right"/>
    </xf>
    <xf numFmtId="41" fontId="0" fillId="0" borderId="0" xfId="30" applyFont="1"/>
    <xf numFmtId="0" fontId="0" fillId="0" borderId="0" xfId="0" applyAlignment="1">
      <alignment horizontal="right"/>
    </xf>
    <xf numFmtId="0" fontId="0" fillId="0" borderId="33" xfId="0" applyBorder="1"/>
    <xf numFmtId="41" fontId="0" fillId="0" borderId="25" xfId="30" applyFont="1" applyBorder="1"/>
    <xf numFmtId="164" fontId="11" fillId="0" borderId="0" xfId="2" applyFont="1" applyBorder="1" applyAlignment="1">
      <alignment horizontal="center"/>
    </xf>
    <xf numFmtId="164" fontId="24" fillId="0" borderId="3" xfId="0" applyNumberFormat="1" applyFont="1" applyBorder="1"/>
    <xf numFmtId="164" fontId="24" fillId="0" borderId="34" xfId="0" applyNumberFormat="1" applyFont="1" applyBorder="1"/>
    <xf numFmtId="0" fontId="11" fillId="0" borderId="1" xfId="0" quotePrefix="1" applyFont="1" applyBorder="1" applyAlignment="1">
      <alignment horizontal="center" vertical="center"/>
    </xf>
    <xf numFmtId="41" fontId="2" fillId="0" borderId="0" xfId="29" applyNumberFormat="1"/>
    <xf numFmtId="164" fontId="49" fillId="0" borderId="0" xfId="0" applyNumberFormat="1" applyFont="1" applyAlignment="1">
      <alignment vertical="center"/>
    </xf>
    <xf numFmtId="41" fontId="0" fillId="0" borderId="0" xfId="0" applyNumberFormat="1"/>
    <xf numFmtId="0" fontId="37" fillId="0" borderId="0" xfId="6" applyFont="1" applyAlignment="1">
      <alignment horizontal="center" wrapText="1"/>
    </xf>
    <xf numFmtId="0" fontId="26" fillId="0" borderId="0" xfId="6"/>
    <xf numFmtId="0" fontId="50" fillId="11" borderId="25" xfId="6" applyFont="1" applyFill="1" applyBorder="1" applyAlignment="1">
      <alignment horizontal="center"/>
    </xf>
    <xf numFmtId="0" fontId="50" fillId="11" borderId="25" xfId="6" applyFont="1" applyFill="1" applyBorder="1" applyAlignment="1">
      <alignment horizontal="center" wrapText="1"/>
    </xf>
    <xf numFmtId="0" fontId="50" fillId="12" borderId="25" xfId="6" applyFont="1" applyFill="1" applyBorder="1" applyAlignment="1">
      <alignment horizontal="center" wrapText="1"/>
    </xf>
    <xf numFmtId="0" fontId="46" fillId="0" borderId="25" xfId="6" applyFont="1" applyBorder="1" applyAlignment="1">
      <alignment horizontal="center"/>
    </xf>
    <xf numFmtId="41" fontId="46" fillId="0" borderId="25" xfId="31" applyFont="1" applyFill="1" applyBorder="1" applyAlignment="1">
      <alignment horizontal="center"/>
    </xf>
    <xf numFmtId="41" fontId="46" fillId="0" borderId="25" xfId="31" applyFont="1" applyBorder="1" applyAlignment="1"/>
    <xf numFmtId="17" fontId="46" fillId="0" borderId="25" xfId="6" applyNumberFormat="1" applyFont="1" applyBorder="1" applyAlignment="1">
      <alignment horizontal="center"/>
    </xf>
    <xf numFmtId="41" fontId="46" fillId="0" borderId="25" xfId="6" applyNumberFormat="1" applyFont="1" applyBorder="1" applyAlignment="1">
      <alignment horizontal="center"/>
    </xf>
    <xf numFmtId="41" fontId="46" fillId="0" borderId="25" xfId="31" applyFont="1" applyFill="1" applyBorder="1" applyAlignment="1"/>
    <xf numFmtId="17" fontId="26" fillId="0" borderId="0" xfId="6" applyNumberFormat="1"/>
    <xf numFmtId="41" fontId="46" fillId="3" borderId="25" xfId="6" applyNumberFormat="1" applyFont="1" applyFill="1" applyBorder="1" applyAlignment="1">
      <alignment horizontal="center"/>
    </xf>
    <xf numFmtId="41" fontId="51" fillId="0" borderId="0" xfId="6" applyNumberFormat="1" applyFont="1"/>
    <xf numFmtId="41" fontId="0" fillId="0" borderId="0" xfId="31" applyFont="1" applyBorder="1"/>
    <xf numFmtId="17" fontId="46" fillId="0" borderId="25" xfId="6" applyNumberFormat="1" applyFont="1" applyBorder="1" applyAlignment="1">
      <alignment horizontal="left"/>
    </xf>
    <xf numFmtId="41" fontId="46" fillId="0" borderId="25" xfId="31" applyFont="1" applyBorder="1" applyAlignment="1">
      <alignment horizontal="left"/>
    </xf>
    <xf numFmtId="41" fontId="46" fillId="0" borderId="25" xfId="6" applyNumberFormat="1" applyFont="1" applyBorder="1"/>
    <xf numFmtId="41" fontId="51" fillId="0" borderId="33" xfId="6" applyNumberFormat="1" applyFont="1" applyBorder="1"/>
    <xf numFmtId="0" fontId="46" fillId="0" borderId="25" xfId="6" applyFont="1" applyBorder="1" applyAlignment="1">
      <alignment horizontal="left"/>
    </xf>
    <xf numFmtId="17" fontId="46" fillId="0" borderId="25" xfId="6" applyNumberFormat="1" applyFont="1" applyBorder="1"/>
    <xf numFmtId="0" fontId="46" fillId="0" borderId="25" xfId="6" applyFont="1" applyBorder="1"/>
    <xf numFmtId="0" fontId="26" fillId="0" borderId="0" xfId="6" applyAlignment="1">
      <alignment horizontal="center" wrapText="1"/>
    </xf>
    <xf numFmtId="41" fontId="46" fillId="8" borderId="25" xfId="31" applyFont="1" applyFill="1" applyBorder="1" applyAlignment="1"/>
    <xf numFmtId="41" fontId="46" fillId="8" borderId="25" xfId="6" applyNumberFormat="1" applyFont="1" applyFill="1" applyBorder="1"/>
    <xf numFmtId="17" fontId="52" fillId="0" borderId="25" xfId="6" applyNumberFormat="1" applyFont="1" applyBorder="1"/>
    <xf numFmtId="41" fontId="52" fillId="0" borderId="25" xfId="31" applyFont="1" applyBorder="1"/>
    <xf numFmtId="41" fontId="26" fillId="0" borderId="25" xfId="6" applyNumberFormat="1" applyBorder="1"/>
    <xf numFmtId="0" fontId="52" fillId="0" borderId="25" xfId="6" applyFont="1" applyBorder="1"/>
    <xf numFmtId="0" fontId="26" fillId="0" borderId="25" xfId="6" applyBorder="1"/>
    <xf numFmtId="0" fontId="53" fillId="9" borderId="25" xfId="6" applyFont="1" applyFill="1" applyBorder="1" applyAlignment="1">
      <alignment horizontal="left"/>
    </xf>
    <xf numFmtId="41" fontId="53" fillId="9" borderId="25" xfId="31" applyFont="1" applyFill="1" applyBorder="1"/>
    <xf numFmtId="0" fontId="37" fillId="0" borderId="0" xfId="6" applyFont="1" applyAlignment="1">
      <alignment horizontal="center"/>
    </xf>
    <xf numFmtId="0" fontId="37" fillId="0" borderId="0" xfId="6" applyFont="1"/>
    <xf numFmtId="41" fontId="26" fillId="0" borderId="0" xfId="6" applyNumberFormat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54" fillId="0" borderId="0" xfId="0" applyFont="1"/>
    <xf numFmtId="164" fontId="0" fillId="0" borderId="0" xfId="0" applyNumberFormat="1" applyAlignment="1">
      <alignment horizontal="center" vertical="center"/>
    </xf>
    <xf numFmtId="0" fontId="1" fillId="0" borderId="0" xfId="27" applyFont="1"/>
    <xf numFmtId="0" fontId="0" fillId="0" borderId="0" xfId="0" applyFont="1" applyFill="1" applyBorder="1"/>
    <xf numFmtId="164" fontId="11" fillId="0" borderId="12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0" fillId="0" borderId="0" xfId="0" applyFont="1" applyBorder="1" applyAlignment="1">
      <alignment horizontal="left" indent="1"/>
    </xf>
    <xf numFmtId="0" fontId="0" fillId="0" borderId="14" xfId="0" applyFont="1" applyBorder="1" applyAlignment="1">
      <alignment horizontal="left" indent="1"/>
    </xf>
    <xf numFmtId="0" fontId="31" fillId="0" borderId="20" xfId="0" applyFont="1" applyBorder="1" applyAlignment="1">
      <alignment horizontal="center"/>
    </xf>
    <xf numFmtId="0" fontId="31" fillId="0" borderId="21" xfId="0" applyFont="1" applyBorder="1" applyAlignment="1">
      <alignment horizontal="center"/>
    </xf>
    <xf numFmtId="0" fontId="31" fillId="0" borderId="22" xfId="0" applyFont="1" applyBorder="1" applyAlignment="1">
      <alignment horizontal="center"/>
    </xf>
    <xf numFmtId="0" fontId="0" fillId="0" borderId="13" xfId="0" applyFont="1" applyBorder="1" applyAlignment="1">
      <alignment horizontal="left" indent="1"/>
    </xf>
    <xf numFmtId="0" fontId="11" fillId="0" borderId="14" xfId="0" applyFont="1" applyBorder="1" applyAlignment="1">
      <alignment horizontal="left"/>
    </xf>
    <xf numFmtId="0" fontId="0" fillId="0" borderId="18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quotePrefix="1" applyFont="1" applyBorder="1" applyAlignment="1">
      <alignment horizontal="left" indent="1"/>
    </xf>
    <xf numFmtId="0" fontId="11" fillId="0" borderId="0" xfId="0" applyFont="1" applyBorder="1" applyAlignment="1">
      <alignment horizontal="left"/>
    </xf>
    <xf numFmtId="0" fontId="0" fillId="0" borderId="0" xfId="0" applyFont="1" applyFill="1" applyBorder="1" applyAlignment="1" applyProtection="1">
      <alignment horizontal="left" indent="1"/>
    </xf>
    <xf numFmtId="0" fontId="11" fillId="0" borderId="16" xfId="0" applyFont="1" applyFill="1" applyBorder="1" applyAlignment="1" applyProtection="1">
      <alignment horizontal="left" indent="1"/>
    </xf>
    <xf numFmtId="0" fontId="11" fillId="0" borderId="1" xfId="0" applyFont="1" applyFill="1" applyBorder="1" applyAlignment="1" applyProtection="1">
      <alignment horizontal="left" indent="1"/>
    </xf>
    <xf numFmtId="0" fontId="11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1" fillId="0" borderId="13" xfId="0" applyFont="1" applyFill="1" applyBorder="1" applyAlignment="1" applyProtection="1">
      <alignment horizontal="left" indent="1"/>
    </xf>
    <xf numFmtId="0" fontId="11" fillId="0" borderId="14" xfId="0" applyFont="1" applyFill="1" applyBorder="1" applyAlignment="1" applyProtection="1">
      <alignment horizontal="left" indent="1"/>
    </xf>
    <xf numFmtId="0" fontId="11" fillId="0" borderId="18" xfId="0" applyFont="1" applyFill="1" applyBorder="1" applyAlignment="1" applyProtection="1">
      <alignment horizontal="left" indent="1"/>
    </xf>
    <xf numFmtId="0" fontId="11" fillId="0" borderId="0" xfId="0" applyFont="1" applyFill="1" applyBorder="1" applyAlignment="1" applyProtection="1">
      <alignment horizontal="left" indent="1"/>
    </xf>
    <xf numFmtId="0" fontId="11" fillId="0" borderId="14" xfId="0" applyFont="1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26" fillId="0" borderId="25" xfId="22" applyFont="1" applyBorder="1" applyAlignment="1">
      <alignment horizontal="center"/>
    </xf>
    <xf numFmtId="0" fontId="33" fillId="0" borderId="30" xfId="27" applyFont="1" applyBorder="1" applyAlignment="1">
      <alignment horizontal="center" vertical="center"/>
    </xf>
    <xf numFmtId="0" fontId="33" fillId="0" borderId="31" xfId="27" applyFont="1" applyBorder="1" applyAlignment="1">
      <alignment horizontal="center" vertical="center"/>
    </xf>
    <xf numFmtId="0" fontId="33" fillId="0" borderId="20" xfId="27" applyFont="1" applyBorder="1" applyAlignment="1">
      <alignment horizontal="center" vertical="top" wrapText="1"/>
    </xf>
    <xf numFmtId="0" fontId="33" fillId="0" borderId="22" xfId="27" applyFont="1" applyBorder="1" applyAlignment="1">
      <alignment horizontal="center" vertical="top" wrapText="1"/>
    </xf>
    <xf numFmtId="0" fontId="41" fillId="9" borderId="30" xfId="27" applyFont="1" applyFill="1" applyBorder="1" applyAlignment="1">
      <alignment horizontal="center" vertical="center"/>
    </xf>
    <xf numFmtId="0" fontId="41" fillId="9" borderId="32" xfId="27" applyFont="1" applyFill="1" applyBorder="1" applyAlignment="1">
      <alignment horizontal="center" vertical="center"/>
    </xf>
    <xf numFmtId="0" fontId="40" fillId="9" borderId="30" xfId="27" applyFont="1" applyFill="1" applyBorder="1" applyAlignment="1">
      <alignment horizontal="center" vertical="center"/>
    </xf>
    <xf numFmtId="0" fontId="40" fillId="9" borderId="31" xfId="27" applyFont="1" applyFill="1" applyBorder="1" applyAlignment="1">
      <alignment horizontal="center" vertical="center"/>
    </xf>
    <xf numFmtId="0" fontId="33" fillId="0" borderId="24" xfId="27" applyFont="1" applyBorder="1" applyAlignment="1">
      <alignment horizontal="center" vertical="center"/>
    </xf>
    <xf numFmtId="0" fontId="37" fillId="0" borderId="0" xfId="6" applyFont="1" applyAlignment="1">
      <alignment horizontal="center" wrapText="1"/>
    </xf>
    <xf numFmtId="0" fontId="26" fillId="0" borderId="0" xfId="6" applyAlignment="1">
      <alignment horizontal="center" wrapText="1"/>
    </xf>
    <xf numFmtId="0" fontId="0" fillId="11" borderId="0" xfId="0" applyFill="1"/>
    <xf numFmtId="164" fontId="0" fillId="11" borderId="0" xfId="0" applyNumberFormat="1" applyFill="1" applyAlignment="1">
      <alignment vertical="center"/>
    </xf>
    <xf numFmtId="0" fontId="0" fillId="8" borderId="0" xfId="0" applyFill="1"/>
    <xf numFmtId="164" fontId="0" fillId="8" borderId="0" xfId="0" applyNumberFormat="1" applyFill="1" applyAlignment="1">
      <alignment vertical="center"/>
    </xf>
    <xf numFmtId="179" fontId="26" fillId="0" borderId="0" xfId="6" applyNumberFormat="1"/>
    <xf numFmtId="41" fontId="46" fillId="0" borderId="0" xfId="29" applyNumberFormat="1" applyFont="1" applyAlignment="1">
      <alignment vertical="center"/>
    </xf>
    <xf numFmtId="164" fontId="0" fillId="9" borderId="0" xfId="0" applyNumberFormat="1" applyFill="1" applyAlignment="1">
      <alignment vertical="center"/>
    </xf>
  </cellXfs>
  <cellStyles count="32">
    <cellStyle name="Comma" xfId="1" builtinId="3"/>
    <cellStyle name="Comma [0]" xfId="2" builtinId="6"/>
    <cellStyle name="Comma [0] 2" xfId="9" xr:uid="{00000000-0005-0000-0000-000002000000}"/>
    <cellStyle name="Comma [0] 3" xfId="21" xr:uid="{35A77D4B-B5A7-46BE-9168-A716268796F7}"/>
    <cellStyle name="Comma [0] 3 2" xfId="25" xr:uid="{EBC2441F-F829-4168-B72B-3D8497D659A9}"/>
    <cellStyle name="Comma [0] 3 2 2" xfId="26" xr:uid="{AFA4A383-D7FB-4BF0-93FE-1948C419B388}"/>
    <cellStyle name="Comma [0] 4" xfId="30" xr:uid="{18C1284B-090D-48C0-BD69-342DE546410B}"/>
    <cellStyle name="Comma [0] 5" xfId="31" xr:uid="{F4593D48-280A-4F29-AF9E-3B5459BC175B}"/>
    <cellStyle name="Comma 2" xfId="7" xr:uid="{00000000-0005-0000-0000-000003000000}"/>
    <cellStyle name="Comma 3" xfId="10" xr:uid="{00000000-0005-0000-0000-000004000000}"/>
    <cellStyle name="Comma 3 2" xfId="11" xr:uid="{00000000-0005-0000-0000-000005000000}"/>
    <cellStyle name="Comma 4" xfId="12" xr:uid="{00000000-0005-0000-0000-000006000000}"/>
    <cellStyle name="Comma 5" xfId="18" xr:uid="{1C6E574C-ECF5-4BBB-A6B7-CE198682C847}"/>
    <cellStyle name="Currency [0] 2" xfId="20" xr:uid="{98FA582E-8A37-4170-9A58-06F417BB62B9}"/>
    <cellStyle name="Normal" xfId="0" builtinId="0"/>
    <cellStyle name="Normal 2" xfId="5" xr:uid="{00000000-0005-0000-0000-000008000000}"/>
    <cellStyle name="Normal 2 2" xfId="6" xr:uid="{00000000-0005-0000-0000-000009000000}"/>
    <cellStyle name="Normal 2 2 2 2 3" xfId="17" xr:uid="{00000000-0005-0000-0000-00000A000000}"/>
    <cellStyle name="Normal 3" xfId="13" xr:uid="{00000000-0005-0000-0000-00000B000000}"/>
    <cellStyle name="Normal 3 2" xfId="14" xr:uid="{00000000-0005-0000-0000-00000C000000}"/>
    <cellStyle name="Normal 3 3" xfId="19" xr:uid="{C94D081E-A7AE-40B3-BEED-8197E5642BA7}"/>
    <cellStyle name="Normal 4" xfId="27" xr:uid="{ECA5A7CF-3349-4136-A623-25E9ECD9C4B3}"/>
    <cellStyle name="Normal 5" xfId="23" xr:uid="{13756E32-51D5-469C-A7AE-9B64BC7E2FD1}"/>
    <cellStyle name="Normal 6" xfId="29" xr:uid="{7E08152A-9130-4291-940C-E54EECD0BE2F}"/>
    <cellStyle name="Normal 7" xfId="22" xr:uid="{047BA4D6-332B-4344-8CDB-B5C5344328AD}"/>
    <cellStyle name="Normal 7 2" xfId="28" xr:uid="{CC960144-9268-4550-A684-15210E47D750}"/>
    <cellStyle name="Normal 7 3" xfId="24" xr:uid="{E2A1911E-5677-4FA4-98A5-28E252AF898D}"/>
    <cellStyle name="Percent" xfId="3" builtinId="5"/>
    <cellStyle name="Percent 2" xfId="8" xr:uid="{00000000-0005-0000-0000-00000E000000}"/>
    <cellStyle name="Percent 2 2" xfId="4" xr:uid="{00000000-0005-0000-0000-00000F000000}"/>
    <cellStyle name="Percent 3" xfId="15" xr:uid="{00000000-0005-0000-0000-000010000000}"/>
    <cellStyle name="Percent 3 2" xfId="16" xr:uid="{00000000-0005-0000-0000-000011000000}"/>
  </cellStyles>
  <dxfs count="1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31750</xdr:colOff>
      <xdr:row>77</xdr:row>
      <xdr:rowOff>31750</xdr:rowOff>
    </xdr:from>
    <xdr:to>
      <xdr:col>3</xdr:col>
      <xdr:colOff>1842500</xdr:colOff>
      <xdr:row>77</xdr:row>
      <xdr:rowOff>31750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EEC6D48B-E57E-45EA-913B-EFDFAAC35246}"/>
            </a:ext>
          </a:extLst>
        </xdr:cNvPr>
        <xdr:cNvCxnSpPr/>
      </xdr:nvCxnSpPr>
      <xdr:spPr>
        <a:xfrm flipV="1">
          <a:off x="620395" y="15012670"/>
          <a:ext cx="216889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1978025</xdr:colOff>
      <xdr:row>77</xdr:row>
      <xdr:rowOff>41275</xdr:rowOff>
    </xdr:from>
    <xdr:to>
      <xdr:col>6</xdr:col>
      <xdr:colOff>931275</xdr:colOff>
      <xdr:row>77</xdr:row>
      <xdr:rowOff>41275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453C6473-91E1-4A35-B9BE-5903657E293C}"/>
            </a:ext>
          </a:extLst>
        </xdr:cNvPr>
        <xdr:cNvCxnSpPr/>
      </xdr:nvCxnSpPr>
      <xdr:spPr>
        <a:xfrm flipV="1">
          <a:off x="2921000" y="15024100"/>
          <a:ext cx="215746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1098550</xdr:colOff>
      <xdr:row>77</xdr:row>
      <xdr:rowOff>50800</xdr:rowOff>
    </xdr:from>
    <xdr:to>
      <xdr:col>8</xdr:col>
      <xdr:colOff>623300</xdr:colOff>
      <xdr:row>77</xdr:row>
      <xdr:rowOff>50800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85B19F57-5E03-4914-89DA-07A1FAA52932}"/>
            </a:ext>
          </a:extLst>
        </xdr:cNvPr>
        <xdr:cNvCxnSpPr/>
      </xdr:nvCxnSpPr>
      <xdr:spPr>
        <a:xfrm flipV="1">
          <a:off x="5240020" y="15037435"/>
          <a:ext cx="215936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822325</xdr:colOff>
      <xdr:row>77</xdr:row>
      <xdr:rowOff>28575</xdr:rowOff>
    </xdr:from>
    <xdr:to>
      <xdr:col>10</xdr:col>
      <xdr:colOff>426450</xdr:colOff>
      <xdr:row>77</xdr:row>
      <xdr:rowOff>28575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0F17D26C-84D4-4CD7-A61C-B5CBD3E7765C}"/>
            </a:ext>
          </a:extLst>
        </xdr:cNvPr>
        <xdr:cNvCxnSpPr/>
      </xdr:nvCxnSpPr>
      <xdr:spPr>
        <a:xfrm flipV="1">
          <a:off x="7590790" y="15009495"/>
          <a:ext cx="216254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561975</xdr:colOff>
      <xdr:row>77</xdr:row>
      <xdr:rowOff>38100</xdr:rowOff>
    </xdr:from>
    <xdr:to>
      <xdr:col>12</xdr:col>
      <xdr:colOff>308975</xdr:colOff>
      <xdr:row>77</xdr:row>
      <xdr:rowOff>38100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6F58EC0E-AEA0-4427-9F80-9CAD9B12B0EC}"/>
            </a:ext>
          </a:extLst>
        </xdr:cNvPr>
        <xdr:cNvCxnSpPr/>
      </xdr:nvCxnSpPr>
      <xdr:spPr>
        <a:xfrm flipV="1">
          <a:off x="9885045" y="15020925"/>
          <a:ext cx="216063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412750</xdr:colOff>
      <xdr:row>77</xdr:row>
      <xdr:rowOff>15875</xdr:rowOff>
    </xdr:from>
    <xdr:to>
      <xdr:col>14</xdr:col>
      <xdr:colOff>128000</xdr:colOff>
      <xdr:row>77</xdr:row>
      <xdr:rowOff>15875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9A8A1DD-64CD-41E5-9C41-068ECE37E787}"/>
            </a:ext>
          </a:extLst>
        </xdr:cNvPr>
        <xdr:cNvCxnSpPr/>
      </xdr:nvCxnSpPr>
      <xdr:spPr>
        <a:xfrm flipV="1">
          <a:off x="12145645" y="15002510"/>
          <a:ext cx="215936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75</xdr:row>
      <xdr:rowOff>63500</xdr:rowOff>
    </xdr:from>
    <xdr:to>
      <xdr:col>3</xdr:col>
      <xdr:colOff>1190625</xdr:colOff>
      <xdr:row>76</xdr:row>
      <xdr:rowOff>158750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1F6973F-5980-4C7B-86F0-86174B1CD8B8}"/>
            </a:ext>
          </a:extLst>
        </xdr:cNvPr>
        <xdr:cNvSpPr txBox="1"/>
      </xdr:nvSpPr>
      <xdr:spPr>
        <a:xfrm>
          <a:off x="1415415" y="14642465"/>
          <a:ext cx="720090" cy="30099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Alpha</a:t>
          </a:r>
        </a:p>
      </xdr:txBody>
    </xdr:sp>
    <xdr:clientData/>
  </xdr:twoCellAnchor>
  <xdr:twoCellAnchor>
    <xdr:from>
      <xdr:col>4</xdr:col>
      <xdr:colOff>533400</xdr:colOff>
      <xdr:row>75</xdr:row>
      <xdr:rowOff>88900</xdr:rowOff>
    </xdr:from>
    <xdr:to>
      <xdr:col>6</xdr:col>
      <xdr:colOff>215900</xdr:colOff>
      <xdr:row>76</xdr:row>
      <xdr:rowOff>184150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CFA84890-9EFC-4D80-9654-676CDEBDF6D3}"/>
            </a:ext>
          </a:extLst>
        </xdr:cNvPr>
        <xdr:cNvSpPr txBox="1"/>
      </xdr:nvSpPr>
      <xdr:spPr>
        <a:xfrm>
          <a:off x="3648075" y="14675485"/>
          <a:ext cx="707390" cy="2895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Lilis</a:t>
          </a:r>
          <a:r>
            <a:rPr lang="en-US" sz="1600" baseline="0"/>
            <a:t> S</a:t>
          </a:r>
          <a:endParaRPr lang="en-US" sz="1600"/>
        </a:p>
      </xdr:txBody>
    </xdr:sp>
    <xdr:clientData/>
  </xdr:twoCellAnchor>
  <xdr:twoCellAnchor>
    <xdr:from>
      <xdr:col>7</xdr:col>
      <xdr:colOff>542925</xdr:colOff>
      <xdr:row>75</xdr:row>
      <xdr:rowOff>98425</xdr:rowOff>
    </xdr:from>
    <xdr:to>
      <xdr:col>8</xdr:col>
      <xdr:colOff>142875</xdr:colOff>
      <xdr:row>77</xdr:row>
      <xdr:rowOff>15875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8ED867C1-A457-4450-9CF6-E8EEBE406157}"/>
            </a:ext>
          </a:extLst>
        </xdr:cNvPr>
        <xdr:cNvSpPr txBox="1"/>
      </xdr:nvSpPr>
      <xdr:spPr>
        <a:xfrm>
          <a:off x="5974080" y="14677390"/>
          <a:ext cx="939165" cy="3251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Gaga H</a:t>
          </a:r>
        </a:p>
      </xdr:txBody>
    </xdr:sp>
    <xdr:clientData/>
  </xdr:twoCellAnchor>
  <xdr:twoCellAnchor>
    <xdr:from>
      <xdr:col>8</xdr:col>
      <xdr:colOff>1301750</xdr:colOff>
      <xdr:row>75</xdr:row>
      <xdr:rowOff>79375</xdr:rowOff>
    </xdr:from>
    <xdr:to>
      <xdr:col>9</xdr:col>
      <xdr:colOff>1031875</xdr:colOff>
      <xdr:row>77</xdr:row>
      <xdr:rowOff>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1D001F2E-3598-41C9-9673-2A0C2361E680}"/>
            </a:ext>
          </a:extLst>
        </xdr:cNvPr>
        <xdr:cNvSpPr txBox="1"/>
      </xdr:nvSpPr>
      <xdr:spPr>
        <a:xfrm>
          <a:off x="8075930" y="14662150"/>
          <a:ext cx="1090295" cy="3206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Robert P</a:t>
          </a:r>
        </a:p>
      </xdr:txBody>
    </xdr:sp>
    <xdr:clientData/>
  </xdr:twoCellAnchor>
  <xdr:twoCellAnchor>
    <xdr:from>
      <xdr:col>11</xdr:col>
      <xdr:colOff>127000</xdr:colOff>
      <xdr:row>75</xdr:row>
      <xdr:rowOff>111125</xdr:rowOff>
    </xdr:from>
    <xdr:to>
      <xdr:col>11</xdr:col>
      <xdr:colOff>841375</xdr:colOff>
      <xdr:row>77</xdr:row>
      <xdr:rowOff>0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BF6C54FE-3956-43F1-BF96-C25BAB8C65AC}"/>
            </a:ext>
          </a:extLst>
        </xdr:cNvPr>
        <xdr:cNvSpPr txBox="1"/>
      </xdr:nvSpPr>
      <xdr:spPr>
        <a:xfrm>
          <a:off x="10646410" y="14693900"/>
          <a:ext cx="710565" cy="2889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Anni</a:t>
          </a:r>
          <a:r>
            <a:rPr lang="en-US" sz="1600" baseline="0"/>
            <a:t> S</a:t>
          </a:r>
          <a:endParaRPr lang="en-US" sz="1600"/>
        </a:p>
      </xdr:txBody>
    </xdr:sp>
    <xdr:clientData/>
  </xdr:twoCellAnchor>
  <xdr:twoCellAnchor>
    <xdr:from>
      <xdr:col>12</xdr:col>
      <xdr:colOff>777875</xdr:colOff>
      <xdr:row>75</xdr:row>
      <xdr:rowOff>73025</xdr:rowOff>
    </xdr:from>
    <xdr:to>
      <xdr:col>13</xdr:col>
      <xdr:colOff>803275</xdr:colOff>
      <xdr:row>77</xdr:row>
      <xdr:rowOff>0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225B87E5-23A9-41D4-8088-8CA21B31C198}"/>
            </a:ext>
          </a:extLst>
        </xdr:cNvPr>
        <xdr:cNvSpPr txBox="1"/>
      </xdr:nvSpPr>
      <xdr:spPr>
        <a:xfrm>
          <a:off x="12516485" y="14655800"/>
          <a:ext cx="1240790" cy="327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Makmur J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31750</xdr:colOff>
      <xdr:row>74</xdr:row>
      <xdr:rowOff>31750</xdr:rowOff>
    </xdr:from>
    <xdr:to>
      <xdr:col>3</xdr:col>
      <xdr:colOff>1842500</xdr:colOff>
      <xdr:row>74</xdr:row>
      <xdr:rowOff>31750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900ECF5-D03C-4F2A-8652-03800416EA6D}"/>
            </a:ext>
          </a:extLst>
        </xdr:cNvPr>
        <xdr:cNvCxnSpPr/>
      </xdr:nvCxnSpPr>
      <xdr:spPr>
        <a:xfrm flipV="1">
          <a:off x="620395" y="16012795"/>
          <a:ext cx="216889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1978025</xdr:colOff>
      <xdr:row>74</xdr:row>
      <xdr:rowOff>41275</xdr:rowOff>
    </xdr:from>
    <xdr:to>
      <xdr:col>6</xdr:col>
      <xdr:colOff>931275</xdr:colOff>
      <xdr:row>74</xdr:row>
      <xdr:rowOff>41275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3EF87F3-3FAB-4CFC-9A38-83DE35442800}"/>
            </a:ext>
          </a:extLst>
        </xdr:cNvPr>
        <xdr:cNvCxnSpPr/>
      </xdr:nvCxnSpPr>
      <xdr:spPr>
        <a:xfrm flipV="1">
          <a:off x="2921000" y="16024225"/>
          <a:ext cx="215746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1098550</xdr:colOff>
      <xdr:row>74</xdr:row>
      <xdr:rowOff>50800</xdr:rowOff>
    </xdr:from>
    <xdr:to>
      <xdr:col>8</xdr:col>
      <xdr:colOff>623300</xdr:colOff>
      <xdr:row>74</xdr:row>
      <xdr:rowOff>50800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D1A4C850-B5D0-4540-BB9C-3F1A900CA3DA}"/>
            </a:ext>
          </a:extLst>
        </xdr:cNvPr>
        <xdr:cNvCxnSpPr/>
      </xdr:nvCxnSpPr>
      <xdr:spPr>
        <a:xfrm flipV="1">
          <a:off x="5240020" y="16037560"/>
          <a:ext cx="215936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822325</xdr:colOff>
      <xdr:row>74</xdr:row>
      <xdr:rowOff>28575</xdr:rowOff>
    </xdr:from>
    <xdr:to>
      <xdr:col>10</xdr:col>
      <xdr:colOff>426450</xdr:colOff>
      <xdr:row>74</xdr:row>
      <xdr:rowOff>28575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1845975E-CACD-45CB-A18D-5FEB1493DC3A}"/>
            </a:ext>
          </a:extLst>
        </xdr:cNvPr>
        <xdr:cNvCxnSpPr/>
      </xdr:nvCxnSpPr>
      <xdr:spPr>
        <a:xfrm flipV="1">
          <a:off x="7590790" y="16009620"/>
          <a:ext cx="216254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561975</xdr:colOff>
      <xdr:row>74</xdr:row>
      <xdr:rowOff>38100</xdr:rowOff>
    </xdr:from>
    <xdr:to>
      <xdr:col>12</xdr:col>
      <xdr:colOff>308975</xdr:colOff>
      <xdr:row>74</xdr:row>
      <xdr:rowOff>38100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7C878BF1-EAC3-4FC1-9277-680EE5C8471C}"/>
            </a:ext>
          </a:extLst>
        </xdr:cNvPr>
        <xdr:cNvCxnSpPr/>
      </xdr:nvCxnSpPr>
      <xdr:spPr>
        <a:xfrm flipV="1">
          <a:off x="9885045" y="16021050"/>
          <a:ext cx="216063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412750</xdr:colOff>
      <xdr:row>74</xdr:row>
      <xdr:rowOff>15875</xdr:rowOff>
    </xdr:from>
    <xdr:to>
      <xdr:col>14</xdr:col>
      <xdr:colOff>128000</xdr:colOff>
      <xdr:row>74</xdr:row>
      <xdr:rowOff>15875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2D69B6C8-C582-425B-B9E1-819482FB474C}"/>
            </a:ext>
          </a:extLst>
        </xdr:cNvPr>
        <xdr:cNvCxnSpPr/>
      </xdr:nvCxnSpPr>
      <xdr:spPr>
        <a:xfrm flipV="1">
          <a:off x="12145645" y="16002635"/>
          <a:ext cx="215936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72</xdr:row>
      <xdr:rowOff>63500</xdr:rowOff>
    </xdr:from>
    <xdr:to>
      <xdr:col>3</xdr:col>
      <xdr:colOff>1190625</xdr:colOff>
      <xdr:row>73</xdr:row>
      <xdr:rowOff>158750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F05740B2-34A2-4FBB-9A82-E7E4E0A0AFE4}"/>
            </a:ext>
          </a:extLst>
        </xdr:cNvPr>
        <xdr:cNvSpPr txBox="1"/>
      </xdr:nvSpPr>
      <xdr:spPr>
        <a:xfrm>
          <a:off x="1415415" y="15642590"/>
          <a:ext cx="720090" cy="30099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Alpha</a:t>
          </a:r>
        </a:p>
      </xdr:txBody>
    </xdr:sp>
    <xdr:clientData/>
  </xdr:twoCellAnchor>
  <xdr:twoCellAnchor>
    <xdr:from>
      <xdr:col>4</xdr:col>
      <xdr:colOff>533400</xdr:colOff>
      <xdr:row>72</xdr:row>
      <xdr:rowOff>88900</xdr:rowOff>
    </xdr:from>
    <xdr:to>
      <xdr:col>6</xdr:col>
      <xdr:colOff>215900</xdr:colOff>
      <xdr:row>73</xdr:row>
      <xdr:rowOff>184150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17C13A55-1BB3-4425-979C-DFCBA64B6716}"/>
            </a:ext>
          </a:extLst>
        </xdr:cNvPr>
        <xdr:cNvSpPr txBox="1"/>
      </xdr:nvSpPr>
      <xdr:spPr>
        <a:xfrm>
          <a:off x="3648075" y="15675610"/>
          <a:ext cx="707390" cy="2895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Lilis</a:t>
          </a:r>
          <a:r>
            <a:rPr lang="en-US" sz="1600" baseline="0"/>
            <a:t> S</a:t>
          </a:r>
          <a:endParaRPr lang="en-US" sz="1600"/>
        </a:p>
      </xdr:txBody>
    </xdr:sp>
    <xdr:clientData/>
  </xdr:twoCellAnchor>
  <xdr:twoCellAnchor>
    <xdr:from>
      <xdr:col>7</xdr:col>
      <xdr:colOff>542925</xdr:colOff>
      <xdr:row>72</xdr:row>
      <xdr:rowOff>98425</xdr:rowOff>
    </xdr:from>
    <xdr:to>
      <xdr:col>8</xdr:col>
      <xdr:colOff>142875</xdr:colOff>
      <xdr:row>74</xdr:row>
      <xdr:rowOff>15875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C9A7F622-8784-404E-BCFE-B21336F9B812}"/>
            </a:ext>
          </a:extLst>
        </xdr:cNvPr>
        <xdr:cNvSpPr txBox="1"/>
      </xdr:nvSpPr>
      <xdr:spPr>
        <a:xfrm>
          <a:off x="5974080" y="15677515"/>
          <a:ext cx="939165" cy="3251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Gaga H</a:t>
          </a:r>
        </a:p>
      </xdr:txBody>
    </xdr:sp>
    <xdr:clientData/>
  </xdr:twoCellAnchor>
  <xdr:twoCellAnchor>
    <xdr:from>
      <xdr:col>8</xdr:col>
      <xdr:colOff>1301750</xdr:colOff>
      <xdr:row>72</xdr:row>
      <xdr:rowOff>79375</xdr:rowOff>
    </xdr:from>
    <xdr:to>
      <xdr:col>9</xdr:col>
      <xdr:colOff>1031875</xdr:colOff>
      <xdr:row>74</xdr:row>
      <xdr:rowOff>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440F73C7-CAE8-4F0D-8ED8-969AF2E81E28}"/>
            </a:ext>
          </a:extLst>
        </xdr:cNvPr>
        <xdr:cNvSpPr txBox="1"/>
      </xdr:nvSpPr>
      <xdr:spPr>
        <a:xfrm>
          <a:off x="8075930" y="15662275"/>
          <a:ext cx="1090295" cy="3206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Robert P</a:t>
          </a:r>
        </a:p>
      </xdr:txBody>
    </xdr:sp>
    <xdr:clientData/>
  </xdr:twoCellAnchor>
  <xdr:twoCellAnchor>
    <xdr:from>
      <xdr:col>11</xdr:col>
      <xdr:colOff>127000</xdr:colOff>
      <xdr:row>72</xdr:row>
      <xdr:rowOff>111125</xdr:rowOff>
    </xdr:from>
    <xdr:to>
      <xdr:col>11</xdr:col>
      <xdr:colOff>841375</xdr:colOff>
      <xdr:row>74</xdr:row>
      <xdr:rowOff>0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DE0C2B9C-1F7A-4A99-9F18-BD863E00C979}"/>
            </a:ext>
          </a:extLst>
        </xdr:cNvPr>
        <xdr:cNvSpPr txBox="1"/>
      </xdr:nvSpPr>
      <xdr:spPr>
        <a:xfrm>
          <a:off x="10646410" y="15694025"/>
          <a:ext cx="710565" cy="2889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Anni</a:t>
          </a:r>
          <a:r>
            <a:rPr lang="en-US" sz="1600" baseline="0"/>
            <a:t> S</a:t>
          </a:r>
          <a:endParaRPr lang="en-US" sz="1600"/>
        </a:p>
      </xdr:txBody>
    </xdr:sp>
    <xdr:clientData/>
  </xdr:twoCellAnchor>
  <xdr:twoCellAnchor>
    <xdr:from>
      <xdr:col>12</xdr:col>
      <xdr:colOff>777875</xdr:colOff>
      <xdr:row>72</xdr:row>
      <xdr:rowOff>73025</xdr:rowOff>
    </xdr:from>
    <xdr:to>
      <xdr:col>13</xdr:col>
      <xdr:colOff>803275</xdr:colOff>
      <xdr:row>74</xdr:row>
      <xdr:rowOff>0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67B35B0A-C2C7-4C25-ACA4-16EFB1C75A33}"/>
            </a:ext>
          </a:extLst>
        </xdr:cNvPr>
        <xdr:cNvSpPr txBox="1"/>
      </xdr:nvSpPr>
      <xdr:spPr>
        <a:xfrm>
          <a:off x="12516485" y="15655925"/>
          <a:ext cx="1240790" cy="327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Makmur J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29</xdr:row>
      <xdr:rowOff>79365</xdr:rowOff>
    </xdr:from>
    <xdr:to>
      <xdr:col>12</xdr:col>
      <xdr:colOff>791094</xdr:colOff>
      <xdr:row>29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1758C218-032B-44B8-BF23-17C5687E5FDF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32</xdr:row>
      <xdr:rowOff>20069</xdr:rowOff>
    </xdr:from>
    <xdr:to>
      <xdr:col>12</xdr:col>
      <xdr:colOff>1208314</xdr:colOff>
      <xdr:row>32</xdr:row>
      <xdr:rowOff>185057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90DFB4DC-0092-49C2-BEC4-392D3DBF26E3}"/>
            </a:ext>
          </a:extLst>
        </xdr:cNvPr>
        <xdr:cNvGrpSpPr/>
      </xdr:nvGrpSpPr>
      <xdr:grpSpPr>
        <a:xfrm>
          <a:off x="628651" y="6478019"/>
          <a:ext cx="10457088" cy="164988"/>
          <a:chOff x="570986" y="5042917"/>
          <a:chExt cx="14774690" cy="343744"/>
        </a:xfrm>
      </xdr:grpSpPr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F9E0DDBF-2CF2-452C-A62B-44ED36F28820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1BBF3652-CA8A-4878-8ECE-C7BAF35D58B3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D53432BC-1CBE-41CC-8D7D-6548F59414C6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A2D0DDED-29F1-4ADB-8E04-7E71880BDA2F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6746DAA0-0431-4BCD-8C89-AA5F23C82808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5B5C95E9-19F3-4141-B10D-7996719637CA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38</xdr:row>
      <xdr:rowOff>104251</xdr:rowOff>
    </xdr:from>
    <xdr:to>
      <xdr:col>13</xdr:col>
      <xdr:colOff>156845</xdr:colOff>
      <xdr:row>39</xdr:row>
      <xdr:rowOff>79374</xdr:rowOff>
    </xdr:to>
    <xdr:grpSp>
      <xdr:nvGrpSpPr>
        <xdr:cNvPr id="11" name="Group 10">
          <a:extLst>
            <a:ext uri="{FF2B5EF4-FFF2-40B4-BE49-F238E27FC236}">
              <a16:creationId xmlns:a16="http://schemas.microsoft.com/office/drawing/2014/main" id="{EB26CFB9-7B62-425B-BDEB-27E935EE2221}"/>
            </a:ext>
          </a:extLst>
        </xdr:cNvPr>
        <xdr:cNvGrpSpPr/>
      </xdr:nvGrpSpPr>
      <xdr:grpSpPr>
        <a:xfrm>
          <a:off x="640397" y="7762351"/>
          <a:ext cx="10651173" cy="175148"/>
          <a:chOff x="722947" y="7327377"/>
          <a:chExt cx="10285884" cy="0"/>
        </a:xfrm>
      </xdr:grpSpPr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EB922992-8053-4A44-8A59-3D4A34106C53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823C4AA2-6F24-45ED-84C6-A408AC7A2ACB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72341E0C-C71C-4610-BE6C-CEA34AFB4934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11C39A84-99F1-45E3-9D75-86E774AA3E9E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7" name="Straight Connector 16">
            <a:extLst>
              <a:ext uri="{FF2B5EF4-FFF2-40B4-BE49-F238E27FC236}">
                <a16:creationId xmlns:a16="http://schemas.microsoft.com/office/drawing/2014/main" id="{FF2D5E6D-32BB-4712-BA25-B1744BC68C82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8" name="Straight Connector 17">
            <a:extLst>
              <a:ext uri="{FF2B5EF4-FFF2-40B4-BE49-F238E27FC236}">
                <a16:creationId xmlns:a16="http://schemas.microsoft.com/office/drawing/2014/main" id="{206C5EF5-C373-41EB-A436-FB8B7E9BD201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 refreshError="1"/>
      <sheetData sheetId="1" refreshError="1"/>
      <sheetData sheetId="2" refreshError="1"/>
      <sheetData sheetId="3" refreshError="1">
        <row r="4">
          <cell r="G4">
            <v>0.1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F89E8-A4E8-44FD-9065-DC327C4E364A}">
  <sheetPr>
    <pageSetUpPr fitToPage="1"/>
  </sheetPr>
  <dimension ref="B1:AA85"/>
  <sheetViews>
    <sheetView showGridLines="0" topLeftCell="A22" zoomScale="70" zoomScaleNormal="70" workbookViewId="0">
      <selection activeCell="H36" sqref="H36"/>
    </sheetView>
  </sheetViews>
  <sheetFormatPr defaultColWidth="10.59765625" defaultRowHeight="15.6" x14ac:dyDescent="0.3"/>
  <cols>
    <col min="1" max="1" width="4.09765625" customWidth="1"/>
    <col min="2" max="2" width="3.59765625" customWidth="1"/>
    <col min="3" max="3" width="4.59765625" customWidth="1"/>
    <col min="4" max="4" width="28.5" customWidth="1"/>
    <col min="5" max="5" width="7.09765625" bestFit="1" customWidth="1"/>
    <col min="6" max="6" width="6.09765625" customWidth="1"/>
    <col min="7" max="7" width="16.796875" customWidth="1"/>
    <col min="8" max="8" width="17.59765625" style="2" customWidth="1"/>
    <col min="9" max="9" width="17.796875" customWidth="1"/>
    <col min="10" max="11" width="15.59765625" bestFit="1" customWidth="1"/>
    <col min="12" max="12" width="16" bestFit="1" customWidth="1"/>
    <col min="13" max="17" width="16" customWidth="1"/>
    <col min="18" max="18" width="16.59765625" bestFit="1" customWidth="1"/>
    <col min="19" max="19" width="15.796875" customWidth="1"/>
    <col min="20" max="23" width="15" bestFit="1" customWidth="1"/>
    <col min="24" max="24" width="15.59765625" bestFit="1" customWidth="1"/>
    <col min="25" max="25" width="11.59765625" bestFit="1" customWidth="1"/>
  </cols>
  <sheetData>
    <row r="1" spans="2:27" ht="25.8" x14ac:dyDescent="0.3">
      <c r="B1" s="1" t="s">
        <v>0</v>
      </c>
      <c r="R1" s="105" t="s">
        <v>63</v>
      </c>
    </row>
    <row r="2" spans="2:27" x14ac:dyDescent="0.3">
      <c r="B2" s="3" t="s">
        <v>1</v>
      </c>
    </row>
    <row r="3" spans="2:27" x14ac:dyDescent="0.3">
      <c r="C3" t="s">
        <v>2</v>
      </c>
      <c r="G3" s="5">
        <v>0.02</v>
      </c>
      <c r="R3" s="4"/>
      <c r="S3" s="4"/>
      <c r="T3" s="4"/>
    </row>
    <row r="4" spans="2:27" x14ac:dyDescent="0.3">
      <c r="C4" t="s">
        <v>46</v>
      </c>
      <c r="G4" s="5">
        <v>0.1</v>
      </c>
      <c r="R4" s="4"/>
      <c r="S4" s="4"/>
      <c r="T4" s="4"/>
    </row>
    <row r="5" spans="2:27" x14ac:dyDescent="0.3">
      <c r="C5" t="s">
        <v>3</v>
      </c>
      <c r="G5" s="5">
        <v>0</v>
      </c>
      <c r="H5" s="2" t="s">
        <v>4</v>
      </c>
    </row>
    <row r="6" spans="2:27" x14ac:dyDescent="0.3">
      <c r="C6" t="s">
        <v>5</v>
      </c>
      <c r="G6" s="6">
        <v>0</v>
      </c>
      <c r="H6" s="2" t="s">
        <v>4</v>
      </c>
    </row>
    <row r="7" spans="2:27" x14ac:dyDescent="0.3">
      <c r="C7" t="s">
        <v>69</v>
      </c>
      <c r="G7" s="106">
        <v>0.03</v>
      </c>
    </row>
    <row r="8" spans="2:27" x14ac:dyDescent="0.3">
      <c r="G8" s="45"/>
      <c r="H8" s="10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6"/>
      <c r="V8" s="45"/>
      <c r="W8" s="45"/>
      <c r="X8" s="45"/>
      <c r="Y8" s="45"/>
      <c r="Z8" s="45"/>
    </row>
    <row r="9" spans="2:27" x14ac:dyDescent="0.3">
      <c r="H9" s="36" t="s">
        <v>41</v>
      </c>
      <c r="I9" s="36" t="s">
        <v>42</v>
      </c>
      <c r="J9" s="36" t="s">
        <v>43</v>
      </c>
      <c r="K9" s="36" t="s">
        <v>44</v>
      </c>
      <c r="L9" s="36" t="s">
        <v>45</v>
      </c>
      <c r="M9" s="36" t="s">
        <v>49</v>
      </c>
      <c r="N9" s="36" t="s">
        <v>50</v>
      </c>
      <c r="O9" s="36" t="s">
        <v>51</v>
      </c>
      <c r="P9" s="36" t="s">
        <v>52</v>
      </c>
      <c r="Q9" s="36" t="s">
        <v>53</v>
      </c>
      <c r="R9" s="27"/>
      <c r="S9" s="45"/>
      <c r="T9" s="45"/>
      <c r="U9" s="46"/>
      <c r="V9" s="45"/>
      <c r="W9" s="45"/>
      <c r="X9" s="45"/>
      <c r="Y9" s="45"/>
      <c r="Z9" s="45"/>
    </row>
    <row r="10" spans="2:27" x14ac:dyDescent="0.3">
      <c r="B10" s="1" t="s">
        <v>59</v>
      </c>
      <c r="H10"/>
      <c r="R10" s="27"/>
      <c r="S10" s="45"/>
      <c r="T10" s="45"/>
      <c r="U10" s="46"/>
      <c r="V10" s="45"/>
      <c r="W10" s="45"/>
      <c r="X10" s="45"/>
      <c r="Y10" s="45"/>
      <c r="Z10" s="45"/>
    </row>
    <row r="11" spans="2:27" x14ac:dyDescent="0.3">
      <c r="H11"/>
      <c r="R11" s="27"/>
      <c r="S11" s="45"/>
      <c r="T11" s="45"/>
      <c r="U11" s="46"/>
      <c r="V11" s="45"/>
      <c r="W11" s="45"/>
      <c r="X11" s="45"/>
      <c r="Y11" s="45"/>
      <c r="Z11" s="45"/>
    </row>
    <row r="12" spans="2:27" s="90" customFormat="1" ht="16.2" thickBot="1" x14ac:dyDescent="0.35">
      <c r="B12" s="98" t="s">
        <v>60</v>
      </c>
      <c r="G12" s="97"/>
      <c r="H12" s="91">
        <v>2100000000</v>
      </c>
      <c r="I12" s="91">
        <v>250000000</v>
      </c>
      <c r="J12" s="91">
        <v>0</v>
      </c>
      <c r="K12" s="91">
        <v>0</v>
      </c>
      <c r="L12" s="91"/>
      <c r="M12" s="91"/>
      <c r="N12" s="91"/>
      <c r="O12" s="91"/>
      <c r="P12" s="91"/>
      <c r="Q12" s="91"/>
      <c r="R12" s="95"/>
      <c r="S12" s="92"/>
      <c r="T12" s="92"/>
      <c r="U12" s="93"/>
      <c r="V12" s="92"/>
      <c r="W12" s="92"/>
      <c r="X12" s="92"/>
      <c r="Y12" s="92"/>
      <c r="Z12" s="92"/>
    </row>
    <row r="13" spans="2:27" ht="16.2" thickTop="1" x14ac:dyDescent="0.3">
      <c r="G13" s="45"/>
      <c r="H13" s="10"/>
      <c r="J13" s="45"/>
      <c r="K13" s="45"/>
      <c r="L13" s="45"/>
      <c r="M13" s="45"/>
      <c r="N13" s="45"/>
      <c r="O13" s="45"/>
      <c r="P13" s="45"/>
      <c r="Q13" s="45"/>
      <c r="R13" s="96"/>
      <c r="S13" s="45"/>
      <c r="T13" s="45"/>
      <c r="U13" s="46"/>
      <c r="V13" s="45"/>
      <c r="W13" s="45"/>
      <c r="X13" s="45"/>
      <c r="Y13" s="45"/>
      <c r="Z13" s="45"/>
    </row>
    <row r="14" spans="2:27" x14ac:dyDescent="0.3">
      <c r="G14" s="11"/>
      <c r="R14" s="27"/>
      <c r="U14" s="44"/>
      <c r="V14" s="44"/>
      <c r="W14" s="44"/>
      <c r="X14" s="44"/>
      <c r="Y14" s="44"/>
      <c r="Z14" s="44"/>
      <c r="AA14" s="44"/>
    </row>
    <row r="15" spans="2:27" ht="16.2" thickBot="1" x14ac:dyDescent="0.35">
      <c r="B15" s="12" t="s">
        <v>12</v>
      </c>
      <c r="C15" s="7"/>
      <c r="D15" s="7"/>
      <c r="E15" s="7"/>
      <c r="F15" s="7"/>
      <c r="G15" s="7"/>
      <c r="H15" s="8" t="s">
        <v>7</v>
      </c>
      <c r="I15" s="13" t="s">
        <v>8</v>
      </c>
      <c r="J15" s="8" t="s">
        <v>9</v>
      </c>
      <c r="K15" s="13" t="s">
        <v>10</v>
      </c>
      <c r="L15" s="8" t="s">
        <v>11</v>
      </c>
      <c r="M15" s="8" t="s">
        <v>54</v>
      </c>
      <c r="N15" s="8" t="s">
        <v>55</v>
      </c>
      <c r="O15" s="8" t="s">
        <v>56</v>
      </c>
      <c r="P15" s="8" t="s">
        <v>57</v>
      </c>
      <c r="Q15" s="8" t="s">
        <v>58</v>
      </c>
      <c r="R15" s="75" t="s">
        <v>13</v>
      </c>
      <c r="S15" s="59"/>
      <c r="T15" s="59"/>
      <c r="U15" s="59"/>
      <c r="V15" s="59"/>
      <c r="W15" s="59"/>
      <c r="X15" s="59"/>
      <c r="Y15" s="44"/>
      <c r="Z15" s="44"/>
      <c r="AA15" s="44"/>
    </row>
    <row r="16" spans="2:27" x14ac:dyDescent="0.3">
      <c r="B16" t="s">
        <v>14</v>
      </c>
      <c r="H16" s="9">
        <v>12</v>
      </c>
      <c r="I16" s="9">
        <v>12</v>
      </c>
      <c r="J16" s="9">
        <v>12</v>
      </c>
      <c r="K16" s="9">
        <v>12</v>
      </c>
      <c r="L16" s="9">
        <v>12</v>
      </c>
      <c r="M16" s="9">
        <v>12</v>
      </c>
      <c r="N16" s="9">
        <v>12</v>
      </c>
      <c r="O16" s="9">
        <v>12</v>
      </c>
      <c r="P16" s="9">
        <v>12</v>
      </c>
      <c r="Q16" s="9">
        <v>12</v>
      </c>
      <c r="R16" s="76"/>
    </row>
    <row r="17" spans="2:25" x14ac:dyDescent="0.3">
      <c r="N17" s="103">
        <v>0.15</v>
      </c>
      <c r="R17" s="76"/>
    </row>
    <row r="18" spans="2:25" x14ac:dyDescent="0.3">
      <c r="R18" s="76"/>
    </row>
    <row r="19" spans="2:25" x14ac:dyDescent="0.3">
      <c r="B19" s="1" t="s">
        <v>6</v>
      </c>
      <c r="E19" s="19"/>
      <c r="H19" s="20"/>
      <c r="I19" s="19"/>
      <c r="J19" s="21"/>
      <c r="K19" s="21"/>
      <c r="L19" s="21"/>
      <c r="M19" s="21"/>
      <c r="N19" s="21"/>
      <c r="O19" s="21"/>
      <c r="P19" s="21"/>
      <c r="Q19" s="21"/>
      <c r="R19" s="76"/>
    </row>
    <row r="20" spans="2:25" x14ac:dyDescent="0.3">
      <c r="C20" t="s">
        <v>37</v>
      </c>
      <c r="E20" s="16"/>
      <c r="H20" s="72"/>
      <c r="I20" s="72">
        <v>500000000</v>
      </c>
      <c r="J20" s="72">
        <v>500000000</v>
      </c>
      <c r="K20" s="72">
        <v>500000000</v>
      </c>
      <c r="L20" s="72">
        <v>500000000</v>
      </c>
      <c r="M20" s="72">
        <v>500000000</v>
      </c>
      <c r="N20" s="72">
        <f>M20*(1-$N$17)</f>
        <v>425000000</v>
      </c>
      <c r="O20" s="72">
        <f>N20</f>
        <v>425000000</v>
      </c>
      <c r="P20" s="72">
        <f t="shared" ref="P20:Q20" si="0">O20</f>
        <v>425000000</v>
      </c>
      <c r="Q20" s="72">
        <f t="shared" si="0"/>
        <v>425000000</v>
      </c>
      <c r="R20" s="77">
        <f>SUM(H20:Q20)</f>
        <v>4200000000</v>
      </c>
      <c r="S20" s="14"/>
      <c r="T20" s="14"/>
      <c r="U20" s="14"/>
      <c r="V20" s="14"/>
      <c r="W20" s="14"/>
      <c r="X20" s="15"/>
    </row>
    <row r="21" spans="2:25" x14ac:dyDescent="0.3">
      <c r="C21" t="s">
        <v>38</v>
      </c>
      <c r="H21" s="14"/>
      <c r="I21" s="14">
        <v>250000000</v>
      </c>
      <c r="J21" s="14">
        <v>250000000</v>
      </c>
      <c r="K21" s="14">
        <v>250000000</v>
      </c>
      <c r="L21" s="14">
        <v>250000000</v>
      </c>
      <c r="M21" s="14">
        <v>250000000</v>
      </c>
      <c r="N21" s="72">
        <f>M21*(1-$N$17)</f>
        <v>212500000</v>
      </c>
      <c r="O21" s="72">
        <f t="shared" ref="O21:Q22" si="1">N21</f>
        <v>212500000</v>
      </c>
      <c r="P21" s="72">
        <f t="shared" si="1"/>
        <v>212500000</v>
      </c>
      <c r="Q21" s="72">
        <f t="shared" si="1"/>
        <v>212500000</v>
      </c>
      <c r="R21" s="77">
        <f t="shared" ref="R21:R23" si="2">SUM(H21:Q21)</f>
        <v>2100000000</v>
      </c>
      <c r="S21" s="14"/>
      <c r="T21" s="14"/>
      <c r="U21" s="14"/>
      <c r="V21" s="14"/>
      <c r="W21" s="14"/>
      <c r="X21" s="15"/>
    </row>
    <row r="22" spans="2:25" x14ac:dyDescent="0.3">
      <c r="C22" t="s">
        <v>40</v>
      </c>
      <c r="H22" s="14"/>
      <c r="I22" s="14">
        <v>500000000</v>
      </c>
      <c r="J22" s="14">
        <v>500000000</v>
      </c>
      <c r="K22" s="14">
        <v>500000000</v>
      </c>
      <c r="L22" s="14">
        <v>500000000</v>
      </c>
      <c r="M22" s="14">
        <v>500000000</v>
      </c>
      <c r="N22" s="72">
        <f>M22*(1-$N$17)</f>
        <v>425000000</v>
      </c>
      <c r="O22" s="72">
        <f t="shared" si="1"/>
        <v>425000000</v>
      </c>
      <c r="P22" s="72">
        <f t="shared" si="1"/>
        <v>425000000</v>
      </c>
      <c r="Q22" s="72">
        <f t="shared" si="1"/>
        <v>425000000</v>
      </c>
      <c r="R22" s="77">
        <f t="shared" si="2"/>
        <v>4200000000</v>
      </c>
      <c r="S22" s="14"/>
      <c r="T22" s="14"/>
      <c r="U22" s="14"/>
      <c r="V22" s="14"/>
      <c r="W22" s="14"/>
      <c r="X22" s="15"/>
    </row>
    <row r="23" spans="2:25" x14ac:dyDescent="0.3">
      <c r="C23" t="s">
        <v>39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77">
        <f t="shared" si="2"/>
        <v>0</v>
      </c>
      <c r="S23" s="48"/>
      <c r="T23" s="48"/>
      <c r="U23" s="48"/>
      <c r="V23" s="48"/>
      <c r="W23" s="48"/>
      <c r="X23" s="49"/>
      <c r="Y23" s="50"/>
    </row>
    <row r="24" spans="2:25" x14ac:dyDescent="0.3">
      <c r="B24" s="69" t="s">
        <v>15</v>
      </c>
      <c r="C24" s="69"/>
      <c r="D24" s="69"/>
      <c r="E24" s="298">
        <f>SUM(H24:Q24)</f>
        <v>10500000000</v>
      </c>
      <c r="F24" s="299"/>
      <c r="G24" s="299"/>
      <c r="H24" s="70">
        <f>SUM(H20:H23)</f>
        <v>0</v>
      </c>
      <c r="I24" s="70">
        <f>SUM(I20:I23)</f>
        <v>1250000000</v>
      </c>
      <c r="J24" s="70">
        <f t="shared" ref="J24:M24" si="3">SUM(J20:J23)</f>
        <v>1250000000</v>
      </c>
      <c r="K24" s="70">
        <f t="shared" si="3"/>
        <v>1250000000</v>
      </c>
      <c r="L24" s="70">
        <f t="shared" si="3"/>
        <v>1250000000</v>
      </c>
      <c r="M24" s="70">
        <f t="shared" si="3"/>
        <v>1250000000</v>
      </c>
      <c r="N24" s="70">
        <f>SUM(N20:N23)</f>
        <v>1062500000</v>
      </c>
      <c r="O24" s="70">
        <f t="shared" ref="O24:Q24" si="4">SUM(O20:O23)</f>
        <v>1062500000</v>
      </c>
      <c r="P24" s="70">
        <f t="shared" si="4"/>
        <v>1062500000</v>
      </c>
      <c r="Q24" s="70">
        <f t="shared" si="4"/>
        <v>1062500000</v>
      </c>
      <c r="R24" s="78">
        <f>SUM(R20:R23)</f>
        <v>10500000000</v>
      </c>
      <c r="S24" s="48"/>
      <c r="T24" s="48"/>
      <c r="U24" s="48"/>
      <c r="V24" s="48"/>
      <c r="W24" s="48"/>
      <c r="X24" s="48"/>
      <c r="Y24" s="50"/>
    </row>
    <row r="25" spans="2:25" x14ac:dyDescent="0.3">
      <c r="R25" s="76"/>
      <c r="S25" s="50"/>
      <c r="T25" s="50"/>
      <c r="U25" s="50"/>
      <c r="V25" s="50"/>
      <c r="W25" s="50"/>
      <c r="X25" s="50"/>
      <c r="Y25" s="50"/>
    </row>
    <row r="26" spans="2:25" x14ac:dyDescent="0.3">
      <c r="B26" s="1" t="s">
        <v>16</v>
      </c>
      <c r="E26" s="19"/>
      <c r="F26" s="19"/>
      <c r="G26" s="19"/>
      <c r="H26" s="20"/>
      <c r="I26" s="19"/>
      <c r="J26" s="21"/>
      <c r="K26" s="21"/>
      <c r="L26" s="21"/>
      <c r="M26" s="21"/>
      <c r="N26" s="21"/>
      <c r="O26" s="21"/>
      <c r="P26" s="21"/>
      <c r="Q26" s="21"/>
      <c r="R26" s="79"/>
      <c r="S26" s="51"/>
      <c r="T26" s="51"/>
      <c r="U26" s="51"/>
      <c r="V26" s="51"/>
      <c r="W26" s="51"/>
      <c r="X26" s="50"/>
      <c r="Y26" s="50"/>
    </row>
    <row r="27" spans="2:25" x14ac:dyDescent="0.3">
      <c r="C27" t="s">
        <v>47</v>
      </c>
      <c r="H27" s="14"/>
      <c r="I27" s="14">
        <v>400000000</v>
      </c>
      <c r="J27" s="14">
        <v>400000000</v>
      </c>
      <c r="K27" s="14">
        <v>400000000</v>
      </c>
      <c r="L27" s="14">
        <v>400000000</v>
      </c>
      <c r="M27" s="14">
        <f>400000000*(1-N17)</f>
        <v>340000000</v>
      </c>
      <c r="N27" s="14">
        <f>M27</f>
        <v>340000000</v>
      </c>
      <c r="O27" s="14">
        <f t="shared" ref="O27:P27" si="5">N27</f>
        <v>340000000</v>
      </c>
      <c r="P27" s="14">
        <f t="shared" si="5"/>
        <v>340000000</v>
      </c>
      <c r="Q27" s="14">
        <v>0</v>
      </c>
      <c r="R27" s="80">
        <f>SUM(H27:Q27)</f>
        <v>2960000000</v>
      </c>
      <c r="S27" s="48"/>
      <c r="T27" s="48"/>
      <c r="U27" s="48"/>
      <c r="V27" s="48"/>
      <c r="W27" s="48"/>
      <c r="X27" s="49"/>
      <c r="Y27" s="50"/>
    </row>
    <row r="28" spans="2:25" x14ac:dyDescent="0.3">
      <c r="C28" t="s">
        <v>17</v>
      </c>
      <c r="H28" s="14"/>
      <c r="I28" s="14">
        <f>96000000*0.5</f>
        <v>48000000</v>
      </c>
      <c r="J28" s="14">
        <f>96000000*0.5</f>
        <v>48000000</v>
      </c>
      <c r="K28" s="14">
        <f>200000000*0.5</f>
        <v>100000000</v>
      </c>
      <c r="L28" s="14">
        <f t="shared" ref="L28:Q28" si="6">200000000*0.5</f>
        <v>100000000</v>
      </c>
      <c r="M28" s="14">
        <f t="shared" si="6"/>
        <v>100000000</v>
      </c>
      <c r="N28" s="14">
        <f t="shared" si="6"/>
        <v>100000000</v>
      </c>
      <c r="O28" s="14">
        <f t="shared" si="6"/>
        <v>100000000</v>
      </c>
      <c r="P28" s="14">
        <f t="shared" si="6"/>
        <v>100000000</v>
      </c>
      <c r="Q28" s="14">
        <f t="shared" si="6"/>
        <v>100000000</v>
      </c>
      <c r="R28" s="80">
        <f t="shared" ref="R28:R30" si="7">SUM(H28:Q28)</f>
        <v>796000000</v>
      </c>
      <c r="S28" s="48"/>
      <c r="T28" s="48"/>
      <c r="U28" s="48"/>
      <c r="V28" s="48"/>
      <c r="W28" s="48"/>
      <c r="X28" s="49"/>
      <c r="Y28" s="50"/>
    </row>
    <row r="29" spans="2:25" x14ac:dyDescent="0.3">
      <c r="C29" t="s">
        <v>48</v>
      </c>
      <c r="H29" s="14"/>
      <c r="I29" s="14">
        <v>21000000</v>
      </c>
      <c r="J29" s="14">
        <v>21000000</v>
      </c>
      <c r="K29" s="14">
        <v>21000000</v>
      </c>
      <c r="L29" s="14">
        <v>21000000</v>
      </c>
      <c r="M29" s="14">
        <v>21000000</v>
      </c>
      <c r="N29" s="14">
        <v>21000000</v>
      </c>
      <c r="O29" s="14">
        <v>21000000</v>
      </c>
      <c r="P29" s="14">
        <v>21000000</v>
      </c>
      <c r="Q29" s="14">
        <v>21000000</v>
      </c>
      <c r="R29" s="80">
        <f t="shared" si="7"/>
        <v>189000000</v>
      </c>
      <c r="S29" s="48"/>
      <c r="T29" s="48"/>
      <c r="U29" s="48"/>
      <c r="V29" s="48"/>
      <c r="W29" s="48"/>
      <c r="X29" s="49"/>
      <c r="Y29" s="50"/>
    </row>
    <row r="30" spans="2:25" x14ac:dyDescent="0.3">
      <c r="B30" s="17"/>
      <c r="C30" s="17" t="s">
        <v>3</v>
      </c>
      <c r="D30" s="17"/>
      <c r="E30" s="17"/>
      <c r="F30" s="17"/>
      <c r="G30" s="17"/>
      <c r="H30" s="22">
        <f t="shared" ref="H30:Q30" si="8">$G$5*H24</f>
        <v>0</v>
      </c>
      <c r="I30" s="22">
        <f t="shared" si="8"/>
        <v>0</v>
      </c>
      <c r="J30" s="22">
        <f t="shared" si="8"/>
        <v>0</v>
      </c>
      <c r="K30" s="22">
        <f t="shared" si="8"/>
        <v>0</v>
      </c>
      <c r="L30" s="22">
        <f t="shared" si="8"/>
        <v>0</v>
      </c>
      <c r="M30" s="22">
        <f t="shared" si="8"/>
        <v>0</v>
      </c>
      <c r="N30" s="22">
        <f t="shared" si="8"/>
        <v>0</v>
      </c>
      <c r="O30" s="22">
        <f t="shared" si="8"/>
        <v>0</v>
      </c>
      <c r="P30" s="22">
        <f t="shared" si="8"/>
        <v>0</v>
      </c>
      <c r="Q30" s="22">
        <f t="shared" si="8"/>
        <v>0</v>
      </c>
      <c r="R30" s="80">
        <f t="shared" si="7"/>
        <v>0</v>
      </c>
      <c r="S30" s="52"/>
      <c r="T30" s="52"/>
      <c r="U30" s="52"/>
      <c r="V30" s="52"/>
      <c r="W30" s="52"/>
      <c r="X30" s="49"/>
      <c r="Y30" s="50"/>
    </row>
    <row r="31" spans="2:25" s="1" customFormat="1" x14ac:dyDescent="0.3">
      <c r="B31" s="69" t="s">
        <v>18</v>
      </c>
      <c r="C31" s="69"/>
      <c r="D31" s="69"/>
      <c r="E31" s="69"/>
      <c r="F31" s="69"/>
      <c r="G31" s="69"/>
      <c r="H31" s="70">
        <f>SUM(H27:H30)</f>
        <v>0</v>
      </c>
      <c r="I31" s="70">
        <f>SUM(I27:I30)</f>
        <v>469000000</v>
      </c>
      <c r="J31" s="70">
        <f t="shared" ref="J31:Q31" si="9">SUM(J27:J30)</f>
        <v>469000000</v>
      </c>
      <c r="K31" s="70">
        <f t="shared" si="9"/>
        <v>521000000</v>
      </c>
      <c r="L31" s="70">
        <f t="shared" si="9"/>
        <v>521000000</v>
      </c>
      <c r="M31" s="70">
        <f t="shared" si="9"/>
        <v>461000000</v>
      </c>
      <c r="N31" s="70">
        <f t="shared" si="9"/>
        <v>461000000</v>
      </c>
      <c r="O31" s="70">
        <f t="shared" si="9"/>
        <v>461000000</v>
      </c>
      <c r="P31" s="70">
        <f t="shared" si="9"/>
        <v>461000000</v>
      </c>
      <c r="Q31" s="70">
        <f t="shared" si="9"/>
        <v>121000000</v>
      </c>
      <c r="R31" s="94">
        <f>SUM(R27:R30)</f>
        <v>3945000000</v>
      </c>
      <c r="S31" s="53"/>
      <c r="T31" s="53"/>
      <c r="U31" s="53"/>
      <c r="V31" s="53"/>
      <c r="W31" s="53"/>
      <c r="X31" s="53"/>
      <c r="Y31" s="54"/>
    </row>
    <row r="32" spans="2:25" s="1" customFormat="1" x14ac:dyDescent="0.3">
      <c r="B32" s="1" t="s">
        <v>19</v>
      </c>
      <c r="H32" s="23">
        <f>H24-H31</f>
        <v>0</v>
      </c>
      <c r="I32" s="23">
        <f>I24-I31</f>
        <v>781000000</v>
      </c>
      <c r="J32" s="23">
        <f t="shared" ref="J32:Q32" si="10">J24-J31</f>
        <v>781000000</v>
      </c>
      <c r="K32" s="23">
        <f t="shared" si="10"/>
        <v>729000000</v>
      </c>
      <c r="L32" s="23">
        <f t="shared" si="10"/>
        <v>729000000</v>
      </c>
      <c r="M32" s="23">
        <f t="shared" si="10"/>
        <v>789000000</v>
      </c>
      <c r="N32" s="23">
        <f t="shared" si="10"/>
        <v>601500000</v>
      </c>
      <c r="O32" s="23">
        <f t="shared" si="10"/>
        <v>601500000</v>
      </c>
      <c r="P32" s="23">
        <f t="shared" si="10"/>
        <v>601500000</v>
      </c>
      <c r="Q32" s="23">
        <f t="shared" si="10"/>
        <v>941500000</v>
      </c>
      <c r="R32" s="81">
        <f>R24-R31</f>
        <v>6555000000</v>
      </c>
      <c r="S32" s="53"/>
      <c r="T32" s="53"/>
      <c r="U32" s="53"/>
      <c r="V32" s="53"/>
      <c r="W32" s="53"/>
      <c r="X32" s="53"/>
      <c r="Y32" s="54"/>
    </row>
    <row r="33" spans="2:25" s="1" customFormat="1" x14ac:dyDescent="0.3">
      <c r="B33" s="24" t="s">
        <v>20</v>
      </c>
      <c r="C33" s="25"/>
      <c r="D33" s="25"/>
      <c r="E33" s="25"/>
      <c r="F33" s="25"/>
      <c r="G33" s="25"/>
      <c r="H33" s="26" t="e">
        <f>H32/H24</f>
        <v>#DIV/0!</v>
      </c>
      <c r="I33" s="26">
        <f>I32/I24</f>
        <v>0.62480000000000002</v>
      </c>
      <c r="J33" s="26">
        <f t="shared" ref="J33:Q33" si="11">J32/J24</f>
        <v>0.62480000000000002</v>
      </c>
      <c r="K33" s="26">
        <f t="shared" si="11"/>
        <v>0.58320000000000005</v>
      </c>
      <c r="L33" s="26">
        <f t="shared" si="11"/>
        <v>0.58320000000000005</v>
      </c>
      <c r="M33" s="26">
        <f t="shared" si="11"/>
        <v>0.63119999999999998</v>
      </c>
      <c r="N33" s="26">
        <f t="shared" si="11"/>
        <v>0.5661176470588235</v>
      </c>
      <c r="O33" s="26">
        <f t="shared" si="11"/>
        <v>0.5661176470588235</v>
      </c>
      <c r="P33" s="26">
        <f t="shared" si="11"/>
        <v>0.5661176470588235</v>
      </c>
      <c r="Q33" s="26">
        <f t="shared" si="11"/>
        <v>0.88611764705882357</v>
      </c>
      <c r="R33" s="82">
        <f>R32/R24</f>
        <v>0.62428571428571433</v>
      </c>
      <c r="S33" s="55"/>
      <c r="T33" s="55"/>
      <c r="U33" s="55"/>
      <c r="V33" s="55"/>
      <c r="W33" s="55"/>
      <c r="X33" s="55"/>
      <c r="Y33" s="54"/>
    </row>
    <row r="34" spans="2:25" x14ac:dyDescent="0.3">
      <c r="R34" s="76"/>
      <c r="S34" s="50"/>
      <c r="T34" s="50"/>
      <c r="U34" s="50"/>
      <c r="V34" s="50"/>
      <c r="W34" s="50"/>
      <c r="X34" s="50"/>
      <c r="Y34" s="50"/>
    </row>
    <row r="35" spans="2:25" x14ac:dyDescent="0.3">
      <c r="B35" s="17" t="s">
        <v>21</v>
      </c>
      <c r="C35" s="17"/>
      <c r="D35" s="17"/>
      <c r="E35" s="17"/>
      <c r="F35" s="17"/>
      <c r="G35" s="17"/>
      <c r="H35" s="18">
        <f>H69</f>
        <v>210000000</v>
      </c>
      <c r="I35" s="18">
        <f t="shared" ref="I35:Q35" si="12">I69</f>
        <v>237777777.77777779</v>
      </c>
      <c r="J35" s="18">
        <f t="shared" si="12"/>
        <v>237777777.77777779</v>
      </c>
      <c r="K35" s="18">
        <f t="shared" si="12"/>
        <v>237777777.77777779</v>
      </c>
      <c r="L35" s="18">
        <f t="shared" si="12"/>
        <v>237777777.77777779</v>
      </c>
      <c r="M35" s="18">
        <f t="shared" si="12"/>
        <v>237777777.77777779</v>
      </c>
      <c r="N35" s="18">
        <f t="shared" si="12"/>
        <v>237777777.77777779</v>
      </c>
      <c r="O35" s="18">
        <f t="shared" si="12"/>
        <v>237777777.77777779</v>
      </c>
      <c r="P35" s="18">
        <f t="shared" si="12"/>
        <v>237777777.77777779</v>
      </c>
      <c r="Q35" s="18">
        <f t="shared" si="12"/>
        <v>0</v>
      </c>
      <c r="R35" s="83">
        <f>SUM(H35:Q35)</f>
        <v>2112222222.2222219</v>
      </c>
      <c r="S35" s="48"/>
      <c r="T35" s="48"/>
      <c r="U35" s="48"/>
      <c r="V35" s="48"/>
      <c r="W35" s="48"/>
      <c r="X35" s="48"/>
      <c r="Y35" s="50"/>
    </row>
    <row r="36" spans="2:25" x14ac:dyDescent="0.3">
      <c r="B36" s="27" t="s">
        <v>22</v>
      </c>
      <c r="H36" s="28">
        <f>H32-H35</f>
        <v>-210000000</v>
      </c>
      <c r="I36" s="28">
        <f t="shared" ref="I36:Q36" si="13">I32-I35</f>
        <v>543222222.22222221</v>
      </c>
      <c r="J36" s="28">
        <f t="shared" si="13"/>
        <v>543222222.22222221</v>
      </c>
      <c r="K36" s="28">
        <f t="shared" si="13"/>
        <v>491222222.22222221</v>
      </c>
      <c r="L36" s="28">
        <f t="shared" si="13"/>
        <v>491222222.22222221</v>
      </c>
      <c r="M36" s="28">
        <f t="shared" si="13"/>
        <v>551222222.22222221</v>
      </c>
      <c r="N36" s="28">
        <f t="shared" si="13"/>
        <v>363722222.22222221</v>
      </c>
      <c r="O36" s="28">
        <f t="shared" si="13"/>
        <v>363722222.22222221</v>
      </c>
      <c r="P36" s="28">
        <f t="shared" si="13"/>
        <v>363722222.22222221</v>
      </c>
      <c r="Q36" s="28">
        <f t="shared" si="13"/>
        <v>941500000</v>
      </c>
      <c r="R36" s="84">
        <f>R32-R35</f>
        <v>4442777777.7777786</v>
      </c>
      <c r="S36" s="56"/>
      <c r="T36" s="56"/>
      <c r="U36" s="56"/>
      <c r="V36" s="56"/>
      <c r="W36" s="56"/>
      <c r="X36" s="56"/>
      <c r="Y36" s="50"/>
    </row>
    <row r="37" spans="2:25" x14ac:dyDescent="0.3">
      <c r="B37" s="27"/>
      <c r="H37" s="28"/>
      <c r="I37" s="29"/>
      <c r="J37" s="29"/>
      <c r="K37" s="29"/>
      <c r="L37" s="29"/>
      <c r="M37" s="29"/>
      <c r="N37" s="29"/>
      <c r="O37" s="29"/>
      <c r="P37" s="29"/>
      <c r="Q37" s="29"/>
      <c r="R37" s="84"/>
      <c r="S37" s="56"/>
      <c r="T37" s="56"/>
      <c r="U37" s="56"/>
      <c r="V37" s="56"/>
      <c r="W37" s="56"/>
      <c r="X37" s="56"/>
      <c r="Y37" s="50"/>
    </row>
    <row r="38" spans="2:25" x14ac:dyDescent="0.3">
      <c r="B38" s="27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102">
        <f t="shared" ref="R38:R39" si="14">SUM(H38:Q38)</f>
        <v>0</v>
      </c>
      <c r="S38" s="56"/>
      <c r="T38" s="56"/>
      <c r="U38" s="56"/>
      <c r="V38" s="56"/>
      <c r="W38" s="56"/>
      <c r="X38" s="56"/>
      <c r="Y38" s="50"/>
    </row>
    <row r="39" spans="2:25" x14ac:dyDescent="0.3">
      <c r="B39" s="27" t="s">
        <v>36</v>
      </c>
      <c r="H39" s="73">
        <f>H36-H38</f>
        <v>-210000000</v>
      </c>
      <c r="I39" s="73">
        <f t="shared" ref="I39:Q39" si="15">I36-I38</f>
        <v>543222222.22222221</v>
      </c>
      <c r="J39" s="73">
        <f t="shared" si="15"/>
        <v>543222222.22222221</v>
      </c>
      <c r="K39" s="73">
        <f t="shared" si="15"/>
        <v>491222222.22222221</v>
      </c>
      <c r="L39" s="73">
        <f t="shared" si="15"/>
        <v>491222222.22222221</v>
      </c>
      <c r="M39" s="73">
        <f t="shared" si="15"/>
        <v>551222222.22222221</v>
      </c>
      <c r="N39" s="73">
        <f t="shared" si="15"/>
        <v>363722222.22222221</v>
      </c>
      <c r="O39" s="73">
        <f t="shared" si="15"/>
        <v>363722222.22222221</v>
      </c>
      <c r="P39" s="73">
        <f t="shared" si="15"/>
        <v>363722222.22222221</v>
      </c>
      <c r="Q39" s="73">
        <f t="shared" si="15"/>
        <v>941500000</v>
      </c>
      <c r="R39" s="102">
        <f t="shared" si="14"/>
        <v>4442777777.7777786</v>
      </c>
      <c r="S39" s="56"/>
      <c r="T39" s="56"/>
      <c r="U39" s="56"/>
      <c r="V39" s="56"/>
      <c r="W39" s="56"/>
      <c r="X39" s="56"/>
      <c r="Y39" s="50"/>
    </row>
    <row r="40" spans="2:25" x14ac:dyDescent="0.3">
      <c r="B40" s="17" t="s">
        <v>23</v>
      </c>
      <c r="C40" s="17"/>
      <c r="D40" s="17"/>
      <c r="E40" s="17"/>
      <c r="F40" s="17"/>
      <c r="G40" s="17"/>
      <c r="H40" s="71">
        <f>IF(H39&lt;0,0,H39*$G$3)</f>
        <v>0</v>
      </c>
      <c r="I40" s="71">
        <f t="shared" ref="I40:Q40" si="16">IF(I39&lt;0,0,I39*$G$3)</f>
        <v>10864444.444444444</v>
      </c>
      <c r="J40" s="71">
        <f t="shared" si="16"/>
        <v>10864444.444444444</v>
      </c>
      <c r="K40" s="71">
        <f t="shared" si="16"/>
        <v>9824444.444444444</v>
      </c>
      <c r="L40" s="71">
        <f t="shared" si="16"/>
        <v>9824444.444444444</v>
      </c>
      <c r="M40" s="71">
        <f t="shared" si="16"/>
        <v>11024444.444444444</v>
      </c>
      <c r="N40" s="71">
        <f t="shared" si="16"/>
        <v>7274444.444444444</v>
      </c>
      <c r="O40" s="71">
        <f t="shared" si="16"/>
        <v>7274444.444444444</v>
      </c>
      <c r="P40" s="71">
        <f t="shared" si="16"/>
        <v>7274444.444444444</v>
      </c>
      <c r="Q40" s="71">
        <f t="shared" si="16"/>
        <v>18830000</v>
      </c>
      <c r="R40" s="85">
        <f>SUM(H40:Q40)</f>
        <v>93055555.555555567</v>
      </c>
      <c r="S40" s="58"/>
      <c r="T40" s="58"/>
      <c r="U40" s="58"/>
      <c r="V40" s="58"/>
      <c r="W40" s="58"/>
      <c r="X40" s="57"/>
      <c r="Y40" s="50"/>
    </row>
    <row r="41" spans="2:25" ht="16.2" thickBot="1" x14ac:dyDescent="0.35">
      <c r="B41" s="31" t="s">
        <v>61</v>
      </c>
      <c r="C41" s="31"/>
      <c r="D41" s="31"/>
      <c r="E41" s="31"/>
      <c r="F41" s="31"/>
      <c r="G41" s="31"/>
      <c r="H41" s="32">
        <f>H39-H40</f>
        <v>-210000000</v>
      </c>
      <c r="I41" s="32">
        <f t="shared" ref="I41:Q41" si="17">I39-I40</f>
        <v>532357777.77777779</v>
      </c>
      <c r="J41" s="32">
        <f t="shared" si="17"/>
        <v>532357777.77777779</v>
      </c>
      <c r="K41" s="32">
        <f t="shared" si="17"/>
        <v>481397777.77777779</v>
      </c>
      <c r="L41" s="32">
        <f t="shared" si="17"/>
        <v>481397777.77777779</v>
      </c>
      <c r="M41" s="32">
        <f t="shared" si="17"/>
        <v>540197777.77777779</v>
      </c>
      <c r="N41" s="32">
        <f t="shared" si="17"/>
        <v>356447777.77777779</v>
      </c>
      <c r="O41" s="32">
        <f t="shared" si="17"/>
        <v>356447777.77777779</v>
      </c>
      <c r="P41" s="32">
        <f t="shared" si="17"/>
        <v>356447777.77777779</v>
      </c>
      <c r="Q41" s="32">
        <f t="shared" si="17"/>
        <v>922670000</v>
      </c>
      <c r="R41" s="86">
        <f>R36-R40</f>
        <v>4349722222.2222233</v>
      </c>
      <c r="S41" s="56"/>
      <c r="T41" s="56"/>
      <c r="U41" s="56"/>
      <c r="V41" s="56"/>
      <c r="W41" s="56"/>
      <c r="X41" s="56"/>
      <c r="Y41" s="50"/>
    </row>
    <row r="42" spans="2:25" x14ac:dyDescent="0.3">
      <c r="R42" s="76"/>
      <c r="S42" s="50"/>
      <c r="T42" s="50"/>
      <c r="U42" s="50"/>
      <c r="V42" s="50"/>
      <c r="W42" s="50"/>
      <c r="X42" s="50"/>
      <c r="Y42" s="50"/>
    </row>
    <row r="43" spans="2:25" x14ac:dyDescent="0.3">
      <c r="B43" s="17" t="s">
        <v>24</v>
      </c>
      <c r="C43" s="17"/>
      <c r="D43" s="17"/>
      <c r="E43" s="17"/>
      <c r="F43" s="17"/>
      <c r="G43" s="33">
        <f>-H12</f>
        <v>-2100000000</v>
      </c>
      <c r="H43" s="33">
        <f t="shared" ref="H43:I43" si="18">-I12</f>
        <v>-250000000</v>
      </c>
      <c r="I43" s="33">
        <f t="shared" si="18"/>
        <v>0</v>
      </c>
      <c r="J43" s="33">
        <f>-K12</f>
        <v>0</v>
      </c>
      <c r="K43" s="33">
        <f t="shared" ref="K43:Q43" si="19">-L12</f>
        <v>0</v>
      </c>
      <c r="L43" s="33">
        <f t="shared" si="19"/>
        <v>0</v>
      </c>
      <c r="M43" s="33">
        <f t="shared" si="19"/>
        <v>0</v>
      </c>
      <c r="N43" s="33">
        <f t="shared" si="19"/>
        <v>0</v>
      </c>
      <c r="O43" s="33">
        <f t="shared" si="19"/>
        <v>0</v>
      </c>
      <c r="P43" s="33">
        <f t="shared" si="19"/>
        <v>0</v>
      </c>
      <c r="Q43" s="33">
        <f t="shared" si="19"/>
        <v>0</v>
      </c>
      <c r="R43" s="87"/>
      <c r="S43" s="57"/>
      <c r="T43" s="57"/>
      <c r="U43" s="57"/>
      <c r="V43" s="57"/>
      <c r="W43" s="57"/>
      <c r="X43" s="57"/>
      <c r="Y43" s="50"/>
    </row>
    <row r="44" spans="2:25" x14ac:dyDescent="0.3">
      <c r="B44" t="s">
        <v>25</v>
      </c>
      <c r="G44" s="30">
        <f>G43</f>
        <v>-2100000000</v>
      </c>
      <c r="H44" s="30">
        <f>H43+H41+H35</f>
        <v>-250000000</v>
      </c>
      <c r="I44" s="30">
        <f>I43+I41+I35</f>
        <v>770135555.55555558</v>
      </c>
      <c r="J44" s="30">
        <f t="shared" ref="J44:Q44" si="20">J43+J41+J35</f>
        <v>770135555.55555558</v>
      </c>
      <c r="K44" s="30">
        <f t="shared" si="20"/>
        <v>719175555.55555558</v>
      </c>
      <c r="L44" s="30">
        <f t="shared" si="20"/>
        <v>719175555.55555558</v>
      </c>
      <c r="M44" s="30">
        <f t="shared" si="20"/>
        <v>777975555.55555558</v>
      </c>
      <c r="N44" s="30">
        <f t="shared" si="20"/>
        <v>594225555.55555558</v>
      </c>
      <c r="O44" s="30">
        <f t="shared" si="20"/>
        <v>594225555.55555558</v>
      </c>
      <c r="P44" s="30">
        <f t="shared" si="20"/>
        <v>594225555.55555558</v>
      </c>
      <c r="Q44" s="30">
        <f t="shared" si="20"/>
        <v>922670000</v>
      </c>
      <c r="R44" s="88"/>
      <c r="S44" s="57"/>
      <c r="T44" s="57"/>
      <c r="U44" s="57"/>
      <c r="V44" s="57"/>
      <c r="W44" s="57"/>
      <c r="X44" s="57"/>
      <c r="Y44" s="50"/>
    </row>
    <row r="45" spans="2:25" x14ac:dyDescent="0.3">
      <c r="B45" t="s">
        <v>26</v>
      </c>
      <c r="G45" s="30">
        <f>G44</f>
        <v>-2100000000</v>
      </c>
      <c r="H45" s="30">
        <f>G45+H44</f>
        <v>-2350000000</v>
      </c>
      <c r="I45" s="30">
        <f>H45+I44</f>
        <v>-1579864444.4444444</v>
      </c>
      <c r="J45" s="30">
        <f t="shared" ref="J45:Q45" si="21">I45+J44</f>
        <v>-809728888.88888884</v>
      </c>
      <c r="K45" s="30">
        <f t="shared" si="21"/>
        <v>-90553333.333333254</v>
      </c>
      <c r="L45" s="30">
        <f t="shared" si="21"/>
        <v>628622222.22222233</v>
      </c>
      <c r="M45" s="30">
        <f t="shared" si="21"/>
        <v>1406597777.7777779</v>
      </c>
      <c r="N45" s="30">
        <f t="shared" si="21"/>
        <v>2000823333.3333335</v>
      </c>
      <c r="O45" s="30">
        <f t="shared" si="21"/>
        <v>2595048888.8888893</v>
      </c>
      <c r="P45" s="30">
        <f t="shared" si="21"/>
        <v>3189274444.4444447</v>
      </c>
      <c r="Q45" s="30">
        <f t="shared" si="21"/>
        <v>4111944444.4444447</v>
      </c>
      <c r="R45" s="88"/>
      <c r="S45" s="57"/>
      <c r="T45" s="57"/>
      <c r="U45" s="57"/>
      <c r="V45" s="57"/>
      <c r="W45" s="57"/>
      <c r="X45" s="57"/>
      <c r="Y45" s="50"/>
    </row>
    <row r="46" spans="2:25" x14ac:dyDescent="0.3">
      <c r="B46" t="s">
        <v>68</v>
      </c>
      <c r="G46" s="30">
        <f>IF(G45&lt;0,G45*70%*$G$4,G45*$G$7)</f>
        <v>-147000000</v>
      </c>
      <c r="H46" s="30">
        <f t="shared" ref="H46:Q46" si="22">IF(H45&lt;0,H45*70%*$G$4,H45*$G$7)</f>
        <v>-164500000</v>
      </c>
      <c r="I46" s="30">
        <f t="shared" si="22"/>
        <v>-110590511.1111111</v>
      </c>
      <c r="J46" s="30">
        <f t="shared" si="22"/>
        <v>-56681022.222222209</v>
      </c>
      <c r="K46" s="30">
        <f t="shared" si="22"/>
        <v>-6338733.3333333284</v>
      </c>
      <c r="L46" s="30">
        <f>IF(L45&lt;0,L45*70%*$G$4,L45*$G$7)</f>
        <v>18858666.666666668</v>
      </c>
      <c r="M46" s="30">
        <f t="shared" si="22"/>
        <v>42197933.333333336</v>
      </c>
      <c r="N46" s="30">
        <f t="shared" si="22"/>
        <v>60024700</v>
      </c>
      <c r="O46" s="30">
        <f t="shared" si="22"/>
        <v>77851466.666666672</v>
      </c>
      <c r="P46" s="30">
        <f t="shared" si="22"/>
        <v>95678233.333333343</v>
      </c>
      <c r="Q46" s="30">
        <f t="shared" si="22"/>
        <v>123358333.33333333</v>
      </c>
      <c r="R46" s="77">
        <f t="shared" ref="R46" si="23">SUM(H46:Q46)</f>
        <v>79859066.666666731</v>
      </c>
      <c r="S46" s="57"/>
      <c r="T46" s="57"/>
      <c r="U46" s="57"/>
      <c r="V46" s="57"/>
      <c r="W46" s="57"/>
      <c r="X46" s="57"/>
      <c r="Y46" s="50"/>
    </row>
    <row r="47" spans="2:25" x14ac:dyDescent="0.3">
      <c r="B47" t="s">
        <v>71</v>
      </c>
      <c r="G47" s="30">
        <f>G44+G46</f>
        <v>-2247000000</v>
      </c>
      <c r="H47" s="30">
        <f t="shared" ref="H47:Q47" si="24">H44+H46</f>
        <v>-414500000</v>
      </c>
      <c r="I47" s="30">
        <f t="shared" si="24"/>
        <v>659545044.44444442</v>
      </c>
      <c r="J47" s="30">
        <f t="shared" si="24"/>
        <v>713454533.33333337</v>
      </c>
      <c r="K47" s="30">
        <f t="shared" si="24"/>
        <v>712836822.22222221</v>
      </c>
      <c r="L47" s="30">
        <f t="shared" si="24"/>
        <v>738034222.22222221</v>
      </c>
      <c r="M47" s="30">
        <f t="shared" si="24"/>
        <v>820173488.88888896</v>
      </c>
      <c r="N47" s="30">
        <f t="shared" si="24"/>
        <v>654250255.55555558</v>
      </c>
      <c r="O47" s="30">
        <f t="shared" si="24"/>
        <v>672077022.22222221</v>
      </c>
      <c r="P47" s="30">
        <f t="shared" si="24"/>
        <v>689903788.88888896</v>
      </c>
      <c r="Q47" s="30">
        <f t="shared" si="24"/>
        <v>1046028333.3333334</v>
      </c>
      <c r="R47" s="88"/>
      <c r="S47" s="57"/>
      <c r="T47" s="57"/>
      <c r="U47" s="57"/>
      <c r="V47" s="57"/>
      <c r="W47" s="57"/>
      <c r="X47" s="57"/>
      <c r="Y47" s="50"/>
    </row>
    <row r="48" spans="2:25" x14ac:dyDescent="0.3">
      <c r="B48" t="s">
        <v>70</v>
      </c>
      <c r="G48" s="30">
        <f>G47</f>
        <v>-2247000000</v>
      </c>
      <c r="H48" s="30">
        <f>G48+H47</f>
        <v>-2661500000</v>
      </c>
      <c r="I48" s="30">
        <f>H48+I47</f>
        <v>-2001954955.5555556</v>
      </c>
      <c r="J48" s="30">
        <f t="shared" ref="J48" si="25">I48+J47</f>
        <v>-1288500422.2222223</v>
      </c>
      <c r="K48" s="30">
        <f t="shared" ref="K48" si="26">J48+K47</f>
        <v>-575663600.00000012</v>
      </c>
      <c r="L48" s="30">
        <f t="shared" ref="L48" si="27">K48+L47</f>
        <v>162370622.22222209</v>
      </c>
      <c r="M48" s="30">
        <f t="shared" ref="M48" si="28">L48+M47</f>
        <v>982544111.11111104</v>
      </c>
      <c r="N48" s="30">
        <f t="shared" ref="N48" si="29">M48+N47</f>
        <v>1636794366.6666665</v>
      </c>
      <c r="O48" s="30">
        <f t="shared" ref="O48" si="30">N48+O47</f>
        <v>2308871388.8888888</v>
      </c>
      <c r="P48" s="30">
        <f t="shared" ref="P48" si="31">O48+P47</f>
        <v>2998775177.7777777</v>
      </c>
      <c r="Q48" s="30">
        <f t="shared" ref="Q48" si="32">P48+Q47</f>
        <v>4044803511.1111112</v>
      </c>
      <c r="R48" s="88"/>
      <c r="S48" s="57"/>
      <c r="T48" s="57"/>
      <c r="U48" s="57"/>
      <c r="V48" s="57"/>
      <c r="W48" s="57"/>
      <c r="X48" s="57"/>
      <c r="Y48" s="50"/>
    </row>
    <row r="49" spans="2:24" x14ac:dyDescent="0.3">
      <c r="B49" t="s">
        <v>27</v>
      </c>
      <c r="G49" s="30"/>
      <c r="H49" s="34">
        <f>IF(AND(G48&lt;0,H48&gt;0),H57-(H48/H44),0)</f>
        <v>0</v>
      </c>
      <c r="I49" s="34">
        <f t="shared" ref="I49" si="33">IF(AND(H48&lt;0,I48&gt;0),I57-(I48/I44),0)</f>
        <v>0</v>
      </c>
      <c r="J49" s="34">
        <f>IF(AND(I48&lt;0,J48&gt;0),J57-(J48/J47),0)</f>
        <v>0</v>
      </c>
      <c r="K49" s="34">
        <f t="shared" ref="K49:Q49" si="34">IF(AND(J48&lt;0,K48&gt;0),K57-(K48/K47),0)</f>
        <v>0</v>
      </c>
      <c r="L49" s="34">
        <f t="shared" si="34"/>
        <v>4.7799958086857766</v>
      </c>
      <c r="M49" s="100">
        <f t="shared" si="34"/>
        <v>0</v>
      </c>
      <c r="N49" s="34">
        <f t="shared" si="34"/>
        <v>0</v>
      </c>
      <c r="O49" s="34">
        <f t="shared" si="34"/>
        <v>0</v>
      </c>
      <c r="P49" s="34">
        <f t="shared" si="34"/>
        <v>0</v>
      </c>
      <c r="Q49" s="34">
        <f t="shared" si="34"/>
        <v>0</v>
      </c>
      <c r="R49" s="89"/>
      <c r="S49" s="34"/>
      <c r="T49" s="34"/>
      <c r="U49" s="34"/>
      <c r="V49" s="34"/>
      <c r="W49" s="34"/>
      <c r="X49" s="34"/>
    </row>
    <row r="50" spans="2:24" x14ac:dyDescent="0.3">
      <c r="G50" s="30"/>
      <c r="H50" s="34"/>
      <c r="I50" s="34"/>
      <c r="J50" s="34"/>
      <c r="K50" s="34"/>
      <c r="L50" s="100"/>
      <c r="M50" s="34"/>
      <c r="N50" s="34"/>
      <c r="O50" s="34"/>
      <c r="P50" s="34"/>
      <c r="Q50" s="34"/>
      <c r="R50" s="89"/>
      <c r="S50" s="34"/>
      <c r="T50" s="34"/>
      <c r="U50" s="34"/>
      <c r="V50" s="34"/>
      <c r="W50" s="34"/>
      <c r="X50" s="34"/>
    </row>
    <row r="52" spans="2:24" x14ac:dyDescent="0.3">
      <c r="B52" s="60" t="s">
        <v>28</v>
      </c>
      <c r="C52" s="61"/>
      <c r="D52" s="61"/>
      <c r="E52" s="61"/>
      <c r="F52" s="61"/>
      <c r="G52" s="104">
        <f>IRR(G47:Q47)</f>
        <v>0.18395885593128058</v>
      </c>
    </row>
    <row r="53" spans="2:24" x14ac:dyDescent="0.3">
      <c r="B53" s="62" t="s">
        <v>29</v>
      </c>
      <c r="C53" s="63"/>
      <c r="D53" s="63"/>
      <c r="E53" s="63"/>
      <c r="F53" s="63"/>
      <c r="G53" s="64">
        <f>NPV(G4,H44:Q44)+G44</f>
        <v>1454603262.8912854</v>
      </c>
      <c r="I53" s="99"/>
      <c r="J53" s="15"/>
    </row>
    <row r="54" spans="2:24" x14ac:dyDescent="0.3">
      <c r="B54" s="62" t="s">
        <v>30</v>
      </c>
      <c r="C54" s="63"/>
      <c r="D54" s="63"/>
      <c r="E54" s="63"/>
      <c r="F54" s="63"/>
      <c r="G54" s="65">
        <f>R33</f>
        <v>0.62428571428571433</v>
      </c>
      <c r="I54" s="72"/>
    </row>
    <row r="55" spans="2:24" x14ac:dyDescent="0.3">
      <c r="B55" s="66" t="s">
        <v>31</v>
      </c>
      <c r="C55" s="67"/>
      <c r="D55" s="67"/>
      <c r="E55" s="67"/>
      <c r="F55" s="67"/>
      <c r="G55" s="68">
        <f>SUM(G49:Q49)</f>
        <v>4.7799958086857766</v>
      </c>
    </row>
    <row r="56" spans="2:24" x14ac:dyDescent="0.3">
      <c r="G56" s="35"/>
    </row>
    <row r="57" spans="2:24" x14ac:dyDescent="0.3">
      <c r="H57" s="9">
        <v>1</v>
      </c>
      <c r="I57" s="36">
        <v>2</v>
      </c>
      <c r="J57" s="9">
        <v>3</v>
      </c>
      <c r="K57" s="36">
        <v>4</v>
      </c>
      <c r="L57" s="9">
        <v>5</v>
      </c>
      <c r="M57" s="9">
        <v>6</v>
      </c>
      <c r="N57" s="36">
        <v>7</v>
      </c>
      <c r="O57" s="9">
        <v>8</v>
      </c>
      <c r="P57" s="9">
        <v>9</v>
      </c>
      <c r="Q57" s="9"/>
      <c r="R57" s="36"/>
      <c r="S57" s="9"/>
      <c r="T57" s="36"/>
      <c r="U57" s="9"/>
      <c r="V57" s="36"/>
      <c r="W57" s="9"/>
    </row>
    <row r="58" spans="2:24" x14ac:dyDescent="0.3">
      <c r="B58" s="37" t="s">
        <v>32</v>
      </c>
      <c r="E58" s="38" t="s">
        <v>33</v>
      </c>
      <c r="H58" s="38" t="str">
        <f>H15</f>
        <v>Year 1</v>
      </c>
      <c r="I58" s="38" t="str">
        <f>I15</f>
        <v>Year 2</v>
      </c>
      <c r="J58" s="38" t="str">
        <f>J15</f>
        <v>Year 3</v>
      </c>
      <c r="K58" s="38" t="str">
        <f>K15</f>
        <v>Year 4</v>
      </c>
      <c r="L58" s="38" t="str">
        <f>L15</f>
        <v>Year 5</v>
      </c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</row>
    <row r="59" spans="2:24" x14ac:dyDescent="0.3">
      <c r="D59" t="s">
        <v>7</v>
      </c>
      <c r="E59">
        <v>10</v>
      </c>
      <c r="H59" s="74">
        <f>H$12/$E59</f>
        <v>210000000</v>
      </c>
      <c r="I59" s="39">
        <f>H59</f>
        <v>210000000</v>
      </c>
      <c r="J59" s="39">
        <f t="shared" ref="J59:P62" si="35">I59</f>
        <v>210000000</v>
      </c>
      <c r="K59" s="39">
        <f t="shared" si="35"/>
        <v>210000000</v>
      </c>
      <c r="L59" s="39">
        <f t="shared" si="35"/>
        <v>210000000</v>
      </c>
      <c r="M59" s="39">
        <f t="shared" si="35"/>
        <v>210000000</v>
      </c>
      <c r="N59" s="39">
        <f t="shared" si="35"/>
        <v>210000000</v>
      </c>
      <c r="O59" s="39">
        <f t="shared" si="35"/>
        <v>210000000</v>
      </c>
      <c r="P59" s="39">
        <f t="shared" si="35"/>
        <v>210000000</v>
      </c>
      <c r="Q59" s="39"/>
      <c r="R59" s="39"/>
      <c r="S59" s="39"/>
      <c r="T59" s="39"/>
      <c r="U59" s="39"/>
      <c r="V59" s="39"/>
      <c r="W59" s="39"/>
      <c r="X59" s="40"/>
    </row>
    <row r="60" spans="2:24" x14ac:dyDescent="0.3">
      <c r="D60" t="s">
        <v>8</v>
      </c>
      <c r="E60">
        <v>9</v>
      </c>
      <c r="I60" s="74">
        <f>I$12/$E60</f>
        <v>27777777.777777776</v>
      </c>
      <c r="J60" s="39">
        <f>I60</f>
        <v>27777777.777777776</v>
      </c>
      <c r="K60" s="39">
        <f t="shared" si="35"/>
        <v>27777777.777777776</v>
      </c>
      <c r="L60" s="39">
        <f t="shared" si="35"/>
        <v>27777777.777777776</v>
      </c>
      <c r="M60" s="39">
        <f t="shared" si="35"/>
        <v>27777777.777777776</v>
      </c>
      <c r="N60" s="39">
        <f t="shared" si="35"/>
        <v>27777777.777777776</v>
      </c>
      <c r="O60" s="39">
        <f t="shared" si="35"/>
        <v>27777777.777777776</v>
      </c>
      <c r="P60" s="39">
        <f t="shared" si="35"/>
        <v>27777777.777777776</v>
      </c>
      <c r="Q60" s="39"/>
      <c r="R60" s="39"/>
      <c r="S60" s="39"/>
      <c r="T60" s="39"/>
      <c r="U60" s="39"/>
      <c r="V60" s="39"/>
      <c r="W60" s="39"/>
      <c r="X60" s="40"/>
    </row>
    <row r="61" spans="2:24" x14ac:dyDescent="0.3">
      <c r="D61" t="s">
        <v>9</v>
      </c>
      <c r="E61">
        <v>8</v>
      </c>
      <c r="J61" s="74">
        <f>J$12/$E61</f>
        <v>0</v>
      </c>
      <c r="K61" s="39">
        <f>J61</f>
        <v>0</v>
      </c>
      <c r="L61" s="39">
        <f t="shared" si="35"/>
        <v>0</v>
      </c>
      <c r="M61" s="39">
        <f t="shared" si="35"/>
        <v>0</v>
      </c>
      <c r="N61" s="39">
        <f t="shared" si="35"/>
        <v>0</v>
      </c>
      <c r="O61" s="39">
        <f t="shared" si="35"/>
        <v>0</v>
      </c>
      <c r="P61" s="39">
        <f t="shared" si="35"/>
        <v>0</v>
      </c>
      <c r="Q61" s="39"/>
      <c r="R61" s="39"/>
      <c r="S61" s="39"/>
      <c r="T61" s="39"/>
      <c r="U61" s="39"/>
      <c r="V61" s="39"/>
      <c r="W61" s="39"/>
      <c r="X61" s="40"/>
    </row>
    <row r="62" spans="2:24" x14ac:dyDescent="0.3">
      <c r="D62" t="s">
        <v>10</v>
      </c>
      <c r="E62">
        <v>7</v>
      </c>
      <c r="K62" s="74">
        <f>K$12/$E62</f>
        <v>0</v>
      </c>
      <c r="L62" s="39">
        <f>K62</f>
        <v>0</v>
      </c>
      <c r="M62" s="39">
        <f t="shared" si="35"/>
        <v>0</v>
      </c>
      <c r="N62" s="39">
        <f t="shared" si="35"/>
        <v>0</v>
      </c>
      <c r="O62" s="39">
        <f t="shared" si="35"/>
        <v>0</v>
      </c>
      <c r="P62" s="39">
        <f t="shared" si="35"/>
        <v>0</v>
      </c>
      <c r="Q62" s="39"/>
      <c r="R62" s="39"/>
      <c r="S62" s="39"/>
      <c r="T62" s="39"/>
      <c r="U62" s="39"/>
      <c r="V62" s="39"/>
      <c r="W62" s="39"/>
      <c r="X62" s="40"/>
    </row>
    <row r="63" spans="2:24" x14ac:dyDescent="0.3">
      <c r="E63">
        <v>6</v>
      </c>
      <c r="L63" s="74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40"/>
    </row>
    <row r="64" spans="2:24" x14ac:dyDescent="0.3">
      <c r="E64">
        <v>5</v>
      </c>
      <c r="L64" s="39"/>
      <c r="M64" s="74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40"/>
    </row>
    <row r="65" spans="2:27" x14ac:dyDescent="0.3">
      <c r="E65">
        <v>4</v>
      </c>
      <c r="L65" s="39"/>
      <c r="M65" s="39"/>
      <c r="N65" s="74"/>
      <c r="O65" s="39"/>
      <c r="P65" s="39"/>
      <c r="Q65" s="39"/>
      <c r="R65" s="39"/>
      <c r="S65" s="39"/>
      <c r="T65" s="39"/>
      <c r="U65" s="39"/>
      <c r="V65" s="39"/>
      <c r="W65" s="39"/>
      <c r="X65" s="40"/>
    </row>
    <row r="66" spans="2:27" x14ac:dyDescent="0.3">
      <c r="E66">
        <v>3</v>
      </c>
      <c r="L66" s="39"/>
      <c r="M66" s="39"/>
      <c r="N66" s="39"/>
      <c r="O66" s="74"/>
      <c r="P66" s="39"/>
      <c r="Q66" s="39"/>
      <c r="R66" s="39"/>
      <c r="S66" s="39"/>
      <c r="T66" s="39"/>
      <c r="U66" s="39"/>
      <c r="V66" s="39"/>
      <c r="W66" s="39"/>
      <c r="X66" s="40"/>
    </row>
    <row r="67" spans="2:27" x14ac:dyDescent="0.3">
      <c r="E67">
        <v>2</v>
      </c>
      <c r="L67" s="39"/>
      <c r="M67" s="39"/>
      <c r="N67" s="39"/>
      <c r="O67" s="39"/>
      <c r="P67" s="74"/>
      <c r="Q67" s="39"/>
      <c r="R67" s="39"/>
      <c r="S67" s="39"/>
      <c r="T67" s="39"/>
      <c r="U67" s="39"/>
      <c r="V67" s="39"/>
      <c r="W67" s="39"/>
      <c r="X67" s="40"/>
    </row>
    <row r="68" spans="2:27" x14ac:dyDescent="0.3">
      <c r="D68" t="s">
        <v>11</v>
      </c>
      <c r="E68">
        <v>1</v>
      </c>
      <c r="K68" s="39"/>
      <c r="L68" s="101">
        <f>L$12/$E68</f>
        <v>0</v>
      </c>
      <c r="M68" s="101"/>
      <c r="N68" s="101"/>
      <c r="O68" s="101"/>
      <c r="P68" s="101"/>
      <c r="Q68" s="101"/>
      <c r="R68" s="39"/>
      <c r="S68" s="39"/>
      <c r="T68" s="39"/>
      <c r="U68" s="39"/>
      <c r="V68" s="39"/>
      <c r="W68" s="39"/>
      <c r="X68" s="40"/>
    </row>
    <row r="69" spans="2:27" ht="16.2" thickBot="1" x14ac:dyDescent="0.35">
      <c r="B69" s="41" t="s">
        <v>34</v>
      </c>
      <c r="C69" s="42"/>
      <c r="D69" s="42"/>
      <c r="E69" s="42"/>
      <c r="F69" s="42"/>
      <c r="G69" s="42"/>
      <c r="H69" s="43">
        <f>SUM(H59:H68)</f>
        <v>210000000</v>
      </c>
      <c r="I69" s="43">
        <f t="shared" ref="I69:P69" si="36">SUM(I59:I68)</f>
        <v>237777777.77777779</v>
      </c>
      <c r="J69" s="43">
        <f t="shared" si="36"/>
        <v>237777777.77777779</v>
      </c>
      <c r="K69" s="43">
        <f t="shared" si="36"/>
        <v>237777777.77777779</v>
      </c>
      <c r="L69" s="43">
        <f t="shared" si="36"/>
        <v>237777777.77777779</v>
      </c>
      <c r="M69" s="43">
        <f t="shared" si="36"/>
        <v>237777777.77777779</v>
      </c>
      <c r="N69" s="43">
        <f t="shared" si="36"/>
        <v>237777777.77777779</v>
      </c>
      <c r="O69" s="43">
        <f t="shared" si="36"/>
        <v>237777777.77777779</v>
      </c>
      <c r="P69" s="43">
        <f t="shared" si="36"/>
        <v>237777777.77777779</v>
      </c>
      <c r="Q69" s="47"/>
      <c r="R69" s="47"/>
      <c r="S69" s="47"/>
      <c r="T69" s="47"/>
      <c r="U69" s="47"/>
      <c r="V69" s="47"/>
      <c r="W69" s="47"/>
      <c r="X69" s="47"/>
      <c r="Y69" s="44"/>
      <c r="Z69" s="44"/>
      <c r="AA69" s="44"/>
    </row>
    <row r="70" spans="2:27" ht="16.2" thickTop="1" x14ac:dyDescent="0.3">
      <c r="M70" s="40"/>
      <c r="N70" s="40"/>
      <c r="O70" s="40"/>
      <c r="P70" s="40">
        <f>SUM(H69:P69)-R35</f>
        <v>0</v>
      </c>
      <c r="Q70" s="40"/>
      <c r="X70" s="15"/>
    </row>
    <row r="72" spans="2:27" x14ac:dyDescent="0.3">
      <c r="G72" t="s">
        <v>62</v>
      </c>
    </row>
    <row r="81" spans="7:13" x14ac:dyDescent="0.3">
      <c r="G81" t="s">
        <v>64</v>
      </c>
      <c r="H81" s="72">
        <f>H12</f>
        <v>2100000000</v>
      </c>
      <c r="I81" s="15"/>
    </row>
    <row r="82" spans="7:13" x14ac:dyDescent="0.3">
      <c r="G82" t="s">
        <v>65</v>
      </c>
      <c r="H82" s="2">
        <v>5</v>
      </c>
    </row>
    <row r="83" spans="7:13" x14ac:dyDescent="0.3">
      <c r="G83" t="s">
        <v>66</v>
      </c>
      <c r="H83" s="14">
        <f>H81/H82</f>
        <v>420000000</v>
      </c>
    </row>
    <row r="84" spans="7:13" x14ac:dyDescent="0.3">
      <c r="G84" t="s">
        <v>67</v>
      </c>
      <c r="H84" s="14">
        <f>H81</f>
        <v>2100000000</v>
      </c>
      <c r="I84" s="15">
        <f>H84-$H$83</f>
        <v>1680000000</v>
      </c>
      <c r="J84" s="15">
        <f t="shared" ref="J84:M84" si="37">I84-$H$83</f>
        <v>1260000000</v>
      </c>
      <c r="K84" s="15">
        <f t="shared" si="37"/>
        <v>840000000</v>
      </c>
      <c r="L84" s="15">
        <f t="shared" si="37"/>
        <v>420000000</v>
      </c>
      <c r="M84" s="15">
        <f t="shared" si="37"/>
        <v>0</v>
      </c>
    </row>
    <row r="85" spans="7:13" x14ac:dyDescent="0.3">
      <c r="G85" t="s">
        <v>68</v>
      </c>
      <c r="H85" s="14">
        <f>H84*$G$4*6/12</f>
        <v>105000000</v>
      </c>
      <c r="I85" s="15">
        <f>AVERAGE(H84,I84)*$G$4</f>
        <v>189000000</v>
      </c>
      <c r="J85" s="15">
        <f t="shared" ref="J85:M85" si="38">AVERAGE(I84,J84)*$G$4</f>
        <v>147000000</v>
      </c>
      <c r="K85" s="15">
        <f t="shared" si="38"/>
        <v>105000000</v>
      </c>
      <c r="L85" s="15">
        <f t="shared" si="38"/>
        <v>63000000</v>
      </c>
      <c r="M85" s="15">
        <f t="shared" si="38"/>
        <v>21000000</v>
      </c>
    </row>
  </sheetData>
  <mergeCells count="1">
    <mergeCell ref="E24:G24"/>
  </mergeCells>
  <printOptions horizontalCentered="1" verticalCentered="1"/>
  <pageMargins left="0" right="0" top="0" bottom="0" header="0.31496062992125984" footer="0.31496062992125984"/>
  <pageSetup paperSize="9" scale="4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43E08-E1CE-424B-B7EB-32E95ABC2DB1}">
  <sheetPr>
    <pageSetUpPr fitToPage="1"/>
  </sheetPr>
  <dimension ref="B1:AA85"/>
  <sheetViews>
    <sheetView showGridLines="0" zoomScale="70" zoomScaleNormal="70" workbookViewId="0">
      <pane xSplit="7" ySplit="17" topLeftCell="H78" activePane="bottomRight" state="frozen"/>
      <selection pane="topRight" activeCell="H1" sqref="H1"/>
      <selection pane="bottomLeft" activeCell="A18" sqref="A18"/>
      <selection pane="bottomRight" activeCell="I9" sqref="I9"/>
    </sheetView>
  </sheetViews>
  <sheetFormatPr defaultColWidth="10.59765625" defaultRowHeight="15.6" x14ac:dyDescent="0.3"/>
  <cols>
    <col min="1" max="1" width="4.09765625" customWidth="1"/>
    <col min="2" max="2" width="3.59765625" customWidth="1"/>
    <col min="3" max="3" width="4.59765625" customWidth="1"/>
    <col min="4" max="4" width="28.5" customWidth="1"/>
    <col min="5" max="5" width="7.09765625" bestFit="1" customWidth="1"/>
    <col min="6" max="6" width="6.09765625" customWidth="1"/>
    <col min="7" max="7" width="16.796875" customWidth="1"/>
    <col min="8" max="8" width="17.59765625" style="2" customWidth="1"/>
    <col min="9" max="9" width="17.796875" customWidth="1"/>
    <col min="10" max="11" width="15.59765625" bestFit="1" customWidth="1"/>
    <col min="12" max="12" width="16" bestFit="1" customWidth="1"/>
    <col min="13" max="17" width="16" customWidth="1"/>
    <col min="18" max="18" width="16.59765625" bestFit="1" customWidth="1"/>
    <col min="19" max="19" width="15.796875" customWidth="1"/>
    <col min="20" max="23" width="15" bestFit="1" customWidth="1"/>
    <col min="24" max="24" width="15.59765625" bestFit="1" customWidth="1"/>
    <col min="25" max="25" width="11.59765625" bestFit="1" customWidth="1"/>
  </cols>
  <sheetData>
    <row r="1" spans="2:27" ht="25.8" x14ac:dyDescent="0.3">
      <c r="B1" s="1" t="s">
        <v>0</v>
      </c>
      <c r="R1" s="105" t="s">
        <v>63</v>
      </c>
    </row>
    <row r="2" spans="2:27" x14ac:dyDescent="0.3">
      <c r="B2" s="3" t="s">
        <v>1</v>
      </c>
    </row>
    <row r="3" spans="2:27" x14ac:dyDescent="0.3">
      <c r="C3" t="s">
        <v>2</v>
      </c>
      <c r="G3" s="5">
        <v>0.25</v>
      </c>
      <c r="R3" s="4"/>
      <c r="S3" s="4"/>
      <c r="T3" s="4"/>
    </row>
    <row r="4" spans="2:27" x14ac:dyDescent="0.3">
      <c r="C4" t="s">
        <v>46</v>
      </c>
      <c r="G4" s="5">
        <v>0.12</v>
      </c>
      <c r="R4" s="4"/>
      <c r="S4" s="4"/>
      <c r="T4" s="4"/>
    </row>
    <row r="5" spans="2:27" x14ac:dyDescent="0.3">
      <c r="C5" t="s">
        <v>3</v>
      </c>
      <c r="G5" s="5">
        <v>0</v>
      </c>
      <c r="H5" s="2" t="s">
        <v>4</v>
      </c>
    </row>
    <row r="6" spans="2:27" x14ac:dyDescent="0.3">
      <c r="C6" t="s">
        <v>5</v>
      </c>
      <c r="G6" s="6">
        <v>0</v>
      </c>
      <c r="H6" s="2" t="s">
        <v>4</v>
      </c>
    </row>
    <row r="8" spans="2:27" x14ac:dyDescent="0.3">
      <c r="G8" s="45"/>
      <c r="H8" s="10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6"/>
      <c r="V8" s="45"/>
      <c r="W8" s="45"/>
      <c r="X8" s="45"/>
      <c r="Y8" s="45"/>
      <c r="Z8" s="45"/>
    </row>
    <row r="9" spans="2:27" x14ac:dyDescent="0.3">
      <c r="H9" s="36" t="s">
        <v>41</v>
      </c>
      <c r="I9" s="36" t="s">
        <v>42</v>
      </c>
      <c r="J9" s="36" t="s">
        <v>43</v>
      </c>
      <c r="K9" s="36" t="s">
        <v>44</v>
      </c>
      <c r="L9" s="36" t="s">
        <v>45</v>
      </c>
      <c r="M9" s="36" t="s">
        <v>49</v>
      </c>
      <c r="N9" s="36" t="s">
        <v>50</v>
      </c>
      <c r="O9" s="36" t="s">
        <v>51</v>
      </c>
      <c r="P9" s="36" t="s">
        <v>52</v>
      </c>
      <c r="Q9" s="36" t="s">
        <v>53</v>
      </c>
      <c r="R9" s="27"/>
      <c r="S9" s="45"/>
      <c r="T9" s="45"/>
      <c r="U9" s="46"/>
      <c r="V9" s="45"/>
      <c r="W9" s="45"/>
      <c r="X9" s="45"/>
      <c r="Y9" s="45"/>
      <c r="Z9" s="45"/>
    </row>
    <row r="10" spans="2:27" x14ac:dyDescent="0.3">
      <c r="B10" s="1" t="s">
        <v>59</v>
      </c>
      <c r="H10"/>
      <c r="R10" s="27"/>
      <c r="S10" s="45"/>
      <c r="T10" s="45"/>
      <c r="U10" s="46"/>
      <c r="V10" s="45"/>
      <c r="W10" s="45"/>
      <c r="X10" s="45"/>
      <c r="Y10" s="45"/>
      <c r="Z10" s="45"/>
    </row>
    <row r="11" spans="2:27" x14ac:dyDescent="0.3">
      <c r="H11"/>
      <c r="R11" s="27"/>
      <c r="S11" s="45"/>
      <c r="T11" s="45"/>
      <c r="U11" s="46"/>
      <c r="V11" s="45"/>
      <c r="W11" s="45"/>
      <c r="X11" s="45"/>
      <c r="Y11" s="45"/>
      <c r="Z11" s="45"/>
    </row>
    <row r="12" spans="2:27" s="90" customFormat="1" ht="16.2" thickBot="1" x14ac:dyDescent="0.35">
      <c r="B12" s="98" t="s">
        <v>60</v>
      </c>
      <c r="G12" s="97"/>
      <c r="H12" s="91">
        <v>2100000000</v>
      </c>
      <c r="I12" s="91">
        <v>250000000</v>
      </c>
      <c r="J12" s="91">
        <v>0</v>
      </c>
      <c r="K12" s="91">
        <v>0</v>
      </c>
      <c r="L12" s="91"/>
      <c r="M12" s="91"/>
      <c r="N12" s="91"/>
      <c r="O12" s="91"/>
      <c r="P12" s="91"/>
      <c r="Q12" s="91"/>
      <c r="R12" s="95"/>
      <c r="S12" s="92"/>
      <c r="T12" s="92"/>
      <c r="U12" s="93"/>
      <c r="V12" s="92"/>
      <c r="W12" s="92"/>
      <c r="X12" s="92"/>
      <c r="Y12" s="92"/>
      <c r="Z12" s="92"/>
    </row>
    <row r="13" spans="2:27" ht="16.2" thickTop="1" x14ac:dyDescent="0.3">
      <c r="G13" s="45"/>
      <c r="H13" s="10"/>
      <c r="J13" s="45"/>
      <c r="K13" s="45"/>
      <c r="L13" s="45"/>
      <c r="M13" s="45"/>
      <c r="N13" s="45"/>
      <c r="O13" s="45"/>
      <c r="P13" s="45"/>
      <c r="Q13" s="45"/>
      <c r="R13" s="96"/>
      <c r="S13" s="45"/>
      <c r="T13" s="45"/>
      <c r="U13" s="46"/>
      <c r="V13" s="45"/>
      <c r="W13" s="45"/>
      <c r="X13" s="45"/>
      <c r="Y13" s="45"/>
      <c r="Z13" s="45"/>
    </row>
    <row r="14" spans="2:27" x14ac:dyDescent="0.3">
      <c r="G14" s="11"/>
      <c r="R14" s="27"/>
      <c r="U14" s="44"/>
      <c r="V14" s="44"/>
      <c r="W14" s="44"/>
      <c r="X14" s="44"/>
      <c r="Y14" s="44"/>
      <c r="Z14" s="44"/>
      <c r="AA14" s="44"/>
    </row>
    <row r="15" spans="2:27" ht="16.2" thickBot="1" x14ac:dyDescent="0.35">
      <c r="B15" s="12" t="s">
        <v>12</v>
      </c>
      <c r="C15" s="7"/>
      <c r="D15" s="7"/>
      <c r="E15" s="7"/>
      <c r="F15" s="7"/>
      <c r="G15" s="7"/>
      <c r="H15" s="8" t="s">
        <v>7</v>
      </c>
      <c r="I15" s="13" t="s">
        <v>8</v>
      </c>
      <c r="J15" s="8" t="s">
        <v>9</v>
      </c>
      <c r="K15" s="13" t="s">
        <v>10</v>
      </c>
      <c r="L15" s="8" t="s">
        <v>11</v>
      </c>
      <c r="M15" s="8" t="s">
        <v>54</v>
      </c>
      <c r="N15" s="8" t="s">
        <v>55</v>
      </c>
      <c r="O15" s="8" t="s">
        <v>56</v>
      </c>
      <c r="P15" s="8" t="s">
        <v>57</v>
      </c>
      <c r="Q15" s="8" t="s">
        <v>58</v>
      </c>
      <c r="R15" s="75" t="s">
        <v>13</v>
      </c>
      <c r="S15" s="59"/>
      <c r="T15" s="59"/>
      <c r="U15" s="59"/>
      <c r="V15" s="59"/>
      <c r="W15" s="59"/>
      <c r="X15" s="59"/>
      <c r="Y15" s="44"/>
      <c r="Z15" s="44"/>
      <c r="AA15" s="44"/>
    </row>
    <row r="16" spans="2:27" x14ac:dyDescent="0.3">
      <c r="B16" t="s">
        <v>14</v>
      </c>
      <c r="H16" s="9">
        <v>12</v>
      </c>
      <c r="I16" s="9">
        <v>12</v>
      </c>
      <c r="J16" s="9">
        <v>12</v>
      </c>
      <c r="K16" s="9">
        <v>12</v>
      </c>
      <c r="L16" s="9">
        <v>12</v>
      </c>
      <c r="M16" s="9">
        <v>12</v>
      </c>
      <c r="N16" s="9">
        <v>12</v>
      </c>
      <c r="O16" s="9">
        <v>12</v>
      </c>
      <c r="P16" s="9">
        <v>12</v>
      </c>
      <c r="Q16" s="9">
        <v>12</v>
      </c>
      <c r="R16" s="76"/>
    </row>
    <row r="17" spans="2:25" x14ac:dyDescent="0.3">
      <c r="N17" s="103">
        <v>0.15</v>
      </c>
      <c r="R17" s="76"/>
    </row>
    <row r="18" spans="2:25" x14ac:dyDescent="0.3">
      <c r="R18" s="76"/>
    </row>
    <row r="19" spans="2:25" x14ac:dyDescent="0.3">
      <c r="B19" s="1" t="s">
        <v>6</v>
      </c>
      <c r="E19" s="19"/>
      <c r="H19" s="20"/>
      <c r="I19" s="19"/>
      <c r="J19" s="21"/>
      <c r="K19" s="21"/>
      <c r="L19" s="21"/>
      <c r="M19" s="21"/>
      <c r="N19" s="21"/>
      <c r="O19" s="21"/>
      <c r="P19" s="21"/>
      <c r="Q19" s="21"/>
      <c r="R19" s="76"/>
    </row>
    <row r="20" spans="2:25" x14ac:dyDescent="0.3">
      <c r="C20" t="s">
        <v>37</v>
      </c>
      <c r="E20" s="16"/>
      <c r="H20" s="72"/>
      <c r="I20" s="72">
        <v>500000000</v>
      </c>
      <c r="J20" s="72">
        <v>500000000</v>
      </c>
      <c r="K20" s="72">
        <v>500000000</v>
      </c>
      <c r="L20" s="72">
        <v>500000000</v>
      </c>
      <c r="M20" s="72">
        <v>500000000</v>
      </c>
      <c r="N20" s="72">
        <f>M20*(1-$N$17)</f>
        <v>425000000</v>
      </c>
      <c r="O20" s="72">
        <f>N20</f>
        <v>425000000</v>
      </c>
      <c r="P20" s="72">
        <f t="shared" ref="P20:Q20" si="0">O20</f>
        <v>425000000</v>
      </c>
      <c r="Q20" s="72">
        <f t="shared" si="0"/>
        <v>425000000</v>
      </c>
      <c r="R20" s="77">
        <f>SUM(H20:Q20)</f>
        <v>4200000000</v>
      </c>
      <c r="S20" s="14"/>
      <c r="T20" s="14"/>
      <c r="U20" s="14"/>
      <c r="V20" s="14"/>
      <c r="W20" s="14"/>
      <c r="X20" s="15"/>
    </row>
    <row r="21" spans="2:25" x14ac:dyDescent="0.3">
      <c r="C21" t="s">
        <v>38</v>
      </c>
      <c r="H21" s="14"/>
      <c r="I21" s="14">
        <v>250000000</v>
      </c>
      <c r="J21" s="14">
        <v>250000000</v>
      </c>
      <c r="K21" s="14">
        <v>250000000</v>
      </c>
      <c r="L21" s="14">
        <v>250000000</v>
      </c>
      <c r="M21" s="14">
        <v>250000000</v>
      </c>
      <c r="N21" s="72">
        <f>M21*(1-$N$17)</f>
        <v>212500000</v>
      </c>
      <c r="O21" s="72">
        <f t="shared" ref="O21:Q22" si="1">N21</f>
        <v>212500000</v>
      </c>
      <c r="P21" s="72">
        <f t="shared" si="1"/>
        <v>212500000</v>
      </c>
      <c r="Q21" s="72">
        <f t="shared" si="1"/>
        <v>212500000</v>
      </c>
      <c r="R21" s="77">
        <f t="shared" ref="R21:R23" si="2">SUM(H21:Q21)</f>
        <v>2100000000</v>
      </c>
      <c r="S21" s="14"/>
      <c r="T21" s="14"/>
      <c r="U21" s="14"/>
      <c r="V21" s="14"/>
      <c r="W21" s="14"/>
      <c r="X21" s="15"/>
    </row>
    <row r="22" spans="2:25" x14ac:dyDescent="0.3">
      <c r="C22" t="s">
        <v>40</v>
      </c>
      <c r="H22" s="14"/>
      <c r="I22" s="14">
        <v>500000000</v>
      </c>
      <c r="J22" s="14">
        <v>500000000</v>
      </c>
      <c r="K22" s="14">
        <v>500000000</v>
      </c>
      <c r="L22" s="14">
        <v>500000000</v>
      </c>
      <c r="M22" s="14">
        <v>500000000</v>
      </c>
      <c r="N22" s="72">
        <f>M22*(1-$N$17)</f>
        <v>425000000</v>
      </c>
      <c r="O22" s="72">
        <f t="shared" si="1"/>
        <v>425000000</v>
      </c>
      <c r="P22" s="72">
        <f t="shared" si="1"/>
        <v>425000000</v>
      </c>
      <c r="Q22" s="72">
        <f t="shared" si="1"/>
        <v>425000000</v>
      </c>
      <c r="R22" s="77">
        <f t="shared" si="2"/>
        <v>4200000000</v>
      </c>
      <c r="S22" s="14"/>
      <c r="T22" s="14"/>
      <c r="U22" s="14"/>
      <c r="V22" s="14"/>
      <c r="W22" s="14"/>
      <c r="X22" s="15"/>
    </row>
    <row r="23" spans="2:25" x14ac:dyDescent="0.3">
      <c r="C23" t="s">
        <v>39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77">
        <f t="shared" si="2"/>
        <v>0</v>
      </c>
      <c r="S23" s="48"/>
      <c r="T23" s="48"/>
      <c r="U23" s="48"/>
      <c r="V23" s="48"/>
      <c r="W23" s="48"/>
      <c r="X23" s="49"/>
      <c r="Y23" s="50"/>
    </row>
    <row r="24" spans="2:25" x14ac:dyDescent="0.3">
      <c r="B24" s="69" t="s">
        <v>15</v>
      </c>
      <c r="C24" s="69"/>
      <c r="D24" s="69"/>
      <c r="E24" s="298">
        <f>SUM(H24:Q24)</f>
        <v>10500000000</v>
      </c>
      <c r="F24" s="299"/>
      <c r="G24" s="299"/>
      <c r="H24" s="70">
        <f>SUM(H20:H23)</f>
        <v>0</v>
      </c>
      <c r="I24" s="70">
        <f>SUM(I20:I23)</f>
        <v>1250000000</v>
      </c>
      <c r="J24" s="70">
        <f t="shared" ref="J24:M24" si="3">SUM(J20:J23)</f>
        <v>1250000000</v>
      </c>
      <c r="K24" s="70">
        <f t="shared" si="3"/>
        <v>1250000000</v>
      </c>
      <c r="L24" s="70">
        <f t="shared" si="3"/>
        <v>1250000000</v>
      </c>
      <c r="M24" s="70">
        <f t="shared" si="3"/>
        <v>1250000000</v>
      </c>
      <c r="N24" s="70">
        <f>SUM(N20:N23)</f>
        <v>1062500000</v>
      </c>
      <c r="O24" s="70">
        <f t="shared" ref="O24:Q24" si="4">SUM(O20:O23)</f>
        <v>1062500000</v>
      </c>
      <c r="P24" s="70">
        <f t="shared" si="4"/>
        <v>1062500000</v>
      </c>
      <c r="Q24" s="70">
        <f t="shared" si="4"/>
        <v>1062500000</v>
      </c>
      <c r="R24" s="78">
        <f>SUM(R20:R23)</f>
        <v>10500000000</v>
      </c>
      <c r="S24" s="48"/>
      <c r="T24" s="48"/>
      <c r="U24" s="48"/>
      <c r="V24" s="48"/>
      <c r="W24" s="48"/>
      <c r="X24" s="48"/>
      <c r="Y24" s="50"/>
    </row>
    <row r="25" spans="2:25" x14ac:dyDescent="0.3">
      <c r="R25" s="76"/>
      <c r="S25" s="50"/>
      <c r="T25" s="50"/>
      <c r="U25" s="50"/>
      <c r="V25" s="50"/>
      <c r="W25" s="50"/>
      <c r="X25" s="50"/>
      <c r="Y25" s="50"/>
    </row>
    <row r="26" spans="2:25" x14ac:dyDescent="0.3">
      <c r="B26" s="1" t="s">
        <v>16</v>
      </c>
      <c r="E26" s="19"/>
      <c r="F26" s="19"/>
      <c r="G26" s="19"/>
      <c r="H26" s="20"/>
      <c r="I26" s="19"/>
      <c r="J26" s="21"/>
      <c r="K26" s="21"/>
      <c r="L26" s="21"/>
      <c r="M26" s="21"/>
      <c r="N26" s="21"/>
      <c r="O26" s="21"/>
      <c r="P26" s="21"/>
      <c r="Q26" s="21"/>
      <c r="R26" s="79"/>
      <c r="S26" s="51"/>
      <c r="T26" s="51"/>
      <c r="U26" s="51"/>
      <c r="V26" s="51"/>
      <c r="W26" s="51"/>
      <c r="X26" s="50"/>
      <c r="Y26" s="50"/>
    </row>
    <row r="27" spans="2:25" x14ac:dyDescent="0.3">
      <c r="C27" t="s">
        <v>47</v>
      </c>
      <c r="H27" s="14"/>
      <c r="I27" s="14">
        <v>400000000</v>
      </c>
      <c r="J27" s="14">
        <v>400000000</v>
      </c>
      <c r="K27" s="14">
        <v>400000000</v>
      </c>
      <c r="L27" s="14">
        <v>400000000</v>
      </c>
      <c r="M27" s="14">
        <f>400000000*(1-N17)</f>
        <v>340000000</v>
      </c>
      <c r="N27" s="14">
        <f>M27</f>
        <v>340000000</v>
      </c>
      <c r="O27" s="14">
        <f t="shared" ref="O27:P27" si="5">N27</f>
        <v>340000000</v>
      </c>
      <c r="P27" s="14">
        <f t="shared" si="5"/>
        <v>340000000</v>
      </c>
      <c r="Q27" s="14">
        <v>0</v>
      </c>
      <c r="R27" s="80">
        <f>SUM(H27:Q27)</f>
        <v>2960000000</v>
      </c>
      <c r="S27" s="48"/>
      <c r="T27" s="48"/>
      <c r="U27" s="48"/>
      <c r="V27" s="48"/>
      <c r="W27" s="48"/>
      <c r="X27" s="49"/>
      <c r="Y27" s="50"/>
    </row>
    <row r="28" spans="2:25" x14ac:dyDescent="0.3">
      <c r="C28" t="s">
        <v>17</v>
      </c>
      <c r="H28" s="14"/>
      <c r="I28" s="14">
        <f>96000000*0.5</f>
        <v>48000000</v>
      </c>
      <c r="J28" s="14">
        <f>96000000*0.5</f>
        <v>48000000</v>
      </c>
      <c r="K28" s="14">
        <f>200000000*0.5</f>
        <v>100000000</v>
      </c>
      <c r="L28" s="14">
        <f t="shared" ref="L28:Q28" si="6">200000000*0.5</f>
        <v>100000000</v>
      </c>
      <c r="M28" s="14">
        <f t="shared" si="6"/>
        <v>100000000</v>
      </c>
      <c r="N28" s="14">
        <f t="shared" si="6"/>
        <v>100000000</v>
      </c>
      <c r="O28" s="14">
        <f t="shared" si="6"/>
        <v>100000000</v>
      </c>
      <c r="P28" s="14">
        <f t="shared" si="6"/>
        <v>100000000</v>
      </c>
      <c r="Q28" s="14">
        <f t="shared" si="6"/>
        <v>100000000</v>
      </c>
      <c r="R28" s="80">
        <f t="shared" ref="R28:R30" si="7">SUM(H28:Q28)</f>
        <v>796000000</v>
      </c>
      <c r="S28" s="48"/>
      <c r="T28" s="48"/>
      <c r="U28" s="48"/>
      <c r="V28" s="48"/>
      <c r="W28" s="48"/>
      <c r="X28" s="49"/>
      <c r="Y28" s="50"/>
    </row>
    <row r="29" spans="2:25" x14ac:dyDescent="0.3">
      <c r="C29" t="s">
        <v>48</v>
      </c>
      <c r="H29" s="14"/>
      <c r="I29" s="14">
        <v>21000000</v>
      </c>
      <c r="J29" s="14">
        <v>21000000</v>
      </c>
      <c r="K29" s="14">
        <v>21000000</v>
      </c>
      <c r="L29" s="14">
        <v>21000000</v>
      </c>
      <c r="M29" s="14">
        <v>21000000</v>
      </c>
      <c r="N29" s="14">
        <v>21000000</v>
      </c>
      <c r="O29" s="14">
        <v>21000000</v>
      </c>
      <c r="P29" s="14">
        <v>21000000</v>
      </c>
      <c r="Q29" s="14">
        <v>21000000</v>
      </c>
      <c r="R29" s="80">
        <f t="shared" si="7"/>
        <v>189000000</v>
      </c>
      <c r="S29" s="48"/>
      <c r="T29" s="48"/>
      <c r="U29" s="48"/>
      <c r="V29" s="48"/>
      <c r="W29" s="48"/>
      <c r="X29" s="49"/>
      <c r="Y29" s="50"/>
    </row>
    <row r="30" spans="2:25" x14ac:dyDescent="0.3">
      <c r="B30" s="17"/>
      <c r="C30" s="17" t="s">
        <v>3</v>
      </c>
      <c r="D30" s="17"/>
      <c r="E30" s="17"/>
      <c r="F30" s="17"/>
      <c r="G30" s="17"/>
      <c r="H30" s="22">
        <f t="shared" ref="H30:Q30" si="8">$G$5*H24</f>
        <v>0</v>
      </c>
      <c r="I30" s="22">
        <f t="shared" si="8"/>
        <v>0</v>
      </c>
      <c r="J30" s="22">
        <f t="shared" si="8"/>
        <v>0</v>
      </c>
      <c r="K30" s="22">
        <f t="shared" si="8"/>
        <v>0</v>
      </c>
      <c r="L30" s="22">
        <f t="shared" si="8"/>
        <v>0</v>
      </c>
      <c r="M30" s="22">
        <f t="shared" si="8"/>
        <v>0</v>
      </c>
      <c r="N30" s="22">
        <f t="shared" si="8"/>
        <v>0</v>
      </c>
      <c r="O30" s="22">
        <f t="shared" si="8"/>
        <v>0</v>
      </c>
      <c r="P30" s="22">
        <f t="shared" si="8"/>
        <v>0</v>
      </c>
      <c r="Q30" s="22">
        <f t="shared" si="8"/>
        <v>0</v>
      </c>
      <c r="R30" s="80">
        <f t="shared" si="7"/>
        <v>0</v>
      </c>
      <c r="S30" s="52"/>
      <c r="T30" s="52"/>
      <c r="U30" s="52"/>
      <c r="V30" s="52"/>
      <c r="W30" s="52"/>
      <c r="X30" s="49"/>
      <c r="Y30" s="50"/>
    </row>
    <row r="31" spans="2:25" s="1" customFormat="1" x14ac:dyDescent="0.3">
      <c r="B31" s="69" t="s">
        <v>18</v>
      </c>
      <c r="C31" s="69"/>
      <c r="D31" s="69"/>
      <c r="E31" s="69"/>
      <c r="F31" s="69"/>
      <c r="G31" s="69"/>
      <c r="H31" s="70">
        <f>SUM(H27:H30)</f>
        <v>0</v>
      </c>
      <c r="I31" s="70">
        <f>SUM(I27:I30)</f>
        <v>469000000</v>
      </c>
      <c r="J31" s="70">
        <f t="shared" ref="J31:Q31" si="9">SUM(J27:J30)</f>
        <v>469000000</v>
      </c>
      <c r="K31" s="70">
        <f t="shared" si="9"/>
        <v>521000000</v>
      </c>
      <c r="L31" s="70">
        <f t="shared" si="9"/>
        <v>521000000</v>
      </c>
      <c r="M31" s="70">
        <f t="shared" si="9"/>
        <v>461000000</v>
      </c>
      <c r="N31" s="70">
        <f t="shared" si="9"/>
        <v>461000000</v>
      </c>
      <c r="O31" s="70">
        <f t="shared" si="9"/>
        <v>461000000</v>
      </c>
      <c r="P31" s="70">
        <f t="shared" si="9"/>
        <v>461000000</v>
      </c>
      <c r="Q31" s="70">
        <f t="shared" si="9"/>
        <v>121000000</v>
      </c>
      <c r="R31" s="94">
        <f>SUM(R27:R30)</f>
        <v>3945000000</v>
      </c>
      <c r="S31" s="53"/>
      <c r="T31" s="53"/>
      <c r="U31" s="53"/>
      <c r="V31" s="53"/>
      <c r="W31" s="53"/>
      <c r="X31" s="53"/>
      <c r="Y31" s="54"/>
    </row>
    <row r="32" spans="2:25" s="1" customFormat="1" x14ac:dyDescent="0.3">
      <c r="B32" s="1" t="s">
        <v>19</v>
      </c>
      <c r="H32" s="23">
        <f>H24-H31</f>
        <v>0</v>
      </c>
      <c r="I32" s="23">
        <f>I24-I31</f>
        <v>781000000</v>
      </c>
      <c r="J32" s="23">
        <f t="shared" ref="J32:Q32" si="10">J24-J31</f>
        <v>781000000</v>
      </c>
      <c r="K32" s="23">
        <f t="shared" si="10"/>
        <v>729000000</v>
      </c>
      <c r="L32" s="23">
        <f t="shared" si="10"/>
        <v>729000000</v>
      </c>
      <c r="M32" s="23">
        <f t="shared" si="10"/>
        <v>789000000</v>
      </c>
      <c r="N32" s="23">
        <f t="shared" si="10"/>
        <v>601500000</v>
      </c>
      <c r="O32" s="23">
        <f t="shared" si="10"/>
        <v>601500000</v>
      </c>
      <c r="P32" s="23">
        <f t="shared" si="10"/>
        <v>601500000</v>
      </c>
      <c r="Q32" s="23">
        <f t="shared" si="10"/>
        <v>941500000</v>
      </c>
      <c r="R32" s="81">
        <f>R24-R31</f>
        <v>6555000000</v>
      </c>
      <c r="S32" s="53"/>
      <c r="T32" s="53"/>
      <c r="U32" s="53"/>
      <c r="V32" s="53"/>
      <c r="W32" s="53"/>
      <c r="X32" s="53"/>
      <c r="Y32" s="54"/>
    </row>
    <row r="33" spans="2:25" s="1" customFormat="1" x14ac:dyDescent="0.3">
      <c r="B33" s="24" t="s">
        <v>20</v>
      </c>
      <c r="C33" s="25"/>
      <c r="D33" s="25"/>
      <c r="E33" s="25"/>
      <c r="F33" s="25"/>
      <c r="G33" s="25"/>
      <c r="H33" s="26" t="e">
        <f>H32/H24</f>
        <v>#DIV/0!</v>
      </c>
      <c r="I33" s="26">
        <f>I32/I24</f>
        <v>0.62480000000000002</v>
      </c>
      <c r="J33" s="26">
        <f t="shared" ref="J33:Q33" si="11">J32/J24</f>
        <v>0.62480000000000002</v>
      </c>
      <c r="K33" s="26">
        <f t="shared" si="11"/>
        <v>0.58320000000000005</v>
      </c>
      <c r="L33" s="26">
        <f t="shared" si="11"/>
        <v>0.58320000000000005</v>
      </c>
      <c r="M33" s="26">
        <f t="shared" si="11"/>
        <v>0.63119999999999998</v>
      </c>
      <c r="N33" s="26">
        <f t="shared" si="11"/>
        <v>0.5661176470588235</v>
      </c>
      <c r="O33" s="26">
        <f t="shared" si="11"/>
        <v>0.5661176470588235</v>
      </c>
      <c r="P33" s="26">
        <f t="shared" si="11"/>
        <v>0.5661176470588235</v>
      </c>
      <c r="Q33" s="26">
        <f t="shared" si="11"/>
        <v>0.88611764705882357</v>
      </c>
      <c r="R33" s="82">
        <f>R32/R24</f>
        <v>0.62428571428571433</v>
      </c>
      <c r="S33" s="55"/>
      <c r="T33" s="55"/>
      <c r="U33" s="55"/>
      <c r="V33" s="55"/>
      <c r="W33" s="55"/>
      <c r="X33" s="55"/>
      <c r="Y33" s="54"/>
    </row>
    <row r="34" spans="2:25" x14ac:dyDescent="0.3">
      <c r="R34" s="76"/>
      <c r="S34" s="50"/>
      <c r="T34" s="50"/>
      <c r="U34" s="50"/>
      <c r="V34" s="50"/>
      <c r="W34" s="50"/>
      <c r="X34" s="50"/>
      <c r="Y34" s="50"/>
    </row>
    <row r="35" spans="2:25" x14ac:dyDescent="0.3">
      <c r="B35" s="17" t="s">
        <v>21</v>
      </c>
      <c r="C35" s="17"/>
      <c r="D35" s="17"/>
      <c r="E35" s="17"/>
      <c r="F35" s="17"/>
      <c r="G35" s="17"/>
      <c r="H35" s="18">
        <f>H66</f>
        <v>210000000</v>
      </c>
      <c r="I35" s="18">
        <f t="shared" ref="I35:Q35" si="12">I66</f>
        <v>237777777.77777779</v>
      </c>
      <c r="J35" s="18">
        <f t="shared" si="12"/>
        <v>237777777.77777779</v>
      </c>
      <c r="K35" s="18">
        <f t="shared" si="12"/>
        <v>237777777.77777779</v>
      </c>
      <c r="L35" s="18">
        <f t="shared" si="12"/>
        <v>237777777.77777779</v>
      </c>
      <c r="M35" s="18">
        <f t="shared" si="12"/>
        <v>237777777.77777779</v>
      </c>
      <c r="N35" s="18">
        <f t="shared" si="12"/>
        <v>237777777.77777779</v>
      </c>
      <c r="O35" s="18">
        <f t="shared" si="12"/>
        <v>237777777.77777779</v>
      </c>
      <c r="P35" s="18">
        <f t="shared" si="12"/>
        <v>237777777.77777779</v>
      </c>
      <c r="Q35" s="18">
        <f t="shared" si="12"/>
        <v>0</v>
      </c>
      <c r="R35" s="83">
        <f>SUM(H35:Q35)</f>
        <v>2112222222.2222219</v>
      </c>
      <c r="S35" s="48"/>
      <c r="T35" s="48"/>
      <c r="U35" s="48"/>
      <c r="V35" s="48"/>
      <c r="W35" s="48"/>
      <c r="X35" s="48"/>
      <c r="Y35" s="50"/>
    </row>
    <row r="36" spans="2:25" x14ac:dyDescent="0.3">
      <c r="B36" s="27" t="s">
        <v>22</v>
      </c>
      <c r="H36" s="28">
        <f>H32-H35</f>
        <v>-210000000</v>
      </c>
      <c r="I36" s="28">
        <f t="shared" ref="I36:Q36" si="13">I32-I35</f>
        <v>543222222.22222221</v>
      </c>
      <c r="J36" s="28">
        <f t="shared" si="13"/>
        <v>543222222.22222221</v>
      </c>
      <c r="K36" s="28">
        <f t="shared" si="13"/>
        <v>491222222.22222221</v>
      </c>
      <c r="L36" s="28">
        <f t="shared" si="13"/>
        <v>491222222.22222221</v>
      </c>
      <c r="M36" s="28">
        <f t="shared" si="13"/>
        <v>551222222.22222221</v>
      </c>
      <c r="N36" s="28">
        <f t="shared" si="13"/>
        <v>363722222.22222221</v>
      </c>
      <c r="O36" s="28">
        <f t="shared" si="13"/>
        <v>363722222.22222221</v>
      </c>
      <c r="P36" s="28">
        <f t="shared" si="13"/>
        <v>363722222.22222221</v>
      </c>
      <c r="Q36" s="28">
        <f t="shared" si="13"/>
        <v>941500000</v>
      </c>
      <c r="R36" s="84">
        <f>R32-R35</f>
        <v>4442777777.7777786</v>
      </c>
      <c r="S36" s="56"/>
      <c r="T36" s="56"/>
      <c r="U36" s="56"/>
      <c r="V36" s="56"/>
      <c r="W36" s="56"/>
      <c r="X36" s="56"/>
      <c r="Y36" s="50"/>
    </row>
    <row r="37" spans="2:25" x14ac:dyDescent="0.3">
      <c r="B37" s="27"/>
      <c r="H37" s="28"/>
      <c r="I37" s="29"/>
      <c r="J37" s="29"/>
      <c r="K37" s="29"/>
      <c r="L37" s="29"/>
      <c r="M37" s="29"/>
      <c r="N37" s="29"/>
      <c r="O37" s="29"/>
      <c r="P37" s="29"/>
      <c r="Q37" s="29"/>
      <c r="R37" s="84"/>
      <c r="S37" s="56"/>
      <c r="T37" s="56"/>
      <c r="U37" s="56"/>
      <c r="V37" s="56"/>
      <c r="W37" s="56"/>
      <c r="X37" s="56"/>
      <c r="Y37" s="50"/>
    </row>
    <row r="38" spans="2:25" x14ac:dyDescent="0.3">
      <c r="B38" s="27" t="s">
        <v>35</v>
      </c>
      <c r="H38" s="73">
        <f>H85</f>
        <v>126000000</v>
      </c>
      <c r="I38" s="73">
        <f t="shared" ref="I38:Q38" si="14">I85</f>
        <v>241800000</v>
      </c>
      <c r="J38" s="73">
        <f t="shared" si="14"/>
        <v>203400000</v>
      </c>
      <c r="K38" s="73">
        <f t="shared" si="14"/>
        <v>147000000</v>
      </c>
      <c r="L38" s="73">
        <f t="shared" si="14"/>
        <v>90600000</v>
      </c>
      <c r="M38" s="73">
        <f t="shared" si="14"/>
        <v>34200000</v>
      </c>
      <c r="N38" s="73">
        <f t="shared" si="14"/>
        <v>3000000</v>
      </c>
      <c r="O38" s="73">
        <f t="shared" si="14"/>
        <v>0</v>
      </c>
      <c r="P38" s="73">
        <f t="shared" si="14"/>
        <v>0</v>
      </c>
      <c r="Q38" s="73">
        <f t="shared" si="14"/>
        <v>0</v>
      </c>
      <c r="R38" s="102">
        <f t="shared" ref="R38:R39" si="15">SUM(H38:Q38)</f>
        <v>846000000</v>
      </c>
      <c r="S38" s="56"/>
      <c r="T38" s="56"/>
      <c r="U38" s="56"/>
      <c r="V38" s="56"/>
      <c r="W38" s="56"/>
      <c r="X38" s="56"/>
      <c r="Y38" s="50"/>
    </row>
    <row r="39" spans="2:25" x14ac:dyDescent="0.3">
      <c r="B39" s="27" t="s">
        <v>36</v>
      </c>
      <c r="H39" s="73">
        <f>H36-H38</f>
        <v>-336000000</v>
      </c>
      <c r="I39" s="73">
        <f t="shared" ref="I39:Q39" si="16">I36-I38</f>
        <v>301422222.22222221</v>
      </c>
      <c r="J39" s="73">
        <f t="shared" si="16"/>
        <v>339822222.22222221</v>
      </c>
      <c r="K39" s="73">
        <f t="shared" si="16"/>
        <v>344222222.22222221</v>
      </c>
      <c r="L39" s="73">
        <f t="shared" si="16"/>
        <v>400622222.22222221</v>
      </c>
      <c r="M39" s="73">
        <f t="shared" si="16"/>
        <v>517022222.22222221</v>
      </c>
      <c r="N39" s="73">
        <f t="shared" si="16"/>
        <v>360722222.22222221</v>
      </c>
      <c r="O39" s="73">
        <f t="shared" si="16"/>
        <v>363722222.22222221</v>
      </c>
      <c r="P39" s="73">
        <f t="shared" si="16"/>
        <v>363722222.22222221</v>
      </c>
      <c r="Q39" s="73">
        <f t="shared" si="16"/>
        <v>941500000</v>
      </c>
      <c r="R39" s="102">
        <f t="shared" si="15"/>
        <v>3596777777.7777781</v>
      </c>
      <c r="S39" s="56"/>
      <c r="T39" s="56"/>
      <c r="U39" s="56"/>
      <c r="V39" s="56"/>
      <c r="W39" s="56"/>
      <c r="X39" s="56"/>
      <c r="Y39" s="50"/>
    </row>
    <row r="40" spans="2:25" x14ac:dyDescent="0.3">
      <c r="B40" s="17" t="s">
        <v>23</v>
      </c>
      <c r="C40" s="17"/>
      <c r="D40" s="17"/>
      <c r="E40" s="17"/>
      <c r="F40" s="17"/>
      <c r="G40" s="17"/>
      <c r="H40" s="71">
        <f>IF(H39&lt;0,0,H39*$G$3)</f>
        <v>0</v>
      </c>
      <c r="I40" s="71">
        <f t="shared" ref="I40:Q40" si="17">IF(I39&lt;0,0,I39*$G$3)</f>
        <v>75355555.555555552</v>
      </c>
      <c r="J40" s="71">
        <f t="shared" si="17"/>
        <v>84955555.555555552</v>
      </c>
      <c r="K40" s="71">
        <f t="shared" si="17"/>
        <v>86055555.555555552</v>
      </c>
      <c r="L40" s="71">
        <f t="shared" si="17"/>
        <v>100155555.55555555</v>
      </c>
      <c r="M40" s="71">
        <f t="shared" si="17"/>
        <v>129255555.55555555</v>
      </c>
      <c r="N40" s="71">
        <f t="shared" si="17"/>
        <v>90180555.555555552</v>
      </c>
      <c r="O40" s="71">
        <f t="shared" si="17"/>
        <v>90930555.555555552</v>
      </c>
      <c r="P40" s="71">
        <f t="shared" si="17"/>
        <v>90930555.555555552</v>
      </c>
      <c r="Q40" s="71">
        <f t="shared" si="17"/>
        <v>235375000</v>
      </c>
      <c r="R40" s="85">
        <f>SUM(H40:Q40)</f>
        <v>983194444.44444454</v>
      </c>
      <c r="S40" s="58"/>
      <c r="T40" s="58"/>
      <c r="U40" s="58"/>
      <c r="V40" s="58"/>
      <c r="W40" s="58"/>
      <c r="X40" s="57"/>
      <c r="Y40" s="50"/>
    </row>
    <row r="41" spans="2:25" ht="16.2" thickBot="1" x14ac:dyDescent="0.35">
      <c r="B41" s="31" t="s">
        <v>61</v>
      </c>
      <c r="C41" s="31"/>
      <c r="D41" s="31"/>
      <c r="E41" s="31"/>
      <c r="F41" s="31"/>
      <c r="G41" s="31"/>
      <c r="H41" s="32">
        <f>H39-H40</f>
        <v>-336000000</v>
      </c>
      <c r="I41" s="32">
        <f t="shared" ref="I41:Q41" si="18">I39-I40</f>
        <v>226066666.66666666</v>
      </c>
      <c r="J41" s="32">
        <f t="shared" si="18"/>
        <v>254866666.66666666</v>
      </c>
      <c r="K41" s="32">
        <f t="shared" si="18"/>
        <v>258166666.66666666</v>
      </c>
      <c r="L41" s="32">
        <f t="shared" si="18"/>
        <v>300466666.66666663</v>
      </c>
      <c r="M41" s="32">
        <f t="shared" si="18"/>
        <v>387766666.66666663</v>
      </c>
      <c r="N41" s="32">
        <f t="shared" si="18"/>
        <v>270541666.66666663</v>
      </c>
      <c r="O41" s="32">
        <f t="shared" si="18"/>
        <v>272791666.66666663</v>
      </c>
      <c r="P41" s="32">
        <f t="shared" si="18"/>
        <v>272791666.66666663</v>
      </c>
      <c r="Q41" s="32">
        <f t="shared" si="18"/>
        <v>706125000</v>
      </c>
      <c r="R41" s="86">
        <f>R36-R40</f>
        <v>3459583333.333334</v>
      </c>
      <c r="S41" s="56"/>
      <c r="T41" s="56"/>
      <c r="U41" s="56"/>
      <c r="V41" s="56"/>
      <c r="W41" s="56"/>
      <c r="X41" s="56"/>
      <c r="Y41" s="50"/>
    </row>
    <row r="42" spans="2:25" x14ac:dyDescent="0.3">
      <c r="R42" s="76"/>
      <c r="S42" s="50"/>
      <c r="T42" s="50"/>
      <c r="U42" s="50"/>
      <c r="V42" s="50"/>
      <c r="W42" s="50"/>
      <c r="X42" s="50"/>
      <c r="Y42" s="50"/>
    </row>
    <row r="43" spans="2:25" x14ac:dyDescent="0.3">
      <c r="B43" s="17" t="s">
        <v>24</v>
      </c>
      <c r="C43" s="17"/>
      <c r="D43" s="17"/>
      <c r="E43" s="17"/>
      <c r="F43" s="17"/>
      <c r="G43" s="33">
        <f>-H12</f>
        <v>-2100000000</v>
      </c>
      <c r="H43" s="33">
        <f t="shared" ref="H43:I43" si="19">-I12</f>
        <v>-250000000</v>
      </c>
      <c r="I43" s="33">
        <f t="shared" si="19"/>
        <v>0</v>
      </c>
      <c r="J43" s="33">
        <f>-K12</f>
        <v>0</v>
      </c>
      <c r="K43" s="33">
        <f t="shared" ref="K43:Q43" si="20">-L12</f>
        <v>0</v>
      </c>
      <c r="L43" s="33">
        <f t="shared" si="20"/>
        <v>0</v>
      </c>
      <c r="M43" s="33">
        <f t="shared" si="20"/>
        <v>0</v>
      </c>
      <c r="N43" s="33">
        <f t="shared" si="20"/>
        <v>0</v>
      </c>
      <c r="O43" s="33">
        <f t="shared" si="20"/>
        <v>0</v>
      </c>
      <c r="P43" s="33">
        <f t="shared" si="20"/>
        <v>0</v>
      </c>
      <c r="Q43" s="33">
        <f t="shared" si="20"/>
        <v>0</v>
      </c>
      <c r="R43" s="87"/>
      <c r="S43" s="57"/>
      <c r="T43" s="57"/>
      <c r="U43" s="57"/>
      <c r="V43" s="57"/>
      <c r="W43" s="57"/>
      <c r="X43" s="57"/>
      <c r="Y43" s="50"/>
    </row>
    <row r="44" spans="2:25" x14ac:dyDescent="0.3">
      <c r="B44" t="s">
        <v>25</v>
      </c>
      <c r="G44" s="30">
        <f>G43</f>
        <v>-2100000000</v>
      </c>
      <c r="H44" s="30">
        <f>H43+H41+H35</f>
        <v>-376000000</v>
      </c>
      <c r="I44" s="30">
        <f>I43+I41+I35</f>
        <v>463844444.44444442</v>
      </c>
      <c r="J44" s="30">
        <f t="shared" ref="J44:Q44" si="21">J43+J41+J35</f>
        <v>492644444.44444442</v>
      </c>
      <c r="K44" s="30">
        <f t="shared" si="21"/>
        <v>495944444.44444442</v>
      </c>
      <c r="L44" s="30">
        <f t="shared" si="21"/>
        <v>538244444.44444442</v>
      </c>
      <c r="M44" s="30">
        <f t="shared" si="21"/>
        <v>625544444.44444442</v>
      </c>
      <c r="N44" s="30">
        <f t="shared" si="21"/>
        <v>508319444.44444442</v>
      </c>
      <c r="O44" s="30">
        <f t="shared" si="21"/>
        <v>510569444.44444442</v>
      </c>
      <c r="P44" s="30">
        <f t="shared" si="21"/>
        <v>510569444.44444442</v>
      </c>
      <c r="Q44" s="30">
        <f t="shared" si="21"/>
        <v>706125000</v>
      </c>
      <c r="R44" s="88"/>
      <c r="S44" s="57"/>
      <c r="T44" s="57"/>
      <c r="U44" s="57"/>
      <c r="V44" s="57"/>
      <c r="W44" s="57"/>
      <c r="X44" s="57"/>
      <c r="Y44" s="50"/>
    </row>
    <row r="45" spans="2:25" x14ac:dyDescent="0.3">
      <c r="B45" t="s">
        <v>26</v>
      </c>
      <c r="G45" s="30">
        <f>G44</f>
        <v>-2100000000</v>
      </c>
      <c r="H45" s="30">
        <f>G45+H44</f>
        <v>-2476000000</v>
      </c>
      <c r="I45" s="30">
        <f>H45+I44</f>
        <v>-2012155555.5555556</v>
      </c>
      <c r="J45" s="30">
        <f t="shared" ref="J45:Q45" si="22">I45+J44</f>
        <v>-1519511111.1111112</v>
      </c>
      <c r="K45" s="30">
        <f t="shared" si="22"/>
        <v>-1023566666.6666667</v>
      </c>
      <c r="L45" s="30">
        <f t="shared" si="22"/>
        <v>-485322222.22222233</v>
      </c>
      <c r="M45" s="30">
        <f t="shared" si="22"/>
        <v>140222222.22222209</v>
      </c>
      <c r="N45" s="30">
        <f t="shared" si="22"/>
        <v>648541666.66666651</v>
      </c>
      <c r="O45" s="30">
        <f t="shared" si="22"/>
        <v>1159111111.1111109</v>
      </c>
      <c r="P45" s="30">
        <f t="shared" si="22"/>
        <v>1669680555.5555553</v>
      </c>
      <c r="Q45" s="30">
        <f t="shared" si="22"/>
        <v>2375805555.5555553</v>
      </c>
      <c r="R45" s="88"/>
      <c r="S45" s="57"/>
      <c r="T45" s="57"/>
      <c r="U45" s="57"/>
      <c r="V45" s="57"/>
      <c r="W45" s="57"/>
      <c r="X45" s="57"/>
      <c r="Y45" s="50"/>
    </row>
    <row r="46" spans="2:25" x14ac:dyDescent="0.3">
      <c r="B46" t="s">
        <v>27</v>
      </c>
      <c r="G46" s="30"/>
      <c r="H46" s="34">
        <f t="shared" ref="H46:Q46" si="23">IF(AND(G45&lt;0,H45&gt;0),H54-(H45/H44),0)</f>
        <v>0</v>
      </c>
      <c r="I46" s="34">
        <f t="shared" si="23"/>
        <v>0</v>
      </c>
      <c r="J46" s="34">
        <f t="shared" si="23"/>
        <v>0</v>
      </c>
      <c r="K46" s="34">
        <f t="shared" si="23"/>
        <v>0</v>
      </c>
      <c r="L46" s="100">
        <f t="shared" si="23"/>
        <v>0</v>
      </c>
      <c r="M46" s="100">
        <f t="shared" si="23"/>
        <v>5.7758397129611536</v>
      </c>
      <c r="N46" s="34">
        <f t="shared" si="23"/>
        <v>0</v>
      </c>
      <c r="O46" s="34">
        <f t="shared" si="23"/>
        <v>0</v>
      </c>
      <c r="P46" s="34">
        <f t="shared" si="23"/>
        <v>0</v>
      </c>
      <c r="Q46" s="34">
        <f t="shared" si="23"/>
        <v>0</v>
      </c>
      <c r="R46" s="89"/>
      <c r="S46" s="34"/>
      <c r="T46" s="34"/>
      <c r="U46" s="34"/>
      <c r="V46" s="34"/>
      <c r="W46" s="34"/>
      <c r="X46" s="34"/>
    </row>
    <row r="47" spans="2:25" x14ac:dyDescent="0.3">
      <c r="G47" s="30"/>
      <c r="H47" s="34"/>
      <c r="I47" s="34"/>
      <c r="J47" s="34"/>
      <c r="K47" s="34"/>
      <c r="L47" s="100"/>
      <c r="M47" s="34"/>
      <c r="N47" s="34"/>
      <c r="O47" s="34"/>
      <c r="P47" s="34"/>
      <c r="Q47" s="34"/>
      <c r="R47" s="89"/>
      <c r="S47" s="34"/>
      <c r="T47" s="34"/>
      <c r="U47" s="34"/>
      <c r="V47" s="34"/>
      <c r="W47" s="34"/>
      <c r="X47" s="34"/>
    </row>
    <row r="49" spans="2:24" x14ac:dyDescent="0.3">
      <c r="B49" s="60" t="s">
        <v>28</v>
      </c>
      <c r="C49" s="61"/>
      <c r="D49" s="61"/>
      <c r="E49" s="61"/>
      <c r="F49" s="61"/>
      <c r="G49" s="104">
        <f>IRR(G44:Q44)</f>
        <v>0.12598919882236115</v>
      </c>
    </row>
    <row r="50" spans="2:24" x14ac:dyDescent="0.3">
      <c r="B50" s="62" t="s">
        <v>29</v>
      </c>
      <c r="C50" s="63"/>
      <c r="D50" s="63"/>
      <c r="E50" s="63"/>
      <c r="F50" s="63"/>
      <c r="G50" s="64">
        <f>NPV(G4,H44:Q44)+G44</f>
        <v>69848695.534912586</v>
      </c>
      <c r="I50" s="99"/>
      <c r="J50" s="15"/>
    </row>
    <row r="51" spans="2:24" x14ac:dyDescent="0.3">
      <c r="B51" s="62" t="s">
        <v>30</v>
      </c>
      <c r="C51" s="63"/>
      <c r="D51" s="63"/>
      <c r="E51" s="63"/>
      <c r="F51" s="63"/>
      <c r="G51" s="65">
        <f>R33</f>
        <v>0.62428571428571433</v>
      </c>
      <c r="I51" s="72"/>
    </row>
    <row r="52" spans="2:24" x14ac:dyDescent="0.3">
      <c r="B52" s="66" t="s">
        <v>31</v>
      </c>
      <c r="C52" s="67"/>
      <c r="D52" s="67"/>
      <c r="E52" s="67"/>
      <c r="F52" s="67"/>
      <c r="G52" s="68">
        <f>SUM(G46:Q46)</f>
        <v>5.7758397129611536</v>
      </c>
    </row>
    <row r="53" spans="2:24" x14ac:dyDescent="0.3">
      <c r="G53" s="35"/>
    </row>
    <row r="54" spans="2:24" x14ac:dyDescent="0.3">
      <c r="H54" s="9">
        <v>1</v>
      </c>
      <c r="I54" s="36">
        <v>2</v>
      </c>
      <c r="J54" s="9">
        <v>3</v>
      </c>
      <c r="K54" s="36">
        <v>4</v>
      </c>
      <c r="L54" s="9">
        <v>5</v>
      </c>
      <c r="M54" s="9">
        <v>6</v>
      </c>
      <c r="N54" s="36">
        <v>7</v>
      </c>
      <c r="O54" s="9">
        <v>8</v>
      </c>
      <c r="P54" s="9">
        <v>9</v>
      </c>
      <c r="Q54" s="9"/>
      <c r="R54" s="36"/>
      <c r="S54" s="9"/>
      <c r="T54" s="36"/>
      <c r="U54" s="9"/>
      <c r="V54" s="36"/>
      <c r="W54" s="9"/>
    </row>
    <row r="55" spans="2:24" x14ac:dyDescent="0.3">
      <c r="B55" s="37" t="s">
        <v>32</v>
      </c>
      <c r="E55" s="38" t="s">
        <v>33</v>
      </c>
      <c r="H55" s="38" t="str">
        <f>H15</f>
        <v>Year 1</v>
      </c>
      <c r="I55" s="38" t="str">
        <f>I15</f>
        <v>Year 2</v>
      </c>
      <c r="J55" s="38" t="str">
        <f>J15</f>
        <v>Year 3</v>
      </c>
      <c r="K55" s="38" t="str">
        <f>K15</f>
        <v>Year 4</v>
      </c>
      <c r="L55" s="38" t="str">
        <f>L15</f>
        <v>Year 5</v>
      </c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</row>
    <row r="56" spans="2:24" x14ac:dyDescent="0.3">
      <c r="D56" t="s">
        <v>7</v>
      </c>
      <c r="E56">
        <v>10</v>
      </c>
      <c r="H56" s="74">
        <f>H$12/$E56</f>
        <v>210000000</v>
      </c>
      <c r="I56" s="39">
        <f>H56</f>
        <v>210000000</v>
      </c>
      <c r="J56" s="39">
        <f t="shared" ref="J56:P59" si="24">I56</f>
        <v>210000000</v>
      </c>
      <c r="K56" s="39">
        <f t="shared" si="24"/>
        <v>210000000</v>
      </c>
      <c r="L56" s="39">
        <f t="shared" si="24"/>
        <v>210000000</v>
      </c>
      <c r="M56" s="39">
        <f t="shared" si="24"/>
        <v>210000000</v>
      </c>
      <c r="N56" s="39">
        <f t="shared" si="24"/>
        <v>210000000</v>
      </c>
      <c r="O56" s="39">
        <f t="shared" si="24"/>
        <v>210000000</v>
      </c>
      <c r="P56" s="39">
        <f t="shared" si="24"/>
        <v>210000000</v>
      </c>
      <c r="Q56" s="39"/>
      <c r="R56" s="39"/>
      <c r="S56" s="39"/>
      <c r="T56" s="39"/>
      <c r="U56" s="39"/>
      <c r="V56" s="39"/>
      <c r="W56" s="39"/>
      <c r="X56" s="40"/>
    </row>
    <row r="57" spans="2:24" x14ac:dyDescent="0.3">
      <c r="D57" t="s">
        <v>8</v>
      </c>
      <c r="E57">
        <v>9</v>
      </c>
      <c r="I57" s="74">
        <f>I$12/$E57</f>
        <v>27777777.777777776</v>
      </c>
      <c r="J57" s="39">
        <f>I57</f>
        <v>27777777.777777776</v>
      </c>
      <c r="K57" s="39">
        <f t="shared" si="24"/>
        <v>27777777.777777776</v>
      </c>
      <c r="L57" s="39">
        <f t="shared" si="24"/>
        <v>27777777.777777776</v>
      </c>
      <c r="M57" s="39">
        <f t="shared" si="24"/>
        <v>27777777.777777776</v>
      </c>
      <c r="N57" s="39">
        <f t="shared" si="24"/>
        <v>27777777.777777776</v>
      </c>
      <c r="O57" s="39">
        <f t="shared" si="24"/>
        <v>27777777.777777776</v>
      </c>
      <c r="P57" s="39">
        <f t="shared" si="24"/>
        <v>27777777.777777776</v>
      </c>
      <c r="Q57" s="39"/>
      <c r="R57" s="39"/>
      <c r="S57" s="39"/>
      <c r="T57" s="39"/>
      <c r="U57" s="39"/>
      <c r="V57" s="39"/>
      <c r="W57" s="39"/>
      <c r="X57" s="40"/>
    </row>
    <row r="58" spans="2:24" x14ac:dyDescent="0.3">
      <c r="D58" t="s">
        <v>9</v>
      </c>
      <c r="E58">
        <v>8</v>
      </c>
      <c r="J58" s="74">
        <f>J$12/$E58</f>
        <v>0</v>
      </c>
      <c r="K58" s="39">
        <f>J58</f>
        <v>0</v>
      </c>
      <c r="L58" s="39">
        <f t="shared" si="24"/>
        <v>0</v>
      </c>
      <c r="M58" s="39">
        <f t="shared" si="24"/>
        <v>0</v>
      </c>
      <c r="N58" s="39">
        <f t="shared" si="24"/>
        <v>0</v>
      </c>
      <c r="O58" s="39">
        <f t="shared" si="24"/>
        <v>0</v>
      </c>
      <c r="P58" s="39">
        <f t="shared" si="24"/>
        <v>0</v>
      </c>
      <c r="Q58" s="39"/>
      <c r="R58" s="39"/>
      <c r="S58" s="39"/>
      <c r="T58" s="39"/>
      <c r="U58" s="39"/>
      <c r="V58" s="39"/>
      <c r="W58" s="39"/>
      <c r="X58" s="40"/>
    </row>
    <row r="59" spans="2:24" x14ac:dyDescent="0.3">
      <c r="D59" t="s">
        <v>10</v>
      </c>
      <c r="E59">
        <v>7</v>
      </c>
      <c r="K59" s="74">
        <f>K$12/$E59</f>
        <v>0</v>
      </c>
      <c r="L59" s="39">
        <f>K59</f>
        <v>0</v>
      </c>
      <c r="M59" s="39">
        <f t="shared" si="24"/>
        <v>0</v>
      </c>
      <c r="N59" s="39">
        <f t="shared" si="24"/>
        <v>0</v>
      </c>
      <c r="O59" s="39">
        <f t="shared" si="24"/>
        <v>0</v>
      </c>
      <c r="P59" s="39">
        <f t="shared" si="24"/>
        <v>0</v>
      </c>
      <c r="Q59" s="39"/>
      <c r="R59" s="39"/>
      <c r="S59" s="39"/>
      <c r="T59" s="39"/>
      <c r="U59" s="39"/>
      <c r="V59" s="39"/>
      <c r="W59" s="39"/>
      <c r="X59" s="40"/>
    </row>
    <row r="60" spans="2:24" x14ac:dyDescent="0.3">
      <c r="E60">
        <v>6</v>
      </c>
      <c r="L60" s="74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40"/>
    </row>
    <row r="61" spans="2:24" x14ac:dyDescent="0.3">
      <c r="E61">
        <v>5</v>
      </c>
      <c r="L61" s="39"/>
      <c r="M61" s="74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40"/>
    </row>
    <row r="62" spans="2:24" x14ac:dyDescent="0.3">
      <c r="E62">
        <v>4</v>
      </c>
      <c r="L62" s="39"/>
      <c r="M62" s="39"/>
      <c r="N62" s="74"/>
      <c r="O62" s="39"/>
      <c r="P62" s="39"/>
      <c r="Q62" s="39"/>
      <c r="R62" s="39"/>
      <c r="S62" s="39"/>
      <c r="T62" s="39"/>
      <c r="U62" s="39"/>
      <c r="V62" s="39"/>
      <c r="W62" s="39"/>
      <c r="X62" s="40"/>
    </row>
    <row r="63" spans="2:24" x14ac:dyDescent="0.3">
      <c r="E63">
        <v>3</v>
      </c>
      <c r="L63" s="39"/>
      <c r="M63" s="39"/>
      <c r="N63" s="39"/>
      <c r="O63" s="74"/>
      <c r="P63" s="39"/>
      <c r="Q63" s="39"/>
      <c r="R63" s="39"/>
      <c r="S63" s="39"/>
      <c r="T63" s="39"/>
      <c r="U63" s="39"/>
      <c r="V63" s="39"/>
      <c r="W63" s="39"/>
      <c r="X63" s="40"/>
    </row>
    <row r="64" spans="2:24" x14ac:dyDescent="0.3">
      <c r="E64">
        <v>2</v>
      </c>
      <c r="L64" s="39"/>
      <c r="M64" s="39"/>
      <c r="N64" s="39"/>
      <c r="O64" s="39"/>
      <c r="P64" s="74"/>
      <c r="Q64" s="39"/>
      <c r="R64" s="39"/>
      <c r="S64" s="39"/>
      <c r="T64" s="39"/>
      <c r="U64" s="39"/>
      <c r="V64" s="39"/>
      <c r="W64" s="39"/>
      <c r="X64" s="40"/>
    </row>
    <row r="65" spans="2:27" x14ac:dyDescent="0.3">
      <c r="D65" t="s">
        <v>11</v>
      </c>
      <c r="E65">
        <v>1</v>
      </c>
      <c r="K65" s="39"/>
      <c r="L65" s="101">
        <f>L$12/$E65</f>
        <v>0</v>
      </c>
      <c r="M65" s="101"/>
      <c r="N65" s="101"/>
      <c r="O65" s="101"/>
      <c r="P65" s="101"/>
      <c r="Q65" s="101"/>
      <c r="R65" s="39"/>
      <c r="S65" s="39"/>
      <c r="T65" s="39"/>
      <c r="U65" s="39"/>
      <c r="V65" s="39"/>
      <c r="W65" s="39"/>
      <c r="X65" s="40"/>
    </row>
    <row r="66" spans="2:27" ht="16.2" thickBot="1" x14ac:dyDescent="0.35">
      <c r="B66" s="41" t="s">
        <v>34</v>
      </c>
      <c r="C66" s="42"/>
      <c r="D66" s="42"/>
      <c r="E66" s="42"/>
      <c r="F66" s="42"/>
      <c r="G66" s="42"/>
      <c r="H66" s="43">
        <f>SUM(H56:H65)</f>
        <v>210000000</v>
      </c>
      <c r="I66" s="43">
        <f t="shared" ref="I66:P66" si="25">SUM(I56:I65)</f>
        <v>237777777.77777779</v>
      </c>
      <c r="J66" s="43">
        <f t="shared" si="25"/>
        <v>237777777.77777779</v>
      </c>
      <c r="K66" s="43">
        <f t="shared" si="25"/>
        <v>237777777.77777779</v>
      </c>
      <c r="L66" s="43">
        <f t="shared" si="25"/>
        <v>237777777.77777779</v>
      </c>
      <c r="M66" s="43">
        <f t="shared" si="25"/>
        <v>237777777.77777779</v>
      </c>
      <c r="N66" s="43">
        <f t="shared" si="25"/>
        <v>237777777.77777779</v>
      </c>
      <c r="O66" s="43">
        <f t="shared" si="25"/>
        <v>237777777.77777779</v>
      </c>
      <c r="P66" s="43">
        <f t="shared" si="25"/>
        <v>237777777.77777779</v>
      </c>
      <c r="Q66" s="47"/>
      <c r="R66" s="47"/>
      <c r="S66" s="47"/>
      <c r="T66" s="47"/>
      <c r="U66" s="47"/>
      <c r="V66" s="47"/>
      <c r="W66" s="47"/>
      <c r="X66" s="47"/>
      <c r="Y66" s="44"/>
      <c r="Z66" s="44"/>
      <c r="AA66" s="44"/>
    </row>
    <row r="67" spans="2:27" ht="16.2" thickTop="1" x14ac:dyDescent="0.3">
      <c r="M67" s="40"/>
      <c r="N67" s="40"/>
      <c r="O67" s="40"/>
      <c r="P67" s="40">
        <f>SUM(H66:P66)-R35</f>
        <v>0</v>
      </c>
      <c r="Q67" s="40"/>
      <c r="X67" s="15"/>
    </row>
    <row r="69" spans="2:27" x14ac:dyDescent="0.3">
      <c r="G69" t="s">
        <v>62</v>
      </c>
    </row>
    <row r="78" spans="2:27" x14ac:dyDescent="0.3">
      <c r="G78" t="s">
        <v>77</v>
      </c>
      <c r="H78" s="72">
        <f>H12</f>
        <v>2100000000</v>
      </c>
      <c r="I78" s="72">
        <f>I12</f>
        <v>250000000</v>
      </c>
    </row>
    <row r="79" spans="2:27" x14ac:dyDescent="0.3">
      <c r="G79" t="s">
        <v>65</v>
      </c>
      <c r="H79" s="2">
        <v>5</v>
      </c>
      <c r="I79" s="2">
        <v>5</v>
      </c>
    </row>
    <row r="80" spans="2:27" x14ac:dyDescent="0.3">
      <c r="G80" t="s">
        <v>66</v>
      </c>
      <c r="H80" s="14">
        <f>H78/H79</f>
        <v>420000000</v>
      </c>
      <c r="I80" s="14">
        <f>I78/I79</f>
        <v>50000000</v>
      </c>
    </row>
    <row r="81" spans="7:14" x14ac:dyDescent="0.3">
      <c r="G81" t="s">
        <v>72</v>
      </c>
      <c r="H81" s="14">
        <f>H78</f>
        <v>2100000000</v>
      </c>
      <c r="I81" s="15">
        <f>H81-$H$80</f>
        <v>1680000000</v>
      </c>
      <c r="J81" s="15">
        <f t="shared" ref="J81:M81" si="26">I81-$H$80</f>
        <v>1260000000</v>
      </c>
      <c r="K81" s="15">
        <f t="shared" si="26"/>
        <v>840000000</v>
      </c>
      <c r="L81" s="15">
        <f t="shared" si="26"/>
        <v>420000000</v>
      </c>
      <c r="M81" s="15">
        <f t="shared" si="26"/>
        <v>0</v>
      </c>
    </row>
    <row r="82" spans="7:14" x14ac:dyDescent="0.3">
      <c r="G82" t="s">
        <v>73</v>
      </c>
      <c r="I82" s="15">
        <f>I78</f>
        <v>250000000</v>
      </c>
      <c r="J82" s="15">
        <f>I82-$I$80</f>
        <v>200000000</v>
      </c>
      <c r="K82" s="15">
        <f t="shared" ref="K82:N82" si="27">J82-$I$80</f>
        <v>150000000</v>
      </c>
      <c r="L82" s="15">
        <f t="shared" si="27"/>
        <v>100000000</v>
      </c>
      <c r="M82" s="15">
        <f t="shared" si="27"/>
        <v>50000000</v>
      </c>
      <c r="N82" s="15">
        <f t="shared" si="27"/>
        <v>0</v>
      </c>
    </row>
    <row r="83" spans="7:14" x14ac:dyDescent="0.3">
      <c r="G83" t="s">
        <v>74</v>
      </c>
      <c r="H83" s="14">
        <f>H81*$G$4*6/12</f>
        <v>126000000</v>
      </c>
      <c r="I83" s="15">
        <f>AVERAGE(H81,I81)*$G$4</f>
        <v>226800000</v>
      </c>
      <c r="J83" s="15">
        <f>AVERAGE(I81,J81)*$G$4</f>
        <v>176400000</v>
      </c>
      <c r="K83" s="15">
        <f>AVERAGE(J81,K81)*$G$4</f>
        <v>126000000</v>
      </c>
      <c r="L83" s="15">
        <f>AVERAGE(K81,L81)*$G$4</f>
        <v>75600000</v>
      </c>
      <c r="M83" s="15">
        <f>AVERAGE(L81,M81)*$G$4</f>
        <v>25200000</v>
      </c>
    </row>
    <row r="84" spans="7:14" x14ac:dyDescent="0.3">
      <c r="G84" t="s">
        <v>75</v>
      </c>
      <c r="I84" s="14">
        <f>I82*$G$4*6/12</f>
        <v>15000000</v>
      </c>
      <c r="J84" s="15">
        <f>AVERAGE(I82,J82)*$G$4</f>
        <v>27000000</v>
      </c>
      <c r="K84" s="15">
        <f t="shared" ref="K84:N84" si="28">AVERAGE(J82,K82)*$G$4</f>
        <v>21000000</v>
      </c>
      <c r="L84" s="15">
        <f t="shared" si="28"/>
        <v>15000000</v>
      </c>
      <c r="M84" s="15">
        <f t="shared" si="28"/>
        <v>9000000</v>
      </c>
      <c r="N84" s="15">
        <f t="shared" si="28"/>
        <v>3000000</v>
      </c>
    </row>
    <row r="85" spans="7:14" x14ac:dyDescent="0.3">
      <c r="G85" s="1" t="s">
        <v>76</v>
      </c>
      <c r="H85" s="23">
        <f>H83+H84</f>
        <v>126000000</v>
      </c>
      <c r="I85" s="23">
        <f t="shared" ref="I85:N85" si="29">I83+I84</f>
        <v>241800000</v>
      </c>
      <c r="J85" s="23">
        <f t="shared" si="29"/>
        <v>203400000</v>
      </c>
      <c r="K85" s="23">
        <f t="shared" si="29"/>
        <v>147000000</v>
      </c>
      <c r="L85" s="23">
        <f t="shared" si="29"/>
        <v>90600000</v>
      </c>
      <c r="M85" s="23">
        <f t="shared" si="29"/>
        <v>34200000</v>
      </c>
      <c r="N85" s="23">
        <f t="shared" si="29"/>
        <v>3000000</v>
      </c>
    </row>
  </sheetData>
  <mergeCells count="1">
    <mergeCell ref="E24:G24"/>
  </mergeCells>
  <printOptions horizontalCentered="1" verticalCentered="1"/>
  <pageMargins left="0" right="0" top="0" bottom="0" header="0.31496062992125984" footer="0.31496062992125984"/>
  <pageSetup paperSize="9" scale="46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7F230-D17A-4AEC-9D51-DFBB53B499C3}">
  <sheetPr>
    <pageSetUpPr fitToPage="1"/>
  </sheetPr>
  <dimension ref="B1:R39"/>
  <sheetViews>
    <sheetView showGridLines="0" zoomScale="80" zoomScaleNormal="80" workbookViewId="0">
      <selection activeCell="Q11" sqref="Q11"/>
    </sheetView>
  </sheetViews>
  <sheetFormatPr defaultColWidth="8.69921875" defaultRowHeight="15.6" x14ac:dyDescent="0.3"/>
  <cols>
    <col min="1" max="1" width="4.19921875" style="116" customWidth="1"/>
    <col min="2" max="2" width="3" style="116" customWidth="1"/>
    <col min="3" max="3" width="19.19921875" style="116" customWidth="1"/>
    <col min="4" max="4" width="35.5" style="116" customWidth="1"/>
    <col min="5" max="5" width="4.19921875" style="116" customWidth="1"/>
    <col min="6" max="6" width="4.8984375" style="116" customWidth="1"/>
    <col min="7" max="7" width="17" style="116" bestFit="1" customWidth="1"/>
    <col min="8" max="8" width="8.3984375" style="116" customWidth="1"/>
    <col min="9" max="9" width="5.296875" style="116" customWidth="1"/>
    <col min="10" max="10" width="2.09765625" style="116" customWidth="1"/>
    <col min="11" max="11" width="5.09765625" style="116" customWidth="1"/>
    <col min="12" max="12" width="20.59765625" style="116" customWidth="1"/>
    <col min="13" max="13" width="16.5" style="116" customWidth="1"/>
    <col min="14" max="14" width="2.09765625" style="116" customWidth="1"/>
    <col min="15" max="16384" width="8.69921875" style="116"/>
  </cols>
  <sheetData>
    <row r="1" spans="2:16" x14ac:dyDescent="0.3">
      <c r="B1" s="119"/>
      <c r="D1" s="119"/>
      <c r="E1" s="119"/>
      <c r="F1" s="119"/>
      <c r="G1" s="119"/>
      <c r="H1" s="119"/>
      <c r="I1" s="119"/>
      <c r="J1" s="119"/>
      <c r="K1" s="119"/>
      <c r="L1" s="119"/>
      <c r="N1" s="119"/>
    </row>
    <row r="2" spans="2:16" ht="23.4" x14ac:dyDescent="0.45">
      <c r="B2" s="119"/>
      <c r="C2" s="117" t="s">
        <v>229</v>
      </c>
      <c r="E2" s="119"/>
      <c r="F2" s="119"/>
      <c r="G2" s="119"/>
      <c r="H2" s="119"/>
      <c r="M2" s="234" t="s">
        <v>243</v>
      </c>
      <c r="N2" s="119"/>
    </row>
    <row r="3" spans="2:16" ht="18" x14ac:dyDescent="0.35">
      <c r="B3" s="119"/>
      <c r="C3" s="125" t="s">
        <v>100</v>
      </c>
      <c r="D3" s="117" t="s">
        <v>244</v>
      </c>
      <c r="E3" s="119"/>
      <c r="F3" s="119"/>
      <c r="G3" s="119"/>
      <c r="H3" s="119"/>
      <c r="J3" s="147" t="s">
        <v>108</v>
      </c>
      <c r="K3" s="147"/>
      <c r="L3" s="147"/>
      <c r="M3" s="173">
        <v>45390</v>
      </c>
      <c r="N3" s="119"/>
    </row>
    <row r="4" spans="2:16" ht="18" x14ac:dyDescent="0.35">
      <c r="B4" s="119"/>
      <c r="C4" s="125" t="s">
        <v>101</v>
      </c>
      <c r="D4" s="117" t="s">
        <v>107</v>
      </c>
      <c r="E4" s="119"/>
      <c r="F4" s="119"/>
      <c r="G4" s="119"/>
      <c r="H4" s="119"/>
      <c r="M4" s="119"/>
      <c r="N4" s="119"/>
    </row>
    <row r="5" spans="2:16" ht="1.05" customHeight="1" thickBot="1" x14ac:dyDescent="0.35">
      <c r="B5" s="119"/>
      <c r="C5" s="117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</row>
    <row r="6" spans="2:16" s="124" customFormat="1" ht="18.600000000000001" thickBot="1" x14ac:dyDescent="0.4">
      <c r="B6" s="302" t="s">
        <v>85</v>
      </c>
      <c r="C6" s="303"/>
      <c r="D6" s="304"/>
      <c r="E6" s="302" t="s">
        <v>90</v>
      </c>
      <c r="F6" s="303"/>
      <c r="G6" s="303"/>
      <c r="H6" s="303"/>
      <c r="I6" s="303"/>
      <c r="J6" s="302" t="s">
        <v>86</v>
      </c>
      <c r="K6" s="303"/>
      <c r="L6" s="303"/>
      <c r="M6" s="303"/>
      <c r="N6" s="304"/>
    </row>
    <row r="7" spans="2:16" ht="18" x14ac:dyDescent="0.35">
      <c r="B7" s="305" t="s">
        <v>83</v>
      </c>
      <c r="C7" s="301"/>
      <c r="D7" s="149" t="s">
        <v>152</v>
      </c>
      <c r="E7" s="306" t="s">
        <v>92</v>
      </c>
      <c r="F7" s="306"/>
      <c r="G7" s="306"/>
      <c r="H7" s="306"/>
      <c r="I7" s="306"/>
      <c r="J7" s="144"/>
      <c r="K7" s="301" t="s">
        <v>250</v>
      </c>
      <c r="L7" s="301"/>
      <c r="M7" s="148">
        <v>995395248.38</v>
      </c>
      <c r="N7" s="149"/>
      <c r="P7" s="124"/>
    </row>
    <row r="8" spans="2:16" x14ac:dyDescent="0.3">
      <c r="B8" s="142"/>
      <c r="C8" s="241"/>
      <c r="D8" s="120"/>
      <c r="E8" s="237"/>
      <c r="F8" s="237"/>
      <c r="G8" s="237"/>
      <c r="H8" s="237"/>
      <c r="I8" s="237"/>
      <c r="J8" s="145"/>
      <c r="K8" s="300" t="s">
        <v>88</v>
      </c>
      <c r="L8" s="300"/>
      <c r="M8" s="148">
        <f>M7/H10</f>
        <v>3231802.7544805193</v>
      </c>
      <c r="N8" s="120"/>
    </row>
    <row r="9" spans="2:16" x14ac:dyDescent="0.3">
      <c r="B9" s="307" t="s">
        <v>84</v>
      </c>
      <c r="C9" s="308"/>
      <c r="D9" s="150" t="s">
        <v>154</v>
      </c>
      <c r="E9" s="300" t="s">
        <v>80</v>
      </c>
      <c r="F9" s="300"/>
      <c r="G9" s="300"/>
      <c r="H9" s="151">
        <v>308</v>
      </c>
      <c r="I9" s="119"/>
      <c r="J9" s="118"/>
      <c r="K9" s="300" t="s">
        <v>87</v>
      </c>
      <c r="L9" s="300"/>
      <c r="M9" s="152">
        <v>1</v>
      </c>
      <c r="N9" s="120"/>
    </row>
    <row r="10" spans="2:16" x14ac:dyDescent="0.3">
      <c r="B10" s="307"/>
      <c r="C10" s="308"/>
      <c r="D10" s="120" t="s">
        <v>155</v>
      </c>
      <c r="E10" s="300" t="s">
        <v>81</v>
      </c>
      <c r="F10" s="300"/>
      <c r="G10" s="300"/>
      <c r="H10" s="151">
        <v>308</v>
      </c>
      <c r="I10" s="119"/>
      <c r="J10" s="118"/>
      <c r="K10" s="300" t="s">
        <v>102</v>
      </c>
      <c r="L10" s="300"/>
      <c r="M10" s="153">
        <f>IRR!G5</f>
        <v>0.1</v>
      </c>
      <c r="N10" s="120"/>
    </row>
    <row r="11" spans="2:16" x14ac:dyDescent="0.3">
      <c r="B11" s="307"/>
      <c r="C11" s="308"/>
      <c r="D11" s="120" t="s">
        <v>153</v>
      </c>
      <c r="E11" s="300" t="s">
        <v>82</v>
      </c>
      <c r="F11" s="300"/>
      <c r="G11" s="300"/>
      <c r="H11" s="154">
        <v>1</v>
      </c>
      <c r="I11" s="119"/>
      <c r="J11" s="118"/>
      <c r="K11" s="300" t="s">
        <v>78</v>
      </c>
      <c r="L11" s="300"/>
      <c r="M11" s="148">
        <v>0</v>
      </c>
      <c r="N11" s="120"/>
    </row>
    <row r="12" spans="2:16" x14ac:dyDescent="0.3">
      <c r="B12" s="140" t="s">
        <v>94</v>
      </c>
      <c r="C12" s="141"/>
      <c r="D12" s="120" t="s">
        <v>156</v>
      </c>
      <c r="E12" s="310" t="s">
        <v>91</v>
      </c>
      <c r="F12" s="310"/>
      <c r="G12" s="310"/>
      <c r="H12" s="310"/>
      <c r="I12" s="310"/>
      <c r="J12" s="145"/>
      <c r="K12" s="238" t="s">
        <v>253</v>
      </c>
      <c r="M12" s="148">
        <f>'IRR (4)'!O19+'IRR (4)'!O18</f>
        <v>1999748400</v>
      </c>
      <c r="N12" s="120"/>
    </row>
    <row r="13" spans="2:16" x14ac:dyDescent="0.3">
      <c r="B13" s="239"/>
      <c r="C13" s="240"/>
      <c r="D13" s="120"/>
      <c r="E13" s="237"/>
      <c r="F13" s="237"/>
      <c r="G13" s="237"/>
      <c r="H13" s="237"/>
      <c r="I13" s="237"/>
      <c r="J13" s="145"/>
      <c r="K13" s="238" t="s">
        <v>252</v>
      </c>
      <c r="M13" s="148">
        <f>'IRR (4)'!O20+'IRR (4)'!O22+'IRR (4)'!O24</f>
        <v>1287766494.1887307</v>
      </c>
      <c r="N13" s="120"/>
    </row>
    <row r="14" spans="2:16" x14ac:dyDescent="0.3">
      <c r="B14" s="142" t="s">
        <v>95</v>
      </c>
      <c r="C14" s="143"/>
      <c r="D14" s="120" t="s">
        <v>157</v>
      </c>
      <c r="E14" s="309" t="s">
        <v>89</v>
      </c>
      <c r="F14" s="309"/>
      <c r="G14" s="309"/>
      <c r="H14" s="155">
        <v>0</v>
      </c>
      <c r="I14" s="119"/>
      <c r="J14" s="118"/>
      <c r="K14" s="311" t="s">
        <v>290</v>
      </c>
      <c r="L14" s="311"/>
      <c r="M14" s="148">
        <f>'IRR (4)'!G11</f>
        <v>265242057.07291666</v>
      </c>
      <c r="N14" s="120"/>
    </row>
    <row r="15" spans="2:16" x14ac:dyDescent="0.3">
      <c r="B15" s="142"/>
      <c r="C15" s="292"/>
      <c r="D15" s="120"/>
      <c r="E15" s="293"/>
      <c r="F15" s="293"/>
      <c r="G15" s="293"/>
      <c r="H15" s="155"/>
      <c r="I15" s="119"/>
      <c r="J15" s="118"/>
      <c r="K15" s="311" t="s">
        <v>291</v>
      </c>
      <c r="L15" s="311"/>
      <c r="M15" s="148">
        <f>'IRR (4)'!G12</f>
        <v>330613057.32291663</v>
      </c>
      <c r="N15" s="120"/>
    </row>
    <row r="16" spans="2:16" x14ac:dyDescent="0.3">
      <c r="B16" s="142"/>
      <c r="C16" s="292"/>
      <c r="D16" s="120"/>
      <c r="E16" s="293"/>
      <c r="F16" s="293"/>
      <c r="G16" s="293"/>
      <c r="H16" s="155"/>
      <c r="I16" s="119"/>
      <c r="J16" s="118"/>
      <c r="K16" s="311" t="s">
        <v>292</v>
      </c>
      <c r="L16" s="311"/>
      <c r="M16" s="148">
        <f>'IRR (4)'!H13</f>
        <v>132089174.21875</v>
      </c>
      <c r="N16" s="120"/>
    </row>
    <row r="17" spans="2:18" x14ac:dyDescent="0.3">
      <c r="B17" s="142" t="s">
        <v>79</v>
      </c>
      <c r="C17" s="143"/>
      <c r="D17" s="120" t="s">
        <v>107</v>
      </c>
      <c r="E17" s="309" t="s">
        <v>99</v>
      </c>
      <c r="F17" s="309"/>
      <c r="G17" s="309"/>
      <c r="H17" s="155">
        <v>0</v>
      </c>
      <c r="I17" s="119"/>
      <c r="J17" s="118"/>
      <c r="K17" s="238" t="s">
        <v>254</v>
      </c>
      <c r="L17" s="238"/>
      <c r="M17" s="148">
        <f>'IRR (4)'!O28+'IRR (4)'!O29</f>
        <v>195000000</v>
      </c>
      <c r="N17" s="120"/>
    </row>
    <row r="18" spans="2:18" x14ac:dyDescent="0.3">
      <c r="B18" s="142"/>
      <c r="C18" s="241"/>
      <c r="D18" s="120"/>
      <c r="E18" s="236"/>
      <c r="F18" s="236"/>
      <c r="G18" s="236"/>
      <c r="H18" s="155"/>
      <c r="I18" s="119"/>
      <c r="J18" s="118"/>
      <c r="K18" s="238" t="s">
        <v>255</v>
      </c>
      <c r="L18" s="238"/>
      <c r="M18" s="148">
        <f>'IRR (4)'!O30+'IRR (4)'!O31+'IRR (4)'!O32</f>
        <v>413507074.90943652</v>
      </c>
      <c r="N18" s="120"/>
    </row>
    <row r="19" spans="2:18" ht="15.6" customHeight="1" thickBot="1" x14ac:dyDescent="0.35">
      <c r="B19" s="138" t="s">
        <v>96</v>
      </c>
      <c r="C19" s="139"/>
      <c r="D19" s="126">
        <v>24</v>
      </c>
      <c r="E19" s="309" t="s">
        <v>98</v>
      </c>
      <c r="F19" s="309"/>
      <c r="G19" s="309"/>
      <c r="H19" s="155">
        <v>0</v>
      </c>
      <c r="I19" s="119"/>
      <c r="J19" s="118"/>
      <c r="K19" s="238" t="s">
        <v>251</v>
      </c>
      <c r="L19" s="238"/>
      <c r="M19" s="115">
        <f>'IRR (4)'!O33+'IRR (4)'!O34+'IRR (4)'!O35</f>
        <v>549375744.70943654</v>
      </c>
      <c r="N19" s="120"/>
    </row>
    <row r="20" spans="2:18" x14ac:dyDescent="0.3">
      <c r="B20" s="138" t="s">
        <v>97</v>
      </c>
      <c r="C20" s="139"/>
      <c r="D20" s="126">
        <v>2</v>
      </c>
      <c r="E20" s="310" t="s">
        <v>93</v>
      </c>
      <c r="F20" s="310"/>
      <c r="G20" s="310"/>
      <c r="H20" s="310"/>
      <c r="I20" s="310"/>
      <c r="J20" s="156"/>
      <c r="K20" s="316" t="s">
        <v>28</v>
      </c>
      <c r="L20" s="317"/>
      <c r="M20" s="127">
        <f>'IRR (4)'!G52</f>
        <v>0.40299641893846183</v>
      </c>
      <c r="N20" s="120"/>
    </row>
    <row r="21" spans="2:18" x14ac:dyDescent="0.3">
      <c r="B21" s="118"/>
      <c r="C21" s="119"/>
      <c r="D21" s="120"/>
      <c r="E21" s="119"/>
      <c r="F21" s="119"/>
      <c r="G21" s="119"/>
      <c r="H21" s="119"/>
      <c r="I21" s="119"/>
      <c r="J21" s="157"/>
      <c r="K21" s="318" t="s">
        <v>29</v>
      </c>
      <c r="L21" s="319"/>
      <c r="M21" s="128">
        <f>'IRR (4)'!G53</f>
        <v>475037476.27123499</v>
      </c>
      <c r="N21" s="120"/>
    </row>
    <row r="22" spans="2:18" x14ac:dyDescent="0.3">
      <c r="B22" s="118"/>
      <c r="C22" s="119"/>
      <c r="D22" s="120"/>
      <c r="E22" s="119"/>
      <c r="F22" s="119"/>
      <c r="G22" s="119"/>
      <c r="H22" s="119"/>
      <c r="I22" s="119"/>
      <c r="J22" s="157"/>
      <c r="K22" s="318" t="s">
        <v>30</v>
      </c>
      <c r="L22" s="319"/>
      <c r="M22" s="129">
        <f>'IRR (4)'!G54</f>
        <v>0.64779389390276598</v>
      </c>
      <c r="N22" s="120"/>
      <c r="R22" s="116" t="s">
        <v>62</v>
      </c>
    </row>
    <row r="23" spans="2:18" ht="16.2" thickBot="1" x14ac:dyDescent="0.35">
      <c r="B23" s="118"/>
      <c r="C23" s="119"/>
      <c r="D23" s="120"/>
      <c r="E23" s="119"/>
      <c r="F23" s="119"/>
      <c r="G23" s="119"/>
      <c r="H23" s="119"/>
      <c r="I23" s="119"/>
      <c r="J23" s="157"/>
      <c r="K23" s="312" t="s">
        <v>103</v>
      </c>
      <c r="L23" s="313"/>
      <c r="M23" s="130">
        <f>'IRR (4)'!G55</f>
        <v>1.91956173688889</v>
      </c>
      <c r="N23" s="120"/>
      <c r="Q23" s="116" t="s">
        <v>62</v>
      </c>
    </row>
    <row r="24" spans="2:18" ht="16.2" thickBot="1" x14ac:dyDescent="0.35">
      <c r="B24" s="121"/>
      <c r="C24" s="122"/>
      <c r="D24" s="123"/>
      <c r="E24" s="122"/>
      <c r="F24" s="122" t="s">
        <v>62</v>
      </c>
      <c r="G24" s="122"/>
      <c r="H24" s="122"/>
      <c r="I24" s="122"/>
      <c r="J24" s="118"/>
      <c r="K24" s="146"/>
      <c r="L24" s="143"/>
      <c r="M24" s="143"/>
      <c r="N24" s="120"/>
    </row>
    <row r="25" spans="2:18" x14ac:dyDescent="0.3">
      <c r="B25" s="158" t="s">
        <v>150</v>
      </c>
      <c r="C25" s="159"/>
      <c r="D25" s="159"/>
      <c r="E25" s="159"/>
      <c r="F25" s="159"/>
      <c r="G25" s="159"/>
      <c r="H25" s="159"/>
      <c r="I25" s="159"/>
      <c r="J25" s="159"/>
      <c r="K25" s="159"/>
      <c r="L25" s="320" t="s">
        <v>109</v>
      </c>
      <c r="M25" s="320"/>
      <c r="N25" s="149"/>
    </row>
    <row r="26" spans="2:18" x14ac:dyDescent="0.3">
      <c r="B26" s="118"/>
      <c r="C26" s="119" t="s">
        <v>285</v>
      </c>
      <c r="D26" s="119" t="s">
        <v>257</v>
      </c>
      <c r="E26" s="119"/>
      <c r="F26" s="119"/>
      <c r="G26" s="119"/>
      <c r="H26" s="119"/>
      <c r="I26" s="119"/>
      <c r="J26" s="119"/>
      <c r="K26" s="119"/>
      <c r="L26" s="314" t="s">
        <v>230</v>
      </c>
      <c r="M26" s="315"/>
      <c r="N26" s="120"/>
    </row>
    <row r="27" spans="2:18" x14ac:dyDescent="0.3">
      <c r="B27" s="118"/>
      <c r="C27" s="119"/>
      <c r="D27" s="119" t="s">
        <v>286</v>
      </c>
      <c r="E27" s="119"/>
      <c r="F27" s="119"/>
      <c r="G27" s="119"/>
      <c r="H27" s="119"/>
      <c r="I27" s="119"/>
      <c r="J27" s="119"/>
      <c r="K27" s="119"/>
      <c r="L27" s="119"/>
      <c r="M27" s="119"/>
      <c r="N27" s="120"/>
    </row>
    <row r="28" spans="2:18" x14ac:dyDescent="0.3">
      <c r="B28" s="118"/>
      <c r="C28" s="119"/>
      <c r="D28" s="119" t="s">
        <v>287</v>
      </c>
      <c r="E28" s="119"/>
      <c r="F28" s="119"/>
      <c r="G28" s="119"/>
      <c r="H28" s="119"/>
      <c r="I28" s="119"/>
      <c r="J28" s="119"/>
      <c r="K28" s="119"/>
      <c r="L28" s="119"/>
      <c r="M28" s="119"/>
      <c r="N28" s="120"/>
    </row>
    <row r="29" spans="2:18" x14ac:dyDescent="0.3">
      <c r="B29" s="118"/>
      <c r="C29" s="119"/>
      <c r="D29" s="297" t="s">
        <v>293</v>
      </c>
      <c r="E29" s="119"/>
      <c r="F29" s="119"/>
      <c r="G29" s="119"/>
      <c r="H29" s="119"/>
      <c r="I29" s="119"/>
      <c r="J29" s="119"/>
      <c r="K29" s="119"/>
      <c r="L29" s="119"/>
      <c r="M29" s="119"/>
      <c r="N29" s="120"/>
    </row>
    <row r="30" spans="2:18" ht="16.2" thickBot="1" x14ac:dyDescent="0.35">
      <c r="B30" s="121"/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3"/>
    </row>
    <row r="32" spans="2:18" x14ac:dyDescent="0.3">
      <c r="B32" s="1" t="s">
        <v>110</v>
      </c>
    </row>
    <row r="33" spans="2:14" x14ac:dyDescent="0.3">
      <c r="B33" s="235"/>
      <c r="C33" s="235"/>
      <c r="D33" s="235"/>
      <c r="E33" s="235"/>
      <c r="F33" s="235"/>
      <c r="G33" s="235"/>
      <c r="H33" s="235"/>
      <c r="I33" s="235"/>
      <c r="J33" s="235"/>
      <c r="K33" s="235"/>
      <c r="L33" s="235"/>
      <c r="M33" s="235"/>
      <c r="N33" s="235"/>
    </row>
    <row r="34" spans="2:14" x14ac:dyDescent="0.3">
      <c r="B34" s="235"/>
      <c r="C34" s="235"/>
      <c r="D34" s="235"/>
      <c r="E34" s="235"/>
      <c r="F34" s="235"/>
      <c r="G34" s="235"/>
      <c r="H34" s="235"/>
      <c r="I34" s="235"/>
      <c r="J34" s="235"/>
      <c r="K34" s="235"/>
      <c r="L34" s="235"/>
      <c r="M34" s="235"/>
      <c r="N34" s="235"/>
    </row>
    <row r="35" spans="2:14" x14ac:dyDescent="0.3">
      <c r="B35" s="235"/>
      <c r="C35" s="235"/>
      <c r="D35" s="235"/>
      <c r="E35" s="235"/>
      <c r="F35" s="235"/>
      <c r="G35" s="235"/>
      <c r="H35" s="235"/>
      <c r="I35" s="235"/>
      <c r="J35" s="235"/>
      <c r="K35" s="235"/>
      <c r="L35" s="235"/>
      <c r="M35" s="235"/>
      <c r="N35" s="235"/>
    </row>
    <row r="36" spans="2:14" x14ac:dyDescent="0.3">
      <c r="B36" s="235"/>
      <c r="C36" s="235"/>
      <c r="D36" s="235"/>
      <c r="E36" s="235"/>
      <c r="F36" s="235"/>
      <c r="G36" s="235"/>
      <c r="H36" s="235"/>
      <c r="I36" s="235"/>
      <c r="J36" s="235"/>
      <c r="K36" s="235"/>
      <c r="L36" s="235"/>
      <c r="M36" s="235"/>
      <c r="N36" s="235"/>
    </row>
    <row r="37" spans="2:14" x14ac:dyDescent="0.3">
      <c r="B37" s="235"/>
      <c r="C37" s="235"/>
      <c r="D37" s="235"/>
      <c r="E37" s="235"/>
      <c r="F37" s="235"/>
      <c r="G37" s="235"/>
      <c r="H37" s="235"/>
      <c r="I37" s="235"/>
      <c r="J37" s="235"/>
      <c r="K37" s="235"/>
      <c r="L37" s="235"/>
      <c r="M37" s="235"/>
      <c r="N37" s="235"/>
    </row>
    <row r="38" spans="2:14" x14ac:dyDescent="0.3">
      <c r="B38" s="235"/>
      <c r="C38" s="235"/>
      <c r="D38" s="235"/>
      <c r="E38" s="235"/>
      <c r="F38" s="235"/>
      <c r="G38" s="235"/>
      <c r="H38" s="235"/>
      <c r="I38" s="235"/>
      <c r="J38" s="235"/>
      <c r="K38" s="235"/>
      <c r="L38" s="235"/>
      <c r="M38" s="235"/>
      <c r="N38" s="235"/>
    </row>
    <row r="39" spans="2:14" x14ac:dyDescent="0.3">
      <c r="B39" s="235"/>
      <c r="C39" s="235"/>
      <c r="D39" s="235"/>
      <c r="E39" s="235"/>
      <c r="F39" s="235"/>
      <c r="G39" s="235"/>
      <c r="H39" s="235"/>
      <c r="I39" s="235"/>
      <c r="J39" s="235"/>
      <c r="K39" s="235"/>
      <c r="L39" s="235"/>
      <c r="M39" s="235"/>
      <c r="N39" s="235"/>
    </row>
  </sheetData>
  <mergeCells count="30">
    <mergeCell ref="K23:L23"/>
    <mergeCell ref="L26:M26"/>
    <mergeCell ref="E19:G19"/>
    <mergeCell ref="E20:I20"/>
    <mergeCell ref="K20:L20"/>
    <mergeCell ref="K21:L21"/>
    <mergeCell ref="K22:L22"/>
    <mergeCell ref="L25:M25"/>
    <mergeCell ref="E14:G14"/>
    <mergeCell ref="E17:G17"/>
    <mergeCell ref="B11:C11"/>
    <mergeCell ref="E11:G11"/>
    <mergeCell ref="K11:L11"/>
    <mergeCell ref="E12:I12"/>
    <mergeCell ref="K14:L14"/>
    <mergeCell ref="K15:L15"/>
    <mergeCell ref="K16:L16"/>
    <mergeCell ref="B9:C9"/>
    <mergeCell ref="E9:G9"/>
    <mergeCell ref="K9:L9"/>
    <mergeCell ref="B10:C10"/>
    <mergeCell ref="E10:G10"/>
    <mergeCell ref="K10:L10"/>
    <mergeCell ref="K8:L8"/>
    <mergeCell ref="K7:L7"/>
    <mergeCell ref="B6:D6"/>
    <mergeCell ref="E6:I6"/>
    <mergeCell ref="J6:N6"/>
    <mergeCell ref="B7:C7"/>
    <mergeCell ref="E7:I7"/>
  </mergeCells>
  <phoneticPr fontId="27" type="noConversion"/>
  <pageMargins left="0.25" right="0.25" top="0.28000000000000003" bottom="0.38" header="0.3" footer="0.3"/>
  <pageSetup paperSize="9" scale="91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V68"/>
  <sheetViews>
    <sheetView showGridLines="0" zoomScale="70" zoomScaleNormal="70" workbookViewId="0">
      <selection activeCell="K23" sqref="K23"/>
    </sheetView>
  </sheetViews>
  <sheetFormatPr defaultColWidth="10.59765625" defaultRowHeight="15.6" x14ac:dyDescent="0.3"/>
  <cols>
    <col min="1" max="1" width="4.09765625" customWidth="1"/>
    <col min="2" max="2" width="3.59765625" customWidth="1"/>
    <col min="3" max="3" width="4.59765625" customWidth="1"/>
    <col min="4" max="4" width="28.5" customWidth="1"/>
    <col min="5" max="5" width="7.09765625" bestFit="1" customWidth="1"/>
    <col min="6" max="6" width="6.09765625" customWidth="1"/>
    <col min="7" max="7" width="16.796875" customWidth="1"/>
    <col min="8" max="8" width="17.59765625" style="2" customWidth="1"/>
    <col min="9" max="9" width="17.796875" customWidth="1"/>
    <col min="10" max="11" width="15.59765625" bestFit="1" customWidth="1"/>
    <col min="12" max="12" width="16" bestFit="1" customWidth="1"/>
    <col min="13" max="13" width="17.5" bestFit="1" customWidth="1"/>
    <col min="14" max="14" width="15.796875" customWidth="1"/>
    <col min="15" max="18" width="15" bestFit="1" customWidth="1"/>
    <col min="19" max="19" width="15.59765625" bestFit="1" customWidth="1"/>
    <col min="20" max="20" width="11.59765625" bestFit="1" customWidth="1"/>
  </cols>
  <sheetData>
    <row r="1" spans="2:22" x14ac:dyDescent="0.3">
      <c r="B1" s="1" t="s">
        <v>190</v>
      </c>
    </row>
    <row r="2" spans="2:22" ht="25.8" x14ac:dyDescent="0.3">
      <c r="B2" s="1" t="s">
        <v>0</v>
      </c>
      <c r="M2" s="105" t="s">
        <v>158</v>
      </c>
    </row>
    <row r="3" spans="2:22" x14ac:dyDescent="0.3">
      <c r="B3" s="3" t="s">
        <v>1</v>
      </c>
    </row>
    <row r="4" spans="2:22" x14ac:dyDescent="0.3">
      <c r="C4" t="s">
        <v>2</v>
      </c>
      <c r="G4" s="5">
        <v>0.02</v>
      </c>
      <c r="M4" s="4"/>
      <c r="N4" s="4"/>
      <c r="O4" s="4"/>
    </row>
    <row r="5" spans="2:22" x14ac:dyDescent="0.3">
      <c r="C5" t="s">
        <v>46</v>
      </c>
      <c r="G5" s="5">
        <v>0.1</v>
      </c>
      <c r="M5" s="4"/>
      <c r="N5" s="4"/>
      <c r="O5" s="4"/>
    </row>
    <row r="6" spans="2:22" x14ac:dyDescent="0.3">
      <c r="C6" t="s">
        <v>3</v>
      </c>
      <c r="G6" s="5">
        <v>0.05</v>
      </c>
      <c r="H6" s="2" t="s">
        <v>4</v>
      </c>
    </row>
    <row r="7" spans="2:22" x14ac:dyDescent="0.3">
      <c r="C7" t="s">
        <v>5</v>
      </c>
      <c r="G7" s="6">
        <v>0</v>
      </c>
      <c r="H7" s="2" t="s">
        <v>4</v>
      </c>
    </row>
    <row r="8" spans="2:22" x14ac:dyDescent="0.3">
      <c r="C8" t="s">
        <v>151</v>
      </c>
      <c r="G8" s="106">
        <v>0.15</v>
      </c>
    </row>
    <row r="9" spans="2:22" x14ac:dyDescent="0.3">
      <c r="H9" s="36" t="s">
        <v>41</v>
      </c>
      <c r="I9" s="36" t="s">
        <v>42</v>
      </c>
      <c r="J9" s="36" t="s">
        <v>43</v>
      </c>
      <c r="K9" s="36" t="s">
        <v>44</v>
      </c>
      <c r="L9" s="36" t="s">
        <v>45</v>
      </c>
      <c r="M9" s="27"/>
      <c r="N9" s="45"/>
      <c r="O9" s="45"/>
      <c r="P9" s="46"/>
      <c r="Q9" s="45"/>
      <c r="R9" s="45"/>
      <c r="S9" s="45"/>
      <c r="T9" s="45"/>
      <c r="U9" s="45"/>
    </row>
    <row r="10" spans="2:22" x14ac:dyDescent="0.3">
      <c r="B10" s="1" t="s">
        <v>59</v>
      </c>
      <c r="H10"/>
      <c r="M10" s="27"/>
      <c r="N10" s="45"/>
      <c r="O10" s="45"/>
      <c r="P10" s="46"/>
      <c r="Q10" s="45"/>
      <c r="R10" s="45"/>
      <c r="S10" s="45"/>
      <c r="T10" s="45"/>
      <c r="U10" s="45"/>
    </row>
    <row r="11" spans="2:22" s="90" customFormat="1" ht="16.2" thickBot="1" x14ac:dyDescent="0.35">
      <c r="B11" s="98" t="s">
        <v>60</v>
      </c>
      <c r="G11" s="97"/>
      <c r="H11" s="91">
        <v>50000000</v>
      </c>
      <c r="I11" s="91">
        <v>0</v>
      </c>
      <c r="J11" s="91">
        <v>0</v>
      </c>
      <c r="K11" s="91">
        <v>0</v>
      </c>
      <c r="L11" s="91"/>
      <c r="M11" s="95"/>
      <c r="N11" s="92"/>
      <c r="O11" s="92"/>
      <c r="P11" s="93"/>
      <c r="Q11" s="92"/>
      <c r="R11" s="92"/>
      <c r="S11" s="92"/>
      <c r="T11" s="92"/>
      <c r="U11" s="92"/>
    </row>
    <row r="12" spans="2:22" ht="16.2" thickTop="1" x14ac:dyDescent="0.3">
      <c r="G12" s="11"/>
      <c r="M12" s="27"/>
      <c r="P12" s="44"/>
      <c r="Q12" s="44"/>
      <c r="R12" s="44"/>
      <c r="S12" s="44"/>
      <c r="T12" s="44"/>
      <c r="U12" s="44"/>
      <c r="V12" s="44"/>
    </row>
    <row r="13" spans="2:22" ht="16.2" thickBot="1" x14ac:dyDescent="0.35">
      <c r="B13" s="12" t="s">
        <v>12</v>
      </c>
      <c r="C13" s="7"/>
      <c r="D13" s="7"/>
      <c r="E13" s="7"/>
      <c r="F13" s="7"/>
      <c r="G13" s="7"/>
      <c r="H13" s="8" t="s">
        <v>7</v>
      </c>
      <c r="I13" s="13" t="s">
        <v>8</v>
      </c>
      <c r="J13" s="8" t="s">
        <v>9</v>
      </c>
      <c r="K13" s="13" t="s">
        <v>10</v>
      </c>
      <c r="L13" s="8" t="s">
        <v>11</v>
      </c>
      <c r="M13" s="75" t="s">
        <v>13</v>
      </c>
      <c r="N13" s="59"/>
      <c r="O13" s="59"/>
      <c r="P13" s="59"/>
      <c r="Q13" s="59"/>
      <c r="R13" s="59"/>
      <c r="S13" s="59"/>
      <c r="T13" s="44"/>
      <c r="U13" s="44"/>
      <c r="V13" s="44"/>
    </row>
    <row r="14" spans="2:22" x14ac:dyDescent="0.3">
      <c r="B14" t="s">
        <v>14</v>
      </c>
      <c r="H14" s="9">
        <v>12</v>
      </c>
      <c r="I14" s="9">
        <v>12</v>
      </c>
      <c r="J14" s="9">
        <v>12</v>
      </c>
      <c r="K14" s="9">
        <v>12</v>
      </c>
      <c r="L14" s="9">
        <v>12</v>
      </c>
      <c r="M14" s="76"/>
    </row>
    <row r="15" spans="2:22" x14ac:dyDescent="0.3">
      <c r="B15" s="1" t="s">
        <v>6</v>
      </c>
      <c r="E15" s="19"/>
      <c r="H15" s="20"/>
      <c r="I15" s="19"/>
      <c r="J15" s="21"/>
      <c r="K15" s="21"/>
      <c r="L15" s="21"/>
      <c r="M15" s="76"/>
    </row>
    <row r="16" spans="2:22" x14ac:dyDescent="0.3">
      <c r="B16" s="1"/>
      <c r="E16" s="19"/>
      <c r="H16" s="20"/>
      <c r="I16" s="19"/>
      <c r="J16" s="21"/>
      <c r="K16" s="21"/>
      <c r="L16" s="21"/>
      <c r="M16" s="76"/>
    </row>
    <row r="17" spans="2:20" x14ac:dyDescent="0.3">
      <c r="C17" t="s">
        <v>37</v>
      </c>
      <c r="E17" s="16"/>
      <c r="H17" s="136">
        <v>238200000</v>
      </c>
      <c r="I17" s="136"/>
      <c r="J17" s="136"/>
      <c r="K17" s="136"/>
      <c r="L17" s="136"/>
      <c r="M17" s="77">
        <f>SUM(H17:L17)</f>
        <v>238200000</v>
      </c>
      <c r="N17" s="14"/>
      <c r="O17" s="14"/>
      <c r="P17" s="14"/>
      <c r="Q17" s="14"/>
      <c r="R17" s="14"/>
      <c r="S17" s="15"/>
    </row>
    <row r="18" spans="2:20" x14ac:dyDescent="0.3">
      <c r="B18" s="69" t="s">
        <v>15</v>
      </c>
      <c r="C18" s="69"/>
      <c r="D18" s="69"/>
      <c r="E18" s="298"/>
      <c r="F18" s="299"/>
      <c r="G18" s="299"/>
      <c r="H18" s="70">
        <f>SUM(H15:H17)</f>
        <v>238200000</v>
      </c>
      <c r="I18" s="70">
        <f>SUM(I15:I17)</f>
        <v>0</v>
      </c>
      <c r="J18" s="70">
        <f>SUM(J15:J17)</f>
        <v>0</v>
      </c>
      <c r="K18" s="70">
        <f>SUM(K15:K17)</f>
        <v>0</v>
      </c>
      <c r="L18" s="70">
        <f>SUM(L15:L17)</f>
        <v>0</v>
      </c>
      <c r="M18" s="78">
        <f>SUM(M17:M17)</f>
        <v>238200000</v>
      </c>
      <c r="N18" s="48"/>
      <c r="O18" s="48"/>
      <c r="P18" s="48"/>
      <c r="Q18" s="48"/>
      <c r="R18" s="48"/>
      <c r="S18" s="48"/>
      <c r="T18" s="50"/>
    </row>
    <row r="19" spans="2:20" x14ac:dyDescent="0.3">
      <c r="B19" s="1" t="s">
        <v>16</v>
      </c>
      <c r="E19" s="19"/>
      <c r="F19" s="19"/>
      <c r="G19" s="19"/>
      <c r="H19" s="20"/>
      <c r="I19" s="19"/>
      <c r="J19" s="21"/>
      <c r="K19" s="21"/>
      <c r="L19" s="21"/>
      <c r="M19" s="79"/>
      <c r="N19" s="51"/>
      <c r="O19" s="51"/>
      <c r="P19" s="51"/>
      <c r="Q19" s="51"/>
      <c r="R19" s="51"/>
      <c r="S19" s="50"/>
      <c r="T19" s="50"/>
    </row>
    <row r="20" spans="2:20" x14ac:dyDescent="0.3">
      <c r="C20" t="s">
        <v>47</v>
      </c>
      <c r="H20" s="203">
        <v>25000000</v>
      </c>
      <c r="I20" s="14"/>
      <c r="J20" s="14"/>
      <c r="K20" s="14"/>
      <c r="L20" s="14"/>
      <c r="M20" s="80">
        <f>SUM(H20:L20)</f>
        <v>25000000</v>
      </c>
      <c r="N20" s="48"/>
      <c r="O20" s="48"/>
      <c r="P20" s="48"/>
      <c r="Q20" s="48"/>
      <c r="R20" s="48"/>
      <c r="S20" s="49"/>
      <c r="T20" s="50"/>
    </row>
    <row r="21" spans="2:20" x14ac:dyDescent="0.3">
      <c r="C21" t="s">
        <v>17</v>
      </c>
      <c r="H21" s="203">
        <v>48000000</v>
      </c>
      <c r="I21" s="14"/>
      <c r="J21" s="14"/>
      <c r="K21" s="14"/>
      <c r="L21" s="14"/>
      <c r="M21" s="80">
        <f t="shared" ref="M21" si="0">SUM(H21:L21)</f>
        <v>48000000</v>
      </c>
      <c r="N21" s="48"/>
      <c r="O21" s="48"/>
      <c r="P21" s="48"/>
      <c r="Q21" s="48"/>
      <c r="R21" s="48"/>
      <c r="S21" s="49"/>
      <c r="T21" s="50"/>
    </row>
    <row r="22" spans="2:20" x14ac:dyDescent="0.3">
      <c r="C22" t="s">
        <v>48</v>
      </c>
      <c r="H22" s="204">
        <v>7000000</v>
      </c>
      <c r="I22" s="71"/>
      <c r="J22" s="71"/>
      <c r="K22" s="71"/>
      <c r="L22" s="71"/>
      <c r="M22" s="80">
        <f t="shared" ref="M22:M23" si="1">SUM(H22:L22)</f>
        <v>7000000</v>
      </c>
      <c r="N22" s="48"/>
      <c r="O22" s="48"/>
      <c r="P22" s="48"/>
      <c r="Q22" s="48"/>
      <c r="R22" s="48"/>
      <c r="S22" s="49"/>
      <c r="T22" s="50"/>
    </row>
    <row r="23" spans="2:20" x14ac:dyDescent="0.3">
      <c r="B23" s="17"/>
      <c r="C23" s="17" t="s">
        <v>3</v>
      </c>
      <c r="D23" s="17"/>
      <c r="E23" s="17"/>
      <c r="F23" s="17"/>
      <c r="G23" s="17"/>
      <c r="H23" s="22">
        <f>$G$6*H18</f>
        <v>11910000</v>
      </c>
      <c r="I23" s="22"/>
      <c r="J23" s="22"/>
      <c r="K23" s="22"/>
      <c r="L23" s="22"/>
      <c r="M23" s="80">
        <f t="shared" si="1"/>
        <v>11910000</v>
      </c>
      <c r="N23" s="52"/>
      <c r="O23" s="52"/>
      <c r="P23" s="52"/>
      <c r="Q23" s="52"/>
      <c r="R23" s="52"/>
      <c r="S23" s="49"/>
      <c r="T23" s="50"/>
    </row>
    <row r="24" spans="2:20" s="1" customFormat="1" x14ac:dyDescent="0.3">
      <c r="B24" s="69" t="s">
        <v>18</v>
      </c>
      <c r="C24" s="69"/>
      <c r="D24" s="69"/>
      <c r="E24" s="69"/>
      <c r="F24" s="69"/>
      <c r="G24" s="69"/>
      <c r="H24" s="70">
        <f t="shared" ref="H24:M24" si="2">SUM(H20:H23)</f>
        <v>91910000</v>
      </c>
      <c r="I24" s="70">
        <f t="shared" si="2"/>
        <v>0</v>
      </c>
      <c r="J24" s="70">
        <f t="shared" si="2"/>
        <v>0</v>
      </c>
      <c r="K24" s="70">
        <f t="shared" si="2"/>
        <v>0</v>
      </c>
      <c r="L24" s="70">
        <f t="shared" si="2"/>
        <v>0</v>
      </c>
      <c r="M24" s="94">
        <f t="shared" si="2"/>
        <v>91910000</v>
      </c>
      <c r="N24" s="53"/>
      <c r="O24" s="53"/>
      <c r="P24" s="53"/>
      <c r="Q24" s="53"/>
      <c r="R24" s="53"/>
      <c r="S24" s="53"/>
      <c r="T24" s="54"/>
    </row>
    <row r="25" spans="2:20" s="1" customFormat="1" x14ac:dyDescent="0.3">
      <c r="B25" s="1" t="s">
        <v>19</v>
      </c>
      <c r="H25" s="23">
        <f t="shared" ref="H25:M25" si="3">H18-H24</f>
        <v>146290000</v>
      </c>
      <c r="I25" s="23"/>
      <c r="J25" s="23"/>
      <c r="K25" s="23"/>
      <c r="L25" s="23"/>
      <c r="M25" s="81">
        <f t="shared" si="3"/>
        <v>146290000</v>
      </c>
      <c r="N25" s="53"/>
      <c r="O25" s="53"/>
      <c r="P25" s="53"/>
      <c r="Q25" s="53"/>
      <c r="R25" s="53"/>
      <c r="S25" s="53"/>
      <c r="T25" s="54"/>
    </row>
    <row r="26" spans="2:20" s="1" customFormat="1" x14ac:dyDescent="0.3">
      <c r="B26" s="24" t="s">
        <v>20</v>
      </c>
      <c r="C26" s="25"/>
      <c r="D26" s="25"/>
      <c r="E26" s="25"/>
      <c r="F26" s="25"/>
      <c r="G26" s="25"/>
      <c r="H26" s="26">
        <f t="shared" ref="H26:M26" si="4">H25/H18</f>
        <v>0.61414777497900919</v>
      </c>
      <c r="I26" s="26"/>
      <c r="J26" s="26"/>
      <c r="K26" s="26"/>
      <c r="L26" s="26"/>
      <c r="M26" s="82">
        <f t="shared" si="4"/>
        <v>0.61414777497900919</v>
      </c>
      <c r="N26" s="55"/>
      <c r="O26" s="55"/>
      <c r="P26" s="55"/>
      <c r="Q26" s="55"/>
      <c r="R26" s="55"/>
      <c r="S26" s="55"/>
      <c r="T26" s="54"/>
    </row>
    <row r="27" spans="2:20" x14ac:dyDescent="0.3">
      <c r="M27" s="76"/>
      <c r="N27" s="50"/>
      <c r="O27" s="50"/>
      <c r="P27" s="50"/>
      <c r="Q27" s="50"/>
      <c r="R27" s="50"/>
      <c r="S27" s="50"/>
      <c r="T27" s="50"/>
    </row>
    <row r="28" spans="2:20" x14ac:dyDescent="0.3">
      <c r="B28" s="17" t="s">
        <v>21</v>
      </c>
      <c r="C28" s="17"/>
      <c r="D28" s="17"/>
      <c r="E28" s="17"/>
      <c r="F28" s="17"/>
      <c r="G28" s="17"/>
      <c r="H28" s="18">
        <f>H47</f>
        <v>50000000</v>
      </c>
      <c r="I28" s="18"/>
      <c r="J28" s="18"/>
      <c r="K28" s="18"/>
      <c r="L28" s="18"/>
      <c r="M28" s="83">
        <f>SUM(H28:L28)</f>
        <v>50000000</v>
      </c>
      <c r="N28" s="48"/>
      <c r="O28" s="48"/>
      <c r="P28" s="48"/>
      <c r="Q28" s="48"/>
      <c r="R28" s="48"/>
      <c r="S28" s="48"/>
      <c r="T28" s="50"/>
    </row>
    <row r="29" spans="2:20" x14ac:dyDescent="0.3">
      <c r="B29" s="27" t="s">
        <v>22</v>
      </c>
      <c r="H29" s="28">
        <f>H25-H28</f>
        <v>96290000</v>
      </c>
      <c r="I29" s="28"/>
      <c r="J29" s="28"/>
      <c r="K29" s="28"/>
      <c r="L29" s="28"/>
      <c r="M29" s="84">
        <f>M25-M28</f>
        <v>96290000</v>
      </c>
      <c r="N29" s="56"/>
      <c r="O29" s="56"/>
      <c r="P29" s="56"/>
      <c r="Q29" s="56"/>
      <c r="R29" s="56"/>
      <c r="S29" s="56"/>
      <c r="T29" s="50"/>
    </row>
    <row r="30" spans="2:20" x14ac:dyDescent="0.3">
      <c r="B30" s="27" t="s">
        <v>35</v>
      </c>
      <c r="H30" s="107">
        <f>PARAMETER!B$43</f>
        <v>2500000</v>
      </c>
      <c r="I30" s="107"/>
      <c r="J30" s="107"/>
      <c r="K30" s="107"/>
      <c r="L30" s="107"/>
      <c r="M30" s="102">
        <f>SUM(H30:L30)</f>
        <v>2500000</v>
      </c>
      <c r="N30" s="56"/>
      <c r="O30" s="56"/>
      <c r="P30" s="56"/>
      <c r="Q30" s="56"/>
      <c r="R30" s="56"/>
      <c r="S30" s="56"/>
      <c r="T30" s="50"/>
    </row>
    <row r="31" spans="2:20" x14ac:dyDescent="0.3">
      <c r="B31" s="27" t="s">
        <v>36</v>
      </c>
      <c r="H31" s="73">
        <f>H29-H30</f>
        <v>93790000</v>
      </c>
      <c r="I31" s="73"/>
      <c r="J31" s="73"/>
      <c r="K31" s="73"/>
      <c r="L31" s="73"/>
      <c r="M31" s="102">
        <f>SUM(H31:L31)</f>
        <v>93790000</v>
      </c>
      <c r="N31" s="56"/>
      <c r="O31" s="56"/>
      <c r="P31" s="56"/>
      <c r="Q31" s="56"/>
      <c r="R31" s="56"/>
      <c r="S31" s="56"/>
      <c r="T31" s="50"/>
    </row>
    <row r="32" spans="2:20" x14ac:dyDescent="0.3">
      <c r="B32" s="17" t="s">
        <v>23</v>
      </c>
      <c r="C32" s="17"/>
      <c r="D32" s="17"/>
      <c r="E32" s="17"/>
      <c r="F32" s="17"/>
      <c r="G32" s="17"/>
      <c r="H32" s="71">
        <f>IF(H31&lt;0,0,H31*$G$4)</f>
        <v>1875800</v>
      </c>
      <c r="I32" s="71"/>
      <c r="J32" s="71"/>
      <c r="K32" s="71"/>
      <c r="L32" s="71"/>
      <c r="M32" s="85">
        <f>SUM(H32:L32)</f>
        <v>1875800</v>
      </c>
      <c r="N32" s="58"/>
      <c r="O32" s="58"/>
      <c r="P32" s="58"/>
      <c r="Q32" s="58"/>
      <c r="R32" s="58"/>
      <c r="S32" s="57"/>
      <c r="T32" s="50"/>
    </row>
    <row r="33" spans="2:22" ht="16.2" thickBot="1" x14ac:dyDescent="0.35">
      <c r="B33" s="31" t="s">
        <v>61</v>
      </c>
      <c r="C33" s="31"/>
      <c r="D33" s="31"/>
      <c r="E33" s="31"/>
      <c r="F33" s="31"/>
      <c r="G33" s="31"/>
      <c r="H33" s="32">
        <f>H31-H32</f>
        <v>91914200</v>
      </c>
      <c r="I33" s="32"/>
      <c r="J33" s="32"/>
      <c r="K33" s="32"/>
      <c r="L33" s="32"/>
      <c r="M33" s="86">
        <f>M29-M32</f>
        <v>94414200</v>
      </c>
      <c r="N33" s="56"/>
      <c r="O33" s="56"/>
      <c r="P33" s="56"/>
      <c r="Q33" s="56"/>
      <c r="R33" s="56"/>
      <c r="S33" s="56"/>
      <c r="T33" s="50"/>
    </row>
    <row r="34" spans="2:22" x14ac:dyDescent="0.3">
      <c r="M34" s="76"/>
      <c r="N34" s="50"/>
      <c r="O34" s="50"/>
      <c r="P34" s="50"/>
      <c r="Q34" s="50"/>
      <c r="R34" s="50"/>
      <c r="S34" s="50"/>
      <c r="T34" s="50"/>
    </row>
    <row r="35" spans="2:22" x14ac:dyDescent="0.3">
      <c r="B35" s="17" t="s">
        <v>24</v>
      </c>
      <c r="C35" s="17"/>
      <c r="D35" s="17"/>
      <c r="E35" s="17"/>
      <c r="F35" s="17"/>
      <c r="G35" s="33">
        <f t="shared" ref="G35:L35" si="5">-H11</f>
        <v>-50000000</v>
      </c>
      <c r="H35" s="33">
        <f t="shared" si="5"/>
        <v>0</v>
      </c>
      <c r="I35" s="33">
        <f t="shared" si="5"/>
        <v>0</v>
      </c>
      <c r="J35" s="33">
        <f t="shared" si="5"/>
        <v>0</v>
      </c>
      <c r="K35" s="33">
        <f t="shared" si="5"/>
        <v>0</v>
      </c>
      <c r="L35" s="33">
        <f t="shared" si="5"/>
        <v>0</v>
      </c>
      <c r="M35" s="172">
        <f>SUM(G35:L35)</f>
        <v>-50000000</v>
      </c>
      <c r="N35" s="57"/>
      <c r="O35" s="57"/>
      <c r="P35" s="57"/>
      <c r="Q35" s="57"/>
      <c r="R35" s="57"/>
      <c r="S35" s="57"/>
      <c r="T35" s="50"/>
    </row>
    <row r="36" spans="2:22" x14ac:dyDescent="0.3">
      <c r="B36" t="s">
        <v>25</v>
      </c>
      <c r="G36" s="30">
        <f>G35</f>
        <v>-50000000</v>
      </c>
      <c r="H36" s="30">
        <f>H35+H33+H28</f>
        <v>141914200</v>
      </c>
      <c r="I36" s="30">
        <f>I35+I33+I28</f>
        <v>0</v>
      </c>
      <c r="J36" s="30">
        <f>J35+J33+J28</f>
        <v>0</v>
      </c>
      <c r="K36" s="30">
        <f>K35+K33+K28</f>
        <v>0</v>
      </c>
      <c r="L36" s="30">
        <f>L35+L33+L28</f>
        <v>0</v>
      </c>
      <c r="M36" s="88">
        <f>SUM(G36:L36)</f>
        <v>91914200</v>
      </c>
      <c r="N36" s="57"/>
      <c r="O36" s="57"/>
      <c r="P36" s="57"/>
      <c r="Q36" s="57"/>
      <c r="R36" s="57"/>
      <c r="S36" s="57"/>
      <c r="T36" s="50"/>
    </row>
    <row r="37" spans="2:22" x14ac:dyDescent="0.3">
      <c r="B37" t="s">
        <v>26</v>
      </c>
      <c r="G37" s="30">
        <f>G36</f>
        <v>-50000000</v>
      </c>
      <c r="H37" s="30">
        <f>G37+H36</f>
        <v>91914200</v>
      </c>
      <c r="I37" s="30">
        <v>0</v>
      </c>
      <c r="J37" s="30">
        <v>0</v>
      </c>
      <c r="K37" s="30">
        <f t="shared" ref="K37:L37" si="6">J37+K36</f>
        <v>0</v>
      </c>
      <c r="L37" s="30">
        <f t="shared" si="6"/>
        <v>0</v>
      </c>
      <c r="M37" s="88"/>
      <c r="N37" s="57"/>
      <c r="O37" s="57"/>
      <c r="P37" s="57"/>
      <c r="Q37" s="57"/>
      <c r="R37" s="57"/>
      <c r="S37" s="57"/>
      <c r="T37" s="50"/>
    </row>
    <row r="38" spans="2:22" x14ac:dyDescent="0.3">
      <c r="B38" t="s">
        <v>27</v>
      </c>
      <c r="G38" s="30"/>
      <c r="H38" s="34">
        <f>IF(AND(G37&lt;0,H37&gt;0),H44-(H37/H36),0)</f>
        <v>0.35232556009194282</v>
      </c>
      <c r="I38" s="34">
        <f>IF(AND(H37&lt;0,I37&gt;0),I44-(I37/I36),0)</f>
        <v>0</v>
      </c>
      <c r="J38" s="34">
        <f>IF(AND(I37&lt;0,J37&gt;0),J44-(J37/J36),0)</f>
        <v>0</v>
      </c>
      <c r="K38" s="34">
        <f>IF(AND(J37&lt;0,K37&gt;0),K44-(K37/K36),0)</f>
        <v>0</v>
      </c>
      <c r="L38" s="100">
        <f>IF(AND(K37&lt;0,L37&gt;0),L44-(L37/L36),0)</f>
        <v>0</v>
      </c>
      <c r="M38" s="89"/>
      <c r="N38" s="34"/>
      <c r="O38" s="34"/>
      <c r="P38" s="34"/>
      <c r="Q38" s="34"/>
      <c r="R38" s="34"/>
      <c r="S38" s="34"/>
    </row>
    <row r="39" spans="2:22" s="108" customFormat="1" x14ac:dyDescent="0.3">
      <c r="G39" s="109"/>
      <c r="H39" s="110"/>
      <c r="I39" s="110"/>
      <c r="J39" s="110"/>
      <c r="K39" s="110"/>
      <c r="L39" s="111"/>
      <c r="M39" s="112"/>
      <c r="N39" s="110"/>
      <c r="O39" s="110"/>
      <c r="P39" s="110"/>
      <c r="Q39" s="110"/>
      <c r="R39" s="110"/>
      <c r="S39" s="110"/>
    </row>
    <row r="40" spans="2:22" x14ac:dyDescent="0.3">
      <c r="B40" s="60" t="s">
        <v>28</v>
      </c>
      <c r="C40" s="61"/>
      <c r="D40" s="61"/>
      <c r="E40" s="61"/>
      <c r="F40" s="61"/>
      <c r="G40" s="104">
        <f>IRR(G36:L36)</f>
        <v>1.8382839999999994</v>
      </c>
    </row>
    <row r="41" spans="2:22" x14ac:dyDescent="0.3">
      <c r="B41" s="62" t="s">
        <v>29</v>
      </c>
      <c r="C41" s="63"/>
      <c r="D41" s="63"/>
      <c r="E41" s="63"/>
      <c r="F41" s="63"/>
      <c r="G41" s="64">
        <f>NPV(G5,H36:L36)+G36</f>
        <v>79012909.090909079</v>
      </c>
      <c r="H41" s="72"/>
      <c r="I41" s="137"/>
      <c r="J41" s="115"/>
    </row>
    <row r="42" spans="2:22" x14ac:dyDescent="0.3">
      <c r="B42" s="62" t="s">
        <v>30</v>
      </c>
      <c r="C42" s="63"/>
      <c r="D42" s="63"/>
      <c r="E42" s="63"/>
      <c r="F42" s="63"/>
      <c r="G42" s="65">
        <f>M26</f>
        <v>0.61414777497900919</v>
      </c>
      <c r="H42" s="72"/>
      <c r="I42" s="72"/>
      <c r="J42" s="115"/>
    </row>
    <row r="43" spans="2:22" x14ac:dyDescent="0.3">
      <c r="B43" s="66" t="s">
        <v>31</v>
      </c>
      <c r="C43" s="67"/>
      <c r="D43" s="67"/>
      <c r="E43" s="67"/>
      <c r="F43" s="67"/>
      <c r="G43" s="68">
        <f>SUM(G38:L38)</f>
        <v>0.35232556009194282</v>
      </c>
    </row>
    <row r="44" spans="2:22" x14ac:dyDescent="0.3">
      <c r="H44" s="9">
        <v>1</v>
      </c>
      <c r="I44" s="36">
        <v>2</v>
      </c>
      <c r="J44" s="9">
        <v>3</v>
      </c>
      <c r="K44" s="36">
        <v>4</v>
      </c>
      <c r="L44" s="9">
        <v>5</v>
      </c>
      <c r="M44" s="36"/>
      <c r="N44" s="9"/>
      <c r="O44" s="36"/>
      <c r="P44" s="9"/>
      <c r="Q44" s="36"/>
      <c r="R44" s="9"/>
    </row>
    <row r="45" spans="2:22" x14ac:dyDescent="0.3">
      <c r="B45" s="37" t="s">
        <v>32</v>
      </c>
      <c r="E45" s="38" t="s">
        <v>33</v>
      </c>
      <c r="H45" s="38" t="str">
        <f>H13</f>
        <v>Year 1</v>
      </c>
      <c r="I45" s="38" t="str">
        <f>I13</f>
        <v>Year 2</v>
      </c>
      <c r="J45" s="38" t="str">
        <f>J13</f>
        <v>Year 3</v>
      </c>
      <c r="K45" s="38" t="str">
        <f>K13</f>
        <v>Year 4</v>
      </c>
      <c r="L45" s="38" t="str">
        <f>L13</f>
        <v>Year 5</v>
      </c>
      <c r="M45" s="38"/>
      <c r="N45" s="38"/>
      <c r="O45" s="38"/>
      <c r="P45" s="38"/>
      <c r="Q45" s="38"/>
      <c r="R45" s="38"/>
      <c r="S45" s="38"/>
    </row>
    <row r="46" spans="2:22" x14ac:dyDescent="0.3">
      <c r="D46" t="s">
        <v>7</v>
      </c>
      <c r="E46">
        <v>1</v>
      </c>
      <c r="H46" s="74">
        <f>H$11/$E46</f>
        <v>50000000</v>
      </c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40"/>
    </row>
    <row r="47" spans="2:22" ht="16.2" thickBot="1" x14ac:dyDescent="0.35">
      <c r="B47" s="41" t="s">
        <v>34</v>
      </c>
      <c r="C47" s="42"/>
      <c r="D47" s="42"/>
      <c r="E47" s="42"/>
      <c r="F47" s="42"/>
      <c r="G47" s="42"/>
      <c r="H47" s="43">
        <f>SUM(H46:H46)</f>
        <v>50000000</v>
      </c>
      <c r="I47" s="43">
        <f>SUM(I46:I46)</f>
        <v>0</v>
      </c>
      <c r="J47" s="43">
        <f>SUM(J46:J46)</f>
        <v>0</v>
      </c>
      <c r="K47" s="43">
        <f>SUM(K46:K46)</f>
        <v>0</v>
      </c>
      <c r="L47" s="43">
        <f>SUM(L46:L46)</f>
        <v>0</v>
      </c>
      <c r="M47" s="47"/>
      <c r="N47" s="47"/>
      <c r="O47" s="47"/>
      <c r="P47" s="47"/>
      <c r="Q47" s="47"/>
      <c r="R47" s="47"/>
      <c r="S47" s="47"/>
      <c r="T47" s="44"/>
      <c r="U47" s="44"/>
      <c r="V47" s="44"/>
    </row>
    <row r="48" spans="2:22" ht="16.2" thickTop="1" x14ac:dyDescent="0.3">
      <c r="S48" s="15"/>
    </row>
    <row r="50" spans="4:12" x14ac:dyDescent="0.3">
      <c r="G50" t="s">
        <v>62</v>
      </c>
    </row>
    <row r="59" spans="4:12" x14ac:dyDescent="0.3">
      <c r="H59" s="72"/>
      <c r="I59" s="15"/>
    </row>
    <row r="60" spans="4:12" x14ac:dyDescent="0.3">
      <c r="D60" t="s">
        <v>62</v>
      </c>
    </row>
    <row r="61" spans="4:12" x14ac:dyDescent="0.3">
      <c r="H61" s="14"/>
    </row>
    <row r="62" spans="4:12" x14ac:dyDescent="0.3">
      <c r="H62" s="14"/>
      <c r="I62" s="15"/>
      <c r="J62" s="15"/>
      <c r="K62" s="15"/>
      <c r="L62" s="15"/>
    </row>
    <row r="63" spans="4:12" x14ac:dyDescent="0.3">
      <c r="G63" s="108"/>
      <c r="H63" s="113"/>
      <c r="I63" s="114"/>
      <c r="J63" s="114"/>
      <c r="K63" s="114"/>
      <c r="L63" s="114"/>
    </row>
    <row r="66" spans="8:12" x14ac:dyDescent="0.3">
      <c r="H66" s="14"/>
    </row>
    <row r="68" spans="8:12" x14ac:dyDescent="0.3">
      <c r="H68" s="72"/>
      <c r="I68" s="72"/>
      <c r="J68" s="72"/>
      <c r="K68" s="72"/>
      <c r="L68" s="72"/>
    </row>
  </sheetData>
  <mergeCells count="1">
    <mergeCell ref="E18:G18"/>
  </mergeCells>
  <printOptions horizontalCentered="1" verticalCentered="1"/>
  <pageMargins left="0.25" right="0.25" top="0.75" bottom="0.75" header="0.3" footer="0.3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C4D42A-D8BC-418E-BC7A-6839C3E4E4FB}">
  <dimension ref="A2:D4"/>
  <sheetViews>
    <sheetView workbookViewId="0">
      <selection activeCell="D3" sqref="D3"/>
    </sheetView>
  </sheetViews>
  <sheetFormatPr defaultColWidth="37.296875" defaultRowHeight="15.6" x14ac:dyDescent="0.3"/>
  <cols>
    <col min="1" max="1" width="26" bestFit="1" customWidth="1"/>
    <col min="2" max="2" width="15.8984375" bestFit="1" customWidth="1"/>
    <col min="3" max="3" width="9" customWidth="1"/>
    <col min="4" max="4" width="14" bestFit="1" customWidth="1"/>
  </cols>
  <sheetData>
    <row r="2" spans="1:4" ht="29.4" thickBot="1" x14ac:dyDescent="0.4">
      <c r="A2" s="131" t="s">
        <v>104</v>
      </c>
      <c r="B2" s="132">
        <v>792000000</v>
      </c>
      <c r="C2" s="133">
        <v>3</v>
      </c>
      <c r="D2" s="134">
        <f>B2/C2</f>
        <v>264000000</v>
      </c>
    </row>
    <row r="3" spans="1:4" ht="29.4" thickBot="1" x14ac:dyDescent="0.4">
      <c r="A3" s="131" t="s">
        <v>105</v>
      </c>
      <c r="B3" s="132">
        <v>1405815000</v>
      </c>
      <c r="C3" s="133">
        <v>5</v>
      </c>
      <c r="D3" s="134">
        <f t="shared" ref="D3:D4" si="0">B3/C3</f>
        <v>281163000</v>
      </c>
    </row>
    <row r="4" spans="1:4" ht="29.4" thickBot="1" x14ac:dyDescent="0.4">
      <c r="A4" s="135" t="s">
        <v>106</v>
      </c>
      <c r="B4" s="132">
        <v>1287360000</v>
      </c>
      <c r="C4" s="133">
        <v>5</v>
      </c>
      <c r="D4" s="134">
        <f t="shared" si="0"/>
        <v>257472000</v>
      </c>
    </row>
  </sheetData>
  <pageMargins left="0.7" right="0.7" top="0.75" bottom="0.75" header="0.3" footer="0.3"/>
  <pageSetup paperSize="9" orientation="portrait" horizontalDpi="30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C2CA7-613F-43A5-9C19-8F976AF0F228}">
  <sheetPr>
    <pageSetUpPr fitToPage="1"/>
  </sheetPr>
  <dimension ref="B1:X80"/>
  <sheetViews>
    <sheetView showGridLines="0" tabSelected="1" topLeftCell="A25" zoomScale="118" zoomScaleNormal="118" workbookViewId="0">
      <selection activeCell="H31" sqref="H31"/>
    </sheetView>
  </sheetViews>
  <sheetFormatPr defaultColWidth="10.59765625" defaultRowHeight="15.6" x14ac:dyDescent="0.3"/>
  <cols>
    <col min="1" max="1" width="4.09765625" customWidth="1"/>
    <col min="2" max="2" width="3.59765625" customWidth="1"/>
    <col min="3" max="3" width="4.59765625" customWidth="1"/>
    <col min="4" max="4" width="28.5" customWidth="1"/>
    <col min="5" max="5" width="7.09765625" bestFit="1" customWidth="1"/>
    <col min="6" max="6" width="6.09765625" customWidth="1"/>
    <col min="7" max="7" width="16.796875" customWidth="1"/>
    <col min="8" max="8" width="17.59765625" style="2" customWidth="1"/>
    <col min="9" max="9" width="17.796875" customWidth="1"/>
    <col min="10" max="11" width="15.59765625" bestFit="1" customWidth="1"/>
    <col min="12" max="12" width="16" bestFit="1" customWidth="1"/>
    <col min="13" max="14" width="16" customWidth="1"/>
    <col min="15" max="15" width="17.5" bestFit="1" customWidth="1"/>
    <col min="16" max="16" width="29" customWidth="1"/>
    <col min="17" max="17" width="12.8984375" customWidth="1"/>
    <col min="18" max="20" width="15" bestFit="1" customWidth="1"/>
    <col min="21" max="21" width="15.59765625" bestFit="1" customWidth="1"/>
    <col min="22" max="22" width="11.59765625" bestFit="1" customWidth="1"/>
  </cols>
  <sheetData>
    <row r="1" spans="2:24" x14ac:dyDescent="0.3">
      <c r="B1" s="1" t="s">
        <v>190</v>
      </c>
    </row>
    <row r="2" spans="2:24" ht="25.8" x14ac:dyDescent="0.3">
      <c r="B2" s="1" t="s">
        <v>0</v>
      </c>
      <c r="O2" s="105" t="s">
        <v>158</v>
      </c>
    </row>
    <row r="3" spans="2:24" x14ac:dyDescent="0.3">
      <c r="B3" s="3" t="s">
        <v>1</v>
      </c>
    </row>
    <row r="4" spans="2:24" x14ac:dyDescent="0.3">
      <c r="C4" t="s">
        <v>2</v>
      </c>
      <c r="G4" s="5">
        <v>0.02</v>
      </c>
      <c r="O4" s="4"/>
      <c r="P4" s="4"/>
      <c r="Q4" s="4"/>
    </row>
    <row r="5" spans="2:24" x14ac:dyDescent="0.3">
      <c r="C5" t="s">
        <v>46</v>
      </c>
      <c r="G5" s="5">
        <v>0.1</v>
      </c>
      <c r="O5" s="4"/>
      <c r="P5" s="4"/>
      <c r="Q5" s="4"/>
    </row>
    <row r="6" spans="2:24" x14ac:dyDescent="0.3">
      <c r="C6" t="s">
        <v>3</v>
      </c>
      <c r="G6" s="5">
        <v>0.05</v>
      </c>
      <c r="H6" s="2" t="s">
        <v>4</v>
      </c>
    </row>
    <row r="7" spans="2:24" x14ac:dyDescent="0.3">
      <c r="C7" t="s">
        <v>5</v>
      </c>
      <c r="G7" s="6">
        <v>0</v>
      </c>
      <c r="H7" s="2" t="s">
        <v>4</v>
      </c>
    </row>
    <row r="8" spans="2:24" x14ac:dyDescent="0.3">
      <c r="C8" t="s">
        <v>151</v>
      </c>
      <c r="G8" s="106">
        <v>0.15</v>
      </c>
    </row>
    <row r="9" spans="2:24" x14ac:dyDescent="0.3">
      <c r="H9" s="36" t="s">
        <v>41</v>
      </c>
      <c r="I9" s="36" t="s">
        <v>42</v>
      </c>
      <c r="J9" s="36" t="s">
        <v>43</v>
      </c>
      <c r="K9" s="36" t="s">
        <v>44</v>
      </c>
      <c r="L9" s="36" t="s">
        <v>45</v>
      </c>
      <c r="M9" s="36" t="s">
        <v>49</v>
      </c>
      <c r="N9" s="36" t="s">
        <v>50</v>
      </c>
      <c r="O9" s="27"/>
      <c r="P9" s="45"/>
      <c r="Q9" s="45"/>
      <c r="R9" s="46"/>
      <c r="S9" s="45"/>
      <c r="T9" s="45"/>
      <c r="U9" s="45"/>
      <c r="V9" s="45"/>
      <c r="W9" s="45"/>
    </row>
    <row r="10" spans="2:24" x14ac:dyDescent="0.3">
      <c r="B10" s="1" t="s">
        <v>59</v>
      </c>
      <c r="H10"/>
      <c r="O10" s="27"/>
      <c r="P10" s="45"/>
      <c r="Q10" s="45"/>
      <c r="R10" s="46"/>
      <c r="S10" s="45"/>
      <c r="T10" s="45"/>
      <c r="U10" s="45"/>
      <c r="V10" s="45"/>
      <c r="W10" s="45"/>
    </row>
    <row r="11" spans="2:24" s="90" customFormat="1" x14ac:dyDescent="0.3">
      <c r="B11" s="98" t="s">
        <v>246</v>
      </c>
      <c r="G11" s="251">
        <v>265242057.07291666</v>
      </c>
      <c r="H11" s="251">
        <v>0</v>
      </c>
      <c r="I11" s="251">
        <v>0</v>
      </c>
      <c r="J11" s="251">
        <v>0</v>
      </c>
      <c r="K11" s="251">
        <v>0</v>
      </c>
      <c r="L11" s="251"/>
      <c r="M11" s="251"/>
      <c r="N11" s="251"/>
      <c r="O11" s="95"/>
      <c r="P11" s="92"/>
      <c r="Q11" s="92"/>
      <c r="R11" s="93"/>
      <c r="S11" s="92"/>
      <c r="T11" s="92"/>
      <c r="U11" s="92"/>
      <c r="V11" s="92"/>
      <c r="W11" s="92"/>
    </row>
    <row r="12" spans="2:24" s="90" customFormat="1" x14ac:dyDescent="0.3">
      <c r="B12" s="98" t="s">
        <v>247</v>
      </c>
      <c r="G12" s="92">
        <v>330613057.32291663</v>
      </c>
      <c r="I12" s="92"/>
      <c r="J12" s="92"/>
      <c r="K12" s="92"/>
      <c r="L12" s="92"/>
      <c r="M12" s="92"/>
      <c r="N12" s="92"/>
      <c r="O12" s="95"/>
      <c r="P12" s="92"/>
      <c r="Q12" s="92"/>
      <c r="R12" s="93"/>
      <c r="S12" s="92"/>
      <c r="T12" s="92"/>
      <c r="U12" s="92"/>
      <c r="V12" s="92"/>
      <c r="W12" s="92"/>
    </row>
    <row r="13" spans="2:24" s="90" customFormat="1" ht="16.2" thickBot="1" x14ac:dyDescent="0.35">
      <c r="B13" s="98" t="s">
        <v>248</v>
      </c>
      <c r="G13" s="97"/>
      <c r="H13" s="252">
        <v>132089174.21875</v>
      </c>
      <c r="I13" s="252"/>
      <c r="J13" s="252"/>
      <c r="K13" s="252"/>
      <c r="L13" s="252"/>
      <c r="M13" s="252"/>
      <c r="N13" s="252"/>
      <c r="O13" s="95"/>
      <c r="P13" s="92"/>
      <c r="Q13" s="92"/>
      <c r="R13" s="93"/>
      <c r="S13" s="92"/>
      <c r="T13" s="92"/>
      <c r="U13" s="92"/>
      <c r="V13" s="92"/>
      <c r="W13" s="92"/>
    </row>
    <row r="14" spans="2:24" ht="16.2" thickTop="1" x14ac:dyDescent="0.3">
      <c r="G14" s="11"/>
      <c r="O14" s="27"/>
      <c r="R14" s="44">
        <v>210759177.42708334</v>
      </c>
      <c r="S14" s="44"/>
      <c r="T14" s="44"/>
      <c r="U14" s="44"/>
      <c r="V14" s="44"/>
      <c r="W14" s="44"/>
      <c r="X14" s="44"/>
    </row>
    <row r="15" spans="2:24" ht="16.2" thickBot="1" x14ac:dyDescent="0.35">
      <c r="B15" s="12" t="s">
        <v>12</v>
      </c>
      <c r="C15" s="7"/>
      <c r="D15" s="7"/>
      <c r="E15" s="7"/>
      <c r="F15" s="7"/>
      <c r="G15" s="7"/>
      <c r="H15" s="253">
        <v>2023</v>
      </c>
      <c r="I15" s="13">
        <f>H15+1</f>
        <v>2024</v>
      </c>
      <c r="J15" s="13">
        <f t="shared" ref="J15:N15" si="0">I15+1</f>
        <v>2025</v>
      </c>
      <c r="K15" s="13">
        <f t="shared" si="0"/>
        <v>2026</v>
      </c>
      <c r="L15" s="13">
        <f t="shared" si="0"/>
        <v>2027</v>
      </c>
      <c r="M15" s="13">
        <f t="shared" si="0"/>
        <v>2028</v>
      </c>
      <c r="N15" s="13">
        <f t="shared" si="0"/>
        <v>2029</v>
      </c>
      <c r="O15" s="75" t="s">
        <v>13</v>
      </c>
      <c r="P15" s="206"/>
      <c r="Q15" s="206"/>
      <c r="R15" s="250">
        <v>132089174.21875</v>
      </c>
      <c r="S15" s="206"/>
      <c r="T15" s="206"/>
      <c r="U15" s="206"/>
      <c r="V15" s="44"/>
      <c r="W15" s="44"/>
      <c r="X15" s="44"/>
    </row>
    <row r="16" spans="2:24" x14ac:dyDescent="0.3">
      <c r="B16" t="s">
        <v>14</v>
      </c>
      <c r="H16" s="9">
        <v>12</v>
      </c>
      <c r="I16" s="9">
        <v>12</v>
      </c>
      <c r="J16" s="9">
        <v>12</v>
      </c>
      <c r="K16" s="9">
        <v>12</v>
      </c>
      <c r="L16" s="9">
        <v>12</v>
      </c>
      <c r="M16" s="9">
        <v>12</v>
      </c>
      <c r="N16" s="9">
        <v>12</v>
      </c>
      <c r="O16" s="76"/>
    </row>
    <row r="17" spans="2:22" x14ac:dyDescent="0.3">
      <c r="B17" s="1" t="s">
        <v>6</v>
      </c>
      <c r="E17" s="19"/>
      <c r="H17" s="20"/>
      <c r="I17" s="19"/>
      <c r="J17" s="21"/>
      <c r="K17" s="21"/>
      <c r="L17" s="21"/>
      <c r="M17" s="21"/>
      <c r="N17" s="21"/>
      <c r="O17" s="76"/>
    </row>
    <row r="18" spans="2:22" x14ac:dyDescent="0.3">
      <c r="B18" s="1"/>
      <c r="C18" t="s">
        <v>245</v>
      </c>
      <c r="E18" s="19"/>
      <c r="H18" s="136">
        <v>190000000</v>
      </c>
      <c r="I18" s="19"/>
      <c r="J18" s="21"/>
      <c r="K18" s="21"/>
      <c r="L18" s="21"/>
      <c r="M18" s="21"/>
      <c r="N18" s="21"/>
      <c r="O18" s="77">
        <f>SUM(H18:N18)</f>
        <v>190000000</v>
      </c>
    </row>
    <row r="19" spans="2:22" x14ac:dyDescent="0.3">
      <c r="C19" t="s">
        <v>241</v>
      </c>
      <c r="E19" s="16"/>
      <c r="H19" s="136">
        <v>479721200</v>
      </c>
      <c r="I19" s="136">
        <v>221671200</v>
      </c>
      <c r="J19" s="136">
        <f>I19</f>
        <v>221671200</v>
      </c>
      <c r="K19" s="136">
        <f t="shared" ref="K19:L19" si="1">J19</f>
        <v>221671200</v>
      </c>
      <c r="L19" s="136">
        <f t="shared" si="1"/>
        <v>221671200</v>
      </c>
      <c r="M19" s="136">
        <f t="shared" ref="M19" si="2">L19</f>
        <v>221671200</v>
      </c>
      <c r="N19" s="136">
        <f t="shared" ref="N19" si="3">M19</f>
        <v>221671200</v>
      </c>
      <c r="O19" s="77">
        <f t="shared" ref="O19:O22" si="4">SUM(H19:N19)</f>
        <v>1809748400</v>
      </c>
      <c r="P19" s="14"/>
      <c r="Q19" s="14"/>
      <c r="R19" s="14"/>
      <c r="S19" s="14"/>
      <c r="T19" s="14"/>
      <c r="U19" s="15"/>
    </row>
    <row r="20" spans="2:22" x14ac:dyDescent="0.3">
      <c r="C20" t="s">
        <v>282</v>
      </c>
      <c r="E20" s="16"/>
      <c r="H20" s="136"/>
      <c r="I20" s="256">
        <f>10000000*12</f>
        <v>120000000</v>
      </c>
      <c r="J20" s="136">
        <f>I20</f>
        <v>120000000</v>
      </c>
      <c r="K20" s="136">
        <f t="shared" ref="K20:M20" si="5">J20</f>
        <v>120000000</v>
      </c>
      <c r="L20" s="136">
        <f t="shared" si="5"/>
        <v>120000000</v>
      </c>
      <c r="M20" s="136">
        <f t="shared" si="5"/>
        <v>120000000</v>
      </c>
      <c r="N20" s="136">
        <v>34761364</v>
      </c>
      <c r="O20" s="77">
        <f>SUM(H20:N20)</f>
        <v>634761364</v>
      </c>
      <c r="P20" s="338" t="s">
        <v>283</v>
      </c>
      <c r="R20" s="14"/>
      <c r="S20" s="14"/>
      <c r="T20" s="14"/>
      <c r="U20" s="15"/>
    </row>
    <row r="21" spans="2:22" x14ac:dyDescent="0.3">
      <c r="C21" s="294" t="s">
        <v>288</v>
      </c>
      <c r="E21" s="16"/>
      <c r="H21" s="136"/>
      <c r="I21" s="256"/>
      <c r="J21" s="136"/>
      <c r="K21" s="136"/>
      <c r="L21" s="136"/>
      <c r="M21" s="136"/>
      <c r="N21" s="136"/>
      <c r="O21" s="77"/>
      <c r="P21" s="295">
        <v>634761364</v>
      </c>
      <c r="Q21" s="14"/>
      <c r="R21" s="14"/>
      <c r="S21" s="14"/>
      <c r="T21" s="14"/>
      <c r="U21" s="15"/>
    </row>
    <row r="22" spans="2:22" x14ac:dyDescent="0.3">
      <c r="C22" t="s">
        <v>280</v>
      </c>
      <c r="E22" s="16"/>
      <c r="H22" s="136"/>
      <c r="I22" s="136">
        <f>4800000*12</f>
        <v>57600000</v>
      </c>
      <c r="J22" s="136">
        <f t="shared" ref="J22:N22" si="6">4800000*12</f>
        <v>57600000</v>
      </c>
      <c r="K22" s="136">
        <f t="shared" si="6"/>
        <v>57600000</v>
      </c>
      <c r="L22" s="136">
        <f t="shared" si="6"/>
        <v>57600000</v>
      </c>
      <c r="M22" s="136">
        <f t="shared" si="6"/>
        <v>57600000</v>
      </c>
      <c r="N22" s="136">
        <f t="shared" si="6"/>
        <v>57600000</v>
      </c>
      <c r="O22" s="77">
        <f t="shared" si="4"/>
        <v>345600000</v>
      </c>
      <c r="P22" s="340"/>
      <c r="Q22" s="255"/>
      <c r="R22" s="14"/>
      <c r="S22" s="14"/>
      <c r="T22" s="14"/>
      <c r="U22" s="15"/>
    </row>
    <row r="23" spans="2:22" x14ac:dyDescent="0.3">
      <c r="C23" s="294" t="s">
        <v>289</v>
      </c>
      <c r="E23" s="16"/>
      <c r="H23" s="136"/>
      <c r="I23" s="136"/>
      <c r="J23" s="136"/>
      <c r="K23" s="136"/>
      <c r="L23" s="136"/>
      <c r="M23" s="136"/>
      <c r="N23" s="136"/>
      <c r="O23" s="77"/>
      <c r="P23" s="14"/>
      <c r="Q23" s="255"/>
      <c r="R23" s="14"/>
      <c r="S23" s="14"/>
      <c r="T23" s="14"/>
      <c r="U23" s="15"/>
    </row>
    <row r="24" spans="2:22" x14ac:dyDescent="0.3">
      <c r="C24" t="s">
        <v>295</v>
      </c>
      <c r="E24" s="16"/>
      <c r="H24" s="136"/>
      <c r="I24" s="136">
        <f>'Rekap IPL&amp;Rev Share'!G70/6</f>
        <v>51234188.364788435</v>
      </c>
      <c r="J24" s="136">
        <f>I24</f>
        <v>51234188.364788435</v>
      </c>
      <c r="K24" s="136">
        <f>J24</f>
        <v>51234188.364788435</v>
      </c>
      <c r="L24" s="136">
        <f>K24</f>
        <v>51234188.364788435</v>
      </c>
      <c r="M24" s="136">
        <f>L24</f>
        <v>51234188.364788435</v>
      </c>
      <c r="N24" s="136">
        <f>M24</f>
        <v>51234188.364788435</v>
      </c>
      <c r="O24" s="77">
        <f>SUM(H24:N24)</f>
        <v>307405130.1887306</v>
      </c>
      <c r="P24" s="343"/>
      <c r="Q24" s="255"/>
      <c r="R24" s="14"/>
      <c r="S24" s="14"/>
      <c r="T24" s="14"/>
      <c r="U24" s="15"/>
    </row>
    <row r="25" spans="2:22" x14ac:dyDescent="0.3">
      <c r="C25" s="294" t="s">
        <v>289</v>
      </c>
      <c r="E25" s="16"/>
      <c r="H25" s="136"/>
      <c r="I25" s="136"/>
      <c r="J25" s="136"/>
      <c r="K25" s="136"/>
      <c r="L25" s="136"/>
      <c r="M25" s="136"/>
      <c r="N25" s="136"/>
      <c r="O25" s="77"/>
      <c r="P25" s="14"/>
      <c r="Q25" s="255"/>
      <c r="R25" s="14"/>
      <c r="S25" s="14"/>
      <c r="T25" s="14"/>
      <c r="U25" s="15"/>
    </row>
    <row r="26" spans="2:22" x14ac:dyDescent="0.3">
      <c r="B26" s="69" t="s">
        <v>15</v>
      </c>
      <c r="C26" s="69"/>
      <c r="D26" s="69"/>
      <c r="E26" s="298"/>
      <c r="F26" s="299"/>
      <c r="G26" s="299"/>
      <c r="H26" s="70">
        <f>SUM(H17:H25)</f>
        <v>669721200</v>
      </c>
      <c r="I26" s="70">
        <f t="shared" ref="I26:N26" si="7">SUM(I17:I25)</f>
        <v>450505388.36478841</v>
      </c>
      <c r="J26" s="70">
        <f t="shared" si="7"/>
        <v>450505388.36478841</v>
      </c>
      <c r="K26" s="70">
        <f t="shared" si="7"/>
        <v>450505388.36478841</v>
      </c>
      <c r="L26" s="70">
        <f t="shared" si="7"/>
        <v>450505388.36478841</v>
      </c>
      <c r="M26" s="70">
        <f t="shared" si="7"/>
        <v>450505388.36478841</v>
      </c>
      <c r="N26" s="70">
        <f t="shared" si="7"/>
        <v>365266752.36478841</v>
      </c>
      <c r="O26" s="70">
        <f>SUM(O18:O25)</f>
        <v>3287514894.1887307</v>
      </c>
      <c r="P26" s="48"/>
      <c r="Q26" s="48"/>
      <c r="R26" s="48"/>
      <c r="S26" s="48"/>
      <c r="T26" s="48"/>
      <c r="U26" s="48"/>
      <c r="V26" s="50"/>
    </row>
    <row r="27" spans="2:22" x14ac:dyDescent="0.3">
      <c r="B27" s="1" t="s">
        <v>16</v>
      </c>
      <c r="E27" s="19"/>
      <c r="F27" s="19"/>
      <c r="G27" s="19"/>
      <c r="H27" s="20"/>
      <c r="I27" s="19"/>
      <c r="J27" s="21"/>
      <c r="K27" s="21"/>
      <c r="L27" s="21"/>
      <c r="M27" s="21"/>
      <c r="N27" s="21"/>
      <c r="O27" s="79"/>
      <c r="P27" s="51"/>
      <c r="Q27" s="51"/>
      <c r="R27" s="51"/>
      <c r="S27" s="51"/>
      <c r="T27" s="51"/>
      <c r="U27" s="50"/>
      <c r="V27" s="50"/>
    </row>
    <row r="28" spans="2:22" x14ac:dyDescent="0.3">
      <c r="C28" t="s">
        <v>240</v>
      </c>
      <c r="H28" s="203">
        <v>25000000</v>
      </c>
      <c r="I28" s="203">
        <v>25000000</v>
      </c>
      <c r="J28" s="203">
        <v>25000000</v>
      </c>
      <c r="K28" s="203">
        <v>25000000</v>
      </c>
      <c r="L28" s="203">
        <v>25000000</v>
      </c>
      <c r="M28" s="203">
        <v>25000000</v>
      </c>
      <c r="N28" s="203">
        <v>25000000</v>
      </c>
      <c r="O28" s="80">
        <f>SUM(H28:N28)</f>
        <v>175000000</v>
      </c>
      <c r="P28" s="48"/>
      <c r="Q28" s="48"/>
      <c r="R28" s="48"/>
      <c r="S28" s="48"/>
      <c r="T28" s="48"/>
      <c r="U28" s="49"/>
      <c r="V28" s="50"/>
    </row>
    <row r="29" spans="2:22" x14ac:dyDescent="0.3">
      <c r="C29" t="s">
        <v>249</v>
      </c>
      <c r="H29" s="203">
        <v>20000000</v>
      </c>
      <c r="I29" s="14"/>
      <c r="J29" s="14"/>
      <c r="K29" s="14"/>
      <c r="L29" s="14"/>
      <c r="M29" s="14"/>
      <c r="N29" s="14"/>
      <c r="O29" s="80">
        <f t="shared" ref="O29:O35" si="8">SUM(H29:N29)</f>
        <v>20000000</v>
      </c>
      <c r="P29" s="48"/>
      <c r="Q29" s="48"/>
      <c r="R29" s="48"/>
      <c r="S29" s="48"/>
      <c r="T29" s="48"/>
      <c r="U29" s="49"/>
      <c r="V29" s="50"/>
    </row>
    <row r="30" spans="2:22" x14ac:dyDescent="0.3">
      <c r="C30" t="s">
        <v>242</v>
      </c>
      <c r="H30" s="203">
        <f t="shared" ref="H30:N30" si="9">H20*60%</f>
        <v>0</v>
      </c>
      <c r="I30" s="203">
        <f t="shared" si="9"/>
        <v>72000000</v>
      </c>
      <c r="J30" s="203">
        <f t="shared" si="9"/>
        <v>72000000</v>
      </c>
      <c r="K30" s="203">
        <f t="shared" si="9"/>
        <v>72000000</v>
      </c>
      <c r="L30" s="203">
        <f t="shared" si="9"/>
        <v>72000000</v>
      </c>
      <c r="M30" s="203">
        <f t="shared" si="9"/>
        <v>72000000</v>
      </c>
      <c r="N30" s="203">
        <f t="shared" si="9"/>
        <v>20856818.399999999</v>
      </c>
      <c r="O30" s="80">
        <f t="shared" si="8"/>
        <v>380856818.39999998</v>
      </c>
      <c r="P30" s="337"/>
      <c r="R30" s="48"/>
      <c r="S30" s="48"/>
      <c r="T30" s="48"/>
      <c r="U30" s="49"/>
      <c r="V30" s="50"/>
    </row>
    <row r="31" spans="2:22" x14ac:dyDescent="0.3">
      <c r="C31" t="s">
        <v>281</v>
      </c>
      <c r="H31" s="203"/>
      <c r="I31" s="203">
        <f t="shared" ref="I31:N31" si="10">I22*5%</f>
        <v>2880000</v>
      </c>
      <c r="J31" s="203">
        <f t="shared" si="10"/>
        <v>2880000</v>
      </c>
      <c r="K31" s="203">
        <f t="shared" si="10"/>
        <v>2880000</v>
      </c>
      <c r="L31" s="203">
        <f t="shared" si="10"/>
        <v>2880000</v>
      </c>
      <c r="M31" s="203">
        <f t="shared" si="10"/>
        <v>2880000</v>
      </c>
      <c r="N31" s="203">
        <f t="shared" si="10"/>
        <v>2880000</v>
      </c>
      <c r="O31" s="80">
        <f t="shared" si="8"/>
        <v>17280000</v>
      </c>
      <c r="P31" s="339"/>
      <c r="R31" s="48"/>
      <c r="S31" s="48"/>
      <c r="T31" s="48"/>
      <c r="U31" s="49"/>
      <c r="V31" s="50"/>
    </row>
    <row r="32" spans="2:22" x14ac:dyDescent="0.3">
      <c r="C32" t="s">
        <v>296</v>
      </c>
      <c r="H32" s="203"/>
      <c r="I32" s="203">
        <f>'Rekap IPL&amp;Rev Share'!F70/6</f>
        <v>2561709.4182394226</v>
      </c>
      <c r="J32" s="203">
        <f>I32</f>
        <v>2561709.4182394226</v>
      </c>
      <c r="K32" s="203">
        <f t="shared" ref="K32:N34" si="11">J32</f>
        <v>2561709.4182394226</v>
      </c>
      <c r="L32" s="203">
        <f t="shared" si="11"/>
        <v>2561709.4182394226</v>
      </c>
      <c r="M32" s="203">
        <f t="shared" si="11"/>
        <v>2561709.4182394226</v>
      </c>
      <c r="N32" s="203">
        <f t="shared" si="11"/>
        <v>2561709.4182394226</v>
      </c>
      <c r="O32" s="80">
        <f t="shared" si="8"/>
        <v>15370256.509436535</v>
      </c>
      <c r="P32" s="343" t="s">
        <v>284</v>
      </c>
      <c r="R32" s="48"/>
      <c r="S32" s="48"/>
      <c r="T32" s="48"/>
      <c r="U32" s="49"/>
      <c r="V32" s="50"/>
    </row>
    <row r="33" spans="2:22" x14ac:dyDescent="0.3">
      <c r="C33" t="s">
        <v>17</v>
      </c>
      <c r="H33" s="203">
        <v>48000000</v>
      </c>
      <c r="I33" s="203">
        <f>H33</f>
        <v>48000000</v>
      </c>
      <c r="J33" s="203">
        <f t="shared" ref="J33" si="12">I33</f>
        <v>48000000</v>
      </c>
      <c r="K33" s="203">
        <f t="shared" si="11"/>
        <v>48000000</v>
      </c>
      <c r="L33" s="203">
        <f t="shared" si="11"/>
        <v>48000000</v>
      </c>
      <c r="M33" s="203">
        <f t="shared" si="11"/>
        <v>48000000</v>
      </c>
      <c r="N33" s="203">
        <f t="shared" si="11"/>
        <v>48000000</v>
      </c>
      <c r="O33" s="80">
        <f t="shared" si="8"/>
        <v>336000000</v>
      </c>
      <c r="P33" s="48">
        <v>15370256.509436537</v>
      </c>
      <c r="Q33" s="48"/>
      <c r="R33" s="48"/>
      <c r="S33" s="48"/>
      <c r="T33" s="48"/>
      <c r="U33" s="49"/>
      <c r="V33" s="50"/>
    </row>
    <row r="34" spans="2:22" x14ac:dyDescent="0.3">
      <c r="C34" t="s">
        <v>48</v>
      </c>
      <c r="H34" s="204">
        <v>7000000</v>
      </c>
      <c r="I34" s="204">
        <v>7000000</v>
      </c>
      <c r="J34" s="204">
        <f>I34</f>
        <v>7000000</v>
      </c>
      <c r="K34" s="204">
        <f t="shared" si="11"/>
        <v>7000000</v>
      </c>
      <c r="L34" s="204">
        <f t="shared" si="11"/>
        <v>7000000</v>
      </c>
      <c r="M34" s="204">
        <f t="shared" si="11"/>
        <v>7000000</v>
      </c>
      <c r="N34" s="204">
        <f t="shared" si="11"/>
        <v>7000000</v>
      </c>
      <c r="O34" s="80">
        <f t="shared" si="8"/>
        <v>49000000</v>
      </c>
      <c r="P34" s="48"/>
      <c r="Q34" s="48"/>
      <c r="R34" s="48"/>
      <c r="S34" s="48"/>
      <c r="T34" s="48"/>
      <c r="U34" s="49"/>
      <c r="V34" s="50"/>
    </row>
    <row r="35" spans="2:22" x14ac:dyDescent="0.3">
      <c r="B35" s="17"/>
      <c r="C35" s="17" t="s">
        <v>3</v>
      </c>
      <c r="D35" s="17"/>
      <c r="E35" s="17"/>
      <c r="F35" s="17"/>
      <c r="G35" s="17"/>
      <c r="H35" s="22">
        <f>$G$6*H26</f>
        <v>33486060</v>
      </c>
      <c r="I35" s="22">
        <f t="shared" ref="I35:N35" si="13">$G$6*I26</f>
        <v>22525269.418239422</v>
      </c>
      <c r="J35" s="22">
        <f t="shared" si="13"/>
        <v>22525269.418239422</v>
      </c>
      <c r="K35" s="22">
        <f t="shared" si="13"/>
        <v>22525269.418239422</v>
      </c>
      <c r="L35" s="22">
        <f t="shared" si="13"/>
        <v>22525269.418239422</v>
      </c>
      <c r="M35" s="22">
        <f t="shared" si="13"/>
        <v>22525269.418239422</v>
      </c>
      <c r="N35" s="22">
        <f t="shared" si="13"/>
        <v>18263337.618239421</v>
      </c>
      <c r="O35" s="80">
        <f t="shared" si="8"/>
        <v>164375744.70943654</v>
      </c>
      <c r="P35" s="52"/>
      <c r="Q35" s="52"/>
      <c r="R35" s="52"/>
      <c r="S35" s="52"/>
      <c r="T35" s="52"/>
      <c r="U35" s="49"/>
      <c r="V35" s="50"/>
    </row>
    <row r="36" spans="2:22" s="1" customFormat="1" x14ac:dyDescent="0.3">
      <c r="B36" s="69" t="s">
        <v>18</v>
      </c>
      <c r="C36" s="69"/>
      <c r="D36" s="69"/>
      <c r="E36" s="69"/>
      <c r="F36" s="69"/>
      <c r="G36" s="69"/>
      <c r="H36" s="70">
        <f>SUM(H28:H35)</f>
        <v>133486060</v>
      </c>
      <c r="I36" s="70">
        <f t="shared" ref="I36:O36" si="14">SUM(I28:I35)</f>
        <v>179966978.83647883</v>
      </c>
      <c r="J36" s="70">
        <f t="shared" si="14"/>
        <v>179966978.83647883</v>
      </c>
      <c r="K36" s="70">
        <f t="shared" si="14"/>
        <v>179966978.83647883</v>
      </c>
      <c r="L36" s="70">
        <f t="shared" si="14"/>
        <v>179966978.83647883</v>
      </c>
      <c r="M36" s="70">
        <f t="shared" si="14"/>
        <v>179966978.83647883</v>
      </c>
      <c r="N36" s="70">
        <f t="shared" si="14"/>
        <v>124561865.43647884</v>
      </c>
      <c r="O36" s="70">
        <f t="shared" si="14"/>
        <v>1157882819.6188731</v>
      </c>
      <c r="P36" s="53"/>
      <c r="Q36" s="53"/>
      <c r="R36" s="53"/>
      <c r="S36" s="53"/>
      <c r="T36" s="53"/>
      <c r="U36" s="53"/>
      <c r="V36" s="54"/>
    </row>
    <row r="37" spans="2:22" s="1" customFormat="1" x14ac:dyDescent="0.3">
      <c r="B37" s="1" t="s">
        <v>19</v>
      </c>
      <c r="H37" s="23">
        <f>H26-H36</f>
        <v>536235140</v>
      </c>
      <c r="I37" s="23">
        <f t="shared" ref="I37:L37" si="15">I26-I36</f>
        <v>270538409.52830958</v>
      </c>
      <c r="J37" s="23">
        <f t="shared" si="15"/>
        <v>270538409.52830958</v>
      </c>
      <c r="K37" s="23">
        <f t="shared" si="15"/>
        <v>270538409.52830958</v>
      </c>
      <c r="L37" s="23">
        <f t="shared" si="15"/>
        <v>270538409.52830958</v>
      </c>
      <c r="M37" s="23">
        <f t="shared" ref="M37:N37" si="16">M26-M36</f>
        <v>270538409.52830958</v>
      </c>
      <c r="N37" s="23">
        <f t="shared" si="16"/>
        <v>240704886.92830956</v>
      </c>
      <c r="O37" s="81">
        <f>O26-O36</f>
        <v>2129632074.5698576</v>
      </c>
      <c r="P37" s="53"/>
      <c r="Q37" s="53"/>
      <c r="R37" s="53"/>
      <c r="S37" s="53"/>
      <c r="T37" s="53"/>
      <c r="U37" s="53"/>
      <c r="V37" s="54"/>
    </row>
    <row r="38" spans="2:22" s="1" customFormat="1" x14ac:dyDescent="0.3">
      <c r="B38" s="24" t="s">
        <v>20</v>
      </c>
      <c r="C38" s="25"/>
      <c r="D38" s="25"/>
      <c r="E38" s="25"/>
      <c r="F38" s="25"/>
      <c r="G38" s="25"/>
      <c r="H38" s="26">
        <f t="shared" ref="H38:O38" si="17">H37/H26</f>
        <v>0.80068413542829464</v>
      </c>
      <c r="I38" s="26">
        <f t="shared" si="17"/>
        <v>0.60052202818325917</v>
      </c>
      <c r="J38" s="26">
        <f t="shared" si="17"/>
        <v>0.60052202818325917</v>
      </c>
      <c r="K38" s="26">
        <f t="shared" si="17"/>
        <v>0.60052202818325917</v>
      </c>
      <c r="L38" s="26">
        <f t="shared" si="17"/>
        <v>0.60052202818325917</v>
      </c>
      <c r="M38" s="26">
        <f t="shared" ref="M38:N38" si="18">M37/M26</f>
        <v>0.60052202818325917</v>
      </c>
      <c r="N38" s="26">
        <f t="shared" si="18"/>
        <v>0.65898383953631756</v>
      </c>
      <c r="O38" s="82">
        <f t="shared" si="17"/>
        <v>0.64779389390276598</v>
      </c>
      <c r="P38" s="55"/>
      <c r="Q38" s="55"/>
      <c r="R38" s="55"/>
      <c r="S38" s="55"/>
      <c r="T38" s="55"/>
      <c r="U38" s="55"/>
      <c r="V38" s="54"/>
    </row>
    <row r="39" spans="2:22" x14ac:dyDescent="0.3">
      <c r="O39" s="76"/>
      <c r="P39" s="50"/>
      <c r="Q39" s="50"/>
      <c r="R39" s="50"/>
      <c r="S39" s="50"/>
      <c r="T39" s="50"/>
      <c r="U39" s="50"/>
      <c r="V39" s="50"/>
    </row>
    <row r="40" spans="2:22" x14ac:dyDescent="0.3">
      <c r="B40" s="17" t="s">
        <v>21</v>
      </c>
      <c r="C40" s="17"/>
      <c r="D40" s="17"/>
      <c r="E40" s="17"/>
      <c r="F40" s="17"/>
      <c r="G40" s="17"/>
      <c r="H40" s="18">
        <f>H59</f>
        <v>103992041.23065475</v>
      </c>
      <c r="I40" s="18">
        <f t="shared" ref="I40:N40" si="19">I59</f>
        <v>103992041.23065475</v>
      </c>
      <c r="J40" s="18">
        <f t="shared" si="19"/>
        <v>103992041.23065475</v>
      </c>
      <c r="K40" s="18">
        <f t="shared" si="19"/>
        <v>103992041.23065475</v>
      </c>
      <c r="L40" s="18">
        <f t="shared" si="19"/>
        <v>103992041.23065475</v>
      </c>
      <c r="M40" s="18">
        <f t="shared" si="19"/>
        <v>103992041.23065475</v>
      </c>
      <c r="N40" s="18">
        <f t="shared" si="19"/>
        <v>103992041.23065475</v>
      </c>
      <c r="O40" s="83">
        <f>SUM(H40:L40)</f>
        <v>519960206.1532737</v>
      </c>
      <c r="P40" s="48"/>
      <c r="Q40" s="48"/>
      <c r="R40" s="48"/>
      <c r="S40" s="48"/>
      <c r="T40" s="48"/>
      <c r="U40" s="48"/>
      <c r="V40" s="50"/>
    </row>
    <row r="41" spans="2:22" x14ac:dyDescent="0.3">
      <c r="B41" s="27" t="s">
        <v>22</v>
      </c>
      <c r="H41" s="28">
        <f>H37-H40</f>
        <v>432243098.76934528</v>
      </c>
      <c r="I41" s="28">
        <f t="shared" ref="I41:K41" si="20">I37-I40</f>
        <v>166546368.29765484</v>
      </c>
      <c r="J41" s="28">
        <f t="shared" si="20"/>
        <v>166546368.29765484</v>
      </c>
      <c r="K41" s="28">
        <f t="shared" si="20"/>
        <v>166546368.29765484</v>
      </c>
      <c r="L41" s="28">
        <f>L37-L40</f>
        <v>166546368.29765484</v>
      </c>
      <c r="M41" s="28">
        <f t="shared" ref="M41:N41" si="21">M37-M40</f>
        <v>166546368.29765484</v>
      </c>
      <c r="N41" s="28">
        <f t="shared" si="21"/>
        <v>136712845.69765481</v>
      </c>
      <c r="O41" s="84">
        <f>O37-O40</f>
        <v>1609671868.416584</v>
      </c>
      <c r="P41" s="56"/>
      <c r="Q41" s="56"/>
      <c r="R41" s="56"/>
      <c r="S41" s="56"/>
      <c r="T41" s="56"/>
      <c r="U41" s="56"/>
      <c r="V41" s="50"/>
    </row>
    <row r="42" spans="2:22" x14ac:dyDescent="0.3">
      <c r="B42" s="27" t="s">
        <v>35</v>
      </c>
      <c r="H42" s="107">
        <f>PARAMETER!M37</f>
        <v>26159471.010000005</v>
      </c>
      <c r="I42" s="107">
        <f>PARAMETER!N37</f>
        <v>21886517.790000003</v>
      </c>
      <c r="J42" s="107">
        <f>PARAMETER!O37</f>
        <v>13567392.129999999</v>
      </c>
      <c r="K42" s="107">
        <f>PARAMETER!P37</f>
        <v>7652216.2299999995</v>
      </c>
      <c r="L42" s="107">
        <f>PARAMETER!Q37</f>
        <v>4143006.0899999989</v>
      </c>
      <c r="M42" s="107">
        <f>PARAMETER!R37</f>
        <v>11965688.51</v>
      </c>
      <c r="N42" s="107">
        <f>PARAMETER!S37</f>
        <v>0</v>
      </c>
      <c r="O42" s="102">
        <f>SUM(H42:N42)</f>
        <v>85374291.76000002</v>
      </c>
      <c r="P42" s="56"/>
      <c r="Q42" s="56"/>
      <c r="R42" s="56"/>
      <c r="S42" s="56"/>
      <c r="T42" s="56"/>
      <c r="U42" s="56"/>
      <c r="V42" s="50"/>
    </row>
    <row r="43" spans="2:22" x14ac:dyDescent="0.3">
      <c r="B43" s="27" t="s">
        <v>36</v>
      </c>
      <c r="H43" s="73">
        <f>H41-H42</f>
        <v>406083627.75934529</v>
      </c>
      <c r="I43" s="73">
        <f t="shared" ref="I43:L43" si="22">I41-I42</f>
        <v>144659850.50765485</v>
      </c>
      <c r="J43" s="73">
        <f t="shared" si="22"/>
        <v>152978976.16765484</v>
      </c>
      <c r="K43" s="73">
        <f t="shared" si="22"/>
        <v>158894152.06765485</v>
      </c>
      <c r="L43" s="73">
        <f t="shared" si="22"/>
        <v>162403362.20765483</v>
      </c>
      <c r="M43" s="73">
        <f t="shared" ref="M43:N43" si="23">M41-M42</f>
        <v>154580679.78765485</v>
      </c>
      <c r="N43" s="73">
        <f t="shared" si="23"/>
        <v>136712845.69765481</v>
      </c>
      <c r="O43" s="102">
        <f>SUM(H43:N43)</f>
        <v>1316313494.1952744</v>
      </c>
      <c r="P43" s="56"/>
      <c r="Q43" s="56"/>
      <c r="R43" s="56"/>
      <c r="S43" s="56"/>
      <c r="T43" s="56"/>
      <c r="U43" s="56"/>
      <c r="V43" s="50"/>
    </row>
    <row r="44" spans="2:22" x14ac:dyDescent="0.3">
      <c r="B44" s="17" t="s">
        <v>23</v>
      </c>
      <c r="C44" s="17"/>
      <c r="D44" s="17"/>
      <c r="E44" s="17"/>
      <c r="F44" s="17"/>
      <c r="G44" s="17"/>
      <c r="H44" s="71">
        <f>IF(H43&lt;0,0,H43*$G$4)</f>
        <v>8121672.5551869059</v>
      </c>
      <c r="I44" s="71">
        <f t="shared" ref="I44:L44" si="24">IF(I43&lt;0,0,I43*$G$4)</f>
        <v>2893197.0101530971</v>
      </c>
      <c r="J44" s="71">
        <f t="shared" si="24"/>
        <v>3059579.523353097</v>
      </c>
      <c r="K44" s="71">
        <f t="shared" si="24"/>
        <v>3177883.0413530972</v>
      </c>
      <c r="L44" s="71">
        <f t="shared" si="24"/>
        <v>3248067.2441530968</v>
      </c>
      <c r="M44" s="71">
        <f t="shared" ref="M44:N44" si="25">IF(M43&lt;0,0,M43*$G$4)</f>
        <v>3091613.595753097</v>
      </c>
      <c r="N44" s="71">
        <f t="shared" si="25"/>
        <v>2734256.9139530961</v>
      </c>
      <c r="O44" s="85">
        <f>SUM(H44:N44)</f>
        <v>26326269.883905485</v>
      </c>
      <c r="P44" s="58"/>
      <c r="Q44" s="58"/>
      <c r="R44" s="58"/>
      <c r="S44" s="58"/>
      <c r="T44" s="58"/>
      <c r="U44" s="57"/>
      <c r="V44" s="50"/>
    </row>
    <row r="45" spans="2:22" ht="16.2" thickBot="1" x14ac:dyDescent="0.35">
      <c r="B45" s="31" t="s">
        <v>61</v>
      </c>
      <c r="C45" s="31"/>
      <c r="D45" s="31"/>
      <c r="E45" s="31"/>
      <c r="F45" s="31"/>
      <c r="G45" s="31"/>
      <c r="H45" s="32">
        <f>H43-H44</f>
        <v>397961955.20415837</v>
      </c>
      <c r="I45" s="32">
        <f t="shared" ref="I45:K45" si="26">I43-I44</f>
        <v>141766653.49750176</v>
      </c>
      <c r="J45" s="32">
        <f t="shared" si="26"/>
        <v>149919396.64430174</v>
      </c>
      <c r="K45" s="32">
        <f t="shared" si="26"/>
        <v>155716269.02630174</v>
      </c>
      <c r="L45" s="32">
        <f>L43-L44</f>
        <v>159155294.96350175</v>
      </c>
      <c r="M45" s="32">
        <f t="shared" ref="M45:N45" si="27">M43-M44</f>
        <v>151489066.19190174</v>
      </c>
      <c r="N45" s="32">
        <f t="shared" si="27"/>
        <v>133978588.78370172</v>
      </c>
      <c r="O45" s="86">
        <f>O43-O44</f>
        <v>1289987224.3113689</v>
      </c>
      <c r="P45" s="56"/>
      <c r="Q45" s="56"/>
      <c r="R45" s="56"/>
      <c r="S45" s="56"/>
      <c r="T45" s="56"/>
      <c r="U45" s="56"/>
      <c r="V45" s="50"/>
    </row>
    <row r="46" spans="2:22" x14ac:dyDescent="0.3">
      <c r="O46" s="76"/>
      <c r="P46" s="50"/>
      <c r="Q46" s="50"/>
      <c r="R46" s="50"/>
      <c r="S46" s="50"/>
      <c r="T46" s="50"/>
      <c r="U46" s="50"/>
      <c r="V46" s="50"/>
    </row>
    <row r="47" spans="2:22" x14ac:dyDescent="0.3">
      <c r="B47" s="17" t="s">
        <v>24</v>
      </c>
      <c r="C47" s="17"/>
      <c r="D47" s="17"/>
      <c r="E47" s="17"/>
      <c r="F47" s="17"/>
      <c r="G47" s="33">
        <f>-G11-G12</f>
        <v>-595855114.39583325</v>
      </c>
      <c r="H47" s="33">
        <f>-H13</f>
        <v>-132089174.21875</v>
      </c>
      <c r="I47" s="33">
        <f>-J11</f>
        <v>0</v>
      </c>
      <c r="J47" s="33">
        <f>-K11</f>
        <v>0</v>
      </c>
      <c r="K47" s="33">
        <f>-L11</f>
        <v>0</v>
      </c>
      <c r="L47" s="33">
        <f>-O11</f>
        <v>0</v>
      </c>
      <c r="M47" s="33">
        <f>-P11</f>
        <v>0</v>
      </c>
      <c r="N47" s="33">
        <f>-Q11</f>
        <v>0</v>
      </c>
      <c r="O47" s="172">
        <f>SUM(G47:L47)</f>
        <v>-727944288.61458325</v>
      </c>
      <c r="P47" s="57"/>
      <c r="Q47" s="57"/>
      <c r="R47" s="57"/>
      <c r="S47" s="57"/>
      <c r="T47" s="57"/>
      <c r="U47" s="57"/>
      <c r="V47" s="50"/>
    </row>
    <row r="48" spans="2:22" x14ac:dyDescent="0.3">
      <c r="B48" t="s">
        <v>25</v>
      </c>
      <c r="G48" s="30">
        <f>G47</f>
        <v>-595855114.39583325</v>
      </c>
      <c r="H48" s="30">
        <f>H47+H45+H40</f>
        <v>369864822.21606314</v>
      </c>
      <c r="I48" s="30">
        <f>I47+I45+I40</f>
        <v>245758694.72815651</v>
      </c>
      <c r="J48" s="30">
        <f>J47+J45+J40</f>
        <v>253911437.87495649</v>
      </c>
      <c r="K48" s="30">
        <f>K47+K45+K40</f>
        <v>259708310.25695649</v>
      </c>
      <c r="L48" s="30">
        <f>L47+L45+L40</f>
        <v>263147336.1941565</v>
      </c>
      <c r="M48" s="30">
        <f t="shared" ref="M48:N48" si="28">M47+M45+M40</f>
        <v>255481107.42255649</v>
      </c>
      <c r="N48" s="30">
        <f t="shared" si="28"/>
        <v>237970630.01435646</v>
      </c>
      <c r="O48" s="88">
        <f>SUM(G48:N48)</f>
        <v>1289987224.3113689</v>
      </c>
      <c r="P48" s="57"/>
      <c r="Q48" s="57"/>
      <c r="R48" s="57"/>
      <c r="S48" s="57"/>
      <c r="T48" s="57"/>
      <c r="U48" s="57"/>
      <c r="V48" s="50"/>
    </row>
    <row r="49" spans="2:24" x14ac:dyDescent="0.3">
      <c r="B49" t="s">
        <v>26</v>
      </c>
      <c r="G49" s="30">
        <f>G48</f>
        <v>-595855114.39583325</v>
      </c>
      <c r="H49" s="30">
        <f>G49+H48</f>
        <v>-225990292.17977011</v>
      </c>
      <c r="I49" s="30">
        <f t="shared" ref="I49:J49" si="29">H49+I48</f>
        <v>19768402.548386395</v>
      </c>
      <c r="J49" s="30">
        <f t="shared" si="29"/>
        <v>273679840.42334288</v>
      </c>
      <c r="K49" s="30">
        <f t="shared" ref="K49" si="30">J49+K48</f>
        <v>533388150.6802994</v>
      </c>
      <c r="L49" s="30">
        <f t="shared" ref="L49" si="31">K49+L48</f>
        <v>796535486.87445593</v>
      </c>
      <c r="M49" s="30">
        <f t="shared" ref="M49" si="32">L49+M48</f>
        <v>1052016594.2970124</v>
      </c>
      <c r="N49" s="30">
        <f t="shared" ref="N49" si="33">M49+N48</f>
        <v>1289987224.3113689</v>
      </c>
      <c r="O49" s="88"/>
      <c r="P49" s="57"/>
      <c r="Q49" s="57"/>
      <c r="R49" s="57"/>
      <c r="S49" s="57"/>
      <c r="T49" s="57"/>
      <c r="U49" s="57"/>
      <c r="V49" s="50"/>
    </row>
    <row r="50" spans="2:24" x14ac:dyDescent="0.3">
      <c r="B50" t="s">
        <v>27</v>
      </c>
      <c r="G50" s="30"/>
      <c r="H50" s="34">
        <f>IF(AND(G49&lt;0,H49&gt;0),H56-(H49/H48),0)</f>
        <v>0</v>
      </c>
      <c r="I50" s="34">
        <f>IF(AND(H49&lt;0,I49&gt;0),I56-(I49/I48),0)</f>
        <v>1.91956173688889</v>
      </c>
      <c r="J50" s="34">
        <f>IF(AND(I49&lt;0,J49&gt;0),J56-(J49/J48),0)</f>
        <v>0</v>
      </c>
      <c r="K50" s="34">
        <f>IF(AND(J49&lt;0,K49&gt;0),K56-(K49/K48),0)</f>
        <v>0</v>
      </c>
      <c r="L50" s="100">
        <f>IF(AND(K49&lt;0,L49&gt;0),L56-(L49/L48),0)</f>
        <v>0</v>
      </c>
      <c r="M50" s="100"/>
      <c r="N50" s="100"/>
      <c r="O50" s="89"/>
      <c r="P50" s="34"/>
      <c r="Q50" s="34"/>
      <c r="R50" s="34"/>
      <c r="S50" s="34"/>
      <c r="T50" s="34"/>
      <c r="U50" s="34"/>
    </row>
    <row r="51" spans="2:24" s="108" customFormat="1" x14ac:dyDescent="0.3">
      <c r="G51" s="109"/>
      <c r="H51" s="110"/>
      <c r="I51" s="110"/>
      <c r="J51" s="110"/>
      <c r="K51" s="110"/>
      <c r="L51" s="111"/>
      <c r="M51" s="111"/>
      <c r="N51" s="111"/>
      <c r="O51" s="112"/>
      <c r="P51" s="110"/>
      <c r="Q51" s="110"/>
      <c r="R51" s="110"/>
      <c r="S51" s="110"/>
      <c r="T51" s="110"/>
      <c r="U51" s="110"/>
    </row>
    <row r="52" spans="2:24" x14ac:dyDescent="0.3">
      <c r="B52" s="60" t="s">
        <v>28</v>
      </c>
      <c r="C52" s="61"/>
      <c r="D52" s="61"/>
      <c r="E52" s="61"/>
      <c r="F52" s="61"/>
      <c r="G52" s="104">
        <f>IRR(G48:L48)</f>
        <v>0.40299641893846183</v>
      </c>
    </row>
    <row r="53" spans="2:24" x14ac:dyDescent="0.3">
      <c r="B53" s="62" t="s">
        <v>29</v>
      </c>
      <c r="C53" s="63"/>
      <c r="D53" s="63"/>
      <c r="E53" s="63"/>
      <c r="F53" s="63"/>
      <c r="G53" s="64">
        <f>NPV(G5,H48:L48)+G48</f>
        <v>475037476.27123499</v>
      </c>
      <c r="H53" s="72"/>
      <c r="I53" s="137"/>
      <c r="J53" s="115"/>
    </row>
    <row r="54" spans="2:24" x14ac:dyDescent="0.3">
      <c r="B54" s="62" t="s">
        <v>30</v>
      </c>
      <c r="C54" s="63"/>
      <c r="D54" s="63"/>
      <c r="E54" s="63"/>
      <c r="F54" s="63"/>
      <c r="G54" s="65">
        <f>O38</f>
        <v>0.64779389390276598</v>
      </c>
      <c r="H54" s="72"/>
      <c r="I54" s="72"/>
      <c r="J54" s="115"/>
    </row>
    <row r="55" spans="2:24" x14ac:dyDescent="0.3">
      <c r="B55" s="66" t="s">
        <v>31</v>
      </c>
      <c r="C55" s="67"/>
      <c r="D55" s="67"/>
      <c r="E55" s="67"/>
      <c r="F55" s="67"/>
      <c r="G55" s="68">
        <f>SUM(G50:L50)</f>
        <v>1.91956173688889</v>
      </c>
    </row>
    <row r="56" spans="2:24" x14ac:dyDescent="0.3">
      <c r="H56" s="9">
        <v>1</v>
      </c>
      <c r="I56" s="36">
        <v>2</v>
      </c>
      <c r="J56" s="9">
        <v>3</v>
      </c>
      <c r="K56" s="36">
        <v>4</v>
      </c>
      <c r="L56" s="9">
        <v>5</v>
      </c>
      <c r="M56" s="9">
        <v>6</v>
      </c>
      <c r="N56" s="9">
        <v>7</v>
      </c>
      <c r="O56" s="36"/>
      <c r="P56" s="9"/>
      <c r="Q56" s="36"/>
      <c r="R56" s="9"/>
      <c r="S56" s="36"/>
      <c r="T56" s="9"/>
    </row>
    <row r="57" spans="2:24" x14ac:dyDescent="0.3">
      <c r="B57" s="37" t="s">
        <v>32</v>
      </c>
      <c r="E57" s="38" t="s">
        <v>33</v>
      </c>
      <c r="H57" s="38">
        <f t="shared" ref="H57:N57" si="34">H15</f>
        <v>2023</v>
      </c>
      <c r="I57" s="38">
        <f t="shared" si="34"/>
        <v>2024</v>
      </c>
      <c r="J57" s="38">
        <f t="shared" si="34"/>
        <v>2025</v>
      </c>
      <c r="K57" s="38">
        <f t="shared" si="34"/>
        <v>2026</v>
      </c>
      <c r="L57" s="38">
        <f t="shared" si="34"/>
        <v>2027</v>
      </c>
      <c r="M57" s="38">
        <f t="shared" si="34"/>
        <v>2028</v>
      </c>
      <c r="N57" s="38">
        <f t="shared" si="34"/>
        <v>2029</v>
      </c>
      <c r="O57" s="38"/>
      <c r="P57" s="38"/>
      <c r="Q57" s="38"/>
      <c r="R57" s="38"/>
      <c r="S57" s="38"/>
      <c r="T57" s="38"/>
      <c r="U57" s="38"/>
    </row>
    <row r="58" spans="2:24" x14ac:dyDescent="0.3">
      <c r="D58" t="s">
        <v>7</v>
      </c>
      <c r="E58">
        <v>7</v>
      </c>
      <c r="H58" s="74">
        <f>(G$11+H$13+G12)/$E58</f>
        <v>103992041.23065475</v>
      </c>
      <c r="I58" s="39">
        <f>H58</f>
        <v>103992041.23065475</v>
      </c>
      <c r="J58" s="39">
        <f>I58</f>
        <v>103992041.23065475</v>
      </c>
      <c r="K58" s="39">
        <f>J58</f>
        <v>103992041.23065475</v>
      </c>
      <c r="L58" s="39">
        <f>K58</f>
        <v>103992041.23065475</v>
      </c>
      <c r="M58" s="39">
        <f t="shared" ref="M58:N58" si="35">L58</f>
        <v>103992041.23065475</v>
      </c>
      <c r="N58" s="39">
        <f t="shared" si="35"/>
        <v>103992041.23065475</v>
      </c>
      <c r="O58" s="39"/>
      <c r="P58" s="39"/>
      <c r="Q58" s="39"/>
      <c r="R58" s="39"/>
      <c r="S58" s="39"/>
      <c r="T58" s="39"/>
      <c r="U58" s="40"/>
    </row>
    <row r="59" spans="2:24" ht="16.2" thickBot="1" x14ac:dyDescent="0.35">
      <c r="B59" s="41" t="s">
        <v>34</v>
      </c>
      <c r="C59" s="42"/>
      <c r="D59" s="42"/>
      <c r="E59" s="42"/>
      <c r="F59" s="42"/>
      <c r="G59" s="42"/>
      <c r="H59" s="43">
        <f>SUM(H58:H58)</f>
        <v>103992041.23065475</v>
      </c>
      <c r="I59" s="43">
        <f>SUM(I58:I58)</f>
        <v>103992041.23065475</v>
      </c>
      <c r="J59" s="43">
        <f>SUM(J58:J58)</f>
        <v>103992041.23065475</v>
      </c>
      <c r="K59" s="43">
        <f>SUM(K58:K58)</f>
        <v>103992041.23065475</v>
      </c>
      <c r="L59" s="43">
        <f>SUM(L58:L58)</f>
        <v>103992041.23065475</v>
      </c>
      <c r="M59" s="43">
        <f t="shared" ref="M59:N59" si="36">SUM(M58:M58)</f>
        <v>103992041.23065475</v>
      </c>
      <c r="N59" s="43">
        <f t="shared" si="36"/>
        <v>103992041.23065475</v>
      </c>
      <c r="O59" s="47"/>
      <c r="P59" s="47"/>
      <c r="Q59" s="47"/>
      <c r="R59" s="47"/>
      <c r="S59" s="47"/>
      <c r="T59" s="47"/>
      <c r="U59" s="47"/>
      <c r="V59" s="44"/>
      <c r="W59" s="44"/>
      <c r="X59" s="44"/>
    </row>
    <row r="60" spans="2:24" ht="16.2" thickTop="1" x14ac:dyDescent="0.3">
      <c r="U60" s="15"/>
    </row>
    <row r="62" spans="2:24" x14ac:dyDescent="0.3">
      <c r="G62" t="s">
        <v>62</v>
      </c>
    </row>
    <row r="71" spans="4:14" x14ac:dyDescent="0.3">
      <c r="H71" s="72"/>
      <c r="I71" s="15"/>
    </row>
    <row r="72" spans="4:14" x14ac:dyDescent="0.3">
      <c r="D72" t="s">
        <v>62</v>
      </c>
    </row>
    <row r="73" spans="4:14" x14ac:dyDescent="0.3">
      <c r="H73" s="14"/>
    </row>
    <row r="74" spans="4:14" x14ac:dyDescent="0.3">
      <c r="H74" s="14"/>
      <c r="I74" s="15"/>
      <c r="J74" s="15"/>
      <c r="K74" s="15"/>
      <c r="L74" s="15"/>
      <c r="M74" s="15"/>
      <c r="N74" s="15"/>
    </row>
    <row r="75" spans="4:14" x14ac:dyDescent="0.3">
      <c r="G75" s="108"/>
      <c r="H75" s="113"/>
      <c r="I75" s="114"/>
      <c r="J75" s="114"/>
      <c r="K75" s="114"/>
      <c r="L75" s="114"/>
      <c r="M75" s="114"/>
      <c r="N75" s="114"/>
    </row>
    <row r="78" spans="4:14" x14ac:dyDescent="0.3">
      <c r="H78" s="14"/>
    </row>
    <row r="80" spans="4:14" x14ac:dyDescent="0.3">
      <c r="H80" s="72"/>
      <c r="I80" s="72"/>
      <c r="J80" s="72"/>
      <c r="K80" s="72"/>
      <c r="L80" s="72"/>
      <c r="M80" s="72"/>
      <c r="N80" s="72"/>
    </row>
  </sheetData>
  <mergeCells count="1">
    <mergeCell ref="E26:G26"/>
  </mergeCells>
  <phoneticPr fontId="27" type="noConversion"/>
  <printOptions horizontalCentered="1" verticalCentered="1"/>
  <pageMargins left="0.25" right="0.25" top="0.16" bottom="0.16" header="0.3" footer="0.3"/>
  <pageSetup paperSize="9" scale="5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B4FFE-7905-4B9F-AFB9-F945C6BB2A3F}">
  <dimension ref="A1:U81"/>
  <sheetViews>
    <sheetView topLeftCell="C13" workbookViewId="0">
      <selection activeCell="D42" sqref="D42"/>
    </sheetView>
  </sheetViews>
  <sheetFormatPr defaultRowHeight="15.6" x14ac:dyDescent="0.3"/>
  <cols>
    <col min="1" max="1" width="13.5" bestFit="1" customWidth="1"/>
    <col min="2" max="2" width="15.796875" bestFit="1" customWidth="1"/>
    <col min="3" max="4" width="13.69921875" bestFit="1" customWidth="1"/>
    <col min="5" max="9" width="12.09765625" bestFit="1" customWidth="1"/>
    <col min="10" max="11" width="13.69921875" bestFit="1" customWidth="1"/>
    <col min="12" max="12" width="12.69921875" customWidth="1"/>
    <col min="13" max="13" width="12.59765625" customWidth="1"/>
    <col min="14" max="17" width="11.09765625" bestFit="1" customWidth="1"/>
    <col min="18" max="18" width="13.69921875" bestFit="1" customWidth="1"/>
    <col min="21" max="21" width="13.69921875" bestFit="1" customWidth="1"/>
  </cols>
  <sheetData>
    <row r="1" spans="1:21" x14ac:dyDescent="0.3">
      <c r="A1" s="242" t="s">
        <v>231</v>
      </c>
    </row>
    <row r="2" spans="1:21" x14ac:dyDescent="0.3">
      <c r="A2" s="243" t="s">
        <v>232</v>
      </c>
      <c r="B2" s="244">
        <v>5</v>
      </c>
      <c r="C2" s="160">
        <v>2013</v>
      </c>
      <c r="D2" s="160">
        <f>C2+1</f>
        <v>2014</v>
      </c>
      <c r="E2" s="160">
        <f t="shared" ref="E2:M2" si="0">D2+1</f>
        <v>2015</v>
      </c>
      <c r="F2" s="160">
        <f t="shared" si="0"/>
        <v>2016</v>
      </c>
      <c r="G2" s="160">
        <f t="shared" si="0"/>
        <v>2017</v>
      </c>
      <c r="H2" s="160">
        <f t="shared" si="0"/>
        <v>2018</v>
      </c>
      <c r="I2" s="160">
        <f t="shared" si="0"/>
        <v>2019</v>
      </c>
      <c r="J2" s="160">
        <f t="shared" si="0"/>
        <v>2020</v>
      </c>
      <c r="K2" s="160">
        <f t="shared" si="0"/>
        <v>2021</v>
      </c>
      <c r="L2" s="160">
        <f t="shared" si="0"/>
        <v>2022</v>
      </c>
      <c r="M2" s="160">
        <f t="shared" si="0"/>
        <v>2023</v>
      </c>
      <c r="N2" s="160">
        <f t="shared" ref="N2" si="1">M2+1</f>
        <v>2024</v>
      </c>
      <c r="O2" s="160">
        <f t="shared" ref="O2" si="2">N2+1</f>
        <v>2025</v>
      </c>
      <c r="P2" s="160">
        <f t="shared" ref="P2" si="3">O2+1</f>
        <v>2026</v>
      </c>
      <c r="Q2" s="160">
        <f t="shared" ref="Q2" si="4">P2+1</f>
        <v>2027</v>
      </c>
      <c r="R2" s="160">
        <f t="shared" ref="R2" si="5">Q2+1</f>
        <v>2028</v>
      </c>
    </row>
    <row r="3" spans="1:21" x14ac:dyDescent="0.3">
      <c r="A3" s="245" t="s">
        <v>233</v>
      </c>
      <c r="B3" t="s">
        <v>239</v>
      </c>
      <c r="C3" s="246">
        <v>1100059248.3800001</v>
      </c>
      <c r="D3" s="15">
        <f>C3-C4</f>
        <v>880047398.70400012</v>
      </c>
      <c r="E3" s="15">
        <f>D3-C4</f>
        <v>660035549.02800012</v>
      </c>
      <c r="F3" s="15">
        <f>E3-C4</f>
        <v>440023699.35200012</v>
      </c>
      <c r="G3" s="15">
        <f>F3-C4</f>
        <v>220011849.67600009</v>
      </c>
      <c r="H3" s="15">
        <f>G3-C4</f>
        <v>0</v>
      </c>
      <c r="I3" s="15">
        <f>H3-$E$4</f>
        <v>0</v>
      </c>
      <c r="J3" s="15">
        <f>I3-$E$4</f>
        <v>0</v>
      </c>
      <c r="K3" s="15"/>
      <c r="P3" s="15"/>
      <c r="S3" s="15"/>
      <c r="T3">
        <v>2013</v>
      </c>
      <c r="U3" s="246">
        <v>1726670811.6800001</v>
      </c>
    </row>
    <row r="4" spans="1:21" x14ac:dyDescent="0.3">
      <c r="A4" s="247"/>
      <c r="B4" t="s">
        <v>66</v>
      </c>
      <c r="C4" s="246">
        <f>C3/B2</f>
        <v>220011849.67600003</v>
      </c>
      <c r="D4" s="246"/>
      <c r="E4" s="246"/>
      <c r="T4">
        <v>2014</v>
      </c>
      <c r="U4" s="246">
        <v>422342499</v>
      </c>
    </row>
    <row r="5" spans="1:21" x14ac:dyDescent="0.3">
      <c r="A5" s="247"/>
      <c r="B5" t="s">
        <v>68</v>
      </c>
      <c r="C5" s="246">
        <f>(($C$3*'IRR (4)'!G5*6)/12)</f>
        <v>55002962.419000007</v>
      </c>
      <c r="D5" s="15">
        <f>AVERAGE(C3:D3)*'IRR (4)'!$G$5</f>
        <v>99005332.354200006</v>
      </c>
      <c r="E5" s="15">
        <f>AVERAGE(D3:E3)*'IRR (4)'!$G$5</f>
        <v>77004147.386600018</v>
      </c>
      <c r="F5" s="15">
        <f>AVERAGE(E3:F3)*'IRR (4)'!$G$5</f>
        <v>55002962.419000007</v>
      </c>
      <c r="G5" s="15">
        <f>AVERAGE(F3:G3)*'IRR (4)'!$G$5</f>
        <v>33001777.451400012</v>
      </c>
      <c r="H5" s="15">
        <f>AVERAGE(G3:H3)*'IRR (4)'!$G$5</f>
        <v>11000592.483800005</v>
      </c>
      <c r="I5" s="15">
        <f>AVERAGE($H$3:$I$3)*[2]IRR!$G$4</f>
        <v>0</v>
      </c>
      <c r="J5" s="15">
        <f>AVERAGE($I$3:$J$3)*[2]IRR!$G$4</f>
        <v>0</v>
      </c>
      <c r="K5" s="15"/>
      <c r="P5" s="15"/>
      <c r="S5" s="15"/>
      <c r="T5">
        <v>2016</v>
      </c>
      <c r="U5" s="246">
        <v>10773000</v>
      </c>
    </row>
    <row r="6" spans="1:21" x14ac:dyDescent="0.3">
      <c r="A6" s="245" t="s">
        <v>234</v>
      </c>
      <c r="B6" t="s">
        <v>239</v>
      </c>
      <c r="C6" s="246"/>
      <c r="D6" s="15">
        <v>113378853</v>
      </c>
      <c r="E6" s="15">
        <f>D6-D7</f>
        <v>90703082.400000006</v>
      </c>
      <c r="F6" s="15">
        <f>E6-D7</f>
        <v>68027311.800000012</v>
      </c>
      <c r="G6" s="15">
        <f>F6-D7</f>
        <v>45351541.20000001</v>
      </c>
      <c r="H6" s="15">
        <f>G6-D7</f>
        <v>22675770.600000009</v>
      </c>
      <c r="I6" s="15"/>
      <c r="J6" s="15"/>
      <c r="K6" s="15"/>
      <c r="T6">
        <v>2017</v>
      </c>
      <c r="U6" s="246">
        <v>102210600</v>
      </c>
    </row>
    <row r="7" spans="1:21" x14ac:dyDescent="0.3">
      <c r="A7" s="247"/>
      <c r="B7" t="s">
        <v>66</v>
      </c>
      <c r="C7" s="246"/>
      <c r="D7" s="15">
        <f>D6/B2</f>
        <v>22675770.600000001</v>
      </c>
      <c r="E7" s="15"/>
      <c r="F7" s="15"/>
      <c r="G7" s="15"/>
      <c r="H7" s="15"/>
      <c r="I7" s="15"/>
      <c r="J7" s="15"/>
      <c r="K7" s="15"/>
    </row>
    <row r="8" spans="1:21" x14ac:dyDescent="0.3">
      <c r="A8" s="247"/>
      <c r="B8" t="s">
        <v>68</v>
      </c>
      <c r="C8" s="246"/>
      <c r="D8" s="246">
        <f>((D6*'IRR (4)'!G5*6)/12)</f>
        <v>5668942.6500000013</v>
      </c>
      <c r="E8" s="15">
        <f>AVERAGE(D6:E6)*'IRR (4)'!$G$5</f>
        <v>10204096.770000001</v>
      </c>
      <c r="F8" s="15">
        <f>AVERAGE(E6:F6)*'IRR (4)'!$G$5</f>
        <v>7936519.7100000009</v>
      </c>
      <c r="G8" s="15">
        <f>AVERAGE(F6:G6)*'IRR (4)'!$G$5</f>
        <v>5668942.6500000022</v>
      </c>
      <c r="H8" s="15">
        <f>AVERAGE(G6:H6)*'IRR (4)'!$G$5</f>
        <v>3401365.5900000008</v>
      </c>
      <c r="I8" s="15">
        <f>AVERAGE(H6:I6)*'IRR (4)'!$G$5</f>
        <v>2267577.060000001</v>
      </c>
      <c r="J8" s="15"/>
      <c r="K8" s="15"/>
    </row>
    <row r="9" spans="1:21" x14ac:dyDescent="0.3">
      <c r="A9" s="245">
        <v>2015</v>
      </c>
      <c r="B9" t="s">
        <v>239</v>
      </c>
      <c r="C9" s="246"/>
      <c r="E9" s="15">
        <v>130974554</v>
      </c>
      <c r="F9" s="15">
        <f>E9-E10</f>
        <v>104779643.2</v>
      </c>
      <c r="G9" s="15">
        <f>F9-E10</f>
        <v>78584732.400000006</v>
      </c>
      <c r="H9" s="15">
        <f>G9-E10</f>
        <v>52389821.600000009</v>
      </c>
      <c r="I9" s="15">
        <f>H9-E10</f>
        <v>26194910.800000008</v>
      </c>
      <c r="J9" s="15"/>
      <c r="K9" s="15"/>
    </row>
    <row r="10" spans="1:21" x14ac:dyDescent="0.3">
      <c r="A10" s="247"/>
      <c r="B10" t="s">
        <v>66</v>
      </c>
      <c r="C10" s="246"/>
      <c r="E10" s="15">
        <f>E9/B2</f>
        <v>26194910.800000001</v>
      </c>
      <c r="F10" s="15"/>
      <c r="G10" s="15"/>
      <c r="H10" s="15"/>
      <c r="I10" s="15"/>
      <c r="J10" s="15"/>
      <c r="K10" s="15"/>
    </row>
    <row r="11" spans="1:21" x14ac:dyDescent="0.3">
      <c r="A11" s="247"/>
      <c r="B11" t="s">
        <v>68</v>
      </c>
      <c r="C11" s="246"/>
      <c r="E11" s="246">
        <f>((E9*'IRR (4)'!G5*6)/12)</f>
        <v>6548727.7000000002</v>
      </c>
      <c r="F11" s="15">
        <f>AVERAGE(E9:F9)*'IRR (4)'!$G$5</f>
        <v>11787709.859999999</v>
      </c>
      <c r="G11" s="15">
        <f>AVERAGE(F9:G9)*'IRR (4)'!$G$5</f>
        <v>9168218.7800000012</v>
      </c>
      <c r="H11" s="15">
        <f>AVERAGE(G9:H9)*'IRR (4)'!$G$5</f>
        <v>6548727.7000000011</v>
      </c>
      <c r="I11" s="15">
        <f>AVERAGE(H9:I9)*'IRR (4)'!$G$5</f>
        <v>3929236.620000001</v>
      </c>
      <c r="J11" s="15">
        <f>AVERAGE(I9:J9)*'IRR (4)'!$G$5</f>
        <v>2619491.080000001</v>
      </c>
      <c r="K11" s="15"/>
    </row>
    <row r="12" spans="1:21" x14ac:dyDescent="0.3">
      <c r="A12" s="245" t="s">
        <v>235</v>
      </c>
      <c r="B12" t="s">
        <v>239</v>
      </c>
      <c r="C12" s="246"/>
      <c r="D12" s="15"/>
      <c r="F12" s="15">
        <v>27609713</v>
      </c>
      <c r="G12" s="15">
        <f>F12-F13</f>
        <v>22087770.399999999</v>
      </c>
      <c r="H12" s="15">
        <f>G12-F13</f>
        <v>16565827.799999999</v>
      </c>
      <c r="I12" s="15">
        <f>H12-F13</f>
        <v>11043885.199999999</v>
      </c>
      <c r="J12" s="15">
        <f>I12-F13</f>
        <v>5521942.5999999996</v>
      </c>
      <c r="K12" s="15">
        <f>J12-F13</f>
        <v>0</v>
      </c>
    </row>
    <row r="13" spans="1:21" x14ac:dyDescent="0.3">
      <c r="A13" s="247"/>
      <c r="B13" t="s">
        <v>66</v>
      </c>
      <c r="C13" s="246"/>
      <c r="D13" s="15"/>
      <c r="F13" s="15">
        <f>F12/B2</f>
        <v>5521942.5999999996</v>
      </c>
      <c r="G13" s="15"/>
      <c r="H13" s="15"/>
      <c r="I13" s="15"/>
      <c r="J13" s="15"/>
      <c r="K13" s="15"/>
    </row>
    <row r="14" spans="1:21" x14ac:dyDescent="0.3">
      <c r="A14" s="247"/>
      <c r="B14" t="s">
        <v>68</v>
      </c>
      <c r="C14" s="246"/>
      <c r="D14" s="15"/>
      <c r="F14" s="246">
        <f>((F12*'IRR (4)'!G5*6)/12)</f>
        <v>1380485.6500000001</v>
      </c>
      <c r="G14" s="15">
        <f>AVERAGE(F12:G12)*'IRR (4)'!$G$5</f>
        <v>2484874.17</v>
      </c>
      <c r="H14" s="15">
        <f>AVERAGE(G12:H12)*'IRR (4)'!$G$5</f>
        <v>1932679.91</v>
      </c>
      <c r="I14" s="15">
        <f>AVERAGE(H12:I12)*'IRR (4)'!$G$5</f>
        <v>1380485.6500000001</v>
      </c>
      <c r="J14" s="15">
        <f>AVERAGE(I12:J12)*'IRR (4)'!$G$5</f>
        <v>828291.39</v>
      </c>
      <c r="K14" s="15">
        <f>AVERAGE(J12:K12)*'IRR (4)'!$G$5</f>
        <v>276097.13</v>
      </c>
    </row>
    <row r="15" spans="1:21" x14ac:dyDescent="0.3">
      <c r="A15" s="245" t="s">
        <v>236</v>
      </c>
      <c r="B15" t="s">
        <v>239</v>
      </c>
      <c r="C15" s="246"/>
      <c r="D15" s="15"/>
      <c r="E15" s="15"/>
      <c r="F15" s="15"/>
      <c r="G15" s="15">
        <v>6142500</v>
      </c>
      <c r="H15" s="15">
        <f>G15-G16</f>
        <v>4914000</v>
      </c>
      <c r="I15" s="15">
        <f>H15-G16</f>
        <v>3685500</v>
      </c>
      <c r="J15" s="15">
        <f>I15-G16</f>
        <v>2457000</v>
      </c>
      <c r="K15" s="15">
        <f>J15-G16</f>
        <v>1228500</v>
      </c>
      <c r="L15" s="15">
        <f>K15-G16</f>
        <v>0</v>
      </c>
    </row>
    <row r="16" spans="1:21" x14ac:dyDescent="0.3">
      <c r="B16" t="s">
        <v>66</v>
      </c>
      <c r="C16" s="246"/>
      <c r="D16" s="15"/>
      <c r="E16" s="15"/>
      <c r="F16" s="15"/>
      <c r="G16" s="15">
        <f>G15/B2</f>
        <v>1228500</v>
      </c>
      <c r="H16" s="15"/>
      <c r="I16" s="15"/>
      <c r="J16" s="15"/>
      <c r="K16" s="15"/>
      <c r="L16" s="15"/>
    </row>
    <row r="17" spans="1:17" x14ac:dyDescent="0.3">
      <c r="B17" t="s">
        <v>68</v>
      </c>
      <c r="C17" s="246"/>
      <c r="D17" s="15"/>
      <c r="E17" s="246"/>
      <c r="F17" s="15"/>
      <c r="G17" s="246">
        <f>((G15*'IRR (4)'!G5*6)/12)</f>
        <v>307125</v>
      </c>
      <c r="H17" s="15">
        <f>AVERAGE(G15:H15)*'IRR (4)'!$G$5</f>
        <v>552825</v>
      </c>
      <c r="I17" s="15">
        <f>AVERAGE(H15:I15)*'IRR (4)'!$G$5</f>
        <v>429975</v>
      </c>
      <c r="J17" s="15">
        <f>AVERAGE(I15:J15)*'IRR (4)'!$G$5</f>
        <v>307125</v>
      </c>
      <c r="K17" s="15">
        <f>AVERAGE(J15:K15)*'IRR (4)'!$G$5</f>
        <v>184275</v>
      </c>
      <c r="L17" s="15">
        <f>AVERAGE(K15:L15)*'IRR (4)'!$G$5</f>
        <v>61425</v>
      </c>
    </row>
    <row r="18" spans="1:17" x14ac:dyDescent="0.3">
      <c r="A18" s="245">
        <v>2018</v>
      </c>
      <c r="B18" t="s">
        <v>239</v>
      </c>
      <c r="C18" s="246"/>
      <c r="D18" s="15"/>
      <c r="H18" s="15">
        <v>63728362</v>
      </c>
      <c r="I18" s="15">
        <f>H18-H19</f>
        <v>50982689.600000001</v>
      </c>
      <c r="J18" s="15">
        <f>I18-H19</f>
        <v>38237017.200000003</v>
      </c>
      <c r="K18" s="15">
        <f>J18-H19</f>
        <v>25491344.800000004</v>
      </c>
      <c r="L18" s="15">
        <f>K18-H19</f>
        <v>12745672.400000004</v>
      </c>
      <c r="M18" s="15">
        <f>L18-H19</f>
        <v>0</v>
      </c>
    </row>
    <row r="19" spans="1:17" x14ac:dyDescent="0.3">
      <c r="A19" s="247"/>
      <c r="B19" t="s">
        <v>66</v>
      </c>
      <c r="C19" s="246"/>
      <c r="D19" s="15"/>
      <c r="H19" s="15">
        <f>H18/B2</f>
        <v>12745672.4</v>
      </c>
      <c r="I19" s="15"/>
      <c r="J19" s="15"/>
      <c r="K19" s="15"/>
      <c r="L19" s="15"/>
      <c r="M19" s="15"/>
    </row>
    <row r="20" spans="1:17" x14ac:dyDescent="0.3">
      <c r="A20" s="247"/>
      <c r="B20" t="s">
        <v>68</v>
      </c>
      <c r="C20" s="246"/>
      <c r="D20" s="15"/>
      <c r="H20" s="246">
        <f>((H18*'IRR (4)'!G5*6)/12)</f>
        <v>3186418.1</v>
      </c>
      <c r="I20" s="15">
        <f>AVERAGE(H18:I18)*'IRR (4)'!$G$5</f>
        <v>5735552.5800000001</v>
      </c>
      <c r="J20" s="15">
        <f>AVERAGE(I18:J18)*'IRR (4)'!$G$5</f>
        <v>4460985.3400000008</v>
      </c>
      <c r="K20" s="15">
        <f>AVERAGE(J18:K18)*'IRR (4)'!$G$5</f>
        <v>3186418.1000000006</v>
      </c>
      <c r="L20" s="15">
        <f>AVERAGE(K18:L18)*'IRR (4)'!$G$5</f>
        <v>1911850.8600000006</v>
      </c>
      <c r="M20" s="15">
        <f>AVERAGE(L18:M18)*'IRR (4)'!$G$5</f>
        <v>637283.62000000023</v>
      </c>
    </row>
    <row r="21" spans="1:17" x14ac:dyDescent="0.3">
      <c r="A21" s="245">
        <v>2020</v>
      </c>
      <c r="B21" t="s">
        <v>239</v>
      </c>
      <c r="C21" s="246"/>
      <c r="D21" s="15"/>
      <c r="E21" s="15"/>
      <c r="F21" s="15"/>
      <c r="J21" s="15">
        <v>6142500</v>
      </c>
      <c r="K21" s="15">
        <f>J21-J22</f>
        <v>4914000</v>
      </c>
      <c r="L21" s="15">
        <f>K21-J22</f>
        <v>3685500</v>
      </c>
      <c r="M21" s="15">
        <f>L21-J22</f>
        <v>2457000</v>
      </c>
      <c r="N21" s="15">
        <f>M21-J22</f>
        <v>1228500</v>
      </c>
      <c r="O21" s="15">
        <f>N21-J22</f>
        <v>0</v>
      </c>
    </row>
    <row r="22" spans="1:17" x14ac:dyDescent="0.3">
      <c r="B22" t="s">
        <v>66</v>
      </c>
      <c r="C22" s="246"/>
      <c r="D22" s="15"/>
      <c r="E22" s="15"/>
      <c r="F22" s="15"/>
      <c r="J22" s="15">
        <f>J21/B2</f>
        <v>1228500</v>
      </c>
      <c r="K22" s="15"/>
      <c r="L22" s="15"/>
      <c r="M22" s="15"/>
      <c r="N22" s="15"/>
      <c r="O22" s="15"/>
    </row>
    <row r="23" spans="1:17" x14ac:dyDescent="0.3">
      <c r="B23" t="s">
        <v>68</v>
      </c>
      <c r="C23" s="246"/>
      <c r="D23" s="15"/>
      <c r="E23" s="246"/>
      <c r="F23" s="15"/>
      <c r="J23" s="246">
        <f>((J21*'IRR (4)'!G5*6)/12)</f>
        <v>307125</v>
      </c>
      <c r="K23" s="15">
        <f>AVERAGE(J21:K21)*'IRR (4)'!$G$5</f>
        <v>552825</v>
      </c>
      <c r="L23" s="15">
        <f>AVERAGE(K21:L21)*'IRR (4)'!$G$5</f>
        <v>429975</v>
      </c>
      <c r="M23" s="15">
        <f>AVERAGE(L21:M21)*'IRR (4)'!$G$5</f>
        <v>307125</v>
      </c>
      <c r="N23" s="15">
        <f>AVERAGE(M21:N21)*'IRR (4)'!$G$5</f>
        <v>184275</v>
      </c>
      <c r="O23" s="15">
        <f>AVERAGE(N21:O21)*'IRR (4)'!$G$5</f>
        <v>61425</v>
      </c>
    </row>
    <row r="24" spans="1:17" x14ac:dyDescent="0.3">
      <c r="A24" s="245">
        <v>2018</v>
      </c>
      <c r="B24" t="s">
        <v>238</v>
      </c>
      <c r="C24" s="246"/>
      <c r="D24" s="15"/>
      <c r="E24" s="15"/>
      <c r="F24" s="15"/>
      <c r="H24" s="15">
        <v>247267500</v>
      </c>
      <c r="I24" s="15">
        <f>H24-H25</f>
        <v>197814000</v>
      </c>
      <c r="J24" s="15">
        <f>I24-H25</f>
        <v>148360500</v>
      </c>
      <c r="K24" s="15">
        <f>J24-H25</f>
        <v>98907000</v>
      </c>
      <c r="L24" s="15">
        <f>K24-H25</f>
        <v>49453500</v>
      </c>
      <c r="M24" s="15">
        <f>L24-H25</f>
        <v>0</v>
      </c>
    </row>
    <row r="25" spans="1:17" x14ac:dyDescent="0.3">
      <c r="B25" t="s">
        <v>66</v>
      </c>
      <c r="C25" s="246"/>
      <c r="D25" s="15"/>
      <c r="E25" s="15"/>
      <c r="F25" s="15"/>
      <c r="H25" s="15">
        <f>H24/B2</f>
        <v>49453500</v>
      </c>
      <c r="I25" s="15"/>
      <c r="J25" s="15"/>
      <c r="K25" s="15"/>
      <c r="L25" s="15"/>
      <c r="M25" s="15"/>
    </row>
    <row r="26" spans="1:17" x14ac:dyDescent="0.3">
      <c r="B26" t="s">
        <v>68</v>
      </c>
      <c r="C26" s="246"/>
      <c r="D26" s="15"/>
      <c r="E26" s="246"/>
      <c r="F26" s="15"/>
      <c r="H26" s="246">
        <f>((H24*'IRR (4)'!G5*6)/12)</f>
        <v>12363375</v>
      </c>
      <c r="I26" s="15">
        <f>AVERAGE(H24:I24)*'IRR (4)'!$G$5</f>
        <v>22254075</v>
      </c>
      <c r="J26" s="15">
        <f>AVERAGE(I24:J24)*'IRR (4)'!$G$5</f>
        <v>17308725</v>
      </c>
      <c r="K26" s="15">
        <f>AVERAGE(J24:K24)*'IRR (4)'!$G$5</f>
        <v>12363375</v>
      </c>
      <c r="L26" s="15">
        <f>AVERAGE(K24:L24)*'IRR (4)'!$G$5</f>
        <v>7418025</v>
      </c>
      <c r="M26" s="15">
        <f>AVERAGE(L24:M24)*'IRR (4)'!$G$5</f>
        <v>2472675</v>
      </c>
    </row>
    <row r="27" spans="1:17" x14ac:dyDescent="0.3">
      <c r="A27" s="245">
        <v>2020</v>
      </c>
      <c r="B27" t="s">
        <v>238</v>
      </c>
      <c r="C27" s="246"/>
      <c r="D27" s="15"/>
      <c r="E27" s="15"/>
      <c r="F27" s="15"/>
      <c r="J27" s="15">
        <v>234252476</v>
      </c>
      <c r="K27" s="15">
        <f>J27-J28</f>
        <v>187401980.80000001</v>
      </c>
      <c r="L27" s="15">
        <f>K27-J28</f>
        <v>140551485.60000002</v>
      </c>
      <c r="M27" s="15">
        <f>L27-J28</f>
        <v>93700990.400000021</v>
      </c>
      <c r="N27" s="15">
        <f>M27-J28</f>
        <v>46850495.200000018</v>
      </c>
      <c r="O27" s="15">
        <f>N27-J28</f>
        <v>0</v>
      </c>
    </row>
    <row r="28" spans="1:17" x14ac:dyDescent="0.3">
      <c r="B28" t="s">
        <v>66</v>
      </c>
      <c r="C28" s="246"/>
      <c r="D28" s="15"/>
      <c r="E28" s="15"/>
      <c r="F28" s="15"/>
      <c r="J28" s="15">
        <f>J27/B2</f>
        <v>46850495.200000003</v>
      </c>
      <c r="K28" s="15"/>
      <c r="L28" s="15"/>
      <c r="M28" s="15"/>
      <c r="N28" s="15"/>
      <c r="O28" s="15"/>
    </row>
    <row r="29" spans="1:17" x14ac:dyDescent="0.3">
      <c r="B29" t="s">
        <v>68</v>
      </c>
      <c r="C29" s="246"/>
      <c r="D29" s="15"/>
      <c r="E29" s="246"/>
      <c r="F29" s="15"/>
      <c r="J29" s="246">
        <f>((J27*'IRR (4)'!G5*6)/12)</f>
        <v>11712623.800000003</v>
      </c>
      <c r="K29" s="15">
        <f>AVERAGE(J27:K27)*'IRR (4)'!$G$5</f>
        <v>21082722.840000004</v>
      </c>
      <c r="L29" s="15">
        <f>AVERAGE(K27:L27)*'IRR (4)'!$G$5</f>
        <v>16397673.320000002</v>
      </c>
      <c r="M29" s="15">
        <f>AVERAGE(L27:M27)*'IRR (4)'!$G$5</f>
        <v>11712623.800000004</v>
      </c>
      <c r="N29" s="15">
        <f>AVERAGE(M27:N27)*'IRR (4)'!$G$5</f>
        <v>7027574.2800000012</v>
      </c>
      <c r="O29" s="15">
        <f>AVERAGE(N27:O27)*'IRR (4)'!$G$5</f>
        <v>2342524.7600000012</v>
      </c>
    </row>
    <row r="30" spans="1:17" x14ac:dyDescent="0.3">
      <c r="A30" s="245">
        <v>2022</v>
      </c>
      <c r="B30" t="s">
        <v>238</v>
      </c>
      <c r="C30" s="246"/>
      <c r="D30" s="15"/>
      <c r="L30" s="15">
        <v>56292456</v>
      </c>
      <c r="M30" s="15">
        <f>L30-L31</f>
        <v>45033964.799999997</v>
      </c>
      <c r="N30" s="15">
        <f>M30-L31</f>
        <v>33775473.599999994</v>
      </c>
      <c r="O30" s="15">
        <f>N30-L31</f>
        <v>22516982.399999995</v>
      </c>
      <c r="P30" s="15">
        <f>O30-L31</f>
        <v>11258491.199999996</v>
      </c>
      <c r="Q30" s="15">
        <f>P30-L31</f>
        <v>0</v>
      </c>
    </row>
    <row r="31" spans="1:17" x14ac:dyDescent="0.3">
      <c r="A31" s="247"/>
      <c r="B31" t="s">
        <v>66</v>
      </c>
      <c r="C31" s="246"/>
      <c r="D31" s="15"/>
      <c r="L31" s="15">
        <f>L30/B2</f>
        <v>11258491.199999999</v>
      </c>
      <c r="M31" s="15"/>
      <c r="N31" s="15"/>
      <c r="O31" s="15"/>
      <c r="P31" s="15"/>
      <c r="Q31" s="15"/>
    </row>
    <row r="32" spans="1:17" x14ac:dyDescent="0.3">
      <c r="A32" s="247"/>
      <c r="B32" t="s">
        <v>68</v>
      </c>
      <c r="C32" s="246"/>
      <c r="D32" s="15"/>
      <c r="L32" s="246">
        <f>((L30*'IRR (4)'!G5*6)/12)</f>
        <v>2814622.8000000003</v>
      </c>
      <c r="M32" s="15">
        <f>AVERAGE(L30:M30)*'IRR (4)'!$G$5</f>
        <v>5066321.04</v>
      </c>
      <c r="N32" s="15">
        <f>AVERAGE(M30:N30)*'IRR (4)'!$G$5</f>
        <v>3940471.92</v>
      </c>
      <c r="O32" s="15">
        <f>AVERAGE(N30:O30)*'IRR (4)'!$G$5</f>
        <v>2814622.7999999993</v>
      </c>
      <c r="P32" s="15">
        <f>AVERAGE(O30:P30)*'IRR (4)'!$G$5</f>
        <v>1688773.6799999997</v>
      </c>
      <c r="Q32" s="15">
        <f>AVERAGE(P30:Q30)*'IRR (4)'!$G$5</f>
        <v>562924.55999999982</v>
      </c>
    </row>
    <row r="33" spans="1:18" x14ac:dyDescent="0.3">
      <c r="A33" s="245">
        <v>2023</v>
      </c>
      <c r="B33" t="s">
        <v>238</v>
      </c>
      <c r="C33" s="246"/>
      <c r="D33" s="15"/>
      <c r="E33" s="15"/>
      <c r="F33" s="15"/>
      <c r="M33" s="15">
        <v>119268851</v>
      </c>
      <c r="N33" s="15">
        <f>M33-M34</f>
        <v>95415080.799999997</v>
      </c>
      <c r="O33" s="15">
        <f>N33-M34</f>
        <v>71561310.599999994</v>
      </c>
      <c r="P33" s="15">
        <f>O33-M34</f>
        <v>47707540.399999991</v>
      </c>
      <c r="Q33" s="15">
        <f>P33-M34</f>
        <v>23853770.199999992</v>
      </c>
      <c r="R33" s="15">
        <f>Q33-M34</f>
        <v>0</v>
      </c>
    </row>
    <row r="34" spans="1:18" x14ac:dyDescent="0.3">
      <c r="B34" t="s">
        <v>66</v>
      </c>
      <c r="C34" s="246"/>
      <c r="D34" s="15"/>
      <c r="E34" s="15"/>
      <c r="F34" s="15"/>
      <c r="M34" s="15">
        <f>M33/B2</f>
        <v>23853770.199999999</v>
      </c>
      <c r="N34" s="15"/>
      <c r="O34" s="15"/>
      <c r="P34" s="15"/>
      <c r="Q34" s="15"/>
      <c r="R34" s="15"/>
    </row>
    <row r="35" spans="1:18" x14ac:dyDescent="0.3">
      <c r="B35" t="s">
        <v>68</v>
      </c>
      <c r="C35" s="246"/>
      <c r="D35" s="15"/>
      <c r="E35" s="246"/>
      <c r="F35" s="15"/>
      <c r="M35" s="246">
        <f>((M33*'IRR (4)'!G5*6)/12)</f>
        <v>5963442.5500000007</v>
      </c>
      <c r="N35" s="15">
        <f>AVERAGE(M33:N33)*'IRR (4)'!$G$5</f>
        <v>10734196.590000002</v>
      </c>
      <c r="O35" s="15">
        <f>AVERAGE(N33:O33)*'IRR (4)'!$G$5</f>
        <v>8348819.5699999994</v>
      </c>
      <c r="P35" s="15">
        <f>AVERAGE(O33:P33)*'IRR (4)'!$G$5</f>
        <v>5963442.5499999998</v>
      </c>
      <c r="Q35" s="15">
        <f>AVERAGE(P33:Q33)*'IRR (4)'!$G$5</f>
        <v>3578065.5299999993</v>
      </c>
      <c r="R35" s="15">
        <f>AVERAGE(Q33:R33)*'IRR (4)'!$G$5</f>
        <v>1192688.5099999995</v>
      </c>
    </row>
    <row r="36" spans="1:18" x14ac:dyDescent="0.3">
      <c r="C36" s="246"/>
      <c r="D36" s="15"/>
      <c r="E36" s="15"/>
      <c r="F36" s="15"/>
      <c r="G36" s="15"/>
      <c r="H36" s="15"/>
      <c r="I36" s="15"/>
      <c r="J36" s="15"/>
      <c r="K36" s="15"/>
    </row>
    <row r="37" spans="1:18" x14ac:dyDescent="0.3">
      <c r="A37" s="243"/>
      <c r="B37" s="248" t="s">
        <v>237</v>
      </c>
      <c r="C37" s="249">
        <f t="shared" ref="C37:Q37" si="6">C23+C20+C17+C14+C11+C8+F5+C26+C29+C32+C35</f>
        <v>55002962.419000007</v>
      </c>
      <c r="D37" s="249">
        <f t="shared" si="6"/>
        <v>38670720.10140001</v>
      </c>
      <c r="E37" s="249">
        <f t="shared" si="6"/>
        <v>27753416.953800008</v>
      </c>
      <c r="F37" s="249">
        <f t="shared" si="6"/>
        <v>21104715.219999999</v>
      </c>
      <c r="G37" s="249">
        <f t="shared" si="6"/>
        <v>17629160.600000001</v>
      </c>
      <c r="H37" s="249">
        <f t="shared" si="6"/>
        <v>27985391.300000001</v>
      </c>
      <c r="I37" s="249">
        <f t="shared" si="6"/>
        <v>35996901.910000004</v>
      </c>
      <c r="J37" s="249">
        <f t="shared" si="6"/>
        <v>37544366.610000007</v>
      </c>
      <c r="K37" s="249">
        <f t="shared" si="6"/>
        <v>37645713.070000008</v>
      </c>
      <c r="L37" s="249">
        <f t="shared" si="6"/>
        <v>29033571.98</v>
      </c>
      <c r="M37" s="249">
        <f t="shared" si="6"/>
        <v>26159471.010000005</v>
      </c>
      <c r="N37" s="249">
        <f t="shared" si="6"/>
        <v>21886517.790000003</v>
      </c>
      <c r="O37" s="249">
        <f t="shared" si="6"/>
        <v>13567392.129999999</v>
      </c>
      <c r="P37" s="249">
        <f t="shared" si="6"/>
        <v>7652216.2299999995</v>
      </c>
      <c r="Q37" s="249">
        <f t="shared" si="6"/>
        <v>4143006.0899999989</v>
      </c>
      <c r="R37" s="249">
        <f>R23+R20+R17+R14+R11+R8+U5+R26+R29+R32+R35</f>
        <v>11965688.51</v>
      </c>
    </row>
    <row r="38" spans="1:18" x14ac:dyDescent="0.3">
      <c r="B38" s="246"/>
      <c r="C38" s="15"/>
      <c r="D38" s="15"/>
      <c r="E38" s="15"/>
      <c r="F38" s="15"/>
      <c r="G38" s="15"/>
      <c r="H38" s="15"/>
      <c r="I38" s="15"/>
      <c r="J38" s="15"/>
      <c r="K38" s="15"/>
    </row>
    <row r="39" spans="1:18" x14ac:dyDescent="0.3">
      <c r="B39" t="s">
        <v>7</v>
      </c>
      <c r="C39" t="s">
        <v>8</v>
      </c>
      <c r="D39" t="s">
        <v>9</v>
      </c>
      <c r="E39" t="s">
        <v>10</v>
      </c>
      <c r="F39" t="s">
        <v>11</v>
      </c>
      <c r="G39" t="s">
        <v>54</v>
      </c>
      <c r="H39" t="s">
        <v>55</v>
      </c>
      <c r="I39" t="s">
        <v>56</v>
      </c>
      <c r="J39" t="s">
        <v>57</v>
      </c>
      <c r="K39" t="s">
        <v>58</v>
      </c>
    </row>
    <row r="40" spans="1:18" x14ac:dyDescent="0.3">
      <c r="A40" t="s">
        <v>64</v>
      </c>
      <c r="B40" s="115">
        <f>IRR!$H$11+IRR!$I$11</f>
        <v>50000000</v>
      </c>
      <c r="C40" s="15">
        <f>B40-$B$42</f>
        <v>40000000</v>
      </c>
      <c r="D40" s="15">
        <f t="shared" ref="D40:F40" si="7">C40-$B$42</f>
        <v>30000000</v>
      </c>
      <c r="E40" s="15">
        <f t="shared" si="7"/>
        <v>20000000</v>
      </c>
      <c r="F40" s="15">
        <f t="shared" si="7"/>
        <v>10000000</v>
      </c>
      <c r="G40" s="15">
        <f>F40-$B$42</f>
        <v>0</v>
      </c>
      <c r="H40" s="15">
        <f>$G$40-$B$42</f>
        <v>-10000000</v>
      </c>
      <c r="I40" s="15">
        <f>$H$40-$B$42</f>
        <v>-20000000</v>
      </c>
      <c r="J40" s="15">
        <f>$I$40-$B$42</f>
        <v>-30000000</v>
      </c>
      <c r="K40" s="15">
        <f>$J$40-$B$42</f>
        <v>-40000000</v>
      </c>
    </row>
    <row r="41" spans="1:18" x14ac:dyDescent="0.3">
      <c r="A41" t="s">
        <v>65</v>
      </c>
      <c r="B41" s="115">
        <v>5</v>
      </c>
    </row>
    <row r="42" spans="1:18" x14ac:dyDescent="0.3">
      <c r="A42" t="s">
        <v>66</v>
      </c>
      <c r="B42" s="115">
        <f>$B$40/$B$41</f>
        <v>10000000</v>
      </c>
    </row>
    <row r="43" spans="1:18" x14ac:dyDescent="0.3">
      <c r="A43" t="s">
        <v>68</v>
      </c>
      <c r="B43" s="115">
        <f>(($B$40*IRR!$G$5)*6)/12</f>
        <v>2500000</v>
      </c>
      <c r="C43" s="15">
        <f>AVERAGE($B$40:$C$40)*IRR!$G$5</f>
        <v>4500000</v>
      </c>
      <c r="D43" s="15">
        <f>AVERAGE($C$40:$D$40)*IRR!$G$5</f>
        <v>3500000</v>
      </c>
      <c r="E43" s="15">
        <f>AVERAGE($D$40:$E$40)*IRR!$G$5</f>
        <v>2500000</v>
      </c>
      <c r="F43" s="15">
        <f>AVERAGE($E$40:$F$40)*IRR!$G$5</f>
        <v>1500000</v>
      </c>
      <c r="G43" s="15">
        <f>AVERAGE($F$40:$G$40)*IRR!$G$5</f>
        <v>500000</v>
      </c>
      <c r="H43" s="15">
        <f>AVERAGE($G$40:$H$40)*IRR!$G$5</f>
        <v>-500000</v>
      </c>
      <c r="I43" s="15">
        <f>AVERAGE($H$40:$I$40)*IRR!$G$5</f>
        <v>-1500000</v>
      </c>
      <c r="J43" s="15">
        <f>AVERAGE($I$40:$J$40)*IRR!$G$5</f>
        <v>-2500000</v>
      </c>
      <c r="K43" s="15">
        <f>AVERAGE($J$40:$K$40)*IRR!$G$5</f>
        <v>-3500000</v>
      </c>
    </row>
    <row r="47" spans="1:18" x14ac:dyDescent="0.3">
      <c r="F47" s="160" t="s">
        <v>111</v>
      </c>
      <c r="G47" s="160" t="s">
        <v>112</v>
      </c>
      <c r="H47" s="160" t="s">
        <v>113</v>
      </c>
      <c r="I47" s="161" t="s">
        <v>114</v>
      </c>
      <c r="J47" s="321" t="s">
        <v>115</v>
      </c>
      <c r="K47" s="321" t="s">
        <v>116</v>
      </c>
    </row>
    <row r="48" spans="1:18" x14ac:dyDescent="0.3">
      <c r="E48" s="162" t="s">
        <v>117</v>
      </c>
      <c r="F48" s="163">
        <v>1</v>
      </c>
      <c r="G48" s="164">
        <v>1</v>
      </c>
      <c r="H48" s="164">
        <v>1</v>
      </c>
      <c r="I48" s="165">
        <f>Summary!H10</f>
        <v>308</v>
      </c>
      <c r="J48" s="321"/>
      <c r="K48" s="321"/>
    </row>
    <row r="49" spans="1:11" x14ac:dyDescent="0.3">
      <c r="B49" s="322" t="s">
        <v>118</v>
      </c>
      <c r="C49" s="166" t="s">
        <v>119</v>
      </c>
      <c r="D49" s="167">
        <f>C60</f>
        <v>3000000</v>
      </c>
      <c r="E49" s="166" t="s">
        <v>111</v>
      </c>
      <c r="F49" s="160">
        <f>F48</f>
        <v>1</v>
      </c>
      <c r="G49" s="160"/>
      <c r="H49" s="160"/>
      <c r="I49" s="161"/>
      <c r="J49" s="168">
        <f>F49*D49</f>
        <v>3000000</v>
      </c>
    </row>
    <row r="50" spans="1:11" x14ac:dyDescent="0.3">
      <c r="B50" s="323"/>
      <c r="C50" s="166" t="s">
        <v>120</v>
      </c>
      <c r="D50" s="169">
        <v>600000</v>
      </c>
      <c r="E50" s="166" t="s">
        <v>111</v>
      </c>
      <c r="F50" s="160">
        <f>F48</f>
        <v>1</v>
      </c>
      <c r="G50" s="160"/>
      <c r="H50" s="160"/>
      <c r="I50" s="161">
        <f>IF($I$48&lt;=120,2,IF($I$48&gt;220,4,3))</f>
        <v>4</v>
      </c>
      <c r="J50" s="169">
        <f>D50*F50</f>
        <v>600000</v>
      </c>
    </row>
    <row r="51" spans="1:11" x14ac:dyDescent="0.3">
      <c r="B51" s="324"/>
      <c r="C51" s="166" t="s">
        <v>118</v>
      </c>
      <c r="D51" s="169">
        <v>200000</v>
      </c>
      <c r="E51" s="166" t="s">
        <v>121</v>
      </c>
      <c r="F51" s="160"/>
      <c r="G51" s="160">
        <f>G48</f>
        <v>1</v>
      </c>
      <c r="H51" s="160"/>
      <c r="I51" s="161"/>
      <c r="J51" s="169">
        <f>G51*D51</f>
        <v>200000</v>
      </c>
    </row>
    <row r="52" spans="1:11" x14ac:dyDescent="0.3">
      <c r="B52" s="166" t="s">
        <v>122</v>
      </c>
      <c r="C52" s="166" t="s">
        <v>122</v>
      </c>
      <c r="D52" s="169">
        <v>450000</v>
      </c>
      <c r="E52" s="166" t="s">
        <v>113</v>
      </c>
      <c r="F52" s="160">
        <f>F48</f>
        <v>1</v>
      </c>
      <c r="G52" s="160"/>
      <c r="H52" s="160">
        <f>H48</f>
        <v>1</v>
      </c>
      <c r="I52" s="161">
        <f t="shared" ref="I52:I53" si="8">IF($I$48&lt;=120,2,IF($I$48&gt;220,4,3))</f>
        <v>4</v>
      </c>
      <c r="J52" s="169">
        <f>H52*D52*I52</f>
        <v>1800000</v>
      </c>
    </row>
    <row r="53" spans="1:11" x14ac:dyDescent="0.3">
      <c r="B53" s="166" t="s">
        <v>123</v>
      </c>
      <c r="C53" s="166" t="s">
        <v>123</v>
      </c>
      <c r="D53" s="169">
        <v>120000</v>
      </c>
      <c r="E53" s="166" t="s">
        <v>111</v>
      </c>
      <c r="F53" s="160">
        <f>F48</f>
        <v>1</v>
      </c>
      <c r="G53" s="160"/>
      <c r="H53" s="160"/>
      <c r="I53" s="161">
        <f t="shared" si="8"/>
        <v>4</v>
      </c>
      <c r="J53" s="169">
        <f>I53*D53*F53</f>
        <v>480000</v>
      </c>
    </row>
    <row r="54" spans="1:11" x14ac:dyDescent="0.3">
      <c r="J54" s="170">
        <f>SUM(J49:J53)</f>
        <v>6080000</v>
      </c>
      <c r="K54" s="171">
        <f>J54*4</f>
        <v>24320000</v>
      </c>
    </row>
    <row r="57" spans="1:11" x14ac:dyDescent="0.3">
      <c r="K57" s="15"/>
    </row>
    <row r="58" spans="1:11" x14ac:dyDescent="0.3">
      <c r="B58" s="160" t="s">
        <v>124</v>
      </c>
      <c r="C58" s="160" t="s">
        <v>119</v>
      </c>
      <c r="E58" s="166" t="s">
        <v>125</v>
      </c>
      <c r="K58" s="40"/>
    </row>
    <row r="59" spans="1:11" x14ac:dyDescent="0.3">
      <c r="A59" t="s">
        <v>126</v>
      </c>
      <c r="B59" s="115">
        <v>16800000</v>
      </c>
      <c r="C59" s="115">
        <v>4000000</v>
      </c>
      <c r="E59" t="s">
        <v>127</v>
      </c>
      <c r="K59" s="15"/>
    </row>
    <row r="60" spans="1:11" x14ac:dyDescent="0.3">
      <c r="A60" t="s">
        <v>128</v>
      </c>
      <c r="B60" s="115"/>
      <c r="C60" s="115">
        <v>3000000</v>
      </c>
      <c r="E60" t="s">
        <v>129</v>
      </c>
      <c r="I60" s="115">
        <v>10000000</v>
      </c>
    </row>
    <row r="61" spans="1:11" x14ac:dyDescent="0.3">
      <c r="A61" t="s">
        <v>130</v>
      </c>
      <c r="B61" s="115">
        <v>15600000</v>
      </c>
      <c r="C61" s="115">
        <v>2500000</v>
      </c>
      <c r="E61" t="s">
        <v>129</v>
      </c>
      <c r="H61" t="s">
        <v>131</v>
      </c>
      <c r="I61" s="115">
        <v>12000000</v>
      </c>
    </row>
    <row r="62" spans="1:11" x14ac:dyDescent="0.3">
      <c r="A62" t="s">
        <v>132</v>
      </c>
      <c r="B62" s="115">
        <v>15000000</v>
      </c>
      <c r="C62" s="115">
        <v>2000000</v>
      </c>
      <c r="E62" t="s">
        <v>129</v>
      </c>
      <c r="H62" t="s">
        <v>133</v>
      </c>
      <c r="I62" s="115">
        <v>14000000</v>
      </c>
    </row>
    <row r="63" spans="1:11" x14ac:dyDescent="0.3">
      <c r="A63" t="s">
        <v>134</v>
      </c>
      <c r="B63" s="115">
        <v>15000000</v>
      </c>
      <c r="C63" s="115">
        <v>1850000</v>
      </c>
      <c r="E63" t="s">
        <v>129</v>
      </c>
      <c r="H63" t="s">
        <v>135</v>
      </c>
      <c r="I63" s="115">
        <v>14000000</v>
      </c>
    </row>
    <row r="64" spans="1:11" x14ac:dyDescent="0.3">
      <c r="A64" t="s">
        <v>136</v>
      </c>
      <c r="B64" s="115">
        <v>12000000</v>
      </c>
      <c r="C64" s="115">
        <v>1200000</v>
      </c>
      <c r="E64" t="s">
        <v>129</v>
      </c>
      <c r="H64" t="s">
        <v>126</v>
      </c>
      <c r="I64" s="115">
        <v>17000000</v>
      </c>
    </row>
    <row r="65" spans="1:9" x14ac:dyDescent="0.3">
      <c r="A65" t="s">
        <v>137</v>
      </c>
      <c r="B65" s="115">
        <v>16800000</v>
      </c>
      <c r="C65" s="115">
        <v>2000000</v>
      </c>
      <c r="E65" t="s">
        <v>129</v>
      </c>
      <c r="H65" t="s">
        <v>137</v>
      </c>
      <c r="I65" s="115">
        <v>14000000</v>
      </c>
    </row>
    <row r="66" spans="1:9" x14ac:dyDescent="0.3">
      <c r="A66" t="s">
        <v>138</v>
      </c>
      <c r="B66" s="115">
        <v>15720000</v>
      </c>
      <c r="C66" s="115">
        <v>3500000</v>
      </c>
    </row>
    <row r="67" spans="1:9" x14ac:dyDescent="0.3">
      <c r="A67" t="s">
        <v>139</v>
      </c>
      <c r="C67" s="115">
        <v>2800000</v>
      </c>
    </row>
    <row r="68" spans="1:9" x14ac:dyDescent="0.3">
      <c r="A68" t="s">
        <v>140</v>
      </c>
      <c r="B68">
        <v>0</v>
      </c>
      <c r="C68" s="115">
        <v>0</v>
      </c>
      <c r="D68" t="s">
        <v>141</v>
      </c>
    </row>
    <row r="70" spans="1:9" x14ac:dyDescent="0.3">
      <c r="B70" s="160" t="s">
        <v>142</v>
      </c>
      <c r="C70" s="160"/>
    </row>
    <row r="71" spans="1:9" x14ac:dyDescent="0.3">
      <c r="B71" s="115">
        <v>7000000</v>
      </c>
    </row>
    <row r="73" spans="1:9" x14ac:dyDescent="0.3">
      <c r="A73" s="166" t="s">
        <v>143</v>
      </c>
      <c r="B73" s="15"/>
    </row>
    <row r="74" spans="1:9" x14ac:dyDescent="0.3">
      <c r="A74" t="s">
        <v>144</v>
      </c>
    </row>
    <row r="75" spans="1:9" x14ac:dyDescent="0.3">
      <c r="A75" t="s">
        <v>145</v>
      </c>
      <c r="B75" s="115">
        <v>36000000</v>
      </c>
    </row>
    <row r="76" spans="1:9" x14ac:dyDescent="0.3">
      <c r="A76" t="s">
        <v>146</v>
      </c>
      <c r="B76" s="115">
        <v>42000000</v>
      </c>
    </row>
    <row r="77" spans="1:9" x14ac:dyDescent="0.3">
      <c r="A77" t="s">
        <v>147</v>
      </c>
      <c r="B77" s="115">
        <v>48000000</v>
      </c>
    </row>
    <row r="79" spans="1:9" x14ac:dyDescent="0.3">
      <c r="A79" t="s">
        <v>148</v>
      </c>
    </row>
    <row r="80" spans="1:9" x14ac:dyDescent="0.3">
      <c r="A80" t="s">
        <v>149</v>
      </c>
      <c r="B80" s="115">
        <v>75000000</v>
      </c>
    </row>
    <row r="81" spans="1:2" x14ac:dyDescent="0.3">
      <c r="A81" t="s">
        <v>147</v>
      </c>
      <c r="B81" s="115">
        <v>95000000</v>
      </c>
    </row>
  </sheetData>
  <mergeCells count="3">
    <mergeCell ref="J47:J48"/>
    <mergeCell ref="K47:K48"/>
    <mergeCell ref="B49:B51"/>
  </mergeCells>
  <phoneticPr fontId="27" type="noConversion"/>
  <conditionalFormatting sqref="B43:K43 C9:C11 E9:K11 P5 S5 U5">
    <cfRule type="cellIs" dxfId="13" priority="16" operator="lessThan">
      <formula>0</formula>
    </cfRule>
  </conditionalFormatting>
  <conditionalFormatting sqref="B38:K38 C36:K36 C12:D14 C5:K8 F12:K14 C37:R37">
    <cfRule type="cellIs" dxfId="12" priority="15" operator="lessThan">
      <formula>0</formula>
    </cfRule>
  </conditionalFormatting>
  <conditionalFormatting sqref="C15:F17">
    <cfRule type="cellIs" dxfId="11" priority="13" operator="lessThan">
      <formula>0</formula>
    </cfRule>
  </conditionalFormatting>
  <conditionalFormatting sqref="G15:L17">
    <cfRule type="cellIs" dxfId="10" priority="12" operator="lessThan">
      <formula>0</formula>
    </cfRule>
  </conditionalFormatting>
  <conditionalFormatting sqref="C18:D20 H18:M20">
    <cfRule type="cellIs" dxfId="9" priority="10" operator="lessThan">
      <formula>0</formula>
    </cfRule>
  </conditionalFormatting>
  <conditionalFormatting sqref="C21:F23">
    <cfRule type="cellIs" dxfId="8" priority="9" operator="lessThan">
      <formula>0</formula>
    </cfRule>
  </conditionalFormatting>
  <conditionalFormatting sqref="J21:O23">
    <cfRule type="cellIs" dxfId="7" priority="8" operator="lessThan">
      <formula>0</formula>
    </cfRule>
  </conditionalFormatting>
  <conditionalFormatting sqref="C24:F26">
    <cfRule type="cellIs" dxfId="6" priority="7" operator="lessThan">
      <formula>0</formula>
    </cfRule>
  </conditionalFormatting>
  <conditionalFormatting sqref="H24:M26">
    <cfRule type="cellIs" dxfId="5" priority="6" operator="lessThan">
      <formula>0</formula>
    </cfRule>
  </conditionalFormatting>
  <conditionalFormatting sqref="C30:D32 L30:Q32">
    <cfRule type="cellIs" dxfId="4" priority="5" operator="lessThan">
      <formula>0</formula>
    </cfRule>
  </conditionalFormatting>
  <conditionalFormatting sqref="C33:F35">
    <cfRule type="cellIs" dxfId="3" priority="4" operator="lessThan">
      <formula>0</formula>
    </cfRule>
  </conditionalFormatting>
  <conditionalFormatting sqref="M33:R35">
    <cfRule type="cellIs" dxfId="2" priority="3" operator="lessThan">
      <formula>0</formula>
    </cfRule>
  </conditionalFormatting>
  <conditionalFormatting sqref="C27:F29">
    <cfRule type="cellIs" dxfId="1" priority="2" operator="lessThan">
      <formula>0</formula>
    </cfRule>
  </conditionalFormatting>
  <conditionalFormatting sqref="J27:O29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35A444-9E89-420B-B763-543A4D7DAD48}">
  <dimension ref="A2:M21"/>
  <sheetViews>
    <sheetView workbookViewId="0">
      <selection activeCell="F18" sqref="A2:F18"/>
    </sheetView>
  </sheetViews>
  <sheetFormatPr defaultRowHeight="14.4" x14ac:dyDescent="0.3"/>
  <cols>
    <col min="1" max="1" width="26.296875" style="175" customWidth="1"/>
    <col min="2" max="2" width="11.59765625" style="175" customWidth="1"/>
    <col min="3" max="3" width="12.59765625" style="175" customWidth="1"/>
    <col min="4" max="4" width="8" style="175" customWidth="1"/>
    <col min="5" max="5" width="14.5" style="175" bestFit="1" customWidth="1"/>
    <col min="6" max="6" width="14.296875" style="175" customWidth="1"/>
    <col min="7" max="7" width="8.796875" style="175"/>
    <col min="8" max="8" width="10.796875" style="175" bestFit="1" customWidth="1"/>
    <col min="9" max="16384" width="8.796875" style="175"/>
  </cols>
  <sheetData>
    <row r="2" spans="1:13" x14ac:dyDescent="0.3">
      <c r="A2" s="325" t="s">
        <v>158</v>
      </c>
      <c r="B2" s="325"/>
      <c r="C2" s="325"/>
      <c r="D2" s="325"/>
      <c r="E2" s="325"/>
      <c r="F2" s="325"/>
      <c r="G2" s="174"/>
      <c r="H2" s="174"/>
      <c r="I2" s="174"/>
      <c r="J2" s="174"/>
      <c r="K2" s="174"/>
      <c r="L2" s="174"/>
      <c r="M2" s="174"/>
    </row>
    <row r="3" spans="1:13" x14ac:dyDescent="0.3">
      <c r="A3" s="176" t="s">
        <v>159</v>
      </c>
      <c r="B3" s="176" t="s">
        <v>160</v>
      </c>
      <c r="C3" s="176" t="s">
        <v>161</v>
      </c>
      <c r="D3" s="177"/>
      <c r="G3" s="174"/>
      <c r="H3" s="174"/>
      <c r="I3" s="174"/>
      <c r="J3" s="174"/>
      <c r="K3" s="174"/>
      <c r="L3" s="174"/>
      <c r="M3" s="174"/>
    </row>
    <row r="4" spans="1:13" x14ac:dyDescent="0.3">
      <c r="A4" s="178" t="s">
        <v>163</v>
      </c>
      <c r="B4" s="179">
        <v>44986</v>
      </c>
      <c r="C4" s="179">
        <v>46811</v>
      </c>
      <c r="D4" s="180"/>
      <c r="E4" s="181"/>
      <c r="F4" s="182"/>
      <c r="G4" s="174"/>
      <c r="H4" s="174"/>
      <c r="I4" s="174"/>
      <c r="J4" s="174"/>
      <c r="K4" s="174"/>
      <c r="L4" s="174"/>
      <c r="M4" s="174"/>
    </row>
    <row r="5" spans="1:13" x14ac:dyDescent="0.3">
      <c r="A5" s="178" t="s">
        <v>192</v>
      </c>
      <c r="B5" s="179">
        <v>45131</v>
      </c>
      <c r="C5" s="179">
        <v>45496</v>
      </c>
      <c r="D5" s="180"/>
      <c r="E5" s="181"/>
      <c r="F5" s="182"/>
      <c r="G5" s="174"/>
      <c r="H5" s="174"/>
      <c r="I5" s="174"/>
      <c r="J5" s="174"/>
      <c r="K5" s="174"/>
      <c r="L5" s="174"/>
      <c r="M5" s="174"/>
    </row>
    <row r="6" spans="1:13" x14ac:dyDescent="0.3">
      <c r="A6" s="178" t="s">
        <v>193</v>
      </c>
      <c r="B6" s="179">
        <v>44998</v>
      </c>
      <c r="C6" s="179">
        <v>45363</v>
      </c>
      <c r="D6" s="180"/>
      <c r="G6" s="174"/>
      <c r="H6" s="174"/>
      <c r="I6" s="174"/>
      <c r="J6" s="174"/>
      <c r="K6" s="174"/>
      <c r="L6" s="174"/>
      <c r="M6" s="174"/>
    </row>
    <row r="7" spans="1:13" x14ac:dyDescent="0.3">
      <c r="A7" s="178" t="s">
        <v>194</v>
      </c>
      <c r="B7" s="179">
        <v>44998</v>
      </c>
      <c r="C7" s="179">
        <v>45363</v>
      </c>
      <c r="D7" s="180"/>
      <c r="G7" s="174"/>
      <c r="H7" s="174"/>
      <c r="I7" s="174"/>
      <c r="J7" s="174"/>
      <c r="K7" s="174"/>
      <c r="L7" s="174"/>
      <c r="M7" s="174"/>
    </row>
    <row r="8" spans="1:13" x14ac:dyDescent="0.3">
      <c r="A8" s="183"/>
      <c r="G8" s="174"/>
      <c r="H8" s="174"/>
      <c r="I8" s="174"/>
      <c r="J8" s="174"/>
      <c r="K8" s="174"/>
      <c r="L8" s="174"/>
      <c r="M8" s="174"/>
    </row>
    <row r="9" spans="1:13" x14ac:dyDescent="0.3">
      <c r="A9" s="174"/>
      <c r="B9" s="176" t="s">
        <v>160</v>
      </c>
      <c r="C9" s="176" t="s">
        <v>161</v>
      </c>
      <c r="D9" s="176" t="s">
        <v>162</v>
      </c>
      <c r="E9" s="184"/>
      <c r="F9" s="184"/>
      <c r="G9" s="174"/>
      <c r="H9" s="174"/>
      <c r="I9" s="174"/>
      <c r="J9" s="174"/>
      <c r="K9" s="174"/>
      <c r="L9" s="174"/>
      <c r="M9" s="174"/>
    </row>
    <row r="10" spans="1:13" ht="13.8" customHeight="1" x14ac:dyDescent="0.3">
      <c r="A10" s="174" t="s">
        <v>294</v>
      </c>
      <c r="B10" s="174"/>
      <c r="C10" s="174"/>
      <c r="D10" s="174"/>
      <c r="E10" s="174"/>
      <c r="F10" s="174"/>
      <c r="G10" s="174"/>
      <c r="H10" s="174"/>
      <c r="I10" s="174"/>
      <c r="J10" s="174"/>
      <c r="K10" s="174"/>
      <c r="L10" s="174"/>
      <c r="M10" s="174"/>
    </row>
    <row r="11" spans="1:13" x14ac:dyDescent="0.3">
      <c r="A11" s="174" t="s">
        <v>163</v>
      </c>
      <c r="B11" s="179">
        <v>44998</v>
      </c>
      <c r="C11" s="179">
        <v>45363</v>
      </c>
      <c r="D11" s="185">
        <f>C11-B11</f>
        <v>365</v>
      </c>
      <c r="E11" s="186">
        <v>221671200</v>
      </c>
      <c r="F11" s="187">
        <f>E11/365*D11</f>
        <v>221671200</v>
      </c>
      <c r="G11" s="174"/>
      <c r="H11" s="174"/>
      <c r="I11" s="174"/>
      <c r="J11" s="174"/>
      <c r="K11" s="174"/>
      <c r="L11" s="174"/>
      <c r="M11" s="174"/>
    </row>
    <row r="12" spans="1:13" x14ac:dyDescent="0.3">
      <c r="A12" s="174" t="s">
        <v>192</v>
      </c>
      <c r="B12" s="179">
        <v>45131</v>
      </c>
      <c r="C12" s="179">
        <v>45363</v>
      </c>
      <c r="D12" s="185">
        <f>C12-B12</f>
        <v>232</v>
      </c>
      <c r="E12" s="186">
        <v>190000000</v>
      </c>
      <c r="F12" s="187">
        <f>E12/365*D12</f>
        <v>120767123.28767124</v>
      </c>
      <c r="G12" s="174"/>
      <c r="H12" s="174"/>
      <c r="I12" s="174"/>
      <c r="J12" s="174"/>
      <c r="K12" s="174"/>
      <c r="L12" s="174"/>
      <c r="M12" s="174"/>
    </row>
    <row r="13" spans="1:13" x14ac:dyDescent="0.3">
      <c r="A13" s="174" t="s">
        <v>193</v>
      </c>
      <c r="B13" s="179">
        <v>44998</v>
      </c>
      <c r="C13" s="179">
        <v>45363</v>
      </c>
      <c r="D13" s="185">
        <f t="shared" ref="D13:D16" si="0">C13-B13</f>
        <v>365</v>
      </c>
      <c r="E13" s="205">
        <v>25000000</v>
      </c>
      <c r="F13" s="187">
        <f>-E13/365*D13</f>
        <v>-25000000</v>
      </c>
      <c r="G13" s="174"/>
      <c r="H13" s="174"/>
      <c r="I13" s="174"/>
      <c r="J13" s="174"/>
      <c r="K13" s="174"/>
      <c r="L13" s="174"/>
      <c r="M13" s="174"/>
    </row>
    <row r="14" spans="1:13" x14ac:dyDescent="0.3">
      <c r="A14" s="174" t="s">
        <v>194</v>
      </c>
      <c r="B14" s="179">
        <v>45131</v>
      </c>
      <c r="C14" s="179">
        <v>45363</v>
      </c>
      <c r="D14" s="185">
        <f t="shared" si="0"/>
        <v>232</v>
      </c>
      <c r="E14" s="205">
        <v>20000000</v>
      </c>
      <c r="F14" s="187">
        <f>-E14/365*D14</f>
        <v>-12712328.767123288</v>
      </c>
      <c r="G14" s="174"/>
      <c r="H14" s="174"/>
      <c r="I14" s="174"/>
      <c r="J14" s="174"/>
      <c r="K14" s="174"/>
      <c r="L14" s="174"/>
      <c r="M14" s="174"/>
    </row>
    <row r="15" spans="1:13" x14ac:dyDescent="0.3">
      <c r="A15" s="174" t="s">
        <v>191</v>
      </c>
      <c r="B15" s="179">
        <v>44998</v>
      </c>
      <c r="C15" s="179">
        <v>45363</v>
      </c>
      <c r="D15" s="185">
        <f t="shared" si="0"/>
        <v>365</v>
      </c>
      <c r="E15" s="205">
        <v>7000000</v>
      </c>
      <c r="F15" s="187">
        <f t="shared" ref="F15:F16" si="1">-E15/365*D15</f>
        <v>-7000000</v>
      </c>
      <c r="G15" s="174"/>
      <c r="H15" s="174"/>
      <c r="I15" s="174"/>
      <c r="J15" s="174"/>
      <c r="K15" s="174"/>
      <c r="L15" s="174"/>
      <c r="M15" s="174"/>
    </row>
    <row r="16" spans="1:13" x14ac:dyDescent="0.3">
      <c r="A16" s="174" t="s">
        <v>164</v>
      </c>
      <c r="B16" s="179">
        <v>44998</v>
      </c>
      <c r="C16" s="179">
        <v>45363</v>
      </c>
      <c r="D16" s="185">
        <f t="shared" si="0"/>
        <v>365</v>
      </c>
      <c r="E16" s="205">
        <v>48000000</v>
      </c>
      <c r="F16" s="187">
        <f t="shared" si="1"/>
        <v>-47999999.999999993</v>
      </c>
      <c r="G16" s="174"/>
      <c r="H16" s="174"/>
      <c r="I16" s="174"/>
      <c r="J16" s="174"/>
      <c r="K16" s="174"/>
      <c r="L16" s="174"/>
      <c r="M16" s="174"/>
    </row>
    <row r="17" spans="1:13" x14ac:dyDescent="0.3">
      <c r="A17" s="174" t="s">
        <v>165</v>
      </c>
      <c r="B17" s="174"/>
      <c r="C17" s="174"/>
      <c r="D17" s="174"/>
      <c r="E17" s="188">
        <v>100000000</v>
      </c>
      <c r="F17" s="189"/>
      <c r="G17" s="174"/>
      <c r="H17" s="174"/>
      <c r="I17" s="174"/>
      <c r="J17" s="174"/>
      <c r="K17" s="174"/>
      <c r="L17" s="174"/>
      <c r="M17" s="174"/>
    </row>
    <row r="18" spans="1:13" x14ac:dyDescent="0.3">
      <c r="A18" s="174" t="s">
        <v>166</v>
      </c>
      <c r="B18" s="174"/>
      <c r="C18" s="174"/>
      <c r="D18" s="174"/>
      <c r="E18" s="174"/>
      <c r="F18" s="187">
        <f>SUM(F11:F17)</f>
        <v>249725994.52054793</v>
      </c>
      <c r="G18" s="174"/>
      <c r="H18" s="174"/>
      <c r="I18" s="174"/>
      <c r="J18" s="174"/>
      <c r="K18" s="174"/>
      <c r="L18" s="174"/>
      <c r="M18" s="174"/>
    </row>
    <row r="19" spans="1:13" x14ac:dyDescent="0.3">
      <c r="A19" s="174"/>
      <c r="B19" s="174"/>
      <c r="C19" s="174"/>
      <c r="D19" s="174"/>
      <c r="E19" s="174"/>
      <c r="F19" s="174"/>
      <c r="G19" s="174"/>
      <c r="H19" s="174"/>
      <c r="I19" s="174"/>
      <c r="J19" s="174"/>
      <c r="K19" s="174"/>
      <c r="L19" s="174"/>
      <c r="M19" s="174"/>
    </row>
    <row r="21" spans="1:13" x14ac:dyDescent="0.3">
      <c r="A21" s="207" t="s">
        <v>195</v>
      </c>
      <c r="B21" s="208" t="s">
        <v>196</v>
      </c>
      <c r="C21" s="208" t="s">
        <v>197</v>
      </c>
      <c r="E21" s="209">
        <v>699785000</v>
      </c>
      <c r="G21" s="207" t="s">
        <v>198</v>
      </c>
    </row>
  </sheetData>
  <mergeCells count="1">
    <mergeCell ref="A2:F2"/>
  </mergeCells>
  <pageMargins left="0.4" right="0.21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A7239-23E5-46C8-A70F-BC6BE914A67B}">
  <dimension ref="A1:E24"/>
  <sheetViews>
    <sheetView workbookViewId="0">
      <selection activeCell="C21" sqref="A1:D21"/>
    </sheetView>
  </sheetViews>
  <sheetFormatPr defaultRowHeight="14.4" x14ac:dyDescent="0.3"/>
  <cols>
    <col min="1" max="1" width="6" style="190" customWidth="1"/>
    <col min="2" max="2" width="21.09765625" style="190" customWidth="1"/>
    <col min="3" max="3" width="31.296875" style="190" customWidth="1"/>
    <col min="4" max="4" width="32.8984375" style="190" customWidth="1"/>
    <col min="5" max="16384" width="8.796875" style="190"/>
  </cols>
  <sheetData>
    <row r="1" spans="1:5" ht="15" customHeight="1" x14ac:dyDescent="0.35">
      <c r="B1" s="174"/>
      <c r="C1" s="191" t="s">
        <v>167</v>
      </c>
      <c r="D1" s="191"/>
    </row>
    <row r="2" spans="1:5" x14ac:dyDescent="0.3">
      <c r="B2" s="174"/>
      <c r="C2" s="174"/>
      <c r="D2" s="174"/>
    </row>
    <row r="3" spans="1:5" x14ac:dyDescent="0.3">
      <c r="B3" s="192" t="s">
        <v>168</v>
      </c>
      <c r="C3" s="193" t="s">
        <v>169</v>
      </c>
      <c r="D3" s="193"/>
    </row>
    <row r="4" spans="1:5" x14ac:dyDescent="0.3">
      <c r="B4" s="192" t="s">
        <v>170</v>
      </c>
      <c r="C4" s="193" t="s">
        <v>171</v>
      </c>
      <c r="D4" s="193"/>
    </row>
    <row r="5" spans="1:5" x14ac:dyDescent="0.3">
      <c r="B5" s="192" t="s">
        <v>172</v>
      </c>
      <c r="C5" s="193" t="s">
        <v>173</v>
      </c>
      <c r="D5" s="193"/>
    </row>
    <row r="6" spans="1:5" x14ac:dyDescent="0.3">
      <c r="B6" s="192" t="s">
        <v>174</v>
      </c>
      <c r="C6" s="193" t="s">
        <v>175</v>
      </c>
      <c r="D6" s="193"/>
    </row>
    <row r="7" spans="1:5" x14ac:dyDescent="0.3">
      <c r="B7" s="192" t="s">
        <v>176</v>
      </c>
      <c r="C7" s="193" t="s">
        <v>177</v>
      </c>
      <c r="D7" s="193"/>
    </row>
    <row r="8" spans="1:5" ht="15" thickBot="1" x14ac:dyDescent="0.35"/>
    <row r="9" spans="1:5" ht="15" customHeight="1" x14ac:dyDescent="0.3">
      <c r="A9" s="332" t="s">
        <v>178</v>
      </c>
      <c r="B9" s="330" t="s">
        <v>179</v>
      </c>
      <c r="C9" s="330" t="s">
        <v>180</v>
      </c>
      <c r="D9" s="330" t="s">
        <v>107</v>
      </c>
      <c r="E9" s="194"/>
    </row>
    <row r="10" spans="1:5" ht="15.75" customHeight="1" thickBot="1" x14ac:dyDescent="0.35">
      <c r="A10" s="333"/>
      <c r="B10" s="331"/>
      <c r="C10" s="331"/>
      <c r="D10" s="331"/>
      <c r="E10" s="194"/>
    </row>
    <row r="11" spans="1:5" ht="15" thickBot="1" x14ac:dyDescent="0.35">
      <c r="A11" s="195" t="s">
        <v>181</v>
      </c>
      <c r="B11" s="196" t="s">
        <v>182</v>
      </c>
      <c r="C11" s="196" t="s">
        <v>183</v>
      </c>
      <c r="D11" s="196" t="str">
        <f>C11</f>
        <v xml:space="preserve">IBC  </v>
      </c>
      <c r="E11" s="194"/>
    </row>
    <row r="12" spans="1:5" ht="33" customHeight="1" thickBot="1" x14ac:dyDescent="0.35">
      <c r="A12" s="195" t="s">
        <v>184</v>
      </c>
      <c r="B12" s="197" t="s">
        <v>185</v>
      </c>
      <c r="C12" s="198" t="s">
        <v>186</v>
      </c>
      <c r="D12" s="198" t="str">
        <f>C12</f>
        <v xml:space="preserve"> 308  titik antenna, RBS room 40 m2, Pole sesuai kebutuhan operator</v>
      </c>
      <c r="E12" s="194"/>
    </row>
    <row r="13" spans="1:5" ht="15" thickBot="1" x14ac:dyDescent="0.35">
      <c r="A13" s="326" t="s">
        <v>187</v>
      </c>
      <c r="B13" s="197" t="s">
        <v>213</v>
      </c>
      <c r="C13" s="197" t="s">
        <v>188</v>
      </c>
      <c r="D13" s="197" t="s">
        <v>256</v>
      </c>
      <c r="E13" s="194"/>
    </row>
    <row r="14" spans="1:5" ht="15" thickBot="1" x14ac:dyDescent="0.35">
      <c r="A14" s="327"/>
      <c r="B14" s="197" t="s">
        <v>214</v>
      </c>
      <c r="C14" s="197" t="s">
        <v>219</v>
      </c>
      <c r="D14" s="197" t="s">
        <v>226</v>
      </c>
      <c r="E14" s="194"/>
    </row>
    <row r="15" spans="1:5" ht="15" thickBot="1" x14ac:dyDescent="0.35">
      <c r="A15" s="326" t="s">
        <v>189</v>
      </c>
      <c r="B15" s="197" t="s">
        <v>215</v>
      </c>
      <c r="C15" s="199">
        <v>200000000</v>
      </c>
      <c r="D15" s="199">
        <v>25000000</v>
      </c>
      <c r="E15" s="194"/>
    </row>
    <row r="16" spans="1:5" ht="16.2" customHeight="1" thickBot="1" x14ac:dyDescent="0.35">
      <c r="A16" s="334"/>
      <c r="B16" s="197" t="s">
        <v>216</v>
      </c>
      <c r="C16" s="199">
        <v>40000000</v>
      </c>
      <c r="D16" s="199">
        <f>D15</f>
        <v>25000000</v>
      </c>
      <c r="E16" s="194"/>
    </row>
    <row r="17" spans="1:5" ht="16.2" customHeight="1" thickBot="1" x14ac:dyDescent="0.35">
      <c r="A17" s="334"/>
      <c r="B17" s="197" t="s">
        <v>217</v>
      </c>
      <c r="C17" s="199">
        <v>100000000</v>
      </c>
      <c r="D17" s="199">
        <v>20000000</v>
      </c>
      <c r="E17" s="194"/>
    </row>
    <row r="18" spans="1:5" ht="16.2" customHeight="1" thickBot="1" x14ac:dyDescent="0.35">
      <c r="A18" s="334"/>
      <c r="B18" s="197" t="s">
        <v>218</v>
      </c>
      <c r="C18" s="199">
        <f>C17/5</f>
        <v>20000000</v>
      </c>
      <c r="D18" s="199">
        <f>D17</f>
        <v>20000000</v>
      </c>
      <c r="E18" s="194"/>
    </row>
    <row r="19" spans="1:5" ht="16.2" customHeight="1" thickBot="1" x14ac:dyDescent="0.35">
      <c r="A19" s="326">
        <v>5</v>
      </c>
      <c r="B19" s="197" t="s">
        <v>220</v>
      </c>
      <c r="C19" s="199" t="s">
        <v>222</v>
      </c>
      <c r="D19" s="199" t="s">
        <v>225</v>
      </c>
      <c r="E19" s="194"/>
    </row>
    <row r="20" spans="1:5" ht="15" thickBot="1" x14ac:dyDescent="0.35">
      <c r="A20" s="327"/>
      <c r="B20" s="197" t="s">
        <v>221</v>
      </c>
      <c r="C20" s="199" t="s">
        <v>223</v>
      </c>
      <c r="D20" s="199" t="s">
        <v>227</v>
      </c>
      <c r="E20" s="194"/>
    </row>
    <row r="21" spans="1:5" ht="15" thickBot="1" x14ac:dyDescent="0.35">
      <c r="A21" s="195">
        <v>6</v>
      </c>
      <c r="B21" s="197" t="s">
        <v>224</v>
      </c>
      <c r="C21" s="328" t="s">
        <v>228</v>
      </c>
      <c r="D21" s="329"/>
      <c r="E21" s="194"/>
    </row>
    <row r="22" spans="1:5" ht="15.6" x14ac:dyDescent="0.3">
      <c r="A22" s="200"/>
    </row>
    <row r="23" spans="1:5" ht="15.6" x14ac:dyDescent="0.3">
      <c r="A23" s="200"/>
      <c r="B23" s="201"/>
      <c r="D23" s="296"/>
    </row>
    <row r="24" spans="1:5" ht="18.600000000000001" x14ac:dyDescent="0.3">
      <c r="A24" s="202"/>
      <c r="B24" s="201"/>
    </row>
  </sheetData>
  <mergeCells count="8">
    <mergeCell ref="A19:A20"/>
    <mergeCell ref="C21:D21"/>
    <mergeCell ref="D9:D10"/>
    <mergeCell ref="A13:A14"/>
    <mergeCell ref="A9:A10"/>
    <mergeCell ref="B9:B10"/>
    <mergeCell ref="C9:C10"/>
    <mergeCell ref="A15:A18"/>
  </mergeCells>
  <pageMargins left="0.16" right="0.16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590AA-34D8-4CFA-BE7D-937072A1890F}">
  <dimension ref="A1:W50"/>
  <sheetViews>
    <sheetView zoomScale="130" zoomScaleNormal="130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G1" sqref="G1"/>
    </sheetView>
  </sheetViews>
  <sheetFormatPr defaultColWidth="8.19921875" defaultRowHeight="14.4" x14ac:dyDescent="0.3"/>
  <cols>
    <col min="1" max="1" width="3.296875" style="213" bestFit="1" customWidth="1"/>
    <col min="2" max="2" width="11.5" style="213" bestFit="1" customWidth="1"/>
    <col min="3" max="3" width="14.296875" style="213" customWidth="1"/>
    <col min="4" max="4" width="34.296875" style="213" customWidth="1"/>
    <col min="5" max="5" width="8.3984375" style="213" bestFit="1" customWidth="1"/>
    <col min="6" max="8" width="11.3984375" style="213" customWidth="1"/>
    <col min="9" max="9" width="10.296875" style="213" bestFit="1" customWidth="1"/>
    <col min="10" max="10" width="12.296875" style="213" bestFit="1" customWidth="1"/>
    <col min="11" max="11" width="22.296875" style="213" customWidth="1"/>
    <col min="12" max="12" width="9.19921875" style="213" bestFit="1" customWidth="1"/>
    <col min="13" max="13" width="14.3984375" style="213" bestFit="1" customWidth="1"/>
    <col min="14" max="16384" width="8.19921875" style="213"/>
  </cols>
  <sheetData>
    <row r="1" spans="1:13" s="212" customFormat="1" ht="22.95" customHeight="1" x14ac:dyDescent="0.3">
      <c r="A1" s="210" t="s">
        <v>199</v>
      </c>
      <c r="B1" s="211"/>
      <c r="C1" s="211"/>
      <c r="D1" s="211"/>
      <c r="E1" s="211"/>
      <c r="F1" s="211"/>
      <c r="G1" s="342"/>
      <c r="H1" s="211"/>
      <c r="I1" s="211"/>
      <c r="J1" s="211"/>
      <c r="L1" s="213"/>
      <c r="M1" s="213"/>
    </row>
    <row r="2" spans="1:13" x14ac:dyDescent="0.3">
      <c r="A2" s="214" t="s">
        <v>200</v>
      </c>
      <c r="B2" s="214" t="s">
        <v>201</v>
      </c>
      <c r="C2" s="214" t="s">
        <v>202</v>
      </c>
      <c r="D2" s="214" t="s">
        <v>203</v>
      </c>
      <c r="E2" s="214" t="s">
        <v>204</v>
      </c>
      <c r="F2" s="214" t="s">
        <v>205</v>
      </c>
      <c r="G2" s="214" t="s">
        <v>206</v>
      </c>
      <c r="H2" s="214" t="s">
        <v>207</v>
      </c>
      <c r="I2" s="214" t="s">
        <v>208</v>
      </c>
      <c r="J2" s="214" t="s">
        <v>13</v>
      </c>
    </row>
    <row r="3" spans="1:13" x14ac:dyDescent="0.3">
      <c r="A3" s="215">
        <v>1</v>
      </c>
      <c r="B3" s="216">
        <v>4220000072</v>
      </c>
      <c r="C3" s="217">
        <v>43640</v>
      </c>
      <c r="D3" s="218" t="s">
        <v>209</v>
      </c>
      <c r="E3" s="219">
        <v>43466</v>
      </c>
      <c r="F3" s="220">
        <v>18250000</v>
      </c>
      <c r="G3" s="220">
        <f>F3</f>
        <v>18250000</v>
      </c>
      <c r="H3" s="220"/>
      <c r="I3" s="220">
        <f t="shared" ref="I3:I7" si="0">F3*10%</f>
        <v>1825000</v>
      </c>
      <c r="J3" s="220">
        <f>G3+H3+I3</f>
        <v>20075000</v>
      </c>
      <c r="K3" s="213" t="s">
        <v>210</v>
      </c>
      <c r="L3" s="254">
        <f>G3/125000</f>
        <v>146</v>
      </c>
    </row>
    <row r="4" spans="1:13" x14ac:dyDescent="0.3">
      <c r="A4" s="215">
        <v>2</v>
      </c>
      <c r="B4" s="216">
        <v>4220000073</v>
      </c>
      <c r="C4" s="217">
        <v>43640</v>
      </c>
      <c r="D4" s="218" t="s">
        <v>209</v>
      </c>
      <c r="E4" s="219">
        <v>43497</v>
      </c>
      <c r="F4" s="220">
        <v>13375000</v>
      </c>
      <c r="G4" s="220">
        <f>F4</f>
        <v>13375000</v>
      </c>
      <c r="H4" s="220"/>
      <c r="I4" s="220">
        <f t="shared" si="0"/>
        <v>1337500</v>
      </c>
      <c r="J4" s="220">
        <f t="shared" ref="J4:J47" si="1">G4+H4+I4</f>
        <v>14712500</v>
      </c>
      <c r="K4" s="213" t="s">
        <v>210</v>
      </c>
      <c r="L4" s="254">
        <f t="shared" ref="L4:M5" si="2">G4/125000</f>
        <v>107</v>
      </c>
    </row>
    <row r="5" spans="1:13" x14ac:dyDescent="0.3">
      <c r="A5" s="215">
        <v>3</v>
      </c>
      <c r="B5" s="216">
        <v>4220000079</v>
      </c>
      <c r="C5" s="217">
        <v>43656</v>
      </c>
      <c r="D5" s="218" t="s">
        <v>209</v>
      </c>
      <c r="E5" s="219">
        <v>43525</v>
      </c>
      <c r="F5" s="220">
        <v>13375000</v>
      </c>
      <c r="G5" s="220">
        <f>F5-H5</f>
        <v>4738636</v>
      </c>
      <c r="H5" s="220">
        <v>8636364</v>
      </c>
      <c r="I5" s="220">
        <f t="shared" si="0"/>
        <v>1337500</v>
      </c>
      <c r="J5" s="220">
        <f t="shared" si="1"/>
        <v>14712500</v>
      </c>
      <c r="K5" s="213" t="s">
        <v>211</v>
      </c>
      <c r="L5" s="254">
        <f t="shared" si="2"/>
        <v>37.909087999999997</v>
      </c>
      <c r="M5" s="254">
        <f t="shared" si="2"/>
        <v>69.090912000000003</v>
      </c>
    </row>
    <row r="6" spans="1:13" x14ac:dyDescent="0.3">
      <c r="A6" s="215">
        <v>4</v>
      </c>
      <c r="B6" s="216">
        <v>4220000080</v>
      </c>
      <c r="C6" s="217">
        <v>43656</v>
      </c>
      <c r="D6" s="218" t="s">
        <v>209</v>
      </c>
      <c r="E6" s="219">
        <v>43556</v>
      </c>
      <c r="F6" s="220">
        <v>13250000</v>
      </c>
      <c r="G6" s="220"/>
      <c r="H6" s="220">
        <f>F6</f>
        <v>13250000</v>
      </c>
      <c r="I6" s="220">
        <f t="shared" si="0"/>
        <v>1325000</v>
      </c>
      <c r="J6" s="220">
        <f t="shared" si="1"/>
        <v>14575000</v>
      </c>
      <c r="K6" s="254">
        <f t="shared" ref="K6:K11" si="3">H6/125000</f>
        <v>106</v>
      </c>
    </row>
    <row r="7" spans="1:13" x14ac:dyDescent="0.3">
      <c r="A7" s="215">
        <v>5</v>
      </c>
      <c r="B7" s="216">
        <v>4220000081</v>
      </c>
      <c r="C7" s="217">
        <v>43656</v>
      </c>
      <c r="D7" s="218" t="s">
        <v>209</v>
      </c>
      <c r="E7" s="219">
        <v>43586</v>
      </c>
      <c r="F7" s="220">
        <v>13250000</v>
      </c>
      <c r="G7" s="220"/>
      <c r="H7" s="220">
        <f t="shared" ref="H7:H47" si="4">F7</f>
        <v>13250000</v>
      </c>
      <c r="I7" s="220">
        <f t="shared" si="0"/>
        <v>1325000</v>
      </c>
      <c r="J7" s="220">
        <f t="shared" si="1"/>
        <v>14575000</v>
      </c>
      <c r="K7" s="254">
        <f t="shared" si="3"/>
        <v>106</v>
      </c>
    </row>
    <row r="8" spans="1:13" x14ac:dyDescent="0.3">
      <c r="A8" s="215">
        <v>6</v>
      </c>
      <c r="B8" s="216">
        <v>4220000125</v>
      </c>
      <c r="C8" s="217">
        <v>43860</v>
      </c>
      <c r="D8" s="218" t="s">
        <v>209</v>
      </c>
      <c r="E8" s="219">
        <v>43617</v>
      </c>
      <c r="F8" s="221">
        <v>13375000</v>
      </c>
      <c r="G8" s="221"/>
      <c r="H8" s="220">
        <f t="shared" si="4"/>
        <v>13375000</v>
      </c>
      <c r="I8" s="220">
        <f>F8*10%</f>
        <v>1337500</v>
      </c>
      <c r="J8" s="220">
        <f t="shared" si="1"/>
        <v>14712500</v>
      </c>
      <c r="K8" s="254">
        <f t="shared" si="3"/>
        <v>107</v>
      </c>
    </row>
    <row r="9" spans="1:13" x14ac:dyDescent="0.3">
      <c r="A9" s="215">
        <v>7</v>
      </c>
      <c r="B9" s="216">
        <v>4220000126</v>
      </c>
      <c r="C9" s="217">
        <v>43860</v>
      </c>
      <c r="D9" s="218" t="s">
        <v>209</v>
      </c>
      <c r="E9" s="219">
        <v>43647</v>
      </c>
      <c r="F9" s="221">
        <v>13500000</v>
      </c>
      <c r="G9" s="221"/>
      <c r="H9" s="220">
        <f t="shared" si="4"/>
        <v>13500000</v>
      </c>
      <c r="I9" s="220">
        <f t="shared" ref="I9:I35" si="5">F9*10%</f>
        <v>1350000</v>
      </c>
      <c r="J9" s="220">
        <f t="shared" si="1"/>
        <v>14850000</v>
      </c>
      <c r="K9" s="254">
        <f t="shared" si="3"/>
        <v>108</v>
      </c>
    </row>
    <row r="10" spans="1:13" x14ac:dyDescent="0.3">
      <c r="A10" s="215">
        <v>8</v>
      </c>
      <c r="B10" s="216">
        <v>4220000127</v>
      </c>
      <c r="C10" s="217">
        <v>43860</v>
      </c>
      <c r="D10" s="218" t="s">
        <v>209</v>
      </c>
      <c r="E10" s="219">
        <v>43678</v>
      </c>
      <c r="F10" s="221">
        <v>13500000</v>
      </c>
      <c r="G10" s="221"/>
      <c r="H10" s="220">
        <f t="shared" si="4"/>
        <v>13500000</v>
      </c>
      <c r="I10" s="220">
        <f t="shared" si="5"/>
        <v>1350000</v>
      </c>
      <c r="J10" s="220">
        <f t="shared" si="1"/>
        <v>14850000</v>
      </c>
      <c r="K10" s="254">
        <f t="shared" si="3"/>
        <v>108</v>
      </c>
    </row>
    <row r="11" spans="1:13" x14ac:dyDescent="0.3">
      <c r="A11" s="215">
        <v>9</v>
      </c>
      <c r="B11" s="216">
        <v>4220000137</v>
      </c>
      <c r="C11" s="217">
        <v>43903</v>
      </c>
      <c r="D11" s="218" t="s">
        <v>209</v>
      </c>
      <c r="E11" s="219">
        <v>43709</v>
      </c>
      <c r="F11" s="221">
        <v>20375000</v>
      </c>
      <c r="G11" s="221"/>
      <c r="H11" s="220">
        <f t="shared" si="4"/>
        <v>20375000</v>
      </c>
      <c r="I11" s="220">
        <f t="shared" si="5"/>
        <v>2037500</v>
      </c>
      <c r="J11" s="220">
        <f t="shared" si="1"/>
        <v>22412500</v>
      </c>
      <c r="K11" s="254">
        <f t="shared" si="3"/>
        <v>163</v>
      </c>
    </row>
    <row r="12" spans="1:13" x14ac:dyDescent="0.3">
      <c r="A12" s="215">
        <v>10</v>
      </c>
      <c r="B12" s="222">
        <v>4220000138</v>
      </c>
      <c r="C12" s="219">
        <v>43903</v>
      </c>
      <c r="D12" s="218" t="s">
        <v>209</v>
      </c>
      <c r="E12" s="219">
        <v>43739</v>
      </c>
      <c r="F12" s="223">
        <v>14625000</v>
      </c>
      <c r="G12" s="223"/>
      <c r="H12" s="220">
        <f t="shared" si="4"/>
        <v>14625000</v>
      </c>
      <c r="I12" s="220">
        <f t="shared" si="5"/>
        <v>1462500</v>
      </c>
      <c r="J12" s="220">
        <f t="shared" si="1"/>
        <v>16087500</v>
      </c>
      <c r="K12" s="254">
        <f>H12/125000</f>
        <v>117</v>
      </c>
    </row>
    <row r="13" spans="1:13" x14ac:dyDescent="0.3">
      <c r="A13" s="215">
        <v>11</v>
      </c>
      <c r="B13" s="222">
        <v>4220000139</v>
      </c>
      <c r="C13" s="219">
        <v>43903</v>
      </c>
      <c r="D13" s="218" t="s">
        <v>209</v>
      </c>
      <c r="E13" s="219">
        <v>43770</v>
      </c>
      <c r="F13" s="223">
        <v>14250000</v>
      </c>
      <c r="G13" s="223"/>
      <c r="H13" s="220">
        <f t="shared" si="4"/>
        <v>14250000</v>
      </c>
      <c r="I13" s="220">
        <f t="shared" si="5"/>
        <v>1425000</v>
      </c>
      <c r="J13" s="220">
        <f t="shared" si="1"/>
        <v>15675000</v>
      </c>
      <c r="K13" s="254">
        <f t="shared" ref="K13:K47" si="6">H13/125000</f>
        <v>114</v>
      </c>
    </row>
    <row r="14" spans="1:13" x14ac:dyDescent="0.3">
      <c r="A14" s="215">
        <v>12</v>
      </c>
      <c r="B14" s="222">
        <v>4220000140</v>
      </c>
      <c r="C14" s="219">
        <v>43903</v>
      </c>
      <c r="D14" s="218" t="s">
        <v>209</v>
      </c>
      <c r="E14" s="219">
        <v>43800</v>
      </c>
      <c r="F14" s="223">
        <v>14125000</v>
      </c>
      <c r="G14" s="223"/>
      <c r="H14" s="220">
        <f t="shared" si="4"/>
        <v>14125000</v>
      </c>
      <c r="I14" s="220">
        <f t="shared" si="5"/>
        <v>1412500</v>
      </c>
      <c r="J14" s="220">
        <f t="shared" si="1"/>
        <v>15537500</v>
      </c>
      <c r="K14" s="254">
        <f t="shared" si="6"/>
        <v>113</v>
      </c>
    </row>
    <row r="15" spans="1:13" x14ac:dyDescent="0.3">
      <c r="A15" s="215">
        <v>13</v>
      </c>
      <c r="B15" s="222">
        <v>4220000164</v>
      </c>
      <c r="C15" s="219">
        <v>43998</v>
      </c>
      <c r="D15" s="218" t="s">
        <v>209</v>
      </c>
      <c r="E15" s="219">
        <v>43831</v>
      </c>
      <c r="F15" s="223">
        <v>13750000</v>
      </c>
      <c r="G15" s="223"/>
      <c r="H15" s="220">
        <f t="shared" si="4"/>
        <v>13750000</v>
      </c>
      <c r="I15" s="220">
        <f t="shared" si="5"/>
        <v>1375000</v>
      </c>
      <c r="J15" s="220">
        <f t="shared" si="1"/>
        <v>15125000</v>
      </c>
      <c r="K15" s="254">
        <f t="shared" si="6"/>
        <v>110</v>
      </c>
    </row>
    <row r="16" spans="1:13" x14ac:dyDescent="0.3">
      <c r="A16" s="215">
        <v>14</v>
      </c>
      <c r="B16" s="222">
        <v>4220000165</v>
      </c>
      <c r="C16" s="219">
        <v>43998</v>
      </c>
      <c r="D16" s="218" t="s">
        <v>209</v>
      </c>
      <c r="E16" s="219">
        <v>43862</v>
      </c>
      <c r="F16" s="223">
        <v>13625000</v>
      </c>
      <c r="G16" s="223"/>
      <c r="H16" s="220">
        <f t="shared" si="4"/>
        <v>13625000</v>
      </c>
      <c r="I16" s="220">
        <f t="shared" si="5"/>
        <v>1362500</v>
      </c>
      <c r="J16" s="220">
        <f t="shared" si="1"/>
        <v>14987500</v>
      </c>
      <c r="K16" s="254">
        <f t="shared" si="6"/>
        <v>109</v>
      </c>
    </row>
    <row r="17" spans="1:23" x14ac:dyDescent="0.3">
      <c r="A17" s="215">
        <v>15</v>
      </c>
      <c r="B17" s="222">
        <v>4220000166</v>
      </c>
      <c r="C17" s="219">
        <v>43998</v>
      </c>
      <c r="D17" s="218" t="s">
        <v>209</v>
      </c>
      <c r="E17" s="219">
        <v>43891</v>
      </c>
      <c r="F17" s="223">
        <v>13625000</v>
      </c>
      <c r="G17" s="223"/>
      <c r="H17" s="220">
        <f t="shared" si="4"/>
        <v>13625000</v>
      </c>
      <c r="I17" s="220">
        <f t="shared" si="5"/>
        <v>1362500</v>
      </c>
      <c r="J17" s="220">
        <f t="shared" si="1"/>
        <v>14987500</v>
      </c>
      <c r="K17" s="254">
        <f t="shared" si="6"/>
        <v>109</v>
      </c>
    </row>
    <row r="18" spans="1:23" x14ac:dyDescent="0.3">
      <c r="A18" s="215">
        <v>16</v>
      </c>
      <c r="B18" s="222">
        <v>4220000193</v>
      </c>
      <c r="C18" s="219">
        <v>44062</v>
      </c>
      <c r="D18" s="218" t="s">
        <v>209</v>
      </c>
      <c r="E18" s="219">
        <v>43922</v>
      </c>
      <c r="F18" s="223">
        <v>13875000</v>
      </c>
      <c r="G18" s="223"/>
      <c r="H18" s="220">
        <f t="shared" si="4"/>
        <v>13875000</v>
      </c>
      <c r="I18" s="220">
        <f t="shared" si="5"/>
        <v>1387500</v>
      </c>
      <c r="J18" s="220">
        <f t="shared" si="1"/>
        <v>15262500</v>
      </c>
      <c r="K18" s="254">
        <f t="shared" si="6"/>
        <v>111</v>
      </c>
    </row>
    <row r="19" spans="1:23" x14ac:dyDescent="0.3">
      <c r="A19" s="215">
        <v>17</v>
      </c>
      <c r="B19" s="222">
        <v>4220000192</v>
      </c>
      <c r="C19" s="219">
        <v>44062</v>
      </c>
      <c r="D19" s="218" t="s">
        <v>209</v>
      </c>
      <c r="E19" s="219">
        <v>43952</v>
      </c>
      <c r="F19" s="223">
        <v>13750000</v>
      </c>
      <c r="G19" s="223"/>
      <c r="H19" s="220">
        <f t="shared" si="4"/>
        <v>13750000</v>
      </c>
      <c r="I19" s="220">
        <f t="shared" si="5"/>
        <v>1375000</v>
      </c>
      <c r="J19" s="220">
        <f t="shared" si="1"/>
        <v>15125000</v>
      </c>
      <c r="K19" s="254">
        <f t="shared" si="6"/>
        <v>110</v>
      </c>
    </row>
    <row r="20" spans="1:23" x14ac:dyDescent="0.3">
      <c r="A20" s="215">
        <v>18</v>
      </c>
      <c r="B20" s="222">
        <v>4220000194</v>
      </c>
      <c r="C20" s="219">
        <v>44062</v>
      </c>
      <c r="D20" s="218" t="s">
        <v>209</v>
      </c>
      <c r="E20" s="219">
        <v>43983</v>
      </c>
      <c r="F20" s="223">
        <v>13750000</v>
      </c>
      <c r="G20" s="223"/>
      <c r="H20" s="220">
        <f t="shared" si="4"/>
        <v>13750000</v>
      </c>
      <c r="I20" s="220">
        <f t="shared" si="5"/>
        <v>1375000</v>
      </c>
      <c r="J20" s="220">
        <f t="shared" si="1"/>
        <v>15125000</v>
      </c>
      <c r="K20" s="254">
        <f t="shared" si="6"/>
        <v>110</v>
      </c>
    </row>
    <row r="21" spans="1:23" s="225" customFormat="1" x14ac:dyDescent="0.3">
      <c r="A21" s="215">
        <v>19</v>
      </c>
      <c r="B21" s="222">
        <v>4220000271</v>
      </c>
      <c r="C21" s="219">
        <v>44211</v>
      </c>
      <c r="D21" s="218" t="s">
        <v>209</v>
      </c>
      <c r="E21" s="219">
        <v>44013</v>
      </c>
      <c r="F21" s="223">
        <v>46500000</v>
      </c>
      <c r="G21" s="223"/>
      <c r="H21" s="220">
        <f t="shared" si="4"/>
        <v>46500000</v>
      </c>
      <c r="I21" s="220">
        <f t="shared" si="5"/>
        <v>4650000</v>
      </c>
      <c r="J21" s="220">
        <f t="shared" si="1"/>
        <v>51150000</v>
      </c>
      <c r="K21" s="254">
        <f t="shared" si="6"/>
        <v>372</v>
      </c>
      <c r="L21" s="213"/>
      <c r="M21" s="213"/>
      <c r="N21" s="213"/>
      <c r="O21" s="213"/>
      <c r="P21" s="213"/>
      <c r="Q21" s="213"/>
      <c r="R21" s="213"/>
      <c r="S21" s="213"/>
      <c r="T21" s="213"/>
      <c r="U21" s="213"/>
      <c r="V21" s="213"/>
      <c r="W21" s="224"/>
    </row>
    <row r="22" spans="1:23" s="225" customFormat="1" x14ac:dyDescent="0.3">
      <c r="A22" s="215">
        <v>20</v>
      </c>
      <c r="B22" s="222">
        <v>4220000272</v>
      </c>
      <c r="C22" s="219">
        <v>44211</v>
      </c>
      <c r="D22" s="218" t="s">
        <v>209</v>
      </c>
      <c r="E22" s="219">
        <v>44044</v>
      </c>
      <c r="F22" s="223">
        <v>15000000</v>
      </c>
      <c r="G22" s="223"/>
      <c r="H22" s="220">
        <f t="shared" si="4"/>
        <v>15000000</v>
      </c>
      <c r="I22" s="220">
        <f t="shared" si="5"/>
        <v>1500000</v>
      </c>
      <c r="J22" s="220">
        <f t="shared" si="1"/>
        <v>16500000</v>
      </c>
      <c r="K22" s="254">
        <f t="shared" si="6"/>
        <v>120</v>
      </c>
      <c r="L22" s="213"/>
      <c r="M22" s="213"/>
      <c r="N22" s="213"/>
      <c r="O22" s="213"/>
      <c r="P22" s="213"/>
      <c r="Q22" s="213"/>
      <c r="R22" s="213"/>
      <c r="S22" s="213"/>
      <c r="T22" s="213"/>
      <c r="U22" s="213"/>
      <c r="V22" s="213"/>
      <c r="W22" s="224"/>
    </row>
    <row r="23" spans="1:23" s="225" customFormat="1" x14ac:dyDescent="0.3">
      <c r="A23" s="215">
        <v>21</v>
      </c>
      <c r="B23" s="222">
        <v>4220000273</v>
      </c>
      <c r="C23" s="219">
        <v>44211</v>
      </c>
      <c r="D23" s="218" t="s">
        <v>209</v>
      </c>
      <c r="E23" s="219">
        <v>44075</v>
      </c>
      <c r="F23" s="223">
        <v>15000000</v>
      </c>
      <c r="G23" s="223"/>
      <c r="H23" s="220">
        <f t="shared" si="4"/>
        <v>15000000</v>
      </c>
      <c r="I23" s="220">
        <f t="shared" si="5"/>
        <v>1500000</v>
      </c>
      <c r="J23" s="220">
        <f t="shared" si="1"/>
        <v>16500000</v>
      </c>
      <c r="K23" s="254">
        <f t="shared" si="6"/>
        <v>120</v>
      </c>
      <c r="L23" s="213"/>
      <c r="M23" s="213"/>
      <c r="N23" s="213"/>
      <c r="O23" s="213"/>
      <c r="P23" s="213"/>
      <c r="Q23" s="213"/>
      <c r="R23" s="213"/>
      <c r="S23" s="213"/>
      <c r="T23" s="213"/>
      <c r="U23" s="213"/>
      <c r="V23" s="213"/>
      <c r="W23" s="224"/>
    </row>
    <row r="24" spans="1:23" s="225" customFormat="1" x14ac:dyDescent="0.3">
      <c r="A24" s="215">
        <v>22</v>
      </c>
      <c r="B24" s="226">
        <v>4220000296</v>
      </c>
      <c r="C24" s="219">
        <v>44243</v>
      </c>
      <c r="D24" s="218" t="s">
        <v>209</v>
      </c>
      <c r="E24" s="219">
        <v>44105</v>
      </c>
      <c r="F24" s="223">
        <v>15000000</v>
      </c>
      <c r="G24" s="223"/>
      <c r="H24" s="220">
        <f t="shared" si="4"/>
        <v>15000000</v>
      </c>
      <c r="I24" s="220">
        <f t="shared" si="5"/>
        <v>1500000</v>
      </c>
      <c r="J24" s="220">
        <f t="shared" si="1"/>
        <v>16500000</v>
      </c>
      <c r="K24" s="254">
        <f t="shared" si="6"/>
        <v>120</v>
      </c>
      <c r="L24" s="213"/>
      <c r="M24" s="213"/>
      <c r="N24" s="213"/>
      <c r="O24" s="213"/>
      <c r="P24" s="213"/>
      <c r="Q24" s="213"/>
      <c r="R24" s="213"/>
      <c r="S24" s="213"/>
      <c r="T24" s="213"/>
      <c r="U24" s="213"/>
      <c r="V24" s="213"/>
      <c r="W24" s="224"/>
    </row>
    <row r="25" spans="1:23" s="225" customFormat="1" x14ac:dyDescent="0.3">
      <c r="A25" s="215">
        <v>23</v>
      </c>
      <c r="B25" s="226">
        <v>4220000297</v>
      </c>
      <c r="C25" s="219">
        <v>44243</v>
      </c>
      <c r="D25" s="218" t="s">
        <v>209</v>
      </c>
      <c r="E25" s="219">
        <v>44136</v>
      </c>
      <c r="F25" s="223">
        <v>15000000</v>
      </c>
      <c r="G25" s="223"/>
      <c r="H25" s="220">
        <f t="shared" si="4"/>
        <v>15000000</v>
      </c>
      <c r="I25" s="220">
        <f t="shared" si="5"/>
        <v>1500000</v>
      </c>
      <c r="J25" s="220">
        <f t="shared" si="1"/>
        <v>16500000</v>
      </c>
      <c r="K25" s="254">
        <f t="shared" si="6"/>
        <v>120</v>
      </c>
      <c r="L25" s="213"/>
      <c r="M25" s="213"/>
      <c r="N25" s="213"/>
      <c r="O25" s="213"/>
      <c r="P25" s="213"/>
      <c r="Q25" s="213"/>
      <c r="R25" s="213"/>
      <c r="S25" s="213"/>
      <c r="T25" s="213"/>
      <c r="U25" s="213"/>
      <c r="V25" s="213"/>
      <c r="W25" s="224"/>
    </row>
    <row r="26" spans="1:23" s="225" customFormat="1" x14ac:dyDescent="0.3">
      <c r="A26" s="215">
        <v>24</v>
      </c>
      <c r="B26" s="226">
        <v>4220000298</v>
      </c>
      <c r="C26" s="219">
        <v>44243</v>
      </c>
      <c r="D26" s="218" t="s">
        <v>209</v>
      </c>
      <c r="E26" s="219">
        <v>44166</v>
      </c>
      <c r="F26" s="223">
        <v>15125000</v>
      </c>
      <c r="G26" s="223"/>
      <c r="H26" s="220">
        <f t="shared" si="4"/>
        <v>15125000</v>
      </c>
      <c r="I26" s="220">
        <f t="shared" si="5"/>
        <v>1512500</v>
      </c>
      <c r="J26" s="220">
        <f t="shared" si="1"/>
        <v>16637500</v>
      </c>
      <c r="K26" s="254">
        <f t="shared" si="6"/>
        <v>121</v>
      </c>
      <c r="L26" s="213"/>
      <c r="M26" s="213"/>
      <c r="N26" s="213"/>
      <c r="O26" s="213"/>
      <c r="P26" s="213"/>
      <c r="Q26" s="213"/>
      <c r="R26" s="213"/>
      <c r="S26" s="213"/>
      <c r="T26" s="213"/>
      <c r="U26" s="213"/>
      <c r="V26" s="213"/>
      <c r="W26" s="224"/>
    </row>
    <row r="27" spans="1:23" x14ac:dyDescent="0.3">
      <c r="A27" s="215">
        <v>25</v>
      </c>
      <c r="B27" s="222">
        <v>4220000363</v>
      </c>
      <c r="C27" s="217">
        <v>44357</v>
      </c>
      <c r="D27" s="218" t="s">
        <v>209</v>
      </c>
      <c r="E27" s="217">
        <v>44197</v>
      </c>
      <c r="F27" s="221">
        <v>15125000</v>
      </c>
      <c r="G27" s="221"/>
      <c r="H27" s="220">
        <f t="shared" si="4"/>
        <v>15125000</v>
      </c>
      <c r="I27" s="220">
        <f t="shared" si="5"/>
        <v>1512500</v>
      </c>
      <c r="J27" s="220">
        <f t="shared" si="1"/>
        <v>16637500</v>
      </c>
      <c r="K27" s="254">
        <f t="shared" si="6"/>
        <v>121</v>
      </c>
    </row>
    <row r="28" spans="1:23" x14ac:dyDescent="0.3">
      <c r="A28" s="215">
        <v>26</v>
      </c>
      <c r="B28" s="222">
        <v>4220000364</v>
      </c>
      <c r="C28" s="217">
        <v>44357</v>
      </c>
      <c r="D28" s="218" t="s">
        <v>209</v>
      </c>
      <c r="E28" s="217">
        <v>44228</v>
      </c>
      <c r="F28" s="221">
        <v>15250000</v>
      </c>
      <c r="G28" s="221"/>
      <c r="H28" s="220">
        <f t="shared" si="4"/>
        <v>15250000</v>
      </c>
      <c r="I28" s="220">
        <f t="shared" si="5"/>
        <v>1525000</v>
      </c>
      <c r="J28" s="220">
        <f t="shared" si="1"/>
        <v>16775000</v>
      </c>
      <c r="K28" s="254">
        <f t="shared" si="6"/>
        <v>122</v>
      </c>
    </row>
    <row r="29" spans="1:23" x14ac:dyDescent="0.3">
      <c r="A29" s="215">
        <v>27</v>
      </c>
      <c r="B29" s="222">
        <v>4220000365</v>
      </c>
      <c r="C29" s="217">
        <v>44357</v>
      </c>
      <c r="D29" s="218" t="s">
        <v>209</v>
      </c>
      <c r="E29" s="217">
        <v>44256</v>
      </c>
      <c r="F29" s="221">
        <v>15250000</v>
      </c>
      <c r="G29" s="221"/>
      <c r="H29" s="220">
        <f t="shared" si="4"/>
        <v>15250000</v>
      </c>
      <c r="I29" s="220">
        <f t="shared" si="5"/>
        <v>1525000</v>
      </c>
      <c r="J29" s="220">
        <f t="shared" si="1"/>
        <v>16775000</v>
      </c>
      <c r="K29" s="254">
        <f t="shared" si="6"/>
        <v>122</v>
      </c>
    </row>
    <row r="30" spans="1:23" x14ac:dyDescent="0.3">
      <c r="A30" s="215">
        <v>28</v>
      </c>
      <c r="B30" s="216">
        <v>4220000401</v>
      </c>
      <c r="C30" s="217">
        <v>44411</v>
      </c>
      <c r="D30" s="218" t="s">
        <v>209</v>
      </c>
      <c r="E30" s="217">
        <v>44287</v>
      </c>
      <c r="F30" s="221">
        <v>15250000</v>
      </c>
      <c r="G30" s="221"/>
      <c r="H30" s="220">
        <f t="shared" si="4"/>
        <v>15250000</v>
      </c>
      <c r="I30" s="220">
        <f t="shared" si="5"/>
        <v>1525000</v>
      </c>
      <c r="J30" s="220">
        <f t="shared" si="1"/>
        <v>16775000</v>
      </c>
      <c r="K30" s="254">
        <f t="shared" si="6"/>
        <v>122</v>
      </c>
    </row>
    <row r="31" spans="1:23" x14ac:dyDescent="0.3">
      <c r="A31" s="215">
        <v>29</v>
      </c>
      <c r="B31" s="216">
        <v>4220000402</v>
      </c>
      <c r="C31" s="217">
        <v>44411</v>
      </c>
      <c r="D31" s="218" t="s">
        <v>209</v>
      </c>
      <c r="E31" s="217">
        <v>44317</v>
      </c>
      <c r="F31" s="221">
        <v>15250000</v>
      </c>
      <c r="G31" s="221"/>
      <c r="H31" s="220">
        <f t="shared" si="4"/>
        <v>15250000</v>
      </c>
      <c r="I31" s="220">
        <f t="shared" si="5"/>
        <v>1525000</v>
      </c>
      <c r="J31" s="220">
        <f t="shared" si="1"/>
        <v>16775000</v>
      </c>
      <c r="K31" s="254">
        <f t="shared" si="6"/>
        <v>122</v>
      </c>
    </row>
    <row r="32" spans="1:23" x14ac:dyDescent="0.3">
      <c r="A32" s="215">
        <v>30</v>
      </c>
      <c r="B32" s="216">
        <v>4220000403</v>
      </c>
      <c r="C32" s="217">
        <v>44411</v>
      </c>
      <c r="D32" s="218" t="s">
        <v>209</v>
      </c>
      <c r="E32" s="217">
        <v>44348</v>
      </c>
      <c r="F32" s="221">
        <v>15250000</v>
      </c>
      <c r="G32" s="221"/>
      <c r="H32" s="220">
        <f t="shared" si="4"/>
        <v>15250000</v>
      </c>
      <c r="I32" s="220">
        <f t="shared" si="5"/>
        <v>1525000</v>
      </c>
      <c r="J32" s="220">
        <f t="shared" si="1"/>
        <v>16775000</v>
      </c>
      <c r="K32" s="254">
        <f t="shared" si="6"/>
        <v>122</v>
      </c>
    </row>
    <row r="33" spans="1:11" x14ac:dyDescent="0.3">
      <c r="A33" s="215">
        <v>31</v>
      </c>
      <c r="B33" s="216">
        <v>4220000466</v>
      </c>
      <c r="C33" s="227">
        <v>44503</v>
      </c>
      <c r="D33" s="218" t="s">
        <v>209</v>
      </c>
      <c r="E33" s="228">
        <v>44378</v>
      </c>
      <c r="F33" s="229">
        <v>15250000</v>
      </c>
      <c r="G33" s="229"/>
      <c r="H33" s="220">
        <f t="shared" si="4"/>
        <v>15250000</v>
      </c>
      <c r="I33" s="220">
        <f t="shared" si="5"/>
        <v>1525000</v>
      </c>
      <c r="J33" s="220">
        <f t="shared" si="1"/>
        <v>16775000</v>
      </c>
      <c r="K33" s="254">
        <f t="shared" si="6"/>
        <v>122</v>
      </c>
    </row>
    <row r="34" spans="1:11" x14ac:dyDescent="0.3">
      <c r="A34" s="215">
        <v>32</v>
      </c>
      <c r="B34" s="216">
        <v>4220000467</v>
      </c>
      <c r="C34" s="227">
        <v>44503</v>
      </c>
      <c r="D34" s="218" t="s">
        <v>209</v>
      </c>
      <c r="E34" s="228">
        <v>44409</v>
      </c>
      <c r="F34" s="229">
        <v>15250000</v>
      </c>
      <c r="G34" s="229"/>
      <c r="H34" s="220">
        <f t="shared" si="4"/>
        <v>15250000</v>
      </c>
      <c r="I34" s="220">
        <f t="shared" si="5"/>
        <v>1525000</v>
      </c>
      <c r="J34" s="220">
        <f t="shared" si="1"/>
        <v>16775000</v>
      </c>
      <c r="K34" s="254">
        <f t="shared" si="6"/>
        <v>122</v>
      </c>
    </row>
    <row r="35" spans="1:11" x14ac:dyDescent="0.3">
      <c r="A35" s="215">
        <v>33</v>
      </c>
      <c r="B35" s="216">
        <v>4220000468</v>
      </c>
      <c r="C35" s="227">
        <v>44503</v>
      </c>
      <c r="D35" s="218" t="s">
        <v>209</v>
      </c>
      <c r="E35" s="228">
        <v>44440</v>
      </c>
      <c r="F35" s="229">
        <v>15250000</v>
      </c>
      <c r="G35" s="229"/>
      <c r="H35" s="220">
        <f t="shared" si="4"/>
        <v>15250000</v>
      </c>
      <c r="I35" s="220">
        <f t="shared" si="5"/>
        <v>1525000</v>
      </c>
      <c r="J35" s="220">
        <f t="shared" si="1"/>
        <v>16775000</v>
      </c>
      <c r="K35" s="254">
        <f t="shared" si="6"/>
        <v>122</v>
      </c>
    </row>
    <row r="36" spans="1:11" x14ac:dyDescent="0.3">
      <c r="A36" s="215">
        <v>34</v>
      </c>
      <c r="B36" s="216">
        <v>4220000598</v>
      </c>
      <c r="C36" s="228">
        <v>44691</v>
      </c>
      <c r="D36" s="218" t="s">
        <v>209</v>
      </c>
      <c r="E36" s="228">
        <v>44470</v>
      </c>
      <c r="F36" s="229">
        <v>15000000</v>
      </c>
      <c r="G36" s="229"/>
      <c r="H36" s="220">
        <f t="shared" si="4"/>
        <v>15000000</v>
      </c>
      <c r="I36" s="220">
        <f>F36*11%</f>
        <v>1650000</v>
      </c>
      <c r="J36" s="220">
        <f t="shared" si="1"/>
        <v>16650000</v>
      </c>
      <c r="K36" s="254">
        <f t="shared" si="6"/>
        <v>120</v>
      </c>
    </row>
    <row r="37" spans="1:11" x14ac:dyDescent="0.3">
      <c r="A37" s="215">
        <v>35</v>
      </c>
      <c r="B37" s="216">
        <v>4220000599</v>
      </c>
      <c r="C37" s="228">
        <v>44691</v>
      </c>
      <c r="D37" s="218" t="s">
        <v>209</v>
      </c>
      <c r="E37" s="228">
        <v>44501</v>
      </c>
      <c r="F37" s="229">
        <v>12875000</v>
      </c>
      <c r="G37" s="229"/>
      <c r="H37" s="220">
        <f t="shared" si="4"/>
        <v>12875000</v>
      </c>
      <c r="I37" s="220">
        <f t="shared" ref="I37:I44" si="7">F37*11%</f>
        <v>1416250</v>
      </c>
      <c r="J37" s="220">
        <f t="shared" si="1"/>
        <v>14291250</v>
      </c>
      <c r="K37" s="254">
        <f t="shared" si="6"/>
        <v>103</v>
      </c>
    </row>
    <row r="38" spans="1:11" x14ac:dyDescent="0.3">
      <c r="A38" s="215">
        <v>36</v>
      </c>
      <c r="B38" s="216">
        <v>4220000600</v>
      </c>
      <c r="C38" s="228">
        <v>44691</v>
      </c>
      <c r="D38" s="218" t="s">
        <v>209</v>
      </c>
      <c r="E38" s="228">
        <v>44531</v>
      </c>
      <c r="F38" s="229">
        <v>12875000</v>
      </c>
      <c r="G38" s="229"/>
      <c r="H38" s="220">
        <f t="shared" si="4"/>
        <v>12875000</v>
      </c>
      <c r="I38" s="220">
        <f t="shared" si="7"/>
        <v>1416250</v>
      </c>
      <c r="J38" s="220">
        <f t="shared" si="1"/>
        <v>14291250</v>
      </c>
      <c r="K38" s="254">
        <f t="shared" si="6"/>
        <v>103</v>
      </c>
    </row>
    <row r="39" spans="1:11" x14ac:dyDescent="0.3">
      <c r="A39" s="215">
        <v>37</v>
      </c>
      <c r="B39" s="216">
        <v>4220000601</v>
      </c>
      <c r="C39" s="228">
        <v>44699</v>
      </c>
      <c r="D39" s="218" t="s">
        <v>209</v>
      </c>
      <c r="E39" s="228">
        <v>44562</v>
      </c>
      <c r="F39" s="229">
        <v>13375000</v>
      </c>
      <c r="G39" s="229"/>
      <c r="H39" s="220">
        <f t="shared" si="4"/>
        <v>13375000</v>
      </c>
      <c r="I39" s="220">
        <f t="shared" si="7"/>
        <v>1471250</v>
      </c>
      <c r="J39" s="220">
        <f t="shared" si="1"/>
        <v>14846250</v>
      </c>
      <c r="K39" s="254">
        <f t="shared" si="6"/>
        <v>107</v>
      </c>
    </row>
    <row r="40" spans="1:11" x14ac:dyDescent="0.3">
      <c r="A40" s="215">
        <v>38</v>
      </c>
      <c r="B40" s="216">
        <v>4220000602</v>
      </c>
      <c r="C40" s="228">
        <v>44699</v>
      </c>
      <c r="D40" s="218" t="s">
        <v>209</v>
      </c>
      <c r="E40" s="228">
        <v>44593</v>
      </c>
      <c r="F40" s="229">
        <v>12750000</v>
      </c>
      <c r="G40" s="229"/>
      <c r="H40" s="220">
        <f t="shared" si="4"/>
        <v>12750000</v>
      </c>
      <c r="I40" s="220">
        <f t="shared" si="7"/>
        <v>1402500</v>
      </c>
      <c r="J40" s="220">
        <f t="shared" si="1"/>
        <v>14152500</v>
      </c>
      <c r="K40" s="254">
        <f t="shared" si="6"/>
        <v>102</v>
      </c>
    </row>
    <row r="41" spans="1:11" x14ac:dyDescent="0.3">
      <c r="A41" s="215">
        <v>39</v>
      </c>
      <c r="B41" s="216">
        <v>4220000603</v>
      </c>
      <c r="C41" s="228">
        <v>44699</v>
      </c>
      <c r="D41" s="218" t="s">
        <v>209</v>
      </c>
      <c r="E41" s="228">
        <v>44621</v>
      </c>
      <c r="F41" s="229">
        <v>12750000</v>
      </c>
      <c r="G41" s="229"/>
      <c r="H41" s="220">
        <f t="shared" si="4"/>
        <v>12750000</v>
      </c>
      <c r="I41" s="220">
        <f t="shared" si="7"/>
        <v>1402500</v>
      </c>
      <c r="J41" s="220">
        <f t="shared" si="1"/>
        <v>14152500</v>
      </c>
      <c r="K41" s="254">
        <f t="shared" si="6"/>
        <v>102</v>
      </c>
    </row>
    <row r="42" spans="1:11" x14ac:dyDescent="0.3">
      <c r="A42" s="215">
        <v>40</v>
      </c>
      <c r="B42" s="216">
        <v>4220000643</v>
      </c>
      <c r="C42" s="230">
        <v>44757</v>
      </c>
      <c r="D42" s="218" t="s">
        <v>209</v>
      </c>
      <c r="E42" s="228">
        <v>44652</v>
      </c>
      <c r="F42" s="229">
        <v>12750000</v>
      </c>
      <c r="G42" s="229"/>
      <c r="H42" s="220">
        <f t="shared" si="4"/>
        <v>12750000</v>
      </c>
      <c r="I42" s="220">
        <f t="shared" si="7"/>
        <v>1402500</v>
      </c>
      <c r="J42" s="220">
        <f t="shared" si="1"/>
        <v>14152500</v>
      </c>
      <c r="K42" s="254">
        <f t="shared" si="6"/>
        <v>102</v>
      </c>
    </row>
    <row r="43" spans="1:11" x14ac:dyDescent="0.3">
      <c r="A43" s="215">
        <v>41</v>
      </c>
      <c r="B43" s="216">
        <v>4220000644</v>
      </c>
      <c r="C43" s="230">
        <v>44757</v>
      </c>
      <c r="D43" s="218" t="s">
        <v>209</v>
      </c>
      <c r="E43" s="228">
        <v>44682</v>
      </c>
      <c r="F43" s="229">
        <v>12750000</v>
      </c>
      <c r="G43" s="229"/>
      <c r="H43" s="220">
        <f t="shared" si="4"/>
        <v>12750000</v>
      </c>
      <c r="I43" s="220">
        <f t="shared" si="7"/>
        <v>1402500</v>
      </c>
      <c r="J43" s="220">
        <f t="shared" si="1"/>
        <v>14152500</v>
      </c>
      <c r="K43" s="254">
        <f t="shared" si="6"/>
        <v>102</v>
      </c>
    </row>
    <row r="44" spans="1:11" s="231" customFormat="1" x14ac:dyDescent="0.3">
      <c r="A44" s="215">
        <v>42</v>
      </c>
      <c r="B44" s="216">
        <v>4220000645</v>
      </c>
      <c r="C44" s="230">
        <v>44757</v>
      </c>
      <c r="D44" s="218" t="s">
        <v>209</v>
      </c>
      <c r="E44" s="228">
        <v>44713</v>
      </c>
      <c r="F44" s="229">
        <v>12750000</v>
      </c>
      <c r="G44" s="229"/>
      <c r="H44" s="220">
        <f t="shared" si="4"/>
        <v>12750000</v>
      </c>
      <c r="I44" s="220">
        <f t="shared" si="7"/>
        <v>1402500</v>
      </c>
      <c r="J44" s="220">
        <f t="shared" si="1"/>
        <v>14152500</v>
      </c>
      <c r="K44" s="254">
        <f t="shared" si="6"/>
        <v>102</v>
      </c>
    </row>
    <row r="45" spans="1:11" s="231" customFormat="1" x14ac:dyDescent="0.3">
      <c r="A45" s="215">
        <v>43</v>
      </c>
      <c r="B45" s="216">
        <v>4220000728</v>
      </c>
      <c r="C45" s="228">
        <v>44868</v>
      </c>
      <c r="D45" s="218" t="s">
        <v>209</v>
      </c>
      <c r="E45" s="228">
        <v>44743</v>
      </c>
      <c r="F45" s="229">
        <v>12500000</v>
      </c>
      <c r="G45" s="229"/>
      <c r="H45" s="220">
        <f t="shared" si="4"/>
        <v>12500000</v>
      </c>
      <c r="I45" s="220">
        <f>F45*11%</f>
        <v>1375000</v>
      </c>
      <c r="J45" s="220">
        <f t="shared" si="1"/>
        <v>13875000</v>
      </c>
      <c r="K45" s="254">
        <f t="shared" si="6"/>
        <v>100</v>
      </c>
    </row>
    <row r="46" spans="1:11" s="231" customFormat="1" x14ac:dyDescent="0.3">
      <c r="A46" s="215">
        <v>44</v>
      </c>
      <c r="B46" s="216">
        <v>4220000729</v>
      </c>
      <c r="C46" s="228">
        <v>44868</v>
      </c>
      <c r="D46" s="218" t="s">
        <v>209</v>
      </c>
      <c r="E46" s="228">
        <v>44774</v>
      </c>
      <c r="F46" s="229">
        <v>12375000</v>
      </c>
      <c r="G46" s="229"/>
      <c r="H46" s="220">
        <f t="shared" si="4"/>
        <v>12375000</v>
      </c>
      <c r="I46" s="220">
        <f t="shared" ref="I46:I47" si="8">F46*11%</f>
        <v>1361250</v>
      </c>
      <c r="J46" s="220">
        <f t="shared" si="1"/>
        <v>13736250</v>
      </c>
      <c r="K46" s="254">
        <f t="shared" si="6"/>
        <v>99</v>
      </c>
    </row>
    <row r="47" spans="1:11" s="231" customFormat="1" x14ac:dyDescent="0.3">
      <c r="A47" s="215">
        <v>45</v>
      </c>
      <c r="B47" s="216">
        <v>4220000730</v>
      </c>
      <c r="C47" s="228">
        <v>44868</v>
      </c>
      <c r="D47" s="218" t="s">
        <v>209</v>
      </c>
      <c r="E47" s="228">
        <v>44805</v>
      </c>
      <c r="F47" s="229">
        <v>12000000</v>
      </c>
      <c r="G47" s="229"/>
      <c r="H47" s="220">
        <f t="shared" si="4"/>
        <v>12000000</v>
      </c>
      <c r="I47" s="220">
        <f t="shared" si="8"/>
        <v>1320000</v>
      </c>
      <c r="J47" s="220">
        <f t="shared" si="1"/>
        <v>13320000</v>
      </c>
      <c r="K47" s="254">
        <f t="shared" si="6"/>
        <v>96</v>
      </c>
    </row>
    <row r="48" spans="1:11" s="231" customFormat="1" ht="13.8" x14ac:dyDescent="0.3">
      <c r="E48" s="232" t="s">
        <v>212</v>
      </c>
      <c r="F48" s="233">
        <f>SUM(F3:F47)</f>
        <v>671125000</v>
      </c>
      <c r="G48" s="233">
        <f t="shared" ref="G48:J48" si="9">SUM(G3:G47)</f>
        <v>36363636</v>
      </c>
      <c r="H48" s="233">
        <f>SUM(H3:H47)</f>
        <v>634761364</v>
      </c>
      <c r="I48" s="233">
        <f t="shared" si="9"/>
        <v>68660000</v>
      </c>
      <c r="J48" s="233">
        <f t="shared" si="9"/>
        <v>739785000</v>
      </c>
    </row>
    <row r="50" spans="8:8" x14ac:dyDescent="0.3">
      <c r="H50" s="254">
        <f>H48/120000000</f>
        <v>5.2896780333333338</v>
      </c>
    </row>
  </sheetData>
  <printOptions horizontalCentered="1"/>
  <pageMargins left="0.11811023622047245" right="0.11811023622047245" top="0.35433070866141736" bottom="0.35433070866141736" header="0.31496062992125984" footer="0.31496062992125984"/>
  <pageSetup paperSize="9" scale="94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9C40C-83FF-49B5-A976-1587E787D0ED}">
  <dimension ref="A2:J74"/>
  <sheetViews>
    <sheetView zoomScaleNormal="100" zoomScaleSheetLayoutView="82" workbookViewId="0">
      <pane xSplit="4" ySplit="4" topLeftCell="E65" activePane="bottomRight" state="frozen"/>
      <selection pane="topRight" activeCell="E1" sqref="E1"/>
      <selection pane="bottomLeft" activeCell="A5" sqref="A5"/>
      <selection pane="bottomRight" activeCell="G70" sqref="G70"/>
    </sheetView>
  </sheetViews>
  <sheetFormatPr defaultRowHeight="14.4" x14ac:dyDescent="0.3"/>
  <cols>
    <col min="1" max="1" width="3.59765625" style="258" customWidth="1"/>
    <col min="2" max="2" width="8.796875" style="258"/>
    <col min="3" max="5" width="19.19921875" style="258" customWidth="1"/>
    <col min="6" max="6" width="21.09765625" style="258" customWidth="1"/>
    <col min="7" max="7" width="19.796875" style="258" customWidth="1"/>
    <col min="8" max="8" width="11.296875" style="258" bestFit="1" customWidth="1"/>
    <col min="9" max="9" width="12.09765625" style="258" bestFit="1" customWidth="1"/>
    <col min="10" max="10" width="11.69921875" style="258" bestFit="1" customWidth="1"/>
    <col min="11" max="11" width="15.19921875" style="258" customWidth="1"/>
    <col min="12" max="16384" width="8.796875" style="258"/>
  </cols>
  <sheetData>
    <row r="2" spans="2:7" x14ac:dyDescent="0.3">
      <c r="B2" s="335" t="s">
        <v>258</v>
      </c>
      <c r="C2" s="335"/>
      <c r="D2" s="335"/>
      <c r="E2" s="335"/>
      <c r="F2" s="335"/>
      <c r="G2" s="257"/>
    </row>
    <row r="4" spans="2:7" ht="33.75" customHeight="1" x14ac:dyDescent="0.3">
      <c r="B4" s="259" t="s">
        <v>159</v>
      </c>
      <c r="C4" s="260" t="s">
        <v>259</v>
      </c>
      <c r="D4" s="260" t="s">
        <v>260</v>
      </c>
      <c r="E4" s="260" t="s">
        <v>261</v>
      </c>
      <c r="F4" s="261" t="s">
        <v>262</v>
      </c>
      <c r="G4" s="261" t="s">
        <v>263</v>
      </c>
    </row>
    <row r="5" spans="2:7" x14ac:dyDescent="0.3">
      <c r="B5" s="262" t="s">
        <v>264</v>
      </c>
      <c r="C5" s="263">
        <v>18000000</v>
      </c>
      <c r="D5" s="263">
        <f t="shared" ref="D5:D50" si="0">C5*60%</f>
        <v>10800000</v>
      </c>
      <c r="E5" s="263">
        <f>C5*40%</f>
        <v>7200000</v>
      </c>
      <c r="F5" s="263">
        <f>G5*5%</f>
        <v>183400</v>
      </c>
      <c r="G5" s="264">
        <f>3668000</f>
        <v>3668000</v>
      </c>
    </row>
    <row r="6" spans="2:7" x14ac:dyDescent="0.3">
      <c r="B6" s="265">
        <v>43466</v>
      </c>
      <c r="C6" s="266">
        <v>18250000</v>
      </c>
      <c r="D6" s="267">
        <f t="shared" si="0"/>
        <v>10950000</v>
      </c>
      <c r="E6" s="267">
        <f>C6*40%</f>
        <v>7300000</v>
      </c>
      <c r="F6" s="263">
        <f t="shared" ref="F6:F38" si="1">G6*5%</f>
        <v>213325</v>
      </c>
      <c r="G6" s="264">
        <f>4266500</f>
        <v>4266500</v>
      </c>
    </row>
    <row r="7" spans="2:7" x14ac:dyDescent="0.3">
      <c r="B7" s="265">
        <v>43497</v>
      </c>
      <c r="C7" s="266">
        <v>13375000</v>
      </c>
      <c r="D7" s="267">
        <f t="shared" si="0"/>
        <v>8025000</v>
      </c>
      <c r="E7" s="267">
        <f t="shared" ref="E7:E38" si="2">C7*40%</f>
        <v>5350000</v>
      </c>
      <c r="F7" s="263">
        <f t="shared" si="1"/>
        <v>194375</v>
      </c>
      <c r="G7" s="264">
        <f>3887500</f>
        <v>3887500</v>
      </c>
    </row>
    <row r="8" spans="2:7" x14ac:dyDescent="0.3">
      <c r="B8" s="265">
        <v>43525</v>
      </c>
      <c r="C8" s="266">
        <v>13375000</v>
      </c>
      <c r="D8" s="267">
        <f t="shared" si="0"/>
        <v>8025000</v>
      </c>
      <c r="E8" s="267">
        <f t="shared" si="2"/>
        <v>5350000</v>
      </c>
      <c r="F8" s="263">
        <f t="shared" si="1"/>
        <v>215300</v>
      </c>
      <c r="G8" s="264">
        <f>4306000</f>
        <v>4306000</v>
      </c>
    </row>
    <row r="9" spans="2:7" x14ac:dyDescent="0.3">
      <c r="B9" s="265">
        <v>43556</v>
      </c>
      <c r="C9" s="266">
        <v>13250000</v>
      </c>
      <c r="D9" s="267">
        <f t="shared" si="0"/>
        <v>7950000</v>
      </c>
      <c r="E9" s="267">
        <f t="shared" si="2"/>
        <v>5300000</v>
      </c>
      <c r="F9" s="263">
        <f t="shared" si="1"/>
        <v>213325</v>
      </c>
      <c r="G9" s="264">
        <f>4266500</f>
        <v>4266500</v>
      </c>
    </row>
    <row r="10" spans="2:7" x14ac:dyDescent="0.3">
      <c r="B10" s="265">
        <v>43586</v>
      </c>
      <c r="C10" s="266">
        <v>13250000</v>
      </c>
      <c r="D10" s="267">
        <f t="shared" si="0"/>
        <v>7950000</v>
      </c>
      <c r="E10" s="267">
        <f t="shared" si="2"/>
        <v>5300000</v>
      </c>
      <c r="F10" s="263">
        <f t="shared" si="1"/>
        <v>211350</v>
      </c>
      <c r="G10" s="264">
        <f>4227000</f>
        <v>4227000</v>
      </c>
    </row>
    <row r="11" spans="2:7" x14ac:dyDescent="0.3">
      <c r="B11" s="265">
        <v>43617</v>
      </c>
      <c r="C11" s="266">
        <v>13375000</v>
      </c>
      <c r="D11" s="267">
        <f t="shared" si="0"/>
        <v>8025000</v>
      </c>
      <c r="E11" s="267">
        <f t="shared" si="2"/>
        <v>5350000</v>
      </c>
      <c r="F11" s="263">
        <f t="shared" si="1"/>
        <v>209375</v>
      </c>
      <c r="G11" s="264">
        <f>4187500</f>
        <v>4187500</v>
      </c>
    </row>
    <row r="12" spans="2:7" x14ac:dyDescent="0.3">
      <c r="B12" s="265">
        <v>43647</v>
      </c>
      <c r="C12" s="266">
        <v>13500000</v>
      </c>
      <c r="D12" s="267">
        <f t="shared" si="0"/>
        <v>8100000</v>
      </c>
      <c r="E12" s="267">
        <f t="shared" si="2"/>
        <v>5400000</v>
      </c>
      <c r="F12" s="263">
        <f t="shared" si="1"/>
        <v>192400</v>
      </c>
      <c r="G12" s="264">
        <f>3848000</f>
        <v>3848000</v>
      </c>
    </row>
    <row r="13" spans="2:7" x14ac:dyDescent="0.3">
      <c r="B13" s="265">
        <v>43678</v>
      </c>
      <c r="C13" s="266">
        <v>13500000</v>
      </c>
      <c r="D13" s="267">
        <f t="shared" si="0"/>
        <v>8100000</v>
      </c>
      <c r="E13" s="267">
        <f t="shared" si="2"/>
        <v>5400000</v>
      </c>
      <c r="F13" s="263">
        <f t="shared" si="1"/>
        <v>211350</v>
      </c>
      <c r="G13" s="264">
        <f>4227000</f>
        <v>4227000</v>
      </c>
    </row>
    <row r="14" spans="2:7" x14ac:dyDescent="0.3">
      <c r="B14" s="265">
        <v>43709</v>
      </c>
      <c r="C14" s="266">
        <v>20375000</v>
      </c>
      <c r="D14" s="267">
        <f t="shared" si="0"/>
        <v>12225000</v>
      </c>
      <c r="E14" s="267">
        <f t="shared" si="2"/>
        <v>8150000</v>
      </c>
      <c r="F14" s="263">
        <f t="shared" si="1"/>
        <v>216350</v>
      </c>
      <c r="G14" s="264">
        <f>4327000</f>
        <v>4327000</v>
      </c>
    </row>
    <row r="15" spans="2:7" x14ac:dyDescent="0.3">
      <c r="B15" s="265">
        <v>43739</v>
      </c>
      <c r="C15" s="266">
        <v>14625000</v>
      </c>
      <c r="D15" s="267">
        <f t="shared" si="0"/>
        <v>8775000</v>
      </c>
      <c r="E15" s="267">
        <f t="shared" si="2"/>
        <v>5850000</v>
      </c>
      <c r="F15" s="263">
        <f t="shared" si="1"/>
        <v>249250</v>
      </c>
      <c r="G15" s="264">
        <f>4985000</f>
        <v>4985000</v>
      </c>
    </row>
    <row r="16" spans="2:7" x14ac:dyDescent="0.3">
      <c r="B16" s="265">
        <v>43770</v>
      </c>
      <c r="C16" s="266">
        <v>14250000</v>
      </c>
      <c r="D16" s="267">
        <f t="shared" si="0"/>
        <v>8550000</v>
      </c>
      <c r="E16" s="267">
        <f t="shared" si="2"/>
        <v>5700000</v>
      </c>
      <c r="F16" s="263">
        <f t="shared" si="1"/>
        <v>277150</v>
      </c>
      <c r="G16" s="264">
        <f>5543000</f>
        <v>5543000</v>
      </c>
    </row>
    <row r="17" spans="2:10" x14ac:dyDescent="0.3">
      <c r="B17" s="265">
        <v>43800</v>
      </c>
      <c r="C17" s="266">
        <v>14125000</v>
      </c>
      <c r="D17" s="267">
        <f t="shared" si="0"/>
        <v>8475000</v>
      </c>
      <c r="E17" s="267">
        <f t="shared" si="2"/>
        <v>5650000</v>
      </c>
      <c r="F17" s="263">
        <f t="shared" si="1"/>
        <v>298075</v>
      </c>
      <c r="G17" s="264">
        <f>5961500</f>
        <v>5961500</v>
      </c>
    </row>
    <row r="18" spans="2:10" x14ac:dyDescent="0.3">
      <c r="B18" s="265">
        <v>43831</v>
      </c>
      <c r="C18" s="266">
        <v>13750000</v>
      </c>
      <c r="D18" s="267">
        <f t="shared" si="0"/>
        <v>8250000</v>
      </c>
      <c r="E18" s="267">
        <f t="shared" si="2"/>
        <v>5500000</v>
      </c>
      <c r="F18" s="263">
        <f t="shared" si="1"/>
        <v>265175</v>
      </c>
      <c r="G18" s="264">
        <f>5303500</f>
        <v>5303500</v>
      </c>
    </row>
    <row r="19" spans="2:10" x14ac:dyDescent="0.3">
      <c r="B19" s="265">
        <v>43862</v>
      </c>
      <c r="C19" s="266">
        <v>13625000</v>
      </c>
      <c r="D19" s="267">
        <f t="shared" si="0"/>
        <v>8175000</v>
      </c>
      <c r="E19" s="267">
        <f t="shared" si="2"/>
        <v>5450000</v>
      </c>
      <c r="F19" s="263">
        <f t="shared" si="1"/>
        <v>236225</v>
      </c>
      <c r="G19" s="264">
        <f>4724500</f>
        <v>4724500</v>
      </c>
    </row>
    <row r="20" spans="2:10" x14ac:dyDescent="0.3">
      <c r="B20" s="265">
        <v>43891</v>
      </c>
      <c r="C20" s="266">
        <v>13625000</v>
      </c>
      <c r="D20" s="267">
        <f t="shared" si="0"/>
        <v>8175000</v>
      </c>
      <c r="E20" s="267">
        <f t="shared" si="2"/>
        <v>5450000</v>
      </c>
      <c r="F20" s="263">
        <f t="shared" si="1"/>
        <v>260175</v>
      </c>
      <c r="G20" s="264">
        <f>5203500</f>
        <v>5203500</v>
      </c>
      <c r="H20" s="268"/>
    </row>
    <row r="21" spans="2:10" x14ac:dyDescent="0.3">
      <c r="B21" s="265">
        <v>43922</v>
      </c>
      <c r="C21" s="269">
        <v>13875000</v>
      </c>
      <c r="D21" s="267">
        <f t="shared" si="0"/>
        <v>8325000</v>
      </c>
      <c r="E21" s="267">
        <f t="shared" si="2"/>
        <v>5550000</v>
      </c>
      <c r="F21" s="263">
        <f t="shared" si="1"/>
        <v>267150</v>
      </c>
      <c r="G21" s="264">
        <f>5343000</f>
        <v>5343000</v>
      </c>
    </row>
    <row r="22" spans="2:10" x14ac:dyDescent="0.3">
      <c r="B22" s="265" t="s">
        <v>265</v>
      </c>
      <c r="C22" s="269">
        <v>13750000</v>
      </c>
      <c r="D22" s="267">
        <f t="shared" si="0"/>
        <v>8250000</v>
      </c>
      <c r="E22" s="267">
        <f t="shared" si="2"/>
        <v>5500000</v>
      </c>
      <c r="F22" s="263">
        <f t="shared" si="1"/>
        <v>281100</v>
      </c>
      <c r="G22" s="264">
        <f>5622000</f>
        <v>5622000</v>
      </c>
    </row>
    <row r="23" spans="2:10" x14ac:dyDescent="0.3">
      <c r="B23" s="265">
        <v>43983</v>
      </c>
      <c r="C23" s="269">
        <v>13750000</v>
      </c>
      <c r="D23" s="267">
        <f t="shared" si="0"/>
        <v>8250000</v>
      </c>
      <c r="E23" s="267">
        <f t="shared" si="2"/>
        <v>5500000</v>
      </c>
      <c r="F23" s="263">
        <f t="shared" si="1"/>
        <v>274125</v>
      </c>
      <c r="G23" s="264">
        <f>5482500</f>
        <v>5482500</v>
      </c>
    </row>
    <row r="24" spans="2:10" x14ac:dyDescent="0.3">
      <c r="B24" s="265">
        <v>44013</v>
      </c>
      <c r="C24" s="269">
        <v>46500000</v>
      </c>
      <c r="D24" s="267">
        <f t="shared" si="0"/>
        <v>27900000</v>
      </c>
      <c r="E24" s="267">
        <f t="shared" si="2"/>
        <v>18600000</v>
      </c>
      <c r="F24" s="263">
        <f t="shared" si="1"/>
        <v>245175</v>
      </c>
      <c r="G24" s="264">
        <f>4903500</f>
        <v>4903500</v>
      </c>
      <c r="H24" s="270"/>
      <c r="I24" s="270"/>
      <c r="J24" s="270"/>
    </row>
    <row r="25" spans="2:10" x14ac:dyDescent="0.3">
      <c r="B25" s="265" t="s">
        <v>266</v>
      </c>
      <c r="C25" s="269">
        <v>15000000</v>
      </c>
      <c r="D25" s="267">
        <f t="shared" si="0"/>
        <v>9000000</v>
      </c>
      <c r="E25" s="267">
        <f t="shared" si="2"/>
        <v>6000000</v>
      </c>
      <c r="F25" s="263">
        <f t="shared" si="1"/>
        <v>238200</v>
      </c>
      <c r="G25" s="264">
        <f>4764000</f>
        <v>4764000</v>
      </c>
    </row>
    <row r="26" spans="2:10" x14ac:dyDescent="0.3">
      <c r="B26" s="265">
        <v>44075</v>
      </c>
      <c r="C26" s="269">
        <v>15000000</v>
      </c>
      <c r="D26" s="267">
        <f t="shared" si="0"/>
        <v>9000000</v>
      </c>
      <c r="E26" s="267">
        <f t="shared" si="2"/>
        <v>6000000</v>
      </c>
      <c r="F26" s="263">
        <f t="shared" si="1"/>
        <v>210300</v>
      </c>
      <c r="G26" s="264">
        <f>4206000</f>
        <v>4206000</v>
      </c>
    </row>
    <row r="27" spans="2:10" x14ac:dyDescent="0.3">
      <c r="B27" s="265" t="s">
        <v>267</v>
      </c>
      <c r="C27" s="269">
        <v>15000000</v>
      </c>
      <c r="D27" s="267">
        <f t="shared" si="0"/>
        <v>9000000</v>
      </c>
      <c r="E27" s="267">
        <f t="shared" si="2"/>
        <v>6000000</v>
      </c>
      <c r="F27" s="263">
        <f t="shared" si="1"/>
        <v>191125</v>
      </c>
      <c r="G27" s="264">
        <f>3822500</f>
        <v>3822500</v>
      </c>
      <c r="H27" s="270"/>
      <c r="I27" s="270"/>
      <c r="J27" s="270"/>
    </row>
    <row r="28" spans="2:10" x14ac:dyDescent="0.3">
      <c r="B28" s="265">
        <v>44136</v>
      </c>
      <c r="C28" s="269">
        <v>15000000</v>
      </c>
      <c r="D28" s="267">
        <f t="shared" si="0"/>
        <v>9000000</v>
      </c>
      <c r="E28" s="267">
        <f t="shared" si="2"/>
        <v>6000000</v>
      </c>
      <c r="F28" s="263">
        <f t="shared" si="1"/>
        <v>190900</v>
      </c>
      <c r="G28" s="264">
        <f>3818000</f>
        <v>3818000</v>
      </c>
    </row>
    <row r="29" spans="2:10" x14ac:dyDescent="0.3">
      <c r="B29" s="265" t="s">
        <v>268</v>
      </c>
      <c r="C29" s="269">
        <v>15125000</v>
      </c>
      <c r="D29" s="267">
        <f t="shared" si="0"/>
        <v>9075000</v>
      </c>
      <c r="E29" s="267">
        <f t="shared" si="2"/>
        <v>6050000</v>
      </c>
      <c r="F29" s="263">
        <f t="shared" si="1"/>
        <v>202947.75</v>
      </c>
      <c r="G29" s="264">
        <f>4058955</f>
        <v>4058955</v>
      </c>
      <c r="H29" s="268"/>
    </row>
    <row r="30" spans="2:10" ht="15.6" x14ac:dyDescent="0.3">
      <c r="B30" s="265">
        <v>44197</v>
      </c>
      <c r="C30" s="269">
        <v>15125000</v>
      </c>
      <c r="D30" s="267">
        <f t="shared" si="0"/>
        <v>9075000</v>
      </c>
      <c r="E30" s="267">
        <f t="shared" si="2"/>
        <v>6050000</v>
      </c>
      <c r="F30" s="263">
        <f t="shared" si="1"/>
        <v>232111.35</v>
      </c>
      <c r="G30" s="264">
        <f>4642227</f>
        <v>4642227</v>
      </c>
      <c r="H30" s="271"/>
      <c r="I30" s="271"/>
      <c r="J30" s="271"/>
    </row>
    <row r="31" spans="2:10" ht="15.6" x14ac:dyDescent="0.3">
      <c r="B31" s="265">
        <v>44228</v>
      </c>
      <c r="C31" s="269">
        <v>15250000</v>
      </c>
      <c r="D31" s="267">
        <f t="shared" si="0"/>
        <v>9150000</v>
      </c>
      <c r="E31" s="267">
        <f t="shared" si="2"/>
        <v>6100000</v>
      </c>
      <c r="F31" s="263">
        <f t="shared" si="1"/>
        <v>253340.90000000002</v>
      </c>
      <c r="G31" s="264">
        <f>5066818</f>
        <v>5066818</v>
      </c>
      <c r="H31" s="271"/>
    </row>
    <row r="32" spans="2:10" x14ac:dyDescent="0.3">
      <c r="B32" s="265">
        <v>44256</v>
      </c>
      <c r="C32" s="269">
        <v>15250000</v>
      </c>
      <c r="D32" s="267">
        <f t="shared" si="0"/>
        <v>9150000</v>
      </c>
      <c r="E32" s="267">
        <f t="shared" si="2"/>
        <v>6100000</v>
      </c>
      <c r="F32" s="263">
        <f t="shared" si="1"/>
        <v>267065.90000000002</v>
      </c>
      <c r="G32" s="264">
        <f>5341318</f>
        <v>5341318</v>
      </c>
      <c r="H32" s="268"/>
    </row>
    <row r="33" spans="1:10" ht="15.6" x14ac:dyDescent="0.3">
      <c r="B33" s="265">
        <v>44287</v>
      </c>
      <c r="C33" s="269">
        <v>15250000</v>
      </c>
      <c r="D33" s="267">
        <f t="shared" si="0"/>
        <v>9150000</v>
      </c>
      <c r="E33" s="267">
        <f t="shared" si="2"/>
        <v>6100000</v>
      </c>
      <c r="F33" s="263">
        <f t="shared" si="1"/>
        <v>253115.90000000002</v>
      </c>
      <c r="G33" s="264">
        <f>5062318</f>
        <v>5062318</v>
      </c>
      <c r="H33" s="271"/>
      <c r="I33" s="271"/>
      <c r="J33" s="271"/>
    </row>
    <row r="34" spans="1:10" x14ac:dyDescent="0.3">
      <c r="B34" s="265" t="s">
        <v>269</v>
      </c>
      <c r="C34" s="269">
        <v>15250000</v>
      </c>
      <c r="D34" s="267">
        <f t="shared" si="0"/>
        <v>9150000</v>
      </c>
      <c r="E34" s="267">
        <f t="shared" si="2"/>
        <v>6100000</v>
      </c>
      <c r="F34" s="263">
        <f t="shared" si="1"/>
        <v>246140.90000000002</v>
      </c>
      <c r="G34" s="264">
        <f>4922818</f>
        <v>4922818</v>
      </c>
    </row>
    <row r="35" spans="1:10" x14ac:dyDescent="0.3">
      <c r="B35" s="265" t="s">
        <v>270</v>
      </c>
      <c r="C35" s="269">
        <v>15250000</v>
      </c>
      <c r="D35" s="267">
        <f t="shared" si="0"/>
        <v>9150000</v>
      </c>
      <c r="E35" s="267">
        <f t="shared" si="2"/>
        <v>6100000</v>
      </c>
      <c r="F35" s="263">
        <f t="shared" si="1"/>
        <v>225440.90000000002</v>
      </c>
      <c r="G35" s="264">
        <f>4508818</f>
        <v>4508818</v>
      </c>
    </row>
    <row r="36" spans="1:10" x14ac:dyDescent="0.3">
      <c r="B36" s="265" t="s">
        <v>271</v>
      </c>
      <c r="C36" s="269">
        <v>15250000</v>
      </c>
      <c r="D36" s="267">
        <f t="shared" si="0"/>
        <v>9150000</v>
      </c>
      <c r="E36" s="267">
        <f t="shared" si="2"/>
        <v>6100000</v>
      </c>
      <c r="F36" s="263">
        <f t="shared" si="1"/>
        <v>357515.90925000003</v>
      </c>
      <c r="G36" s="264">
        <v>7150318.1850000005</v>
      </c>
    </row>
    <row r="37" spans="1:10" x14ac:dyDescent="0.3">
      <c r="B37" s="265" t="s">
        <v>272</v>
      </c>
      <c r="C37" s="269">
        <v>15250000</v>
      </c>
      <c r="D37" s="267">
        <f t="shared" si="0"/>
        <v>9150000</v>
      </c>
      <c r="E37" s="267">
        <f t="shared" si="2"/>
        <v>6100000</v>
      </c>
      <c r="F37" s="263">
        <f t="shared" si="1"/>
        <v>238940.90925000003</v>
      </c>
      <c r="G37" s="264">
        <v>4778818.1850000005</v>
      </c>
    </row>
    <row r="38" spans="1:10" x14ac:dyDescent="0.3">
      <c r="B38" s="265">
        <v>44440</v>
      </c>
      <c r="C38" s="269">
        <v>15250000</v>
      </c>
      <c r="D38" s="267">
        <f t="shared" si="0"/>
        <v>9150000</v>
      </c>
      <c r="E38" s="267">
        <f t="shared" si="2"/>
        <v>6100000</v>
      </c>
      <c r="F38" s="263">
        <f t="shared" si="1"/>
        <v>217036.36375000002</v>
      </c>
      <c r="G38" s="264">
        <v>4340727.2750000004</v>
      </c>
    </row>
    <row r="39" spans="1:10" x14ac:dyDescent="0.3">
      <c r="B39" s="272" t="s">
        <v>273</v>
      </c>
      <c r="C39" s="273">
        <v>15000000</v>
      </c>
      <c r="D39" s="274">
        <f t="shared" si="0"/>
        <v>9000000</v>
      </c>
      <c r="E39" s="274">
        <f>C39*40%</f>
        <v>6000000</v>
      </c>
      <c r="F39" s="274">
        <f>G39*5%</f>
        <v>224990.90925000003</v>
      </c>
      <c r="G39" s="264">
        <v>4499818.1850000005</v>
      </c>
      <c r="H39" s="275"/>
    </row>
    <row r="40" spans="1:10" x14ac:dyDescent="0.3">
      <c r="B40" s="272">
        <v>44501</v>
      </c>
      <c r="C40" s="273">
        <v>12875000</v>
      </c>
      <c r="D40" s="274">
        <f t="shared" si="0"/>
        <v>7725000</v>
      </c>
      <c r="E40" s="274">
        <f t="shared" ref="E40:E47" si="3">C40*40%</f>
        <v>5150000</v>
      </c>
      <c r="F40" s="274">
        <f t="shared" ref="F40:F47" si="4">G40*5%</f>
        <v>231965.90925000003</v>
      </c>
      <c r="G40" s="264">
        <v>4639318.1850000005</v>
      </c>
    </row>
    <row r="41" spans="1:10" x14ac:dyDescent="0.3">
      <c r="B41" s="276" t="s">
        <v>274</v>
      </c>
      <c r="C41" s="273">
        <v>12875000</v>
      </c>
      <c r="D41" s="274">
        <f t="shared" si="0"/>
        <v>7725000</v>
      </c>
      <c r="E41" s="274">
        <f t="shared" si="3"/>
        <v>5150000</v>
      </c>
      <c r="F41" s="274">
        <f t="shared" si="4"/>
        <v>238940.90925000003</v>
      </c>
      <c r="G41" s="264">
        <v>4778818.1850000005</v>
      </c>
    </row>
    <row r="42" spans="1:10" x14ac:dyDescent="0.3">
      <c r="B42" s="272">
        <v>44562</v>
      </c>
      <c r="C42" s="273">
        <v>13375000</v>
      </c>
      <c r="D42" s="274">
        <f t="shared" si="0"/>
        <v>8025000</v>
      </c>
      <c r="E42" s="274">
        <f t="shared" si="3"/>
        <v>5350000</v>
      </c>
      <c r="F42" s="274">
        <f t="shared" si="4"/>
        <v>225215.90925000003</v>
      </c>
      <c r="G42" s="264">
        <v>4504318.1850000005</v>
      </c>
    </row>
    <row r="43" spans="1:10" x14ac:dyDescent="0.3">
      <c r="B43" s="272">
        <v>44593</v>
      </c>
      <c r="C43" s="273">
        <v>12750000</v>
      </c>
      <c r="D43" s="274">
        <f t="shared" si="0"/>
        <v>7650000</v>
      </c>
      <c r="E43" s="274">
        <f t="shared" si="3"/>
        <v>5100000</v>
      </c>
      <c r="F43" s="274">
        <f t="shared" si="4"/>
        <v>225440.90925000003</v>
      </c>
      <c r="G43" s="264">
        <v>4508818.1850000005</v>
      </c>
    </row>
    <row r="44" spans="1:10" x14ac:dyDescent="0.3">
      <c r="B44" s="272">
        <v>44621</v>
      </c>
      <c r="C44" s="273">
        <v>12750000</v>
      </c>
      <c r="D44" s="274">
        <f t="shared" si="0"/>
        <v>7650000</v>
      </c>
      <c r="E44" s="274">
        <f t="shared" si="3"/>
        <v>5100000</v>
      </c>
      <c r="F44" s="274">
        <f t="shared" si="4"/>
        <v>225215.90925000003</v>
      </c>
      <c r="G44" s="264">
        <v>4504318.1850000005</v>
      </c>
    </row>
    <row r="45" spans="1:10" x14ac:dyDescent="0.3">
      <c r="B45" s="272">
        <v>44652</v>
      </c>
      <c r="C45" s="273">
        <v>12750000</v>
      </c>
      <c r="D45" s="274">
        <f t="shared" si="0"/>
        <v>7650000</v>
      </c>
      <c r="E45" s="274">
        <f t="shared" si="3"/>
        <v>5100000</v>
      </c>
      <c r="F45" s="274">
        <f t="shared" si="4"/>
        <v>218077.109018018</v>
      </c>
      <c r="G45" s="264">
        <v>4361542.1803603601</v>
      </c>
    </row>
    <row r="46" spans="1:10" x14ac:dyDescent="0.3">
      <c r="B46" s="276" t="s">
        <v>275</v>
      </c>
      <c r="C46" s="273">
        <v>12750000</v>
      </c>
      <c r="D46" s="274">
        <f t="shared" si="0"/>
        <v>7650000</v>
      </c>
      <c r="E46" s="274">
        <f t="shared" si="3"/>
        <v>5100000</v>
      </c>
      <c r="F46" s="274">
        <f t="shared" si="4"/>
        <v>206620.12703603602</v>
      </c>
      <c r="G46" s="264">
        <v>4132402.5407207203</v>
      </c>
    </row>
    <row r="47" spans="1:10" x14ac:dyDescent="0.3">
      <c r="B47" s="276" t="s">
        <v>276</v>
      </c>
      <c r="C47" s="273">
        <v>12750000</v>
      </c>
      <c r="D47" s="274">
        <f t="shared" si="0"/>
        <v>7650000</v>
      </c>
      <c r="E47" s="274">
        <f t="shared" si="3"/>
        <v>5100000</v>
      </c>
      <c r="F47" s="274">
        <f t="shared" si="4"/>
        <v>213532.28919819818</v>
      </c>
      <c r="G47" s="264">
        <v>4270645.7839639634</v>
      </c>
    </row>
    <row r="48" spans="1:10" x14ac:dyDescent="0.3">
      <c r="A48" s="336"/>
      <c r="B48" s="277">
        <v>44743</v>
      </c>
      <c r="C48" s="264">
        <v>12750000</v>
      </c>
      <c r="D48" s="274">
        <f t="shared" si="0"/>
        <v>7650000</v>
      </c>
      <c r="E48" s="274">
        <f>C48*40%</f>
        <v>5100000</v>
      </c>
      <c r="F48" s="274">
        <f>G48*5%</f>
        <v>228795.35226126114</v>
      </c>
      <c r="G48" s="264">
        <v>4575907.0452252226</v>
      </c>
    </row>
    <row r="49" spans="1:8" x14ac:dyDescent="0.3">
      <c r="A49" s="336"/>
      <c r="B49" s="278" t="s">
        <v>277</v>
      </c>
      <c r="C49" s="264">
        <v>12625000</v>
      </c>
      <c r="D49" s="274">
        <f t="shared" si="0"/>
        <v>7575000</v>
      </c>
      <c r="E49" s="274">
        <f t="shared" ref="E49:E50" si="5">C49*40%</f>
        <v>5050000</v>
      </c>
      <c r="F49" s="274">
        <f t="shared" ref="F49:F68" si="6">G49*5%</f>
        <v>235046.25316216197</v>
      </c>
      <c r="G49" s="264">
        <v>4700925.0632432392</v>
      </c>
    </row>
    <row r="50" spans="1:8" ht="33" customHeight="1" x14ac:dyDescent="0.3">
      <c r="A50" s="336"/>
      <c r="B50" s="277">
        <v>44805</v>
      </c>
      <c r="C50" s="264">
        <v>12250000</v>
      </c>
      <c r="D50" s="274">
        <f t="shared" si="0"/>
        <v>7350000</v>
      </c>
      <c r="E50" s="274">
        <f t="shared" si="5"/>
        <v>4900000</v>
      </c>
      <c r="F50" s="274">
        <f t="shared" si="6"/>
        <v>227761.26126126098</v>
      </c>
      <c r="G50" s="264">
        <v>4555225.2252252195</v>
      </c>
    </row>
    <row r="51" spans="1:8" ht="33" customHeight="1" x14ac:dyDescent="0.3">
      <c r="A51" s="279"/>
      <c r="B51" s="277">
        <v>44835</v>
      </c>
      <c r="C51" s="280" t="s">
        <v>278</v>
      </c>
      <c r="D51" s="281"/>
      <c r="E51" s="281"/>
      <c r="F51" s="274">
        <f t="shared" si="6"/>
        <v>234653.15315315302</v>
      </c>
      <c r="G51" s="264">
        <v>4693063.0630630599</v>
      </c>
      <c r="H51" s="341">
        <f>F51/G51</f>
        <v>0.05</v>
      </c>
    </row>
    <row r="52" spans="1:8" ht="33" customHeight="1" x14ac:dyDescent="0.3">
      <c r="A52" s="279"/>
      <c r="B52" s="277">
        <v>44866</v>
      </c>
      <c r="C52" s="264"/>
      <c r="D52" s="274"/>
      <c r="E52" s="274"/>
      <c r="F52" s="274">
        <f t="shared" si="6"/>
        <v>235938.98648648622</v>
      </c>
      <c r="G52" s="264">
        <v>4718779.7297297241</v>
      </c>
    </row>
    <row r="53" spans="1:8" ht="33" customHeight="1" x14ac:dyDescent="0.3">
      <c r="A53" s="279"/>
      <c r="B53" s="277">
        <v>44896</v>
      </c>
      <c r="C53" s="264"/>
      <c r="D53" s="274"/>
      <c r="E53" s="274"/>
      <c r="F53" s="274">
        <f t="shared" si="6"/>
        <v>242831.08108108083</v>
      </c>
      <c r="G53" s="264">
        <v>4856621.6216216162</v>
      </c>
    </row>
    <row r="54" spans="1:8" ht="33" customHeight="1" x14ac:dyDescent="0.3">
      <c r="A54" s="279"/>
      <c r="B54" s="277">
        <v>44927</v>
      </c>
      <c r="C54" s="264"/>
      <c r="D54" s="274"/>
      <c r="E54" s="274"/>
      <c r="F54" s="274">
        <f t="shared" si="6"/>
        <v>242608.10810810784</v>
      </c>
      <c r="G54" s="264">
        <v>4852162.1621621568</v>
      </c>
    </row>
    <row r="55" spans="1:8" ht="33" customHeight="1" x14ac:dyDescent="0.3">
      <c r="A55" s="279"/>
      <c r="B55" s="277">
        <v>44958</v>
      </c>
      <c r="C55" s="264"/>
      <c r="D55" s="274"/>
      <c r="E55" s="274"/>
      <c r="F55" s="274">
        <f t="shared" si="6"/>
        <v>249520.27027027003</v>
      </c>
      <c r="G55" s="264">
        <v>4990405.4054054003</v>
      </c>
    </row>
    <row r="56" spans="1:8" ht="33" customHeight="1" x14ac:dyDescent="0.3">
      <c r="A56" s="279"/>
      <c r="B56" s="277">
        <v>44986</v>
      </c>
      <c r="C56" s="264"/>
      <c r="D56" s="274"/>
      <c r="E56" s="274"/>
      <c r="F56" s="274">
        <f t="shared" si="6"/>
        <v>242608.10810810784</v>
      </c>
      <c r="G56" s="264">
        <v>4852162.1621621568</v>
      </c>
    </row>
    <row r="57" spans="1:8" ht="33" customHeight="1" x14ac:dyDescent="0.3">
      <c r="A57" s="279"/>
      <c r="B57" s="277">
        <v>45017</v>
      </c>
      <c r="C57" s="264"/>
      <c r="D57" s="274"/>
      <c r="E57" s="274"/>
      <c r="F57" s="274">
        <f t="shared" si="6"/>
        <v>315495.5</v>
      </c>
      <c r="G57" s="264">
        <v>6309910</v>
      </c>
    </row>
    <row r="58" spans="1:8" ht="33" customHeight="1" x14ac:dyDescent="0.3">
      <c r="A58" s="279"/>
      <c r="B58" s="277">
        <v>45047</v>
      </c>
      <c r="C58" s="264"/>
      <c r="D58" s="274"/>
      <c r="E58" s="274"/>
      <c r="F58" s="274">
        <f t="shared" si="6"/>
        <v>245608.1</v>
      </c>
      <c r="G58" s="264">
        <v>4912162</v>
      </c>
    </row>
    <row r="59" spans="1:8" ht="33" customHeight="1" x14ac:dyDescent="0.3">
      <c r="A59" s="279"/>
      <c r="B59" s="277">
        <v>45078</v>
      </c>
      <c r="C59" s="264"/>
      <c r="D59" s="274"/>
      <c r="E59" s="274"/>
      <c r="F59" s="274">
        <f t="shared" si="6"/>
        <v>333290.55000000005</v>
      </c>
      <c r="G59" s="264">
        <v>6665811</v>
      </c>
    </row>
    <row r="60" spans="1:8" ht="33" customHeight="1" x14ac:dyDescent="0.3">
      <c r="A60" s="279"/>
      <c r="B60" s="277">
        <v>45108</v>
      </c>
      <c r="C60" s="264"/>
      <c r="D60" s="274"/>
      <c r="E60" s="274"/>
      <c r="F60" s="274">
        <f t="shared" si="6"/>
        <v>251015.77500000002</v>
      </c>
      <c r="G60" s="264">
        <v>5020315.5</v>
      </c>
    </row>
    <row r="61" spans="1:8" ht="33" customHeight="1" x14ac:dyDescent="0.3">
      <c r="A61" s="279"/>
      <c r="B61" s="277">
        <v>45139</v>
      </c>
      <c r="C61" s="264"/>
      <c r="D61" s="274"/>
      <c r="E61" s="274"/>
      <c r="F61" s="274">
        <f t="shared" si="6"/>
        <v>221425.67500000002</v>
      </c>
      <c r="G61" s="264">
        <v>4428513.5</v>
      </c>
    </row>
    <row r="62" spans="1:8" ht="33" customHeight="1" x14ac:dyDescent="0.3">
      <c r="A62" s="279"/>
      <c r="B62" s="277">
        <v>45170</v>
      </c>
      <c r="C62" s="264"/>
      <c r="D62" s="274"/>
      <c r="E62" s="274"/>
      <c r="F62" s="274">
        <f t="shared" si="6"/>
        <v>312054.05</v>
      </c>
      <c r="G62" s="264">
        <v>6241081</v>
      </c>
    </row>
    <row r="63" spans="1:8" ht="33" customHeight="1" x14ac:dyDescent="0.3">
      <c r="A63" s="279"/>
      <c r="B63" s="277">
        <v>45200</v>
      </c>
      <c r="C63" s="264"/>
      <c r="D63" s="274"/>
      <c r="E63" s="274"/>
      <c r="F63" s="274">
        <f t="shared" si="6"/>
        <v>242909.90991139621</v>
      </c>
      <c r="G63" s="264">
        <v>4858198.1982279243</v>
      </c>
    </row>
    <row r="64" spans="1:8" ht="33" customHeight="1" x14ac:dyDescent="0.3">
      <c r="A64" s="279"/>
      <c r="B64" s="277">
        <v>45231</v>
      </c>
      <c r="C64" s="264"/>
      <c r="D64" s="274"/>
      <c r="E64" s="274"/>
      <c r="F64" s="274">
        <f t="shared" si="6"/>
        <v>253045.04504813059</v>
      </c>
      <c r="G64" s="264">
        <v>5060900.9009626117</v>
      </c>
    </row>
    <row r="65" spans="1:7" ht="33" customHeight="1" x14ac:dyDescent="0.3">
      <c r="A65" s="279"/>
      <c r="B65" s="277">
        <v>45261</v>
      </c>
      <c r="C65" s="264"/>
      <c r="D65" s="274"/>
      <c r="E65" s="274"/>
      <c r="F65" s="274">
        <f t="shared" si="6"/>
        <v>326626.12613813061</v>
      </c>
      <c r="G65" s="264">
        <v>6532522.5227626115</v>
      </c>
    </row>
    <row r="66" spans="1:7" ht="33" customHeight="1" x14ac:dyDescent="0.3">
      <c r="A66" s="279"/>
      <c r="B66" s="277">
        <v>45292</v>
      </c>
      <c r="C66" s="264"/>
      <c r="D66" s="274"/>
      <c r="E66" s="274"/>
      <c r="F66" s="274">
        <f t="shared" si="6"/>
        <v>229531.5315331305</v>
      </c>
      <c r="G66" s="264">
        <v>4590630.6306626098</v>
      </c>
    </row>
    <row r="67" spans="1:7" ht="33" customHeight="1" x14ac:dyDescent="0.3">
      <c r="A67" s="279"/>
      <c r="B67" s="277">
        <v>45323</v>
      </c>
      <c r="C67" s="264"/>
      <c r="D67" s="274"/>
      <c r="E67" s="274"/>
      <c r="F67" s="274">
        <f t="shared" si="6"/>
        <v>239666.66666813055</v>
      </c>
      <c r="G67" s="264">
        <v>4793333.333362611</v>
      </c>
    </row>
    <row r="68" spans="1:7" ht="33" customHeight="1" x14ac:dyDescent="0.3">
      <c r="A68" s="279"/>
      <c r="B68" s="277">
        <v>45352</v>
      </c>
      <c r="C68" s="264"/>
      <c r="D68" s="274"/>
      <c r="E68" s="274"/>
      <c r="F68" s="274">
        <f t="shared" si="6"/>
        <v>211493.24324346834</v>
      </c>
      <c r="G68" s="264">
        <v>4229864.8648693664</v>
      </c>
    </row>
    <row r="69" spans="1:7" ht="33" customHeight="1" x14ac:dyDescent="0.3">
      <c r="A69" s="279"/>
      <c r="B69" s="282"/>
      <c r="C69" s="283"/>
      <c r="D69" s="284"/>
      <c r="E69" s="284"/>
      <c r="F69" s="285"/>
      <c r="G69" s="286"/>
    </row>
    <row r="70" spans="1:7" x14ac:dyDescent="0.3">
      <c r="B70" s="287" t="s">
        <v>279</v>
      </c>
      <c r="C70" s="288">
        <f t="shared" ref="C70:F70" si="7">SUM(C5:C69)</f>
        <v>689875000</v>
      </c>
      <c r="D70" s="288">
        <f t="shared" si="7"/>
        <v>413925000</v>
      </c>
      <c r="E70" s="288">
        <f t="shared" si="7"/>
        <v>275950000</v>
      </c>
      <c r="F70" s="288">
        <f t="shared" si="7"/>
        <v>15370256.509436537</v>
      </c>
      <c r="G70" s="288">
        <f>SUM(G5:G69)</f>
        <v>307405130.1887306</v>
      </c>
    </row>
    <row r="71" spans="1:7" x14ac:dyDescent="0.3">
      <c r="G71" s="291">
        <f>G70*5%</f>
        <v>15370256.509436531</v>
      </c>
    </row>
    <row r="72" spans="1:7" x14ac:dyDescent="0.3">
      <c r="F72" s="291">
        <f>F70/64</f>
        <v>240160.25795994588</v>
      </c>
      <c r="G72" s="291">
        <f>G70/64</f>
        <v>4803205.1591989156</v>
      </c>
    </row>
    <row r="73" spans="1:7" x14ac:dyDescent="0.3">
      <c r="F73" s="291">
        <f>F72*12</f>
        <v>2881923.0955193508</v>
      </c>
    </row>
    <row r="74" spans="1:7" x14ac:dyDescent="0.3">
      <c r="A74" s="289"/>
      <c r="B74" s="289"/>
      <c r="C74" s="289"/>
      <c r="D74" s="289"/>
      <c r="E74" s="289"/>
      <c r="F74" s="290"/>
      <c r="G74" s="290"/>
    </row>
  </sheetData>
  <mergeCells count="2">
    <mergeCell ref="B2:F2"/>
    <mergeCell ref="A48:A50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6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9</vt:i4>
      </vt:variant>
    </vt:vector>
  </HeadingPairs>
  <TitlesOfParts>
    <vt:vector size="20" baseType="lpstr">
      <vt:lpstr>IRR (3)</vt:lpstr>
      <vt:lpstr>IRR (2)</vt:lpstr>
      <vt:lpstr>Summary</vt:lpstr>
      <vt:lpstr>IRR</vt:lpstr>
      <vt:lpstr>Sheet2</vt:lpstr>
      <vt:lpstr>IRR (4)</vt:lpstr>
      <vt:lpstr>PARAMETER</vt:lpstr>
      <vt:lpstr>Analisa</vt:lpstr>
      <vt:lpstr>Summary BR</vt:lpstr>
      <vt:lpstr>Tagihan IPL</vt:lpstr>
      <vt:lpstr>Rekap IPL&amp;Rev Share</vt:lpstr>
      <vt:lpstr>Analisa!Print_Area</vt:lpstr>
      <vt:lpstr>IRR!Print_Area</vt:lpstr>
      <vt:lpstr>'IRR (2)'!Print_Area</vt:lpstr>
      <vt:lpstr>'IRR (3)'!Print_Area</vt:lpstr>
      <vt:lpstr>'IRR (4)'!Print_Area</vt:lpstr>
      <vt:lpstr>'Rekap IPL&amp;Rev Share'!Print_Area</vt:lpstr>
      <vt:lpstr>Summary!Print_Area</vt:lpstr>
      <vt:lpstr>'Summary BR'!Print_Area</vt:lpstr>
      <vt:lpstr>'Tagihan IPL'!Print_Area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Subianto Kasmun</cp:lastModifiedBy>
  <cp:lastPrinted>2024-06-06T09:57:08Z</cp:lastPrinted>
  <dcterms:created xsi:type="dcterms:W3CDTF">2020-06-08T08:40:20Z</dcterms:created>
  <dcterms:modified xsi:type="dcterms:W3CDTF">2024-06-06T10:04:39Z</dcterms:modified>
</cp:coreProperties>
</file>