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6AEC522E-75BE-46FC-B957-F6C38B040E51}" xr6:coauthVersionLast="36" xr6:coauthVersionMax="36" xr10:uidLastSave="{00000000-0000-0000-0000-000000000000}"/>
  <bookViews>
    <workbookView xWindow="0" yWindow="0" windowWidth="19200" windowHeight="7550" xr2:uid="{00000000-000D-0000-FFFF-FFFF00000000}"/>
  </bookViews>
  <sheets>
    <sheet name="Summary" sheetId="8" r:id="rId1"/>
    <sheet name="IRR Approved" sheetId="1" r:id="rId2"/>
    <sheet name="PARAMETER" sheetId="5" r:id="rId3"/>
    <sheet name="SummaryBR" sheetId="10" r:id="rId4"/>
    <sheet name="Book Value" sheetId="9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3">#REF!</definedName>
    <definedName name="jk">#REF!</definedName>
    <definedName name="_xlnm.Print_Area" localSheetId="1">'IRR Approved'!$A$1:$R$69</definedName>
    <definedName name="_xlnm.Print_Area" localSheetId="0">Summary!$B$2:$N$33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5" i="1" l="1"/>
  <c r="H23" i="1"/>
  <c r="H31" i="1" l="1"/>
  <c r="I23" i="1"/>
  <c r="I30" i="1"/>
  <c r="H32" i="1"/>
  <c r="K54" i="5"/>
  <c r="K51" i="5"/>
  <c r="D45" i="5"/>
  <c r="I49" i="5"/>
  <c r="I48" i="5"/>
  <c r="I46" i="5"/>
  <c r="F13" i="1" l="1"/>
  <c r="I44" i="5" s="1"/>
  <c r="H58" i="1"/>
  <c r="J23" i="1"/>
  <c r="K23" i="1" s="1"/>
  <c r="L23" i="1" s="1"/>
  <c r="J22" i="1"/>
  <c r="L13" i="5"/>
  <c r="K13" i="5"/>
  <c r="J13" i="5"/>
  <c r="I13" i="5"/>
  <c r="H13" i="5"/>
  <c r="G13" i="5"/>
  <c r="F13" i="5"/>
  <c r="I4" i="5"/>
  <c r="H4" i="5"/>
  <c r="G4" i="5"/>
  <c r="F4" i="5"/>
  <c r="E4" i="5"/>
  <c r="D4" i="5"/>
  <c r="C4" i="5"/>
  <c r="H45" i="1"/>
  <c r="M6" i="8" l="1"/>
  <c r="T24" i="5"/>
  <c r="S24" i="5"/>
  <c r="R24" i="5"/>
  <c r="L22" i="5"/>
  <c r="L21" i="5"/>
  <c r="M20" i="5"/>
  <c r="N20" i="5" s="1"/>
  <c r="J19" i="5"/>
  <c r="J18" i="5"/>
  <c r="K17" i="5" s="1"/>
  <c r="L17" i="5" s="1"/>
  <c r="I16" i="5"/>
  <c r="I15" i="5"/>
  <c r="J14" i="5" s="1"/>
  <c r="F12" i="5"/>
  <c r="G11" i="5" s="1"/>
  <c r="H11" i="5" s="1"/>
  <c r="I11" i="5" s="1"/>
  <c r="E10" i="5"/>
  <c r="E9" i="5"/>
  <c r="F8" i="5" s="1"/>
  <c r="D7" i="5"/>
  <c r="D6" i="5"/>
  <c r="E5" i="5" s="1"/>
  <c r="C24" i="5"/>
  <c r="C3" i="5"/>
  <c r="D2" i="5" s="1"/>
  <c r="D1" i="5"/>
  <c r="E1" i="5" s="1"/>
  <c r="F1" i="5" s="1"/>
  <c r="G1" i="5" s="1"/>
  <c r="H1" i="5" s="1"/>
  <c r="I1" i="5" s="1"/>
  <c r="J1" i="5" s="1"/>
  <c r="K1" i="5" s="1"/>
  <c r="L1" i="5" s="1"/>
  <c r="M1" i="5" s="1"/>
  <c r="N1" i="5" s="1"/>
  <c r="O1" i="5" s="1"/>
  <c r="P1" i="5" s="1"/>
  <c r="Q1" i="5" s="1"/>
  <c r="R1" i="5" s="1"/>
  <c r="S1" i="5" s="1"/>
  <c r="T1" i="5" s="1"/>
  <c r="U1" i="5" s="1"/>
  <c r="V1" i="5" s="1"/>
  <c r="K14" i="5" l="1"/>
  <c r="J16" i="5"/>
  <c r="M22" i="5"/>
  <c r="M17" i="5"/>
  <c r="M19" i="5" s="1"/>
  <c r="E2" i="5"/>
  <c r="D24" i="5"/>
  <c r="O20" i="5"/>
  <c r="O22" i="5"/>
  <c r="F5" i="5"/>
  <c r="F7" i="5" s="1"/>
  <c r="E7" i="5"/>
  <c r="J11" i="5"/>
  <c r="L14" i="5"/>
  <c r="L16" i="5" s="1"/>
  <c r="G8" i="5"/>
  <c r="G10" i="5" s="1"/>
  <c r="F10" i="5"/>
  <c r="N22" i="5"/>
  <c r="K16" i="5"/>
  <c r="K19" i="5"/>
  <c r="L19" i="5"/>
  <c r="L24" i="5" l="1"/>
  <c r="J40" i="1" s="1"/>
  <c r="E24" i="5"/>
  <c r="M14" i="5"/>
  <c r="M16" i="5"/>
  <c r="M24" i="5" s="1"/>
  <c r="K40" i="1" s="1"/>
  <c r="K11" i="5"/>
  <c r="K24" i="5"/>
  <c r="I40" i="1" s="1"/>
  <c r="P20" i="5"/>
  <c r="P22" i="5" s="1"/>
  <c r="P24" i="5" s="1"/>
  <c r="N17" i="5"/>
  <c r="N19" i="5" s="1"/>
  <c r="H8" i="5"/>
  <c r="G5" i="5"/>
  <c r="G7" i="5" s="1"/>
  <c r="F2" i="5"/>
  <c r="F24" i="5"/>
  <c r="G2" i="5" l="1"/>
  <c r="O17" i="5"/>
  <c r="O19" i="5" s="1"/>
  <c r="O24" i="5" s="1"/>
  <c r="N14" i="5"/>
  <c r="N16" i="5" s="1"/>
  <c r="N24" i="5" s="1"/>
  <c r="I8" i="5"/>
  <c r="I10" i="5"/>
  <c r="Q20" i="5"/>
  <c r="Q22" i="5" s="1"/>
  <c r="Q24" i="5" s="1"/>
  <c r="L40" i="1" s="1"/>
  <c r="H10" i="5"/>
  <c r="H5" i="5"/>
  <c r="J8" i="5" l="1"/>
  <c r="J10" i="5" s="1"/>
  <c r="J24" i="5" s="1"/>
  <c r="H40" i="1" s="1"/>
  <c r="I5" i="5"/>
  <c r="J5" i="5" s="1"/>
  <c r="H2" i="5"/>
  <c r="H7" i="5"/>
  <c r="G24" i="5"/>
  <c r="H24" i="5" l="1"/>
  <c r="I7" i="5"/>
  <c r="I24" i="5" s="1"/>
  <c r="C1" i="1" l="1"/>
  <c r="K5" i="1"/>
  <c r="K3" i="1"/>
  <c r="I22" i="1"/>
  <c r="K22" i="1" s="1"/>
  <c r="L22" i="1" s="1"/>
  <c r="I32" i="1"/>
  <c r="J32" i="1" s="1"/>
  <c r="K32" i="1" s="1"/>
  <c r="L32" i="1" s="1"/>
  <c r="I24" i="1" l="1"/>
  <c r="J24" i="1" s="1"/>
  <c r="K24" i="1" l="1"/>
  <c r="L24" i="1" s="1"/>
  <c r="Q31" i="1"/>
  <c r="P31" i="1"/>
  <c r="O31" i="1"/>
  <c r="N31" i="1"/>
  <c r="M31" i="1"/>
  <c r="I31" i="1"/>
  <c r="J31" i="1" s="1"/>
  <c r="K31" i="1" s="1"/>
  <c r="L31" i="1" s="1"/>
  <c r="O30" i="1"/>
  <c r="N30" i="1"/>
  <c r="M30" i="1"/>
  <c r="Q23" i="1"/>
  <c r="P23" i="1"/>
  <c r="O23" i="1"/>
  <c r="Q22" i="1"/>
  <c r="P22" i="1"/>
  <c r="O22" i="1"/>
  <c r="N23" i="1"/>
  <c r="N22" i="1"/>
  <c r="M23" i="1"/>
  <c r="M22" i="1"/>
  <c r="F14" i="1"/>
  <c r="K14" i="1"/>
  <c r="J14" i="1"/>
  <c r="I14" i="1"/>
  <c r="F9" i="9"/>
  <c r="E6" i="9"/>
  <c r="E9" i="9" s="1"/>
  <c r="D6" i="9"/>
  <c r="D9" i="9" s="1"/>
  <c r="C6" i="9"/>
  <c r="C9" i="9" s="1"/>
  <c r="F5" i="9"/>
  <c r="F8" i="9" s="1"/>
  <c r="E5" i="9"/>
  <c r="E8" i="9" s="1"/>
  <c r="D5" i="9"/>
  <c r="D8" i="9" s="1"/>
  <c r="C5" i="9"/>
  <c r="C8" i="9" s="1"/>
  <c r="B5" i="9"/>
  <c r="B8" i="9" s="1"/>
  <c r="R24" i="1" l="1"/>
  <c r="N32" i="1"/>
  <c r="O32" i="1"/>
  <c r="R67" i="1"/>
  <c r="R26" i="1" l="1"/>
  <c r="M8" i="8"/>
  <c r="R22" i="1" l="1"/>
  <c r="R23" i="1"/>
  <c r="Q45" i="1"/>
  <c r="I45" i="1"/>
  <c r="J45" i="1"/>
  <c r="K45" i="1"/>
  <c r="L45" i="1"/>
  <c r="M45" i="1"/>
  <c r="N45" i="1"/>
  <c r="O45" i="1"/>
  <c r="P45" i="1"/>
  <c r="R14" i="1"/>
  <c r="M12" i="8" s="1"/>
  <c r="R13" i="1"/>
  <c r="M11" i="8" s="1"/>
  <c r="C76" i="5"/>
  <c r="D67" i="5"/>
  <c r="F49" i="5"/>
  <c r="H48" i="5"/>
  <c r="F48" i="5"/>
  <c r="G47" i="5"/>
  <c r="J47" i="5" s="1"/>
  <c r="F46" i="5"/>
  <c r="J46" i="5" s="1"/>
  <c r="F45" i="5"/>
  <c r="J45" i="5" l="1"/>
  <c r="R27" i="1"/>
  <c r="O6" i="8" l="1"/>
  <c r="H57" i="1" l="1"/>
  <c r="K61" i="1"/>
  <c r="J60" i="1"/>
  <c r="I59" i="1"/>
  <c r="C38" i="5" l="1"/>
  <c r="C37" i="5" s="1"/>
  <c r="C36" i="5" s="1"/>
  <c r="P30" i="1"/>
  <c r="Q30" i="1" s="1"/>
  <c r="I17" i="1"/>
  <c r="I57" i="1" s="1"/>
  <c r="J17" i="1" l="1"/>
  <c r="R30" i="1"/>
  <c r="M13" i="8" s="1"/>
  <c r="K17" i="1"/>
  <c r="J57" i="1"/>
  <c r="L17" i="1" l="1"/>
  <c r="K57" i="1"/>
  <c r="M17" i="1" l="1"/>
  <c r="L57" i="1"/>
  <c r="D38" i="5"/>
  <c r="D37" i="5" s="1"/>
  <c r="N17" i="1" l="1"/>
  <c r="M57" i="1"/>
  <c r="D36" i="5"/>
  <c r="O17" i="1" l="1"/>
  <c r="N57" i="1"/>
  <c r="E38" i="5"/>
  <c r="E36" i="5" s="1"/>
  <c r="P17" i="1" l="1"/>
  <c r="O57" i="1"/>
  <c r="F38" i="5"/>
  <c r="F36" i="5" s="1"/>
  <c r="E37" i="5"/>
  <c r="Q17" i="1" l="1"/>
  <c r="Q57" i="1" s="1"/>
  <c r="P57" i="1"/>
  <c r="G38" i="5"/>
  <c r="G36" i="5" s="1"/>
  <c r="M33" i="1" s="1"/>
  <c r="F37" i="5"/>
  <c r="G37" i="5" s="1"/>
  <c r="H38" i="5" l="1"/>
  <c r="H68" i="1"/>
  <c r="H38" i="1" s="1"/>
  <c r="R45" i="1"/>
  <c r="K60" i="1"/>
  <c r="L61" i="1"/>
  <c r="L62" i="1"/>
  <c r="M63" i="1"/>
  <c r="N64" i="1"/>
  <c r="O65" i="1"/>
  <c r="P66" i="1"/>
  <c r="R66" i="1" s="1"/>
  <c r="J59" i="1"/>
  <c r="M62" i="1" l="1"/>
  <c r="N62" i="1" s="1"/>
  <c r="O62" i="1" s="1"/>
  <c r="P62" i="1" s="1"/>
  <c r="O64" i="1"/>
  <c r="P64" i="1" s="1"/>
  <c r="N63" i="1"/>
  <c r="O63" i="1" s="1"/>
  <c r="P63" i="1" s="1"/>
  <c r="P65" i="1"/>
  <c r="R65" i="1" s="1"/>
  <c r="M61" i="1"/>
  <c r="N61" i="1" s="1"/>
  <c r="O61" i="1" s="1"/>
  <c r="P61" i="1" s="1"/>
  <c r="Q61" i="1" s="1"/>
  <c r="L60" i="1"/>
  <c r="M60" i="1" s="1"/>
  <c r="N60" i="1" s="1"/>
  <c r="O60" i="1" s="1"/>
  <c r="P60" i="1" s="1"/>
  <c r="Q60" i="1" s="1"/>
  <c r="K59" i="1"/>
  <c r="L59" i="1" s="1"/>
  <c r="M59" i="1" s="1"/>
  <c r="N59" i="1" s="1"/>
  <c r="O59" i="1" s="1"/>
  <c r="P59" i="1" s="1"/>
  <c r="Q59" i="1" s="1"/>
  <c r="H37" i="5"/>
  <c r="H36" i="5"/>
  <c r="N33" i="1" s="1"/>
  <c r="R64" i="1" l="1"/>
  <c r="R62" i="1"/>
  <c r="R59" i="1"/>
  <c r="R63" i="1"/>
  <c r="R60" i="1"/>
  <c r="R61" i="1"/>
  <c r="I38" i="5"/>
  <c r="I37" i="5" s="1"/>
  <c r="M32" i="1"/>
  <c r="I36" i="5" l="1"/>
  <c r="O33" i="1" s="1"/>
  <c r="P32" i="1"/>
  <c r="J49" i="5" l="1"/>
  <c r="J48" i="5"/>
  <c r="J50" i="5" s="1"/>
  <c r="K50" i="5" s="1"/>
  <c r="J38" i="5"/>
  <c r="J37" i="5" s="1"/>
  <c r="P27" i="1"/>
  <c r="Q32" i="1"/>
  <c r="R32" i="1" l="1"/>
  <c r="J36" i="5"/>
  <c r="P33" i="1" s="1"/>
  <c r="M10" i="8"/>
  <c r="R31" i="1"/>
  <c r="P34" i="1" l="1"/>
  <c r="P35" i="1" s="1"/>
  <c r="P36" i="1" s="1"/>
  <c r="K38" i="5"/>
  <c r="M27" i="1"/>
  <c r="I27" i="1"/>
  <c r="I33" i="1" s="1"/>
  <c r="J27" i="1"/>
  <c r="J33" i="1" s="1"/>
  <c r="K27" i="1"/>
  <c r="K33" i="1" s="1"/>
  <c r="L27" i="1"/>
  <c r="L33" i="1" s="1"/>
  <c r="H27" i="1"/>
  <c r="H33" i="1" s="1"/>
  <c r="F33" i="1" s="1"/>
  <c r="K36" i="5" l="1"/>
  <c r="K37" i="5"/>
  <c r="M40" i="1"/>
  <c r="N27" i="1"/>
  <c r="M34" i="1"/>
  <c r="M35" i="1" s="1"/>
  <c r="O27" i="1"/>
  <c r="Q27" i="1"/>
  <c r="L34" i="1"/>
  <c r="L35" i="1" s="1"/>
  <c r="Q33" i="1" l="1"/>
  <c r="Q34" i="1" s="1"/>
  <c r="Q35" i="1" s="1"/>
  <c r="R40" i="1"/>
  <c r="M36" i="1"/>
  <c r="L36" i="1"/>
  <c r="Q36" i="1" l="1"/>
  <c r="N34" i="1"/>
  <c r="N35" i="1" s="1"/>
  <c r="N36" i="1" s="1"/>
  <c r="O34" i="1"/>
  <c r="O35" i="1" s="1"/>
  <c r="O36" i="1" l="1"/>
  <c r="S27" i="1" l="1"/>
  <c r="I58" i="1" l="1"/>
  <c r="I68" i="1" l="1"/>
  <c r="I38" i="1" s="1"/>
  <c r="J58" i="1"/>
  <c r="K58" i="1" l="1"/>
  <c r="J68" i="1"/>
  <c r="J38" i="1" s="1"/>
  <c r="K34" i="1"/>
  <c r="K35" i="1" s="1"/>
  <c r="K36" i="1" s="1"/>
  <c r="J34" i="1"/>
  <c r="J35" i="1" s="1"/>
  <c r="J36" i="1" s="1"/>
  <c r="I34" i="1"/>
  <c r="I35" i="1" s="1"/>
  <c r="I36" i="1" s="1"/>
  <c r="H34" i="1"/>
  <c r="H35" i="1" s="1"/>
  <c r="H39" i="1" s="1"/>
  <c r="H41" i="1" s="1"/>
  <c r="R33" i="1" l="1"/>
  <c r="M14" i="8" s="1"/>
  <c r="L58" i="1"/>
  <c r="K68" i="1"/>
  <c r="K38" i="1" s="1"/>
  <c r="I39" i="1"/>
  <c r="R34" i="1" l="1"/>
  <c r="R35" i="1" s="1"/>
  <c r="R36" i="1" s="1"/>
  <c r="F53" i="1" s="1"/>
  <c r="M17" i="8" s="1"/>
  <c r="M58" i="1"/>
  <c r="L68" i="1"/>
  <c r="L38" i="1" s="1"/>
  <c r="L39" i="1" s="1"/>
  <c r="H42" i="1"/>
  <c r="H43" i="1" s="1"/>
  <c r="H46" i="1" s="1"/>
  <c r="H47" i="1" s="1"/>
  <c r="H36" i="1"/>
  <c r="J39" i="1"/>
  <c r="I41" i="1"/>
  <c r="S34" i="1" l="1"/>
  <c r="S35" i="1"/>
  <c r="I42" i="1"/>
  <c r="I43" i="1" s="1"/>
  <c r="I46" i="1" s="1"/>
  <c r="N58" i="1"/>
  <c r="M68" i="1"/>
  <c r="M38" i="1" s="1"/>
  <c r="J41" i="1"/>
  <c r="J42" i="1" l="1"/>
  <c r="J43" i="1" s="1"/>
  <c r="O58" i="1"/>
  <c r="N68" i="1"/>
  <c r="N38" i="1" s="1"/>
  <c r="L41" i="1"/>
  <c r="L42" i="1" l="1"/>
  <c r="L43" i="1" s="1"/>
  <c r="J46" i="1"/>
  <c r="P58" i="1"/>
  <c r="Q58" i="1" s="1"/>
  <c r="R58" i="1" s="1"/>
  <c r="R68" i="1" s="1"/>
  <c r="O68" i="1"/>
  <c r="O38" i="1" s="1"/>
  <c r="M39" i="1"/>
  <c r="M41" i="1" s="1"/>
  <c r="K39" i="1"/>
  <c r="M42" i="1" l="1"/>
  <c r="M43" i="1" s="1"/>
  <c r="L46" i="1"/>
  <c r="Q68" i="1"/>
  <c r="Q38" i="1" s="1"/>
  <c r="P68" i="1"/>
  <c r="N39" i="1"/>
  <c r="K41" i="1"/>
  <c r="P38" i="1" l="1"/>
  <c r="P39" i="1" s="1"/>
  <c r="P41" i="1" s="1"/>
  <c r="M46" i="1"/>
  <c r="G48" i="1"/>
  <c r="K42" i="1"/>
  <c r="K43" i="1" s="1"/>
  <c r="Q39" i="1"/>
  <c r="Q41" i="1" s="1"/>
  <c r="R38" i="1"/>
  <c r="R39" i="1" s="1"/>
  <c r="O39" i="1"/>
  <c r="N41" i="1"/>
  <c r="H48" i="1" l="1"/>
  <c r="P42" i="1"/>
  <c r="P43" i="1" s="1"/>
  <c r="P46" i="1" s="1"/>
  <c r="Q42" i="1"/>
  <c r="Q43" i="1" s="1"/>
  <c r="N42" i="1"/>
  <c r="N43" i="1" s="1"/>
  <c r="S39" i="1"/>
  <c r="K46" i="1"/>
  <c r="I47" i="1"/>
  <c r="O41" i="1"/>
  <c r="I48" i="1" l="1"/>
  <c r="N46" i="1"/>
  <c r="R41" i="1"/>
  <c r="S41" i="1" s="1"/>
  <c r="Q46" i="1"/>
  <c r="J47" i="1"/>
  <c r="O42" i="1"/>
  <c r="R42" i="1" s="1"/>
  <c r="J48" i="1" l="1"/>
  <c r="O43" i="1"/>
  <c r="R43" i="1"/>
  <c r="K47" i="1"/>
  <c r="S43" i="1" l="1"/>
  <c r="K48" i="1"/>
  <c r="O46" i="1"/>
  <c r="R46" i="1" s="1"/>
  <c r="L47" i="1"/>
  <c r="M47" i="1" s="1"/>
  <c r="L48" i="1" l="1"/>
  <c r="F52" i="1"/>
  <c r="M16" i="8" s="1"/>
  <c r="F51" i="1"/>
  <c r="M15" i="8" s="1"/>
  <c r="M48" i="1"/>
  <c r="N47" i="1"/>
  <c r="O47" i="1" l="1"/>
  <c r="O48" i="1" s="1"/>
  <c r="N48" i="1"/>
  <c r="P47" i="1" l="1"/>
  <c r="Q47" i="1" s="1"/>
  <c r="Q48" i="1" s="1"/>
  <c r="F54" i="1" s="1"/>
  <c r="M18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<sst xmlns="http://schemas.openxmlformats.org/spreadsheetml/2006/main" count="255" uniqueCount="200">
  <si>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</si>
  <si>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</si>
  <si>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</si>
  <si>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</si>
  <si>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</si>
  <si>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</si>
  <si>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</si>
  <si>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</si>
  <si>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</si>
  <si>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</si>
  <si>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</si>
  <si>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</si>
  <si>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</si>
  <si>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</si>
  <si>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</si>
  <si>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</si>
  <si>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</si>
  <si>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</si>
  <si>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</si>
  <si>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</si>
  <si>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</si>
  <si>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</si>
  <si>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</si>
  <si>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</si>
  <si>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</si>
  <si>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</si>
  <si>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</si>
  <si>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</si>
  <si>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</si>
  <si>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</si>
  <si>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</si>
  <si>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</si>
  <si>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</si>
  <si>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</si>
  <si>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</si>
  <si>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</si>
  <si>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</si>
  <si>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</si>
  <si>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</si>
  <si>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</si>
  <si>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</si>
  <si>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</si>
  <si>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</si>
  <si>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</si>
  <si>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</si>
  <si>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</si>
  <si>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</si>
  <si>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</si>
  <si>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</si>
  <si>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</si>
  <si>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</si>
  <si>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</si>
  <si>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</si>
  <si>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</si>
  <si>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</si>
  <si>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</si>
  <si>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</si>
  <si>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</si>
  <si>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</si>
  <si>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</si>
  <si>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</si>
  <si>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</si>
  <si>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</si>
  <si>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</si>
  <si>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</si>
  <si>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</si>
  <si>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</si>
  <si>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</si>
  <si>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</si>
  <si>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</si>
  <si>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</si>
  <si>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</si>
  <si>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</si>
  <si>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</si>
  <si>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</si>
  <si>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</si>
  <si>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</si>
  <si>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</si>
  <si>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</si>
  <si>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</si>
  <si>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</si>
  <si>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</si>
  <si>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</si>
  <si>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</si>
  <si>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</si>
  <si>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</si>
  <si>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DAS</t>
  </si>
  <si>
    <t>Interest rate /year</t>
  </si>
  <si>
    <t>Payback (year)</t>
  </si>
  <si>
    <t xml:space="preserve">Tanggal P&amp;L:  </t>
  </si>
  <si>
    <t>Prepared by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</si>
  <si>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</si>
  <si>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</si>
  <si>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</si>
  <si>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</si>
  <si>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</si>
  <si>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</si>
  <si>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Y0</t>
  </si>
  <si>
    <t>Year 0</t>
  </si>
  <si>
    <t>Total COGS Rent</t>
  </si>
  <si>
    <t>Total COGS Other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</si>
  <si>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</si>
  <si>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</si>
  <si>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</si>
  <si>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</si>
  <si>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</si>
  <si>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</si>
  <si>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</si>
  <si>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</si>
  <si>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</si>
  <si>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</si>
  <si>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</si>
  <si>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</si>
  <si>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</si>
  <si>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</si>
  <si>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</si>
  <si>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</si>
  <si>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</si>
  <si>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</si>
  <si>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</si>
  <si>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</si>
  <si>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</si>
  <si>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</si>
  <si>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</si>
  <si>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</si>
  <si>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</si>
  <si>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</si>
  <si>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</si>
  <si>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</si>
  <si>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</si>
  <si>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</si>
  <si>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</si>
  <si>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</si>
  <si>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</si>
  <si>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</si>
  <si>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</si>
  <si>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</si>
  <si>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</si>
  <si>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</si>
  <si>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</si>
  <si>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</si>
  <si>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</si>
  <si>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</si>
  <si>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</si>
  <si>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</si>
  <si>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</si>
  <si>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</si>
  <si>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</si>
  <si>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</si>
  <si>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</si>
  <si>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</si>
  <si>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</si>
  <si>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</si>
  <si>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Mall</t>
  </si>
  <si>
    <t>BTS</t>
  </si>
  <si>
    <t>Increase every year</t>
  </si>
  <si>
    <t>No.</t>
  </si>
  <si>
    <t>No</t>
  </si>
  <si>
    <t>Renewal</t>
  </si>
  <si>
    <t>Manado Town Square</t>
  </si>
  <si>
    <t>BV 31 Jul 24</t>
  </si>
  <si>
    <t>Manado</t>
  </si>
  <si>
    <t>Total BV 31 Jul 2024</t>
  </si>
  <si>
    <t>Jl. Piere Tendean, Kota Manado, Sulawesi Utara 95114</t>
  </si>
  <si>
    <t>SUMMARY REVIEW</t>
  </si>
  <si>
    <t xml:space="preserve">Nama Site                   </t>
  </si>
  <si>
    <t>Manado Town Sq</t>
  </si>
  <si>
    <t xml:space="preserve">Nama Pemilik           </t>
  </si>
  <si>
    <t>PT. Gerbang Nusa Perkasa</t>
  </si>
  <si>
    <t xml:space="preserve">Alamat Pemilik       </t>
  </si>
  <si>
    <t xml:space="preserve">Telp                           </t>
  </si>
  <si>
    <t xml:space="preserve">Obyek Sewa             </t>
  </si>
  <si>
    <t>157 Omni + Pole Antenna + RBS  m²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</si>
  <si>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</si>
  <si>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</si>
  <si>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</si>
  <si>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</si>
  <si>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</si>
  <si>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</si>
  <si>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</si>
  <si>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</si>
  <si>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</si>
  <si>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22Jan21 sd 30Jul24</t>
  </si>
  <si>
    <t>31Jul24 sd 30Jul29</t>
  </si>
  <si>
    <t>Harga Sewa</t>
  </si>
  <si>
    <t>352,688,172</t>
  </si>
  <si>
    <t>1.100,000,000/5thn</t>
  </si>
  <si>
    <t>100.000.000/th</t>
  </si>
  <si>
    <t>220.000.000/th</t>
  </si>
  <si>
    <t>Operator Join</t>
  </si>
  <si>
    <t>Telkomsel (20Sep2021 - 25Sep2026)</t>
  </si>
  <si>
    <t>IOH-Isat (1Aug20219 - 31Jul2024)</t>
  </si>
  <si>
    <t>IOH-Isat (1Aug2024 - 31Jul2029)</t>
  </si>
  <si>
    <t>6.</t>
  </si>
  <si>
    <t>Kenaikan/ Penurunan Harga</t>
  </si>
  <si>
    <t>Kenaikan 120%</t>
  </si>
  <si>
    <t>TSEL renewal 2026 disc 5%</t>
  </si>
  <si>
    <t>TOP utk sewa 50% dibayarkan th 2024, 50% dibayarkan tahun 2025</t>
  </si>
  <si>
    <t>Capex :</t>
  </si>
  <si>
    <t>Revenue: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</si>
</sst>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4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6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6" fontId="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4" fillId="0" borderId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2" fillId="0" borderId="0"/>
    <xf numFmtId="165" fontId="4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5" fillId="0" borderId="0"/>
    <xf numFmtId="0" fontId="1" fillId="0" borderId="0"/>
    <xf numFmtId="164" fontId="25" fillId="0" borderId="0" applyFont="0" applyFill="0" applyBorder="0" applyAlignment="0" applyProtection="0"/>
  </cellStyleXfs>
  <cellXfs count="248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41" fontId="13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4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9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41" fontId="17" fillId="0" borderId="0" xfId="0" applyNumberFormat="1" applyFont="1" applyBorder="1"/>
    <xf numFmtId="167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7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7" fontId="0" fillId="4" borderId="0" xfId="0" applyNumberFormat="1" applyFill="1" applyAlignment="1">
      <alignment vertical="center"/>
    </xf>
    <xf numFmtId="0" fontId="15" fillId="0" borderId="0" xfId="0" applyFont="1"/>
    <xf numFmtId="41" fontId="24" fillId="0" borderId="0" xfId="0" applyNumberFormat="1" applyFont="1" applyBorder="1"/>
    <xf numFmtId="41" fontId="26" fillId="0" borderId="0" xfId="0" applyNumberFormat="1" applyFont="1" applyBorder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168" fontId="19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9" xfId="2" applyNumberFormat="1" applyFont="1" applyBorder="1"/>
    <xf numFmtId="9" fontId="12" fillId="0" borderId="18" xfId="2" applyNumberFormat="1" applyFont="1" applyBorder="1"/>
    <xf numFmtId="169" fontId="12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4" fillId="0" borderId="9" xfId="0" applyNumberFormat="1" applyFont="1" applyBorder="1"/>
    <xf numFmtId="38" fontId="12" fillId="0" borderId="18" xfId="2" applyNumberFormat="1" applyFont="1" applyBorder="1"/>
    <xf numFmtId="9" fontId="24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2" fillId="0" borderId="12" xfId="0" applyFont="1" applyBorder="1" applyAlignment="1">
      <alignment horizontal="center"/>
    </xf>
    <xf numFmtId="0" fontId="0" fillId="9" borderId="0" xfId="0" applyFill="1"/>
    <xf numFmtId="41" fontId="35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8" fillId="9" borderId="15" xfId="0" applyFont="1" applyFill="1" applyBorder="1" applyAlignment="1">
      <alignment horizontal="right" vertical="top"/>
    </xf>
    <xf numFmtId="41" fontId="24" fillId="9" borderId="0" xfId="0" applyNumberFormat="1" applyFont="1" applyFill="1"/>
    <xf numFmtId="41" fontId="13" fillId="9" borderId="0" xfId="0" applyNumberFormat="1" applyFont="1" applyFill="1" applyBorder="1"/>
    <xf numFmtId="0" fontId="0" fillId="9" borderId="0" xfId="0" applyFont="1" applyFill="1" applyBorder="1"/>
    <xf numFmtId="0" fontId="15" fillId="9" borderId="0" xfId="0" applyFont="1" applyFill="1" applyBorder="1"/>
    <xf numFmtId="0" fontId="0" fillId="0" borderId="0" xfId="0" quotePrefix="1"/>
    <xf numFmtId="9" fontId="27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3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8" fillId="0" borderId="23" xfId="0" applyNumberFormat="1" applyFont="1" applyFill="1" applyBorder="1"/>
    <xf numFmtId="167" fontId="12" fillId="0" borderId="33" xfId="0" applyNumberFormat="1" applyFont="1" applyBorder="1" applyAlignment="1">
      <alignment vertical="center"/>
    </xf>
    <xf numFmtId="0" fontId="24" fillId="0" borderId="29" xfId="0" applyFont="1" applyFill="1" applyBorder="1" applyAlignment="1">
      <alignment horizontal="center"/>
    </xf>
    <xf numFmtId="41" fontId="24" fillId="0" borderId="30" xfId="0" applyNumberFormat="1" applyFont="1" applyFill="1" applyBorder="1" applyAlignment="1">
      <alignment vertical="center"/>
    </xf>
    <xf numFmtId="41" fontId="12" fillId="0" borderId="30" xfId="0" applyNumberFormat="1" applyFont="1" applyFill="1" applyBorder="1" applyAlignment="1">
      <alignment vertical="center"/>
    </xf>
    <xf numFmtId="41" fontId="12" fillId="0" borderId="23" xfId="0" applyNumberFormat="1" applyFont="1" applyFill="1" applyBorder="1" applyAlignment="1">
      <alignment vertical="center"/>
    </xf>
    <xf numFmtId="9" fontId="21" fillId="0" borderId="23" xfId="3" applyFont="1" applyFill="1" applyBorder="1" applyAlignment="1">
      <alignment vertical="center"/>
    </xf>
    <xf numFmtId="0" fontId="12" fillId="0" borderId="25" xfId="0" applyFont="1" applyBorder="1" applyAlignment="1">
      <alignment horizontal="center"/>
    </xf>
    <xf numFmtId="41" fontId="24" fillId="0" borderId="3" xfId="0" applyNumberFormat="1" applyFont="1" applyBorder="1"/>
    <xf numFmtId="41" fontId="24" fillId="0" borderId="34" xfId="0" applyNumberFormat="1" applyFont="1" applyBorder="1"/>
    <xf numFmtId="41" fontId="24" fillId="0" borderId="6" xfId="0" applyNumberFormat="1" applyFont="1" applyBorder="1"/>
    <xf numFmtId="41" fontId="24" fillId="0" borderId="10" xfId="0" applyNumberFormat="1" applyFont="1" applyBorder="1"/>
    <xf numFmtId="41" fontId="24" fillId="0" borderId="2" xfId="0" applyNumberFormat="1" applyFont="1" applyBorder="1"/>
    <xf numFmtId="41" fontId="24" fillId="0" borderId="36" xfId="0" applyNumberFormat="1" applyFont="1" applyBorder="1"/>
    <xf numFmtId="0" fontId="24" fillId="0" borderId="37" xfId="0" applyFont="1" applyFill="1" applyBorder="1" applyAlignment="1">
      <alignment horizontal="center"/>
    </xf>
    <xf numFmtId="0" fontId="12" fillId="3" borderId="0" xfId="0" applyFont="1" applyFill="1"/>
    <xf numFmtId="0" fontId="12" fillId="0" borderId="23" xfId="0" applyFont="1" applyFill="1" applyBorder="1"/>
    <xf numFmtId="41" fontId="24" fillId="0" borderId="35" xfId="0" applyNumberFormat="1" applyFont="1" applyFill="1" applyBorder="1" applyAlignment="1">
      <alignment vertical="center"/>
    </xf>
    <xf numFmtId="41" fontId="24" fillId="0" borderId="31" xfId="0" applyNumberFormat="1" applyFont="1" applyFill="1" applyBorder="1" applyAlignment="1">
      <alignment vertical="center"/>
    </xf>
    <xf numFmtId="0" fontId="24" fillId="0" borderId="23" xfId="0" applyFont="1" applyFill="1" applyBorder="1"/>
    <xf numFmtId="41" fontId="24" fillId="0" borderId="23" xfId="0" applyNumberFormat="1" applyFont="1" applyFill="1" applyBorder="1" applyAlignment="1">
      <alignment vertical="center"/>
    </xf>
    <xf numFmtId="166" fontId="36" fillId="0" borderId="23" xfId="1" applyFont="1" applyFill="1" applyBorder="1"/>
    <xf numFmtId="38" fontId="12" fillId="0" borderId="23" xfId="0" applyNumberFormat="1" applyFont="1" applyFill="1" applyBorder="1" applyAlignment="1">
      <alignment vertical="center"/>
    </xf>
    <xf numFmtId="38" fontId="12" fillId="0" borderId="32" xfId="0" applyNumberFormat="1" applyFont="1" applyFill="1" applyBorder="1" applyAlignment="1">
      <alignment vertical="center"/>
    </xf>
    <xf numFmtId="165" fontId="12" fillId="0" borderId="31" xfId="1" applyNumberFormat="1" applyFont="1" applyFill="1" applyBorder="1"/>
    <xf numFmtId="38" fontId="12" fillId="0" borderId="23" xfId="0" applyNumberFormat="1" applyFont="1" applyFill="1" applyBorder="1"/>
    <xf numFmtId="167" fontId="37" fillId="0" borderId="23" xfId="1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2" fillId="0" borderId="23" xfId="0" applyFont="1" applyBorder="1"/>
    <xf numFmtId="0" fontId="12" fillId="0" borderId="29" xfId="0" applyFont="1" applyBorder="1"/>
    <xf numFmtId="0" fontId="12" fillId="0" borderId="0" xfId="0" applyFont="1" applyAlignment="1">
      <alignment vertical="center"/>
    </xf>
    <xf numFmtId="0" fontId="12" fillId="9" borderId="13" xfId="0" applyFont="1" applyFill="1" applyBorder="1"/>
    <xf numFmtId="14" fontId="12" fillId="9" borderId="0" xfId="0" applyNumberFormat="1" applyFont="1" applyFill="1" applyBorder="1" applyAlignment="1"/>
    <xf numFmtId="41" fontId="15" fillId="0" borderId="0" xfId="2" applyFont="1" applyAlignment="1">
      <alignment vertical="center"/>
    </xf>
    <xf numFmtId="41" fontId="0" fillId="0" borderId="24" xfId="2" applyFont="1" applyBorder="1" applyAlignment="1">
      <alignment horizontal="center"/>
    </xf>
    <xf numFmtId="41" fontId="0" fillId="0" borderId="0" xfId="2" applyNumberFormat="1" applyFont="1"/>
    <xf numFmtId="41" fontId="0" fillId="0" borderId="24" xfId="2" applyFont="1" applyBorder="1"/>
    <xf numFmtId="41" fontId="0" fillId="10" borderId="24" xfId="2" applyFont="1" applyFill="1" applyBorder="1"/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12" fillId="0" borderId="17" xfId="0" applyFont="1" applyBorder="1" applyAlignment="1">
      <alignment horizontal="center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1" fontId="0" fillId="7" borderId="0" xfId="0" applyNumberFormat="1" applyFill="1" applyAlignment="1">
      <alignment horizontal="center"/>
    </xf>
    <xf numFmtId="0" fontId="25" fillId="0" borderId="0" xfId="33"/>
    <xf numFmtId="0" fontId="40" fillId="0" borderId="0" xfId="33" applyFont="1" applyAlignment="1">
      <alignment horizontal="center"/>
    </xf>
    <xf numFmtId="0" fontId="1" fillId="0" borderId="0" xfId="34"/>
    <xf numFmtId="0" fontId="41" fillId="0" borderId="0" xfId="33" applyFont="1"/>
    <xf numFmtId="0" fontId="42" fillId="11" borderId="24" xfId="33" applyFont="1" applyFill="1" applyBorder="1" applyAlignment="1">
      <alignment horizontal="center" vertical="center"/>
    </xf>
    <xf numFmtId="0" fontId="43" fillId="11" borderId="26" xfId="33" applyFont="1" applyFill="1" applyBorder="1" applyAlignment="1">
      <alignment horizontal="center" vertical="center"/>
    </xf>
    <xf numFmtId="0" fontId="43" fillId="11" borderId="28" xfId="33" applyFont="1" applyFill="1" applyBorder="1" applyAlignment="1">
      <alignment horizontal="center" vertical="center"/>
    </xf>
    <xf numFmtId="0" fontId="25" fillId="0" borderId="24" xfId="33" applyBorder="1" applyAlignment="1">
      <alignment horizontal="center" vertical="center"/>
    </xf>
    <xf numFmtId="0" fontId="25" fillId="0" borderId="24" xfId="33" applyBorder="1"/>
    <xf numFmtId="0" fontId="25" fillId="0" borderId="25" xfId="33" applyBorder="1"/>
    <xf numFmtId="0" fontId="41" fillId="0" borderId="24" xfId="33" applyFont="1" applyBorder="1"/>
    <xf numFmtId="0" fontId="25" fillId="0" borderId="26" xfId="33" applyBorder="1" applyAlignment="1">
      <alignment horizontal="center" vertical="center"/>
    </xf>
    <xf numFmtId="164" fontId="0" fillId="0" borderId="25" xfId="35" applyFont="1" applyBorder="1"/>
    <xf numFmtId="164" fontId="0" fillId="0" borderId="24" xfId="35" applyFont="1" applyBorder="1"/>
    <xf numFmtId="0" fontId="25" fillId="0" borderId="28" xfId="33" applyBorder="1" applyAlignment="1">
      <alignment horizontal="center" vertical="center"/>
    </xf>
    <xf numFmtId="0" fontId="25" fillId="0" borderId="26" xfId="33" applyBorder="1" applyAlignment="1">
      <alignment horizontal="center" vertical="center"/>
    </xf>
    <xf numFmtId="0" fontId="25" fillId="0" borderId="7" xfId="33" applyBorder="1"/>
    <xf numFmtId="0" fontId="25" fillId="0" borderId="27" xfId="33" applyBorder="1" applyAlignment="1">
      <alignment horizontal="center" vertical="center"/>
    </xf>
    <xf numFmtId="0" fontId="25" fillId="0" borderId="9" xfId="33" applyBorder="1"/>
    <xf numFmtId="0" fontId="25" fillId="0" borderId="25" xfId="33" applyBorder="1" applyAlignment="1">
      <alignment horizontal="center" wrapText="1"/>
    </xf>
    <xf numFmtId="0" fontId="25" fillId="0" borderId="38" xfId="33" applyBorder="1" applyAlignment="1">
      <alignment horizontal="center" wrapText="1"/>
    </xf>
  </cellXfs>
  <cellStyles count="36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5" xr:uid="{835D2066-669B-4483-B332-328606863A9A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Normal 6" xfId="34" xr:uid="{4BB80BD3-9716-4DC8-AD43-E7B5EE3B9ECC}"/>
    <cellStyle name="Normal 7" xfId="33" xr:uid="{EEE627B1-2D6A-41D2-9CAC-634748742854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</cellStyles>
  <dxfs count="2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GGP/PnL%20Grand%20Galaxy%20Park%2014Nov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Downloads\PnL%20Manado%20Town%20Square%2024Jun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Analisa"/>
      <sheetName val="PARAMETER"/>
      <sheetName val="Summary BR"/>
      <sheetName val="Book Value"/>
    </sheetNames>
    <sheetDataSet>
      <sheetData sheetId="0" refreshError="1"/>
      <sheetData sheetId="1">
        <row r="4">
          <cell r="E4">
            <v>0.1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BR"/>
      <sheetName val="Analisa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26"/>
  <sheetViews>
    <sheetView showGridLines="0" tabSelected="1" topLeftCell="A2" zoomScale="114" zoomScaleNormal="114" workbookViewId="0">
      <selection activeCell="M6" sqref="M6"/>
    </sheetView>
  </sheetViews>
  <sheetFormatPr defaultColWidth="8.75" defaultRowHeight="15.5" x14ac:dyDescent="0.35"/>
  <cols>
    <col min="1" max="1" width="4.25" style="88" customWidth="1"/>
    <col min="2" max="2" width="3" style="88" customWidth="1"/>
    <col min="3" max="3" width="17.33203125" style="88" customWidth="1"/>
    <col min="4" max="4" width="20.25" style="88" customWidth="1"/>
    <col min="5" max="5" width="4.25" style="88" customWidth="1"/>
    <col min="6" max="6" width="4.83203125" style="88" customWidth="1"/>
    <col min="7" max="7" width="17" style="88" bestFit="1" customWidth="1"/>
    <col min="8" max="8" width="8.33203125" style="88" customWidth="1"/>
    <col min="9" max="9" width="3.58203125" style="88" customWidth="1"/>
    <col min="10" max="10" width="2.08203125" style="88" customWidth="1"/>
    <col min="11" max="11" width="5.08203125" style="88" customWidth="1"/>
    <col min="12" max="12" width="18.33203125" style="88" bestFit="1" customWidth="1"/>
    <col min="13" max="13" width="16.5" style="88" customWidth="1"/>
    <col min="14" max="14" width="2.08203125" style="88" customWidth="1"/>
    <col min="15" max="15" width="3.75" style="88" customWidth="1"/>
    <col min="16" max="16384" width="8.75" style="88"/>
  </cols>
  <sheetData>
    <row r="1" spans="2:15" x14ac:dyDescent="0.35">
      <c r="B1" s="90"/>
      <c r="C1" s="1" t="s">
        <v>156</v>
      </c>
      <c r="D1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5" x14ac:dyDescent="0.45">
      <c r="B2" s="90"/>
      <c r="C2" s="92" t="s">
        <v>84</v>
      </c>
      <c r="D2" s="89" t="s">
        <v>92</v>
      </c>
      <c r="E2" s="90"/>
      <c r="F2" s="90"/>
      <c r="G2" s="90"/>
      <c r="H2" s="90"/>
      <c r="J2" s="110" t="s">
        <v>89</v>
      </c>
      <c r="K2" s="110"/>
      <c r="L2" s="110"/>
      <c r="M2" s="190"/>
      <c r="N2" s="90"/>
    </row>
    <row r="3" spans="2:15" ht="19" thickBot="1" x14ac:dyDescent="0.5">
      <c r="B3" s="90"/>
      <c r="C3" s="92" t="s">
        <v>85</v>
      </c>
      <c r="D3" s="89" t="s">
        <v>158</v>
      </c>
      <c r="E3" s="90"/>
      <c r="F3" s="90"/>
      <c r="G3" s="90"/>
      <c r="H3" s="90"/>
      <c r="M3" s="90"/>
      <c r="N3" s="90"/>
    </row>
    <row r="4" spans="2:15" ht="16" hidden="1" thickBot="1" x14ac:dyDescent="0.4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" thickBot="1" x14ac:dyDescent="0.5">
      <c r="B5" s="204" t="s">
        <v>68</v>
      </c>
      <c r="C5" s="205"/>
      <c r="D5" s="206"/>
      <c r="E5" s="204" t="s">
        <v>74</v>
      </c>
      <c r="F5" s="205"/>
      <c r="G5" s="205"/>
      <c r="H5" s="205"/>
      <c r="I5" s="205"/>
      <c r="J5" s="204" t="s">
        <v>69</v>
      </c>
      <c r="K5" s="205"/>
      <c r="L5" s="205"/>
      <c r="M5" s="205"/>
      <c r="N5" s="206"/>
    </row>
    <row r="6" spans="2:15" x14ac:dyDescent="0.35">
      <c r="B6" s="207" t="s">
        <v>66</v>
      </c>
      <c r="C6" s="208"/>
      <c r="D6" s="142" t="s">
        <v>159</v>
      </c>
      <c r="E6" s="209" t="s">
        <v>76</v>
      </c>
      <c r="F6" s="209"/>
      <c r="G6" s="209"/>
      <c r="H6" s="209"/>
      <c r="I6" s="209"/>
      <c r="J6" s="105"/>
      <c r="K6" s="208" t="s">
        <v>72</v>
      </c>
      <c r="L6" s="208"/>
      <c r="M6" s="111">
        <f>PARAMETER!C2/'IRR Approved'!F13</f>
        <v>9549969.3057324849</v>
      </c>
      <c r="N6" s="112"/>
      <c r="O6" s="86">
        <f>M6-'IRR Approved'!F8</f>
        <v>2549969.3057324849</v>
      </c>
    </row>
    <row r="7" spans="2:15" ht="46.5" x14ac:dyDescent="0.35">
      <c r="B7" s="198" t="s">
        <v>67</v>
      </c>
      <c r="C7" s="199"/>
      <c r="D7" s="143" t="s">
        <v>163</v>
      </c>
      <c r="E7" s="200" t="s">
        <v>63</v>
      </c>
      <c r="F7" s="200"/>
      <c r="G7" s="200"/>
      <c r="H7" s="113">
        <v>157</v>
      </c>
      <c r="I7" s="90"/>
      <c r="J7" s="95"/>
      <c r="K7" s="200" t="s">
        <v>71</v>
      </c>
      <c r="L7" s="200"/>
      <c r="M7" s="114">
        <v>5</v>
      </c>
      <c r="N7" s="93"/>
    </row>
    <row r="8" spans="2:15" x14ac:dyDescent="0.35">
      <c r="B8" s="198" t="s">
        <v>78</v>
      </c>
      <c r="C8" s="199"/>
      <c r="D8" s="144" t="s">
        <v>161</v>
      </c>
      <c r="E8" s="200" t="s">
        <v>64</v>
      </c>
      <c r="F8" s="200"/>
      <c r="G8" s="200"/>
      <c r="H8" s="113"/>
      <c r="I8" s="90"/>
      <c r="J8" s="95"/>
      <c r="K8" s="200" t="s">
        <v>87</v>
      </c>
      <c r="L8" s="200"/>
      <c r="M8" s="115">
        <f>'IRR Approved'!$F$4</f>
        <v>0.1</v>
      </c>
      <c r="N8" s="93"/>
    </row>
    <row r="9" spans="2:15" x14ac:dyDescent="0.35">
      <c r="B9" s="212" t="s">
        <v>79</v>
      </c>
      <c r="C9" s="200"/>
      <c r="D9" s="144" t="s">
        <v>153</v>
      </c>
      <c r="E9" s="200" t="s">
        <v>65</v>
      </c>
      <c r="F9" s="200"/>
      <c r="G9" s="200"/>
      <c r="H9" s="202"/>
      <c r="I9" s="203"/>
      <c r="J9" s="95"/>
      <c r="K9" s="200" t="s">
        <v>61</v>
      </c>
      <c r="L9" s="200"/>
      <c r="M9" s="111">
        <v>0</v>
      </c>
      <c r="N9" s="93"/>
    </row>
    <row r="10" spans="2:15" x14ac:dyDescent="0.35">
      <c r="B10" s="107" t="s">
        <v>62</v>
      </c>
      <c r="C10" s="108"/>
      <c r="D10" s="144" t="s">
        <v>158</v>
      </c>
      <c r="H10" s="202"/>
      <c r="I10" s="203"/>
      <c r="J10" s="102"/>
      <c r="K10" s="201" t="s">
        <v>70</v>
      </c>
      <c r="L10" s="201"/>
      <c r="M10" s="111">
        <f>'IRR Approved'!$R$27</f>
        <v>2217315000</v>
      </c>
      <c r="N10" s="93"/>
    </row>
    <row r="11" spans="2:15" x14ac:dyDescent="0.35">
      <c r="B11" s="103" t="s">
        <v>80</v>
      </c>
      <c r="C11" s="109"/>
      <c r="D11" s="94">
        <v>3</v>
      </c>
      <c r="J11" s="95"/>
      <c r="K11" s="201" t="s">
        <v>162</v>
      </c>
      <c r="L11" s="201"/>
      <c r="M11" s="111">
        <f>'IRR Approved'!$R$13</f>
        <v>138445903</v>
      </c>
      <c r="N11" s="93"/>
    </row>
    <row r="12" spans="2:15" x14ac:dyDescent="0.35">
      <c r="B12" s="103" t="s">
        <v>81</v>
      </c>
      <c r="C12" s="109"/>
      <c r="D12" s="94">
        <v>1</v>
      </c>
      <c r="E12" s="214" t="s">
        <v>75</v>
      </c>
      <c r="F12" s="214"/>
      <c r="G12" s="214"/>
      <c r="H12" s="214"/>
      <c r="I12" s="214"/>
      <c r="J12" s="95"/>
      <c r="K12" s="201" t="s">
        <v>101</v>
      </c>
      <c r="L12" s="201"/>
      <c r="M12" s="87">
        <f>'IRR Approved'!$R$14</f>
        <v>0</v>
      </c>
      <c r="N12" s="93"/>
    </row>
    <row r="13" spans="2:15" x14ac:dyDescent="0.35">
      <c r="B13" s="103"/>
      <c r="C13" s="123"/>
      <c r="D13" s="94"/>
      <c r="E13" s="213" t="s">
        <v>73</v>
      </c>
      <c r="F13" s="213"/>
      <c r="G13" s="213"/>
      <c r="H13" s="116">
        <v>0</v>
      </c>
      <c r="I13" s="90"/>
      <c r="J13" s="95"/>
      <c r="K13" s="201" t="s">
        <v>99</v>
      </c>
      <c r="L13" s="201"/>
      <c r="M13" s="87">
        <f>'IRR Approved'!$R$30</f>
        <v>1100000000</v>
      </c>
      <c r="N13" s="93"/>
    </row>
    <row r="14" spans="2:15" ht="16" thickBot="1" x14ac:dyDescent="0.4">
      <c r="B14" s="95"/>
      <c r="C14" s="90"/>
      <c r="D14" s="93"/>
      <c r="E14" s="213" t="s">
        <v>83</v>
      </c>
      <c r="F14" s="213"/>
      <c r="G14" s="213"/>
      <c r="H14" s="116">
        <v>0</v>
      </c>
      <c r="I14" s="90"/>
      <c r="J14" s="95"/>
      <c r="K14" s="201" t="s">
        <v>100</v>
      </c>
      <c r="L14" s="201"/>
      <c r="M14" s="111">
        <f>'IRR Approved'!$R$31+'IRR Approved'!$R$32+'IRR Approved'!$R$33</f>
        <v>689965750</v>
      </c>
      <c r="N14" s="93"/>
    </row>
    <row r="15" spans="2:15" x14ac:dyDescent="0.35">
      <c r="B15" s="95"/>
      <c r="C15" s="90"/>
      <c r="D15" s="93"/>
      <c r="E15" s="122"/>
      <c r="F15" s="122"/>
      <c r="G15" s="122"/>
      <c r="H15" s="116"/>
      <c r="I15" s="90"/>
      <c r="J15" s="117"/>
      <c r="K15" s="215" t="s">
        <v>26</v>
      </c>
      <c r="L15" s="216"/>
      <c r="M15" s="96">
        <f>'IRR Approved'!$F$51</f>
        <v>0.14528549392637524</v>
      </c>
      <c r="N15" s="93"/>
    </row>
    <row r="16" spans="2:15" x14ac:dyDescent="0.35">
      <c r="B16" s="95"/>
      <c r="C16" s="90"/>
      <c r="D16" s="93"/>
      <c r="E16" s="213" t="s">
        <v>82</v>
      </c>
      <c r="F16" s="213"/>
      <c r="G16" s="213"/>
      <c r="H16" s="116">
        <v>0</v>
      </c>
      <c r="I16" s="90"/>
      <c r="J16" s="118"/>
      <c r="K16" s="217" t="s">
        <v>27</v>
      </c>
      <c r="L16" s="218"/>
      <c r="M16" s="125">
        <f>'IRR Approved'!$F$52</f>
        <v>59600962.724084713</v>
      </c>
      <c r="N16" s="93"/>
    </row>
    <row r="17" spans="2:18" x14ac:dyDescent="0.35">
      <c r="B17" s="95"/>
      <c r="C17" s="90"/>
      <c r="D17" s="93"/>
      <c r="E17" s="214" t="s">
        <v>77</v>
      </c>
      <c r="F17" s="214"/>
      <c r="G17" s="214"/>
      <c r="H17" s="214"/>
      <c r="I17" s="214"/>
      <c r="J17" s="118"/>
      <c r="K17" s="217" t="s">
        <v>28</v>
      </c>
      <c r="L17" s="218"/>
      <c r="M17" s="97">
        <f>'IRR Approved'!$F$53</f>
        <v>0.19273276462748865</v>
      </c>
      <c r="N17" s="93"/>
      <c r="R17" s="88" t="s">
        <v>57</v>
      </c>
    </row>
    <row r="18" spans="2:18" ht="16" thickBot="1" x14ac:dyDescent="0.4">
      <c r="B18" s="95"/>
      <c r="C18" s="90"/>
      <c r="D18" s="93"/>
      <c r="E18" s="90"/>
      <c r="F18" s="90"/>
      <c r="G18" s="90"/>
      <c r="H18" s="90"/>
      <c r="I18" s="90"/>
      <c r="J18" s="118"/>
      <c r="K18" s="196" t="s">
        <v>88</v>
      </c>
      <c r="L18" s="197"/>
      <c r="M18" s="98">
        <f>'IRR Approved'!$F$54</f>
        <v>4.1123272217150859</v>
      </c>
      <c r="N18" s="93"/>
      <c r="Q18" s="88" t="s">
        <v>57</v>
      </c>
    </row>
    <row r="19" spans="2:18" ht="16" thickBot="1" x14ac:dyDescent="0.4">
      <c r="B19" s="99"/>
      <c r="C19" s="100"/>
      <c r="D19" s="101"/>
      <c r="E19" s="100"/>
      <c r="F19" s="100" t="s">
        <v>57</v>
      </c>
      <c r="G19" s="100"/>
      <c r="H19" s="100"/>
      <c r="I19" s="100"/>
      <c r="J19" s="95"/>
      <c r="K19" s="121"/>
      <c r="L19" s="104"/>
      <c r="M19" s="104"/>
      <c r="N19" s="93"/>
    </row>
    <row r="20" spans="2:18" x14ac:dyDescent="0.35">
      <c r="B20" s="119" t="s">
        <v>93</v>
      </c>
      <c r="C20" s="120"/>
      <c r="D20" s="120"/>
      <c r="E20" s="120"/>
      <c r="F20" s="120"/>
      <c r="G20" s="120"/>
      <c r="H20" s="120"/>
      <c r="I20" s="120"/>
      <c r="J20" s="120"/>
      <c r="K20" s="120"/>
      <c r="L20" s="219" t="s">
        <v>90</v>
      </c>
      <c r="M20" s="219"/>
      <c r="N20" s="112"/>
    </row>
    <row r="21" spans="2:18" x14ac:dyDescent="0.35">
      <c r="B21" s="95"/>
      <c r="C21" s="90" t="s">
        <v>199</v>
      </c>
      <c r="D21" s="148" t="s">
        <v>196</v>
      </c>
      <c r="E21" s="148"/>
      <c r="F21" s="148"/>
      <c r="G21" s="148"/>
      <c r="H21" s="90"/>
      <c r="I21" s="90"/>
      <c r="J21" s="90"/>
      <c r="K21" s="90"/>
      <c r="L21" s="210" t="s">
        <v>96</v>
      </c>
      <c r="M21" s="211"/>
      <c r="N21" s="93"/>
    </row>
    <row r="22" spans="2:18" x14ac:dyDescent="0.35">
      <c r="B22" s="95"/>
      <c r="C22" s="90" t="s">
        <v>198</v>
      </c>
      <c r="D22" s="148" t="s">
        <v>197</v>
      </c>
      <c r="E22" s="148"/>
      <c r="F22" s="148"/>
      <c r="G22" s="148"/>
      <c r="H22" s="90"/>
      <c r="I22" s="90"/>
      <c r="J22" s="90"/>
      <c r="K22" s="90"/>
      <c r="L22" s="90"/>
      <c r="M22" s="90"/>
      <c r="N22" s="93"/>
    </row>
    <row r="23" spans="2:18" x14ac:dyDescent="0.35">
      <c r="B23" s="95"/>
      <c r="C23" s="90"/>
      <c r="D23" s="149"/>
      <c r="E23" s="148"/>
      <c r="F23" s="148"/>
      <c r="G23" s="148"/>
      <c r="H23" s="90"/>
      <c r="I23" s="90"/>
      <c r="J23" s="90"/>
      <c r="K23" s="90"/>
      <c r="L23" s="90"/>
      <c r="M23" s="90"/>
      <c r="N23" s="93"/>
    </row>
    <row r="24" spans="2:18" x14ac:dyDescent="0.3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" thickBot="1" x14ac:dyDescent="0.4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35">
      <c r="B26" s="1" t="s">
        <v>91</v>
      </c>
    </row>
  </sheetData>
  <mergeCells count="32">
    <mergeCell ref="L21:M21"/>
    <mergeCell ref="B9:C9"/>
    <mergeCell ref="E16:G16"/>
    <mergeCell ref="E17:I17"/>
    <mergeCell ref="K15:L15"/>
    <mergeCell ref="K16:L16"/>
    <mergeCell ref="K17:L17"/>
    <mergeCell ref="E9:G9"/>
    <mergeCell ref="K9:L9"/>
    <mergeCell ref="E12:I12"/>
    <mergeCell ref="K11:L11"/>
    <mergeCell ref="E13:G13"/>
    <mergeCell ref="K14:L14"/>
    <mergeCell ref="L20:M20"/>
    <mergeCell ref="E14:G14"/>
    <mergeCell ref="K10:L10"/>
    <mergeCell ref="B5:D5"/>
    <mergeCell ref="E5:I5"/>
    <mergeCell ref="J5:N5"/>
    <mergeCell ref="B6:C6"/>
    <mergeCell ref="E6:I6"/>
    <mergeCell ref="K6:L6"/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H9:I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B89"/>
  <sheetViews>
    <sheetView showGridLines="0" topLeftCell="C28" zoomScale="70" zoomScaleNormal="70" workbookViewId="0">
      <selection activeCell="L4" sqref="L4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75" customWidth="1"/>
    <col min="7" max="7" width="17.58203125" style="2" hidden="1" customWidth="1"/>
    <col min="8" max="8" width="17.75" customWidth="1"/>
    <col min="9" max="9" width="15.58203125" bestFit="1" customWidth="1"/>
    <col min="10" max="10" width="15.25" bestFit="1" customWidth="1"/>
    <col min="11" max="12" width="13.08203125" bestFit="1" customWidth="1"/>
    <col min="13" max="17" width="12" hidden="1" customWidth="1"/>
    <col min="18" max="18" width="18.4140625" style="1" customWidth="1"/>
    <col min="19" max="19" width="12.7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7" s="1" customFormat="1" ht="26.5" thickBot="1" x14ac:dyDescent="0.4">
      <c r="B1" s="1" t="s">
        <v>157</v>
      </c>
      <c r="C1">
        <f>Summary!D1</f>
        <v>0</v>
      </c>
      <c r="G1" s="188"/>
      <c r="Q1" s="189"/>
      <c r="R1" s="145" t="s">
        <v>159</v>
      </c>
    </row>
    <row r="2" spans="2:27" x14ac:dyDescent="0.35">
      <c r="B2" s="35" t="s">
        <v>94</v>
      </c>
      <c r="I2" s="154" t="s">
        <v>151</v>
      </c>
      <c r="L2" s="155" t="s">
        <v>152</v>
      </c>
    </row>
    <row r="3" spans="2:27" x14ac:dyDescent="0.35">
      <c r="C3" t="s">
        <v>0</v>
      </c>
      <c r="F3" s="4">
        <v>0.02</v>
      </c>
      <c r="I3" s="34"/>
      <c r="J3" t="s">
        <v>147</v>
      </c>
      <c r="K3" s="152">
        <f>H22/12</f>
        <v>22325000</v>
      </c>
      <c r="L3" s="156">
        <v>0.05</v>
      </c>
      <c r="R3" s="172"/>
      <c r="S3" s="3"/>
      <c r="T3" s="3"/>
    </row>
    <row r="4" spans="2:27" x14ac:dyDescent="0.35">
      <c r="C4" t="s">
        <v>42</v>
      </c>
      <c r="F4" s="4">
        <v>0.1</v>
      </c>
      <c r="I4" s="34"/>
      <c r="J4" t="s">
        <v>148</v>
      </c>
      <c r="L4" s="156"/>
      <c r="R4" s="172"/>
      <c r="S4" s="3"/>
      <c r="T4" s="3"/>
    </row>
    <row r="5" spans="2:27" x14ac:dyDescent="0.35">
      <c r="C5" t="s">
        <v>1</v>
      </c>
      <c r="F5" s="4">
        <v>0.05</v>
      </c>
      <c r="G5" s="2" t="s">
        <v>155</v>
      </c>
      <c r="I5" s="34"/>
      <c r="J5" t="s">
        <v>149</v>
      </c>
      <c r="K5" s="153">
        <f>H23/12</f>
        <v>15300000</v>
      </c>
      <c r="L5" s="156">
        <v>0.1</v>
      </c>
    </row>
    <row r="6" spans="2:27" x14ac:dyDescent="0.35">
      <c r="C6" t="s">
        <v>3</v>
      </c>
      <c r="F6" s="5">
        <v>0</v>
      </c>
      <c r="G6" s="2" t="s">
        <v>2</v>
      </c>
      <c r="J6" t="s">
        <v>150</v>
      </c>
      <c r="K6" s="153"/>
    </row>
    <row r="7" spans="2:27" x14ac:dyDescent="0.35">
      <c r="C7" t="s">
        <v>95</v>
      </c>
      <c r="F7" s="4">
        <v>0.15</v>
      </c>
    </row>
    <row r="8" spans="2:27" x14ac:dyDescent="0.35">
      <c r="C8" t="s">
        <v>144</v>
      </c>
      <c r="F8" s="147">
        <v>7000000</v>
      </c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35">
      <c r="C9" t="s">
        <v>145</v>
      </c>
      <c r="F9" s="147">
        <v>150000000</v>
      </c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" thickBot="1" x14ac:dyDescent="0.4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35">
      <c r="G11" s="164" t="s">
        <v>97</v>
      </c>
      <c r="H11" s="139" t="s">
        <v>37</v>
      </c>
      <c r="I11" s="139" t="s">
        <v>38</v>
      </c>
      <c r="J11" s="139" t="s">
        <v>39</v>
      </c>
      <c r="K11" s="139" t="s">
        <v>40</v>
      </c>
      <c r="L11" s="139" t="s">
        <v>41</v>
      </c>
      <c r="M11" s="139" t="s">
        <v>44</v>
      </c>
      <c r="N11" s="139" t="s">
        <v>45</v>
      </c>
      <c r="O11" s="139" t="s">
        <v>46</v>
      </c>
      <c r="P11" s="139" t="s">
        <v>47</v>
      </c>
      <c r="Q11" s="139" t="s">
        <v>48</v>
      </c>
      <c r="R11" s="171" t="s">
        <v>11</v>
      </c>
      <c r="S11" s="43"/>
      <c r="T11" s="43"/>
      <c r="U11" s="141"/>
      <c r="V11" s="43"/>
      <c r="W11" s="43"/>
      <c r="X11" s="43"/>
      <c r="Y11" s="43"/>
      <c r="Z11" s="43"/>
    </row>
    <row r="12" spans="2:27" x14ac:dyDescent="0.35">
      <c r="B12" s="1" t="s">
        <v>54</v>
      </c>
      <c r="G12"/>
      <c r="R12" s="173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35">
      <c r="B13" s="75" t="s">
        <v>55</v>
      </c>
      <c r="E13" s="72" t="s">
        <v>160</v>
      </c>
      <c r="F13" s="146">
        <f>Summary!H7</f>
        <v>157</v>
      </c>
      <c r="G13" s="167"/>
      <c r="H13" s="165">
        <v>138445903</v>
      </c>
      <c r="I13" s="165">
        <v>0</v>
      </c>
      <c r="J13" s="165">
        <v>0</v>
      </c>
      <c r="K13" s="165"/>
      <c r="L13" s="165"/>
      <c r="M13" s="165"/>
      <c r="N13" s="165"/>
      <c r="O13" s="165"/>
      <c r="P13" s="165"/>
      <c r="Q13" s="166"/>
      <c r="R13" s="174">
        <f>SUM(G13:Q13)</f>
        <v>138445903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35">
      <c r="B14" s="75"/>
      <c r="E14" s="72" t="s">
        <v>143</v>
      </c>
      <c r="F14" s="146">
        <f>3*0</f>
        <v>0</v>
      </c>
      <c r="G14" s="168"/>
      <c r="H14" s="169"/>
      <c r="I14" s="169">
        <f>$F$9*0</f>
        <v>0</v>
      </c>
      <c r="J14" s="169">
        <f>$F$9*0</f>
        <v>0</v>
      </c>
      <c r="K14" s="169">
        <f>$F$9*0</f>
        <v>0</v>
      </c>
      <c r="L14" s="169"/>
      <c r="M14" s="169"/>
      <c r="N14" s="169"/>
      <c r="O14" s="169"/>
      <c r="P14" s="169"/>
      <c r="Q14" s="170"/>
      <c r="R14" s="175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3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7"/>
      <c r="S15" s="43"/>
      <c r="T15" s="43"/>
      <c r="U15" s="44"/>
      <c r="V15" s="43"/>
      <c r="W15" s="43"/>
      <c r="X15" s="43"/>
      <c r="Y15" s="43"/>
      <c r="Z15" s="43"/>
    </row>
    <row r="16" spans="2:27" x14ac:dyDescent="0.35">
      <c r="F16" s="10"/>
      <c r="R16" s="173"/>
      <c r="U16" s="42"/>
      <c r="V16" s="42"/>
      <c r="W16" s="42"/>
      <c r="X16" s="42"/>
      <c r="Y16" s="42"/>
      <c r="Z16" s="42"/>
      <c r="AA16" s="42"/>
    </row>
    <row r="17" spans="2:27" ht="16" thickBot="1" x14ac:dyDescent="0.4">
      <c r="B17" s="11" t="s">
        <v>10</v>
      </c>
      <c r="C17" s="6"/>
      <c r="D17" s="6"/>
      <c r="E17" s="6"/>
      <c r="F17" s="6"/>
      <c r="G17" s="7" t="s">
        <v>98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59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3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6"/>
    </row>
    <row r="19" spans="2:27" x14ac:dyDescent="0.35">
      <c r="B19" s="150" t="s">
        <v>146</v>
      </c>
      <c r="M19" s="151">
        <v>0.1</v>
      </c>
      <c r="R19" s="176"/>
    </row>
    <row r="20" spans="2:27" x14ac:dyDescent="0.35">
      <c r="R20" s="176"/>
    </row>
    <row r="21" spans="2:27" x14ac:dyDescent="0.3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6"/>
    </row>
    <row r="22" spans="2:27" x14ac:dyDescent="0.35">
      <c r="C22" t="s">
        <v>35</v>
      </c>
      <c r="E22" s="15"/>
      <c r="G22" s="69"/>
      <c r="H22" s="191">
        <v>267900000</v>
      </c>
      <c r="I22" s="191">
        <f>H22</f>
        <v>267900000</v>
      </c>
      <c r="J22" s="191">
        <f>I22-(I22*L3)</f>
        <v>254505000</v>
      </c>
      <c r="K22" s="191">
        <f>J22</f>
        <v>254505000</v>
      </c>
      <c r="L22" s="191">
        <f>K22</f>
        <v>254505000</v>
      </c>
      <c r="M22" s="69">
        <f>$K$3*0</f>
        <v>0</v>
      </c>
      <c r="N22" s="69">
        <f>$K$3*(1-$L$3)*0</f>
        <v>0</v>
      </c>
      <c r="O22" s="69">
        <f>$K$3*(1-$L$3)*0</f>
        <v>0</v>
      </c>
      <c r="P22" s="69">
        <f>$K$3*(1-$L$3)*0</f>
        <v>0</v>
      </c>
      <c r="Q22" s="69">
        <f>$K$3*(1-$L$3)*0</f>
        <v>0</v>
      </c>
      <c r="R22" s="177">
        <f>SUM($G22:Q22)</f>
        <v>1299315000</v>
      </c>
      <c r="S22" s="13"/>
      <c r="T22" s="13"/>
      <c r="U22" s="13"/>
      <c r="V22" s="13"/>
      <c r="W22" s="13"/>
      <c r="X22" s="14"/>
    </row>
    <row r="23" spans="2:27" x14ac:dyDescent="0.35">
      <c r="C23" t="s">
        <v>36</v>
      </c>
      <c r="G23" s="13"/>
      <c r="H23" s="69">
        <f>204000000*90%</f>
        <v>183600000</v>
      </c>
      <c r="I23" s="191">
        <f>H23</f>
        <v>183600000</v>
      </c>
      <c r="J23" s="191">
        <f>I23</f>
        <v>183600000</v>
      </c>
      <c r="K23" s="191">
        <f>J23</f>
        <v>183600000</v>
      </c>
      <c r="L23" s="191">
        <f>K23</f>
        <v>183600000</v>
      </c>
      <c r="M23" s="69">
        <f>$K$5*0</f>
        <v>0</v>
      </c>
      <c r="N23" s="69">
        <f>$K$5*0</f>
        <v>0</v>
      </c>
      <c r="O23" s="69">
        <f>$K$5*0</f>
        <v>0</v>
      </c>
      <c r="P23" s="69">
        <f>$K$5*(1-$L$4)*0</f>
        <v>0</v>
      </c>
      <c r="Q23" s="69">
        <f>$K$5*(1-$L$4)*0</f>
        <v>0</v>
      </c>
      <c r="R23" s="177">
        <f>SUM($G23:Q23)</f>
        <v>918000000</v>
      </c>
      <c r="S23" s="13"/>
      <c r="T23" s="13"/>
      <c r="U23" s="13"/>
      <c r="V23" s="13"/>
      <c r="W23" s="13"/>
      <c r="X23" s="14"/>
    </row>
    <row r="24" spans="2:27" x14ac:dyDescent="0.35">
      <c r="G24" s="13"/>
      <c r="H24" s="69"/>
      <c r="I24" s="191">
        <f t="shared" ref="I24:L25" si="1">H24</f>
        <v>0</v>
      </c>
      <c r="J24" s="191">
        <f t="shared" si="1"/>
        <v>0</v>
      </c>
      <c r="K24" s="191">
        <f t="shared" si="1"/>
        <v>0</v>
      </c>
      <c r="L24" s="191">
        <f t="shared" si="1"/>
        <v>0</v>
      </c>
      <c r="M24" s="69"/>
      <c r="N24" s="69"/>
      <c r="O24" s="69"/>
      <c r="P24" s="69"/>
      <c r="Q24" s="69"/>
      <c r="R24" s="177">
        <f>SUM($G24:Q24)</f>
        <v>0</v>
      </c>
      <c r="S24" s="13"/>
      <c r="T24" s="13"/>
      <c r="U24" s="13"/>
      <c r="V24" s="13"/>
      <c r="W24" s="13"/>
      <c r="X24" s="14"/>
    </row>
    <row r="25" spans="2:27" x14ac:dyDescent="0.35">
      <c r="G25" s="13"/>
      <c r="H25" s="191"/>
      <c r="I25" s="191"/>
      <c r="J25" s="191"/>
      <c r="K25" s="191"/>
      <c r="L25" s="191"/>
      <c r="M25" s="69"/>
      <c r="N25" s="69"/>
      <c r="O25" s="69"/>
      <c r="P25" s="69"/>
      <c r="Q25" s="69"/>
      <c r="R25" s="177">
        <f>SUM($G25:Q25)</f>
        <v>0</v>
      </c>
      <c r="S25" s="13"/>
      <c r="T25" s="13"/>
      <c r="U25" s="13"/>
      <c r="V25" s="13"/>
      <c r="W25" s="13"/>
      <c r="X25" s="14"/>
    </row>
    <row r="26" spans="2:27" x14ac:dyDescent="0.35"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77">
        <f>SUM($G26:Q26)</f>
        <v>0</v>
      </c>
      <c r="S26" s="46"/>
      <c r="T26" s="46"/>
      <c r="U26" s="46"/>
      <c r="V26" s="46"/>
      <c r="W26" s="46"/>
      <c r="X26" s="47"/>
      <c r="Y26" s="48"/>
    </row>
    <row r="27" spans="2:27" x14ac:dyDescent="0.35">
      <c r="B27" s="66" t="s">
        <v>13</v>
      </c>
      <c r="C27" s="66"/>
      <c r="D27" s="66"/>
      <c r="E27" s="220"/>
      <c r="F27" s="221"/>
      <c r="G27" s="67"/>
      <c r="H27" s="67">
        <f>SUM(H22:H26)</f>
        <v>451500000</v>
      </c>
      <c r="I27" s="67">
        <f t="shared" ref="I27:L27" si="2">SUM(I22:I26)</f>
        <v>451500000</v>
      </c>
      <c r="J27" s="67">
        <f t="shared" si="2"/>
        <v>438105000</v>
      </c>
      <c r="K27" s="67">
        <f t="shared" si="2"/>
        <v>438105000</v>
      </c>
      <c r="L27" s="67">
        <f t="shared" si="2"/>
        <v>438105000</v>
      </c>
      <c r="M27" s="67">
        <f>SUM(M22:M26)</f>
        <v>0</v>
      </c>
      <c r="N27" s="67">
        <f>SUM(N22:N26)</f>
        <v>0</v>
      </c>
      <c r="O27" s="67">
        <f t="shared" ref="O27:P27" si="3">SUM(O22:O26)</f>
        <v>0</v>
      </c>
      <c r="P27" s="67">
        <f t="shared" si="3"/>
        <v>0</v>
      </c>
      <c r="Q27" s="67">
        <f t="shared" ref="Q27" si="4">SUM(Q22:Q26)</f>
        <v>0</v>
      </c>
      <c r="R27" s="160">
        <f>SUM(R22:R26)</f>
        <v>2217315000</v>
      </c>
      <c r="S27" s="46">
        <f>SUM(G27:Q27)-R27</f>
        <v>0</v>
      </c>
      <c r="T27" s="46"/>
      <c r="U27" s="46"/>
      <c r="V27" s="46"/>
      <c r="W27" s="46"/>
      <c r="X27" s="46"/>
      <c r="Y27" s="48"/>
    </row>
    <row r="28" spans="2:27" x14ac:dyDescent="0.35">
      <c r="R28" s="176"/>
      <c r="S28" s="48"/>
      <c r="T28" s="48"/>
      <c r="U28" s="48"/>
      <c r="V28" s="48"/>
      <c r="W28" s="48"/>
      <c r="X28" s="48"/>
      <c r="Y28" s="48"/>
    </row>
    <row r="29" spans="2:27" x14ac:dyDescent="0.3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8"/>
      <c r="S29" s="49"/>
      <c r="T29" s="49"/>
      <c r="U29" s="49"/>
      <c r="V29" s="49"/>
      <c r="W29" s="49"/>
      <c r="X29" s="48"/>
      <c r="Y29" s="48"/>
    </row>
    <row r="30" spans="2:27" x14ac:dyDescent="0.35">
      <c r="C30" t="s">
        <v>43</v>
      </c>
      <c r="G30" s="13"/>
      <c r="H30" s="13">
        <v>550000000</v>
      </c>
      <c r="I30" s="13">
        <f>H30</f>
        <v>550000000</v>
      </c>
      <c r="J30" s="13"/>
      <c r="K30" s="13"/>
      <c r="L30" s="13"/>
      <c r="M30" s="13">
        <f>800000000*10%*0</f>
        <v>0</v>
      </c>
      <c r="N30" s="13">
        <f>800000000*30%*0</f>
        <v>0</v>
      </c>
      <c r="O30" s="13">
        <f>800000000*20%*0</f>
        <v>0</v>
      </c>
      <c r="P30" s="13">
        <f t="shared" ref="P30" si="5">O30</f>
        <v>0</v>
      </c>
      <c r="Q30" s="13">
        <f t="shared" ref="Q30" si="6">P30</f>
        <v>0</v>
      </c>
      <c r="R30" s="177">
        <f>SUM($G30:Q30)</f>
        <v>1100000000</v>
      </c>
      <c r="S30" s="46"/>
      <c r="T30" s="46"/>
      <c r="U30" s="46"/>
      <c r="V30" s="46"/>
      <c r="W30" s="46"/>
      <c r="X30" s="47"/>
      <c r="Y30" s="48"/>
    </row>
    <row r="31" spans="2:27" x14ac:dyDescent="0.35">
      <c r="C31" t="s">
        <v>15</v>
      </c>
      <c r="G31" s="13"/>
      <c r="H31" s="13">
        <f>PARAMETER!B74*2</f>
        <v>72000000</v>
      </c>
      <c r="I31" s="13">
        <f>H31</f>
        <v>72000000</v>
      </c>
      <c r="J31" s="13">
        <f t="shared" ref="J31:L32" si="7">I31</f>
        <v>72000000</v>
      </c>
      <c r="K31" s="13">
        <f t="shared" si="7"/>
        <v>72000000</v>
      </c>
      <c r="L31" s="13">
        <f t="shared" si="7"/>
        <v>72000000</v>
      </c>
      <c r="M31" s="13">
        <f>200000000*0.5*0</f>
        <v>0</v>
      </c>
      <c r="N31" s="13">
        <f>200000000*0.5*0</f>
        <v>0</v>
      </c>
      <c r="O31" s="13">
        <f>200000000*0.5*0</f>
        <v>0</v>
      </c>
      <c r="P31" s="13">
        <f>200000000*0.5*0</f>
        <v>0</v>
      </c>
      <c r="Q31" s="13">
        <f>200000000*0.5*0</f>
        <v>0</v>
      </c>
      <c r="R31" s="177">
        <f>SUM($G31:Q31)</f>
        <v>360000000</v>
      </c>
      <c r="S31" s="46"/>
      <c r="T31" s="46"/>
      <c r="U31" s="46"/>
      <c r="V31" s="46"/>
      <c r="W31" s="46"/>
      <c r="X31" s="47"/>
      <c r="Y31" s="48"/>
    </row>
    <row r="32" spans="2:27" x14ac:dyDescent="0.35">
      <c r="C32" t="s">
        <v>141</v>
      </c>
      <c r="G32" s="106"/>
      <c r="H32" s="106">
        <f>PARAMETER!K54</f>
        <v>43820000</v>
      </c>
      <c r="I32" s="106">
        <f>H32</f>
        <v>43820000</v>
      </c>
      <c r="J32" s="106">
        <f t="shared" si="7"/>
        <v>43820000</v>
      </c>
      <c r="K32" s="106">
        <f t="shared" si="7"/>
        <v>43820000</v>
      </c>
      <c r="L32" s="106">
        <f t="shared" si="7"/>
        <v>43820000</v>
      </c>
      <c r="M32" s="106">
        <f>IF(N22&gt;0,COUNTIF(M22:M26,"&gt;0")*7000000,
IF(M23&gt;0,COUNTIF(M22:M26,"&gt;0")*7000000,
IF(O25&gt;0,COUNTIF(M22:M26,"&gt;0")*7000000,
IF(M26&gt;0,COUNTIF(M22:M26,"&gt;0")*7000000,0))))</f>
        <v>0</v>
      </c>
      <c r="N32" s="106">
        <f>IF(O22&gt;0,COUNTIF(N22:N26,"&gt;0")*7000000,
IF(N23&gt;0,COUNTIF(N22:N26,"&gt;0")*7000000,
IF(P25&gt;0,COUNTIF(N22:N26,"&gt;0")*7000000,
IF(N26&gt;0,COUNTIF(N22:N26,"&gt;0")*7000000,0))))</f>
        <v>0</v>
      </c>
      <c r="O32" s="106">
        <f>IF(P22&gt;0,COUNTIF(O22:O26,"&gt;0")*7000000,
IF(O23&gt;0,COUNTIF(O22:O26,"&gt;0")*7000000,
IF(Q25&gt;0,COUNTIF(O22:O26,"&gt;0")*7000000,
IF(O26&gt;0,COUNTIF(O22:O26,"&gt;0")*7000000,0))))</f>
        <v>0</v>
      </c>
      <c r="P32" s="106">
        <f t="shared" ref="P32:Q32" si="8">IF(P22&gt;0,COUNTIF(P22:P26,"&gt;0")*7000000,
IF(P23&gt;0,COUNTIF(P22:P26,"&gt;0")*7000000,
IF(P25&gt;0,COUNTIF(P22:P26,"&gt;0")*7000000,
IF(P26&gt;0,COUNTIF(P22:P26,"&gt;0")*7000000,0))))</f>
        <v>0</v>
      </c>
      <c r="Q32" s="106">
        <f t="shared" si="8"/>
        <v>0</v>
      </c>
      <c r="R32" s="177">
        <f>SUM($G32:Q32)</f>
        <v>219100000</v>
      </c>
      <c r="S32" s="46"/>
      <c r="T32" s="46"/>
      <c r="U32" s="46"/>
      <c r="V32" s="46"/>
      <c r="W32" s="46"/>
      <c r="X32" s="47"/>
      <c r="Y32" s="48"/>
    </row>
    <row r="33" spans="2:25" x14ac:dyDescent="0.35">
      <c r="B33" s="16"/>
      <c r="C33" s="16" t="s">
        <v>142</v>
      </c>
      <c r="D33" s="16"/>
      <c r="E33" s="16"/>
      <c r="F33" s="138">
        <f>H33/H27</f>
        <v>0.05</v>
      </c>
      <c r="G33" s="21"/>
      <c r="H33" s="21">
        <f>H27*$F$5</f>
        <v>22575000</v>
      </c>
      <c r="I33" s="21">
        <f>I27*$F$5</f>
        <v>22575000</v>
      </c>
      <c r="J33" s="21">
        <f>J27*$F$5</f>
        <v>21905250</v>
      </c>
      <c r="K33" s="21">
        <f>K27*$F$5</f>
        <v>21905250</v>
      </c>
      <c r="L33" s="21">
        <f>L27*$F$5</f>
        <v>21905250</v>
      </c>
      <c r="M33" s="21">
        <f>PARAMETER!G36*0</f>
        <v>0</v>
      </c>
      <c r="N33" s="21">
        <f>PARAMETER!H36*0</f>
        <v>0</v>
      </c>
      <c r="O33" s="21">
        <f>PARAMETER!I36*0</f>
        <v>0</v>
      </c>
      <c r="P33" s="21">
        <f>PARAMETER!J36*0</f>
        <v>0</v>
      </c>
      <c r="Q33" s="21">
        <f>PARAMETER!K36*0</f>
        <v>0</v>
      </c>
      <c r="R33" s="177">
        <f>SUM($G33:Q33)</f>
        <v>110865750</v>
      </c>
      <c r="S33" s="50"/>
      <c r="T33" s="50"/>
      <c r="U33" s="50"/>
      <c r="V33" s="50"/>
      <c r="W33" s="50"/>
      <c r="X33" s="47"/>
      <c r="Y33" s="48"/>
    </row>
    <row r="34" spans="2:25" s="1" customFormat="1" x14ac:dyDescent="0.35">
      <c r="B34" s="66" t="s">
        <v>16</v>
      </c>
      <c r="C34" s="66"/>
      <c r="D34" s="66"/>
      <c r="E34" s="66"/>
      <c r="F34" s="66"/>
      <c r="G34" s="67"/>
      <c r="H34" s="67">
        <f>SUM(H30:H33)</f>
        <v>688395000</v>
      </c>
      <c r="I34" s="67">
        <f t="shared" ref="I34:Q34" si="9">SUM(I30:I33)</f>
        <v>688395000</v>
      </c>
      <c r="J34" s="67">
        <f t="shared" si="9"/>
        <v>137725250</v>
      </c>
      <c r="K34" s="67">
        <f t="shared" si="9"/>
        <v>137725250</v>
      </c>
      <c r="L34" s="67">
        <f t="shared" si="9"/>
        <v>137725250</v>
      </c>
      <c r="M34" s="67">
        <f t="shared" si="9"/>
        <v>0</v>
      </c>
      <c r="N34" s="67">
        <f t="shared" si="9"/>
        <v>0</v>
      </c>
      <c r="O34" s="67">
        <f t="shared" si="9"/>
        <v>0</v>
      </c>
      <c r="P34" s="67">
        <f t="shared" si="9"/>
        <v>0</v>
      </c>
      <c r="Q34" s="67">
        <f t="shared" si="9"/>
        <v>0</v>
      </c>
      <c r="R34" s="161">
        <f>SUM(R30:R33)</f>
        <v>1789965750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35">
      <c r="B35" s="1" t="s">
        <v>17</v>
      </c>
      <c r="G35" s="22"/>
      <c r="H35" s="22">
        <f>H27-H34</f>
        <v>-236895000</v>
      </c>
      <c r="I35" s="22">
        <f t="shared" ref="I35:Q35" si="10">I27-I34</f>
        <v>-236895000</v>
      </c>
      <c r="J35" s="22">
        <f t="shared" si="10"/>
        <v>300379750</v>
      </c>
      <c r="K35" s="22">
        <f t="shared" si="10"/>
        <v>300379750</v>
      </c>
      <c r="L35" s="22">
        <f t="shared" si="10"/>
        <v>300379750</v>
      </c>
      <c r="M35" s="22">
        <f>M27-M34</f>
        <v>0</v>
      </c>
      <c r="N35" s="22">
        <f t="shared" si="10"/>
        <v>0</v>
      </c>
      <c r="O35" s="22">
        <f t="shared" si="10"/>
        <v>0</v>
      </c>
      <c r="P35" s="22">
        <f t="shared" si="10"/>
        <v>0</v>
      </c>
      <c r="Q35" s="22">
        <f t="shared" si="10"/>
        <v>0</v>
      </c>
      <c r="R35" s="162">
        <f>R27-R34</f>
        <v>427349250</v>
      </c>
      <c r="S35" s="46">
        <f>SUM(G35:Q35)-R35</f>
        <v>0</v>
      </c>
      <c r="T35" s="51"/>
      <c r="U35" s="51"/>
      <c r="V35" s="51"/>
      <c r="W35" s="51"/>
      <c r="X35" s="51"/>
      <c r="Y35" s="52"/>
    </row>
    <row r="36" spans="2:25" s="1" customFormat="1" x14ac:dyDescent="0.35">
      <c r="B36" s="23" t="s">
        <v>18</v>
      </c>
      <c r="C36" s="24"/>
      <c r="D36" s="24"/>
      <c r="E36" s="24"/>
      <c r="F36" s="24"/>
      <c r="G36" s="25"/>
      <c r="H36" s="25">
        <f>H35/H27</f>
        <v>-0.52468438538205975</v>
      </c>
      <c r="I36" s="25">
        <f t="shared" ref="I36:Q36" si="11">I35/I27</f>
        <v>-0.52468438538205975</v>
      </c>
      <c r="J36" s="25">
        <f t="shared" si="11"/>
        <v>0.68563415163031693</v>
      </c>
      <c r="K36" s="25">
        <f t="shared" si="11"/>
        <v>0.68563415163031693</v>
      </c>
      <c r="L36" s="25">
        <f t="shared" si="11"/>
        <v>0.68563415163031693</v>
      </c>
      <c r="M36" s="25" t="e">
        <f t="shared" si="11"/>
        <v>#DIV/0!</v>
      </c>
      <c r="N36" s="25" t="e">
        <f t="shared" si="11"/>
        <v>#DIV/0!</v>
      </c>
      <c r="O36" s="25" t="e">
        <f t="shared" si="11"/>
        <v>#DIV/0!</v>
      </c>
      <c r="P36" s="25" t="e">
        <f t="shared" si="11"/>
        <v>#DIV/0!</v>
      </c>
      <c r="Q36" s="25" t="e">
        <f t="shared" si="11"/>
        <v>#DIV/0!</v>
      </c>
      <c r="R36" s="163">
        <f>R35/R27</f>
        <v>0.19273276462748865</v>
      </c>
      <c r="S36" s="53"/>
      <c r="T36" s="53"/>
      <c r="U36" s="53"/>
      <c r="V36" s="53"/>
      <c r="W36" s="53"/>
      <c r="X36" s="53"/>
      <c r="Y36" s="52"/>
    </row>
    <row r="37" spans="2:25" x14ac:dyDescent="0.35">
      <c r="R37" s="176"/>
      <c r="S37" s="48"/>
      <c r="T37" s="48"/>
      <c r="U37" s="48"/>
      <c r="V37" s="48"/>
      <c r="W37" s="48"/>
      <c r="X37" s="48"/>
      <c r="Y37" s="48"/>
    </row>
    <row r="38" spans="2:25" x14ac:dyDescent="0.35">
      <c r="B38" s="16" t="s">
        <v>19</v>
      </c>
      <c r="C38" s="16"/>
      <c r="D38" s="16"/>
      <c r="E38" s="16"/>
      <c r="F38" s="16"/>
      <c r="G38" s="17"/>
      <c r="H38" s="17">
        <f>H68</f>
        <v>27689180.600000001</v>
      </c>
      <c r="I38" s="17">
        <f t="shared" ref="I38:L38" si="12">I68</f>
        <v>27689180.600000001</v>
      </c>
      <c r="J38" s="17">
        <f t="shared" si="12"/>
        <v>27689180.600000001</v>
      </c>
      <c r="K38" s="17">
        <f t="shared" si="12"/>
        <v>27689180.600000001</v>
      </c>
      <c r="L38" s="17">
        <f t="shared" si="12"/>
        <v>27689180.600000001</v>
      </c>
      <c r="M38" s="17">
        <f>M68*0</f>
        <v>0</v>
      </c>
      <c r="N38" s="17">
        <f>N68*0</f>
        <v>0</v>
      </c>
      <c r="O38" s="17">
        <f>O68*0</f>
        <v>0</v>
      </c>
      <c r="P38" s="17">
        <f>P68*0</f>
        <v>0</v>
      </c>
      <c r="Q38" s="17">
        <f>Q68*0</f>
        <v>0</v>
      </c>
      <c r="R38" s="175">
        <f>SUM($G38:Q38)</f>
        <v>138445903</v>
      </c>
      <c r="S38" s="46"/>
      <c r="T38" s="46"/>
      <c r="U38" s="46"/>
      <c r="V38" s="46"/>
      <c r="W38" s="46"/>
      <c r="X38" s="46"/>
      <c r="Y38" s="48"/>
    </row>
    <row r="39" spans="2:25" x14ac:dyDescent="0.35">
      <c r="B39" s="26" t="s">
        <v>20</v>
      </c>
      <c r="G39" s="27"/>
      <c r="H39" s="27">
        <f>H35-H38</f>
        <v>-264584180.59999999</v>
      </c>
      <c r="I39" s="27">
        <f t="shared" ref="I39:P39" si="13">I35-I38</f>
        <v>-264584180.59999999</v>
      </c>
      <c r="J39" s="27">
        <f t="shared" si="13"/>
        <v>272690569.39999998</v>
      </c>
      <c r="K39" s="27">
        <f t="shared" si="13"/>
        <v>272690569.39999998</v>
      </c>
      <c r="L39" s="27">
        <f>L35-L38</f>
        <v>272690569.39999998</v>
      </c>
      <c r="M39" s="27">
        <f t="shared" si="13"/>
        <v>0</v>
      </c>
      <c r="N39" s="27">
        <f t="shared" si="13"/>
        <v>0</v>
      </c>
      <c r="O39" s="27">
        <f t="shared" si="13"/>
        <v>0</v>
      </c>
      <c r="P39" s="27">
        <f t="shared" si="13"/>
        <v>0</v>
      </c>
      <c r="Q39" s="27">
        <f>Q35-Q38</f>
        <v>0</v>
      </c>
      <c r="R39" s="179">
        <f>R35-R38</f>
        <v>288903347</v>
      </c>
      <c r="S39" s="46">
        <f>SUM(G39:Q39)-R39</f>
        <v>0</v>
      </c>
      <c r="T39" s="54"/>
      <c r="U39" s="54"/>
      <c r="V39" s="54"/>
      <c r="W39" s="54"/>
      <c r="X39" s="54"/>
      <c r="Y39" s="48"/>
    </row>
    <row r="40" spans="2:25" x14ac:dyDescent="0.35">
      <c r="B40" s="16" t="s">
        <v>33</v>
      </c>
      <c r="C40" s="16"/>
      <c r="D40" s="16"/>
      <c r="E40" s="16"/>
      <c r="F40" s="16"/>
      <c r="G40" s="17"/>
      <c r="H40" s="17">
        <f>PARAMETER!J24</f>
        <v>8058139.1400000025</v>
      </c>
      <c r="I40" s="17">
        <f>PARAMETER!K24</f>
        <v>2686046.3800000008</v>
      </c>
      <c r="J40" s="17">
        <f>PARAMETER!L24</f>
        <v>0</v>
      </c>
      <c r="K40" s="17">
        <f>PARAMETER!M24</f>
        <v>0</v>
      </c>
      <c r="L40" s="17">
        <f>PARAMETER!Q24</f>
        <v>0</v>
      </c>
      <c r="M40" s="17">
        <f>PARAMETER!G$5*0</f>
        <v>0</v>
      </c>
      <c r="N40" s="17"/>
      <c r="O40" s="17"/>
      <c r="P40" s="17"/>
      <c r="Q40" s="17"/>
      <c r="R40" s="175">
        <f>SUM($G40:Q40)</f>
        <v>10744185.520000003</v>
      </c>
      <c r="S40" s="46"/>
      <c r="T40" s="46"/>
      <c r="U40" s="46"/>
      <c r="V40" s="46"/>
      <c r="W40" s="46"/>
      <c r="X40" s="46"/>
      <c r="Y40" s="48"/>
    </row>
    <row r="41" spans="2:25" x14ac:dyDescent="0.35">
      <c r="B41" s="26" t="s">
        <v>34</v>
      </c>
      <c r="G41" s="70"/>
      <c r="H41" s="70">
        <f t="shared" ref="H41:Q41" si="14">H39-H40</f>
        <v>-272642319.74000001</v>
      </c>
      <c r="I41" s="70">
        <f t="shared" si="14"/>
        <v>-267270226.97999999</v>
      </c>
      <c r="J41" s="70">
        <f t="shared" si="14"/>
        <v>272690569.39999998</v>
      </c>
      <c r="K41" s="70">
        <f t="shared" si="14"/>
        <v>272690569.39999998</v>
      </c>
      <c r="L41" s="70">
        <f t="shared" si="14"/>
        <v>272690569.39999998</v>
      </c>
      <c r="M41" s="70">
        <f t="shared" si="14"/>
        <v>0</v>
      </c>
      <c r="N41" s="70">
        <f t="shared" si="14"/>
        <v>0</v>
      </c>
      <c r="O41" s="70">
        <f t="shared" si="14"/>
        <v>0</v>
      </c>
      <c r="P41" s="70">
        <f t="shared" si="14"/>
        <v>0</v>
      </c>
      <c r="Q41" s="70">
        <f t="shared" si="14"/>
        <v>0</v>
      </c>
      <c r="R41" s="177">
        <f>SUM($G41:Q41)</f>
        <v>278159161.4799999</v>
      </c>
      <c r="S41" s="46">
        <f>SUM(G41:Q41)-R41</f>
        <v>0</v>
      </c>
      <c r="T41" s="54"/>
      <c r="U41" s="54"/>
      <c r="V41" s="54"/>
      <c r="W41" s="54"/>
      <c r="X41" s="54"/>
      <c r="Y41" s="48"/>
    </row>
    <row r="42" spans="2:25" x14ac:dyDescent="0.35">
      <c r="B42" s="16" t="s">
        <v>21</v>
      </c>
      <c r="C42" s="16"/>
      <c r="D42" s="16"/>
      <c r="E42" s="16"/>
      <c r="F42" s="16"/>
      <c r="G42" s="68"/>
      <c r="H42" s="68">
        <f t="shared" ref="H42:Q42" si="15">IF(H41&lt;0,0,H41*$F$3)</f>
        <v>0</v>
      </c>
      <c r="I42" s="68">
        <f>IF(I41&lt;0,0,I41*$F$3)</f>
        <v>0</v>
      </c>
      <c r="J42" s="68">
        <f t="shared" si="15"/>
        <v>5453811.3879999993</v>
      </c>
      <c r="K42" s="68">
        <f t="shared" si="15"/>
        <v>5453811.3879999993</v>
      </c>
      <c r="L42" s="68">
        <f t="shared" si="15"/>
        <v>5453811.3879999993</v>
      </c>
      <c r="M42" s="68">
        <f t="shared" si="15"/>
        <v>0</v>
      </c>
      <c r="N42" s="68">
        <f t="shared" si="15"/>
        <v>0</v>
      </c>
      <c r="O42" s="68">
        <f t="shared" si="15"/>
        <v>0</v>
      </c>
      <c r="P42" s="68">
        <f t="shared" si="15"/>
        <v>0</v>
      </c>
      <c r="Q42" s="68">
        <f t="shared" si="15"/>
        <v>0</v>
      </c>
      <c r="R42" s="177">
        <f>SUM($G42:Q42)</f>
        <v>16361434.163999997</v>
      </c>
      <c r="S42" s="56"/>
      <c r="T42" s="56"/>
      <c r="U42" s="56"/>
      <c r="V42" s="56"/>
      <c r="W42" s="56"/>
      <c r="X42" s="55"/>
      <c r="Y42" s="48"/>
    </row>
    <row r="43" spans="2:25" ht="16" thickBot="1" x14ac:dyDescent="0.4">
      <c r="B43" s="29" t="s">
        <v>56</v>
      </c>
      <c r="C43" s="29"/>
      <c r="D43" s="29"/>
      <c r="E43" s="29"/>
      <c r="F43" s="29"/>
      <c r="G43" s="30"/>
      <c r="H43" s="30">
        <f t="shared" ref="H43:Q43" si="16">H41-H42</f>
        <v>-272642319.74000001</v>
      </c>
      <c r="I43" s="30">
        <f t="shared" si="16"/>
        <v>-267270226.97999999</v>
      </c>
      <c r="J43" s="30">
        <f t="shared" si="16"/>
        <v>267236758.01199996</v>
      </c>
      <c r="K43" s="30">
        <f t="shared" si="16"/>
        <v>267236758.01199996</v>
      </c>
      <c r="L43" s="30">
        <f t="shared" si="16"/>
        <v>267236758.01199996</v>
      </c>
      <c r="M43" s="30">
        <f t="shared" si="16"/>
        <v>0</v>
      </c>
      <c r="N43" s="30">
        <f t="shared" si="16"/>
        <v>0</v>
      </c>
      <c r="O43" s="30">
        <f t="shared" si="16"/>
        <v>0</v>
      </c>
      <c r="P43" s="30">
        <f t="shared" si="16"/>
        <v>0</v>
      </c>
      <c r="Q43" s="30">
        <f t="shared" si="16"/>
        <v>0</v>
      </c>
      <c r="R43" s="180">
        <f>R41-R42</f>
        <v>261797727.3159999</v>
      </c>
      <c r="S43" s="46">
        <f>SUM(G43:Q43)-R43</f>
        <v>0</v>
      </c>
      <c r="T43" s="54"/>
      <c r="U43" s="54"/>
      <c r="V43" s="54"/>
      <c r="W43" s="54"/>
      <c r="X43" s="54"/>
      <c r="Y43" s="48"/>
    </row>
    <row r="44" spans="2:25" x14ac:dyDescent="0.35">
      <c r="R44" s="176"/>
      <c r="S44" s="48"/>
      <c r="T44" s="48"/>
      <c r="U44" s="48"/>
      <c r="V44" s="48"/>
      <c r="W44" s="48"/>
      <c r="X44" s="48"/>
      <c r="Y44" s="48"/>
    </row>
    <row r="45" spans="2:25" x14ac:dyDescent="0.35">
      <c r="B45" s="16" t="s">
        <v>22</v>
      </c>
      <c r="C45" s="16"/>
      <c r="D45" s="16"/>
      <c r="E45" s="16"/>
      <c r="F45" s="31"/>
      <c r="G45" s="31"/>
      <c r="H45" s="31">
        <f>-H14-H13</f>
        <v>-138445903</v>
      </c>
      <c r="I45" s="31">
        <f t="shared" ref="I45:P45" si="17">-I14</f>
        <v>0</v>
      </c>
      <c r="J45" s="31">
        <f t="shared" si="17"/>
        <v>0</v>
      </c>
      <c r="K45" s="31">
        <f t="shared" si="17"/>
        <v>0</v>
      </c>
      <c r="L45" s="31">
        <f t="shared" si="17"/>
        <v>0</v>
      </c>
      <c r="M45" s="31">
        <f t="shared" si="17"/>
        <v>0</v>
      </c>
      <c r="N45" s="31">
        <f t="shared" si="17"/>
        <v>0</v>
      </c>
      <c r="O45" s="31">
        <f t="shared" si="17"/>
        <v>0</v>
      </c>
      <c r="P45" s="31">
        <f t="shared" si="17"/>
        <v>0</v>
      </c>
      <c r="Q45" s="31">
        <f>-Q14</f>
        <v>0</v>
      </c>
      <c r="R45" s="181">
        <f>SUM($G$45:Q45)</f>
        <v>-138445903</v>
      </c>
      <c r="S45" s="55"/>
      <c r="T45" s="55"/>
      <c r="U45" s="55"/>
      <c r="V45" s="55"/>
      <c r="W45" s="55"/>
      <c r="X45" s="55"/>
      <c r="Y45" s="48"/>
    </row>
    <row r="46" spans="2:25" x14ac:dyDescent="0.35">
      <c r="B46" t="s">
        <v>23</v>
      </c>
      <c r="F46" s="28"/>
      <c r="G46" s="28"/>
      <c r="H46" s="28">
        <f>H45+H43+H38</f>
        <v>-383399042.13999999</v>
      </c>
      <c r="I46" s="28">
        <f t="shared" ref="I46:Q46" si="18">I45+I43+I38</f>
        <v>-239581046.38</v>
      </c>
      <c r="J46" s="28">
        <f t="shared" si="18"/>
        <v>294925938.61199999</v>
      </c>
      <c r="K46" s="28">
        <f t="shared" si="18"/>
        <v>294925938.61199999</v>
      </c>
      <c r="L46" s="28">
        <f t="shared" si="18"/>
        <v>294925938.61199999</v>
      </c>
      <c r="M46" s="28">
        <f t="shared" si="18"/>
        <v>0</v>
      </c>
      <c r="N46" s="28">
        <f t="shared" si="18"/>
        <v>0</v>
      </c>
      <c r="O46" s="28">
        <f t="shared" si="18"/>
        <v>0</v>
      </c>
      <c r="P46" s="28">
        <f t="shared" si="18"/>
        <v>0</v>
      </c>
      <c r="Q46" s="28">
        <f t="shared" si="18"/>
        <v>0</v>
      </c>
      <c r="R46" s="182">
        <f>SUM($G$46:Q46)</f>
        <v>261797727.31599998</v>
      </c>
      <c r="S46" s="55"/>
      <c r="T46" s="55"/>
      <c r="U46" s="55"/>
      <c r="V46" s="55"/>
      <c r="W46" s="55"/>
      <c r="X46" s="55"/>
      <c r="Y46" s="48"/>
    </row>
    <row r="47" spans="2:25" x14ac:dyDescent="0.35">
      <c r="B47" t="s">
        <v>24</v>
      </c>
      <c r="F47" s="28"/>
      <c r="G47" s="28"/>
      <c r="H47" s="28">
        <f>+H46</f>
        <v>-383399042.13999999</v>
      </c>
      <c r="I47" s="28">
        <f t="shared" ref="I47:O47" si="19">H47+I46</f>
        <v>-622980088.51999998</v>
      </c>
      <c r="J47" s="28">
        <f t="shared" si="19"/>
        <v>-328054149.90799999</v>
      </c>
      <c r="K47" s="28">
        <f t="shared" si="19"/>
        <v>-33128211.296000004</v>
      </c>
      <c r="L47" s="28">
        <f t="shared" si="19"/>
        <v>261797727.31599998</v>
      </c>
      <c r="M47" s="28">
        <f>(L47+M46)*0</f>
        <v>0</v>
      </c>
      <c r="N47" s="28">
        <f t="shared" si="19"/>
        <v>0</v>
      </c>
      <c r="O47" s="28">
        <f t="shared" si="19"/>
        <v>0</v>
      </c>
      <c r="P47" s="28">
        <f t="shared" ref="P47" si="20">O47+P46</f>
        <v>0</v>
      </c>
      <c r="Q47" s="28">
        <f t="shared" ref="Q47" si="21">P47+Q46</f>
        <v>0</v>
      </c>
      <c r="R47" s="182"/>
      <c r="S47" s="55"/>
      <c r="T47" s="55"/>
      <c r="U47" s="55"/>
      <c r="V47" s="55"/>
      <c r="W47" s="55"/>
      <c r="X47" s="55"/>
      <c r="Y47" s="48"/>
    </row>
    <row r="48" spans="2:25" x14ac:dyDescent="0.35">
      <c r="B48" t="s">
        <v>25</v>
      </c>
      <c r="F48" s="28"/>
      <c r="G48" s="32">
        <f t="shared" ref="G48:O48" si="22">IF(AND(F47&lt;0,G47&gt;0),H56-(G47/G46),0)</f>
        <v>0</v>
      </c>
      <c r="H48" s="32">
        <f>IF(AND(G47&lt;0,H47&gt;0),H56-(H47/H46),0)</f>
        <v>0</v>
      </c>
      <c r="I48" s="32">
        <f>IF(AND(H47&lt;0,I47&gt;0),I56-(I47/I46),0)</f>
        <v>0</v>
      </c>
      <c r="J48" s="32">
        <f>IF(AND(I47&lt;0,J47&gt;0),J56-(J47/J46),0)</f>
        <v>0</v>
      </c>
      <c r="K48" s="77">
        <f>IF(AND(J47&lt;0,K47&gt;0),K56-(K47/K46),0)</f>
        <v>0</v>
      </c>
      <c r="L48" s="32">
        <f>IF(AND(K47&lt;0,L47&gt;0),L56-(L47/L46),0)</f>
        <v>4.1123272217150859</v>
      </c>
      <c r="M48" s="32">
        <f t="shared" si="22"/>
        <v>0</v>
      </c>
      <c r="N48" s="32">
        <f t="shared" si="22"/>
        <v>0</v>
      </c>
      <c r="O48" s="32">
        <f t="shared" si="22"/>
        <v>0</v>
      </c>
      <c r="P48" s="32"/>
      <c r="Q48" s="32">
        <f>IF(AND(O47&lt;0,Q47&gt;0),R56-(Q47/Q46),0)</f>
        <v>0</v>
      </c>
      <c r="R48" s="183"/>
      <c r="S48" s="32"/>
      <c r="T48" s="32"/>
      <c r="U48" s="32"/>
      <c r="V48" s="32"/>
      <c r="W48" s="32"/>
      <c r="X48" s="32"/>
    </row>
    <row r="49" spans="2:25" s="80" customFormat="1" x14ac:dyDescent="0.35">
      <c r="F49" s="81"/>
      <c r="G49" s="82"/>
      <c r="H49" s="82"/>
      <c r="I49" s="82"/>
      <c r="J49" s="82"/>
      <c r="K49" s="83"/>
      <c r="L49" s="82"/>
      <c r="M49" s="82"/>
      <c r="N49" s="82"/>
      <c r="O49" s="82"/>
      <c r="P49" s="82"/>
      <c r="Q49" s="82"/>
      <c r="R49" s="184"/>
      <c r="S49" s="82"/>
      <c r="T49" s="82"/>
      <c r="U49" s="82"/>
      <c r="V49" s="82"/>
      <c r="W49" s="82"/>
      <c r="X49" s="82"/>
    </row>
    <row r="50" spans="2:25" s="80" customFormat="1" x14ac:dyDescent="0.35">
      <c r="G50" s="84"/>
      <c r="R50" s="185"/>
    </row>
    <row r="51" spans="2:25" x14ac:dyDescent="0.35">
      <c r="B51" s="58" t="s">
        <v>26</v>
      </c>
      <c r="C51" s="59"/>
      <c r="D51" s="59"/>
      <c r="E51" s="59"/>
      <c r="F51" s="126">
        <f>IRR(G46:Q46)</f>
        <v>0.14528549392637524</v>
      </c>
      <c r="R51" s="173"/>
    </row>
    <row r="52" spans="2:25" x14ac:dyDescent="0.35">
      <c r="B52" s="60" t="s">
        <v>27</v>
      </c>
      <c r="C52" s="61"/>
      <c r="D52" s="61"/>
      <c r="E52" s="61"/>
      <c r="F52" s="124">
        <f>NPV(F4,H46:Q46)+G46</f>
        <v>59600962.724084713</v>
      </c>
      <c r="H52" s="76"/>
      <c r="I52" s="14"/>
      <c r="R52" s="186"/>
    </row>
    <row r="53" spans="2:25" x14ac:dyDescent="0.35">
      <c r="B53" s="60" t="s">
        <v>28</v>
      </c>
      <c r="C53" s="61"/>
      <c r="D53" s="61"/>
      <c r="E53" s="61"/>
      <c r="F53" s="62">
        <f>R36</f>
        <v>0.19273276462748865</v>
      </c>
      <c r="H53" s="69"/>
      <c r="R53" s="186"/>
    </row>
    <row r="54" spans="2:25" x14ac:dyDescent="0.35">
      <c r="B54" s="63" t="s">
        <v>29</v>
      </c>
      <c r="C54" s="64"/>
      <c r="D54" s="64"/>
      <c r="E54" s="64"/>
      <c r="F54" s="65">
        <f>SUM(G48:Q48)</f>
        <v>4.1123272217150859</v>
      </c>
      <c r="R54" s="186"/>
    </row>
    <row r="55" spans="2:25" x14ac:dyDescent="0.35">
      <c r="F55" s="33"/>
      <c r="G55" s="33"/>
      <c r="H55" s="2"/>
      <c r="R55" s="186"/>
    </row>
    <row r="56" spans="2:25" x14ac:dyDescent="0.35">
      <c r="G56"/>
      <c r="H56" s="8">
        <v>1</v>
      </c>
      <c r="I56" s="34">
        <v>2</v>
      </c>
      <c r="J56" s="8">
        <v>3</v>
      </c>
      <c r="K56" s="34">
        <v>4</v>
      </c>
      <c r="L56" s="8">
        <v>5</v>
      </c>
      <c r="M56" s="34">
        <v>6</v>
      </c>
      <c r="N56" s="8">
        <v>7</v>
      </c>
      <c r="O56" s="34">
        <v>8</v>
      </c>
      <c r="P56" s="8">
        <v>9</v>
      </c>
      <c r="Q56" s="8">
        <v>10</v>
      </c>
      <c r="R56" s="173"/>
      <c r="S56" s="34"/>
      <c r="T56" s="8"/>
      <c r="U56" s="34"/>
      <c r="V56" s="8"/>
      <c r="W56" s="34"/>
      <c r="X56" s="8"/>
    </row>
    <row r="57" spans="2:25" ht="16" thickBot="1" x14ac:dyDescent="0.4">
      <c r="B57" s="35" t="s">
        <v>30</v>
      </c>
      <c r="E57" s="36" t="s">
        <v>31</v>
      </c>
      <c r="G57"/>
      <c r="H57" s="36">
        <f t="shared" ref="H57:Q57" si="23">H17</f>
        <v>2024</v>
      </c>
      <c r="I57" s="36">
        <f t="shared" si="23"/>
        <v>2025</v>
      </c>
      <c r="J57" s="36">
        <f t="shared" si="23"/>
        <v>2026</v>
      </c>
      <c r="K57" s="36">
        <f t="shared" si="23"/>
        <v>2027</v>
      </c>
      <c r="L57" s="36">
        <f t="shared" si="23"/>
        <v>2028</v>
      </c>
      <c r="M57" s="36">
        <f t="shared" si="23"/>
        <v>2029</v>
      </c>
      <c r="N57" s="36">
        <f t="shared" si="23"/>
        <v>2030</v>
      </c>
      <c r="O57" s="36">
        <f t="shared" si="23"/>
        <v>2031</v>
      </c>
      <c r="P57" s="36">
        <f t="shared" si="23"/>
        <v>2032</v>
      </c>
      <c r="Q57" s="36">
        <f t="shared" si="23"/>
        <v>2033</v>
      </c>
      <c r="R57" s="159" t="s">
        <v>11</v>
      </c>
      <c r="S57" s="36"/>
      <c r="T57" s="36"/>
      <c r="U57" s="36"/>
      <c r="V57" s="36"/>
      <c r="W57" s="36"/>
      <c r="X57" s="36"/>
      <c r="Y57" s="36"/>
    </row>
    <row r="58" spans="2:25" x14ac:dyDescent="0.35">
      <c r="D58" t="s">
        <v>5</v>
      </c>
      <c r="E58">
        <v>5</v>
      </c>
      <c r="G58"/>
      <c r="H58" s="71">
        <f>(H$13+G14)/$E58</f>
        <v>27689180.600000001</v>
      </c>
      <c r="I58" s="37">
        <f>H58</f>
        <v>27689180.600000001</v>
      </c>
      <c r="J58" s="37">
        <f t="shared" ref="J58:Q58" si="24">I58</f>
        <v>27689180.600000001</v>
      </c>
      <c r="K58" s="37">
        <f t="shared" si="24"/>
        <v>27689180.600000001</v>
      </c>
      <c r="L58" s="37">
        <f t="shared" si="24"/>
        <v>27689180.600000001</v>
      </c>
      <c r="M58" s="37">
        <f t="shared" si="24"/>
        <v>27689180.600000001</v>
      </c>
      <c r="N58" s="37">
        <f t="shared" si="24"/>
        <v>27689180.600000001</v>
      </c>
      <c r="O58" s="37">
        <f t="shared" si="24"/>
        <v>27689180.600000001</v>
      </c>
      <c r="P58" s="37">
        <f t="shared" si="24"/>
        <v>27689180.600000001</v>
      </c>
      <c r="Q58" s="37">
        <f t="shared" si="24"/>
        <v>27689180.600000001</v>
      </c>
      <c r="R58" s="177">
        <f>SUM($G58:Q58)</f>
        <v>276891806</v>
      </c>
      <c r="S58" s="37"/>
      <c r="T58" s="37"/>
      <c r="U58" s="37"/>
      <c r="V58" s="37"/>
      <c r="W58" s="37"/>
      <c r="X58" s="37"/>
      <c r="Y58" s="38"/>
    </row>
    <row r="59" spans="2:25" x14ac:dyDescent="0.35">
      <c r="D59" t="s">
        <v>6</v>
      </c>
      <c r="E59">
        <v>4</v>
      </c>
      <c r="G59"/>
      <c r="H59" s="2"/>
      <c r="I59" s="71">
        <f>I14/E59</f>
        <v>0</v>
      </c>
      <c r="J59" s="37">
        <f>I59</f>
        <v>0</v>
      </c>
      <c r="K59" s="37">
        <f t="shared" ref="K59:Q60" si="25">J59</f>
        <v>0</v>
      </c>
      <c r="L59" s="37">
        <f t="shared" si="25"/>
        <v>0</v>
      </c>
      <c r="M59" s="37">
        <f t="shared" si="25"/>
        <v>0</v>
      </c>
      <c r="N59" s="37">
        <f t="shared" si="25"/>
        <v>0</v>
      </c>
      <c r="O59" s="37">
        <f t="shared" si="25"/>
        <v>0</v>
      </c>
      <c r="P59" s="37">
        <f t="shared" si="25"/>
        <v>0</v>
      </c>
      <c r="Q59" s="37">
        <f t="shared" si="25"/>
        <v>0</v>
      </c>
      <c r="R59" s="177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35">
      <c r="D60" t="s">
        <v>7</v>
      </c>
      <c r="E60">
        <v>3</v>
      </c>
      <c r="G60"/>
      <c r="H60" s="2"/>
      <c r="J60" s="71">
        <f>J14/$E60</f>
        <v>0</v>
      </c>
      <c r="K60" s="37">
        <f>J60</f>
        <v>0</v>
      </c>
      <c r="L60" s="37">
        <f t="shared" ref="L60:P60" si="26">K60</f>
        <v>0</v>
      </c>
      <c r="M60" s="37">
        <f t="shared" si="26"/>
        <v>0</v>
      </c>
      <c r="N60" s="37">
        <f t="shared" si="26"/>
        <v>0</v>
      </c>
      <c r="O60" s="37">
        <f t="shared" si="26"/>
        <v>0</v>
      </c>
      <c r="P60" s="37">
        <f t="shared" si="26"/>
        <v>0</v>
      </c>
      <c r="Q60" s="37">
        <f t="shared" si="25"/>
        <v>0</v>
      </c>
      <c r="R60" s="177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35">
      <c r="D61" t="s">
        <v>8</v>
      </c>
      <c r="E61">
        <v>2</v>
      </c>
      <c r="G61"/>
      <c r="H61" s="2"/>
      <c r="K61" s="71">
        <f>K14/$E61</f>
        <v>0</v>
      </c>
      <c r="L61" s="37">
        <f>K61</f>
        <v>0</v>
      </c>
      <c r="M61" s="37">
        <f t="shared" ref="M61:Q64" si="27">L61</f>
        <v>0</v>
      </c>
      <c r="N61" s="37">
        <f t="shared" si="27"/>
        <v>0</v>
      </c>
      <c r="O61" s="37">
        <f t="shared" si="27"/>
        <v>0</v>
      </c>
      <c r="P61" s="37">
        <f t="shared" si="27"/>
        <v>0</v>
      </c>
      <c r="Q61" s="37">
        <f t="shared" si="27"/>
        <v>0</v>
      </c>
      <c r="R61" s="177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x14ac:dyDescent="0.35">
      <c r="D62" t="s">
        <v>9</v>
      </c>
      <c r="E62">
        <v>1</v>
      </c>
      <c r="G62"/>
      <c r="H62" s="2"/>
      <c r="L62" s="71">
        <f>K$13/$E62</f>
        <v>0</v>
      </c>
      <c r="M62" s="37">
        <f>L62</f>
        <v>0</v>
      </c>
      <c r="N62" s="37">
        <f t="shared" si="27"/>
        <v>0</v>
      </c>
      <c r="O62" s="37">
        <f t="shared" si="27"/>
        <v>0</v>
      </c>
      <c r="P62" s="37">
        <f t="shared" si="27"/>
        <v>0</v>
      </c>
      <c r="Q62" s="37"/>
      <c r="R62" s="177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35">
      <c r="D63" t="s">
        <v>49</v>
      </c>
      <c r="E63">
        <v>5</v>
      </c>
      <c r="G63"/>
      <c r="H63" s="2"/>
      <c r="L63" s="37"/>
      <c r="M63" s="71">
        <f>L$13/$E63</f>
        <v>0</v>
      </c>
      <c r="N63" s="37">
        <f>M63</f>
        <v>0</v>
      </c>
      <c r="O63" s="37">
        <f t="shared" si="27"/>
        <v>0</v>
      </c>
      <c r="P63" s="37">
        <f t="shared" si="27"/>
        <v>0</v>
      </c>
      <c r="Q63" s="37"/>
      <c r="R63" s="177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35">
      <c r="D64" t="s">
        <v>50</v>
      </c>
      <c r="E64">
        <v>4</v>
      </c>
      <c r="G64"/>
      <c r="H64" s="2"/>
      <c r="L64" s="37"/>
      <c r="M64" s="37"/>
      <c r="N64" s="71">
        <f>M$13/$E64</f>
        <v>0</v>
      </c>
      <c r="O64" s="37">
        <f>N64</f>
        <v>0</v>
      </c>
      <c r="P64" s="37">
        <f t="shared" si="27"/>
        <v>0</v>
      </c>
      <c r="Q64" s="37"/>
      <c r="R64" s="177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35">
      <c r="D65" t="s">
        <v>51</v>
      </c>
      <c r="E65">
        <v>3</v>
      </c>
      <c r="G65"/>
      <c r="H65" s="2"/>
      <c r="L65" s="37"/>
      <c r="M65" s="37"/>
      <c r="N65" s="37"/>
      <c r="O65" s="71">
        <f>N$13/$E65</f>
        <v>0</v>
      </c>
      <c r="P65" s="37">
        <f>O65</f>
        <v>0</v>
      </c>
      <c r="Q65" s="37"/>
      <c r="R65" s="177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35">
      <c r="D66" t="s">
        <v>52</v>
      </c>
      <c r="E66">
        <v>2</v>
      </c>
      <c r="G66"/>
      <c r="H66" s="2"/>
      <c r="L66" s="37"/>
      <c r="M66" s="37"/>
      <c r="N66" s="37"/>
      <c r="O66" s="37"/>
      <c r="P66" s="71">
        <f>O$13/$E66</f>
        <v>0</v>
      </c>
      <c r="Q66" s="71"/>
      <c r="R66" s="177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idden="1" x14ac:dyDescent="0.35">
      <c r="D67" t="s">
        <v>53</v>
      </c>
      <c r="E67">
        <v>1</v>
      </c>
      <c r="G67"/>
      <c r="H67" s="2"/>
      <c r="K67" s="37"/>
      <c r="L67" s="78"/>
      <c r="M67" s="78"/>
      <c r="N67" s="78"/>
      <c r="O67" s="78"/>
      <c r="P67" s="78"/>
      <c r="Q67" s="78"/>
      <c r="R67" s="177">
        <f>SUM($G67:Q67)</f>
        <v>0</v>
      </c>
      <c r="S67" s="37"/>
      <c r="T67" s="37"/>
      <c r="U67" s="37"/>
      <c r="V67" s="37"/>
      <c r="W67" s="37"/>
      <c r="X67" s="37"/>
      <c r="Y67" s="38"/>
    </row>
    <row r="68" spans="2:28" ht="16" thickBot="1" x14ac:dyDescent="0.4">
      <c r="B68" s="39" t="s">
        <v>32</v>
      </c>
      <c r="C68" s="40"/>
      <c r="D68" s="40"/>
      <c r="E68" s="40"/>
      <c r="F68" s="40"/>
      <c r="G68" s="40"/>
      <c r="H68" s="41">
        <f>SUM(H58:H67)</f>
        <v>27689180.600000001</v>
      </c>
      <c r="I68" s="41">
        <f t="shared" ref="I68:P68" si="28">SUM(I58:I67)</f>
        <v>27689180.600000001</v>
      </c>
      <c r="J68" s="41">
        <f t="shared" si="28"/>
        <v>27689180.600000001</v>
      </c>
      <c r="K68" s="41">
        <f t="shared" si="28"/>
        <v>27689180.600000001</v>
      </c>
      <c r="L68" s="41">
        <f t="shared" si="28"/>
        <v>27689180.600000001</v>
      </c>
      <c r="M68" s="41">
        <f t="shared" si="28"/>
        <v>27689180.600000001</v>
      </c>
      <c r="N68" s="41">
        <f t="shared" si="28"/>
        <v>27689180.600000001</v>
      </c>
      <c r="O68" s="41">
        <f t="shared" si="28"/>
        <v>27689180.600000001</v>
      </c>
      <c r="P68" s="41">
        <f t="shared" si="28"/>
        <v>27689180.600000001</v>
      </c>
      <c r="Q68" s="41">
        <f>SUM(Q58:Q67)</f>
        <v>27689180.600000001</v>
      </c>
      <c r="R68" s="158">
        <f>SUM(R58:R67)</f>
        <v>276891806</v>
      </c>
      <c r="S68" s="45"/>
      <c r="T68" s="45"/>
      <c r="U68" s="45"/>
      <c r="V68" s="45"/>
      <c r="W68" s="45"/>
      <c r="X68" s="45"/>
      <c r="Y68" s="45"/>
      <c r="Z68" s="42"/>
      <c r="AA68" s="42"/>
      <c r="AB68" s="42"/>
    </row>
    <row r="69" spans="2:28" ht="16.5" thickTop="1" thickBot="1" x14ac:dyDescent="0.4">
      <c r="G69"/>
      <c r="H69" s="2"/>
      <c r="M69" s="38"/>
      <c r="N69" s="38"/>
      <c r="O69" s="38"/>
      <c r="P69" s="38"/>
      <c r="Q69" s="38"/>
      <c r="R69" s="187"/>
      <c r="Y69" s="14"/>
    </row>
    <row r="71" spans="2:28" x14ac:dyDescent="0.35">
      <c r="F71" t="s">
        <v>57</v>
      </c>
    </row>
    <row r="80" spans="2:28" x14ac:dyDescent="0.35">
      <c r="G80" s="69"/>
      <c r="H80" s="14"/>
    </row>
    <row r="82" spans="6:12" x14ac:dyDescent="0.35">
      <c r="G82" s="13"/>
    </row>
    <row r="83" spans="6:12" x14ac:dyDescent="0.35">
      <c r="G83" s="13"/>
      <c r="H83" s="14"/>
      <c r="I83" s="14"/>
      <c r="J83" s="14"/>
      <c r="K83" s="14"/>
      <c r="L83" s="14"/>
    </row>
    <row r="84" spans="6:12" x14ac:dyDescent="0.35">
      <c r="F84" s="80"/>
      <c r="G84" s="85"/>
      <c r="H84" s="86"/>
      <c r="I84" s="86"/>
      <c r="J84" s="86"/>
      <c r="K84" s="86"/>
      <c r="L84" s="86"/>
    </row>
    <row r="87" spans="6:12" x14ac:dyDescent="0.35">
      <c r="G87" s="13"/>
      <c r="L87" s="14"/>
    </row>
    <row r="89" spans="6:12" x14ac:dyDescent="0.35">
      <c r="G89" s="69"/>
      <c r="H89" s="69"/>
      <c r="I89" s="69"/>
      <c r="J89" s="69"/>
      <c r="K89" s="69"/>
      <c r="L89" s="69"/>
    </row>
  </sheetData>
  <mergeCells count="1">
    <mergeCell ref="E27:F27"/>
  </mergeCells>
  <phoneticPr fontId="26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V80"/>
  <sheetViews>
    <sheetView topLeftCell="A58" zoomScale="90" zoomScaleNormal="90" workbookViewId="0">
      <selection activeCell="K55" sqref="K55"/>
    </sheetView>
  </sheetViews>
  <sheetFormatPr defaultRowHeight="15.5" x14ac:dyDescent="0.35"/>
  <cols>
    <col min="1" max="1" width="13.5" bestFit="1" customWidth="1"/>
    <col min="2" max="2" width="15.75" bestFit="1" customWidth="1"/>
    <col min="3" max="4" width="13.75" bestFit="1" customWidth="1"/>
    <col min="5" max="5" width="14.75" customWidth="1"/>
    <col min="6" max="8" width="12.4140625" bestFit="1" customWidth="1"/>
    <col min="9" max="9" width="12.5" bestFit="1" customWidth="1"/>
    <col min="10" max="11" width="13.75" bestFit="1" customWidth="1"/>
    <col min="12" max="12" width="11.9140625" bestFit="1" customWidth="1"/>
    <col min="13" max="14" width="10.9140625" bestFit="1" customWidth="1"/>
    <col min="15" max="15" width="9.9140625" bestFit="1" customWidth="1"/>
    <col min="16" max="16" width="8.4140625" bestFit="1" customWidth="1"/>
    <col min="17" max="17" width="7.4140625" bestFit="1" customWidth="1"/>
    <col min="18" max="20" width="4.75" bestFit="1" customWidth="1"/>
  </cols>
  <sheetData>
    <row r="1" spans="1:22" x14ac:dyDescent="0.35">
      <c r="B1" s="8">
        <v>5</v>
      </c>
      <c r="C1" s="127">
        <v>2017</v>
      </c>
      <c r="D1" s="127">
        <f>C1+1</f>
        <v>2018</v>
      </c>
      <c r="E1" s="192">
        <f t="shared" ref="E1:V1" si="0">D1+1</f>
        <v>2019</v>
      </c>
      <c r="F1" s="192">
        <f t="shared" si="0"/>
        <v>2020</v>
      </c>
      <c r="G1" s="192">
        <f t="shared" si="0"/>
        <v>2021</v>
      </c>
      <c r="H1" s="192">
        <f t="shared" si="0"/>
        <v>2022</v>
      </c>
      <c r="I1" s="192">
        <f t="shared" si="0"/>
        <v>2023</v>
      </c>
      <c r="J1" s="192">
        <f t="shared" si="0"/>
        <v>2024</v>
      </c>
      <c r="K1" s="127">
        <f t="shared" si="0"/>
        <v>2025</v>
      </c>
      <c r="L1" s="127">
        <f t="shared" si="0"/>
        <v>2026</v>
      </c>
      <c r="M1" s="127">
        <f t="shared" si="0"/>
        <v>2027</v>
      </c>
      <c r="N1" s="127">
        <f t="shared" si="0"/>
        <v>2028</v>
      </c>
      <c r="O1" s="127">
        <f t="shared" si="0"/>
        <v>2029</v>
      </c>
      <c r="P1" s="127">
        <f t="shared" si="0"/>
        <v>2030</v>
      </c>
      <c r="Q1" s="127">
        <f t="shared" si="0"/>
        <v>2031</v>
      </c>
      <c r="R1" s="127">
        <f t="shared" si="0"/>
        <v>2032</v>
      </c>
      <c r="S1" s="127">
        <f t="shared" si="0"/>
        <v>2033</v>
      </c>
      <c r="T1" s="127">
        <f t="shared" si="0"/>
        <v>2034</v>
      </c>
      <c r="U1" s="127">
        <f t="shared" si="0"/>
        <v>2035</v>
      </c>
      <c r="V1" s="127">
        <f t="shared" si="0"/>
        <v>2036</v>
      </c>
    </row>
    <row r="2" spans="1:22" x14ac:dyDescent="0.35">
      <c r="A2">
        <v>2017</v>
      </c>
      <c r="B2" t="s">
        <v>58</v>
      </c>
      <c r="C2" s="87">
        <v>1499345181</v>
      </c>
      <c r="D2" s="87">
        <f>C2-C3</f>
        <v>1199476144.8</v>
      </c>
      <c r="E2" s="87">
        <f>D2-C3</f>
        <v>899607108.5999999</v>
      </c>
      <c r="F2" s="87">
        <f>E2-C3</f>
        <v>599738072.39999986</v>
      </c>
      <c r="G2" s="87">
        <f>F2-C3</f>
        <v>299869036.19999987</v>
      </c>
      <c r="H2" s="87">
        <f>G2-C3</f>
        <v>0</v>
      </c>
      <c r="I2" s="87"/>
      <c r="J2" s="87"/>
    </row>
    <row r="3" spans="1:22" x14ac:dyDescent="0.35">
      <c r="B3" t="s">
        <v>59</v>
      </c>
      <c r="C3" s="87">
        <f>C2/B1</f>
        <v>299869036.19999999</v>
      </c>
      <c r="D3" s="87"/>
      <c r="E3" s="87"/>
      <c r="F3" s="87"/>
      <c r="G3" s="87"/>
      <c r="H3" s="87"/>
      <c r="I3" s="87"/>
      <c r="J3" s="87"/>
    </row>
    <row r="4" spans="1:22" x14ac:dyDescent="0.35">
      <c r="B4" t="s">
        <v>60</v>
      </c>
      <c r="C4" s="87">
        <f>(C2*'IRR Approved'!$F$4*6/12)</f>
        <v>74967259.049999997</v>
      </c>
      <c r="D4" s="193">
        <f>AVERAGE(C2:D2)*'IRR Approved'!$F$4</f>
        <v>134941066.29000002</v>
      </c>
      <c r="E4" s="193">
        <f>AVERAGE(D2:E2)*'IRR Approved'!$F$4</f>
        <v>104954162.67</v>
      </c>
      <c r="F4" s="193">
        <f>AVERAGE(E2:F2)*'IRR Approved'!$F$4</f>
        <v>74967259.049999997</v>
      </c>
      <c r="G4" s="193">
        <f>AVERAGE(F2:G2)*'IRR Approved'!$F$4</f>
        <v>44980355.429999985</v>
      </c>
      <c r="H4" s="193">
        <f>AVERAGE(G2:H2)*'IRR Approved'!$F$4</f>
        <v>14993451.809999995</v>
      </c>
      <c r="I4" s="193">
        <f>AVERAGE(H2:I2)*'IRR Approved'!$F$4</f>
        <v>0</v>
      </c>
      <c r="J4" s="87"/>
    </row>
    <row r="5" spans="1:22" x14ac:dyDescent="0.35">
      <c r="A5">
        <v>2018</v>
      </c>
      <c r="B5" t="s">
        <v>58</v>
      </c>
      <c r="C5" s="87"/>
      <c r="D5" s="87"/>
      <c r="E5" s="87">
        <f>D5-D6</f>
        <v>0</v>
      </c>
      <c r="F5" s="87">
        <f>E5-D6</f>
        <v>0</v>
      </c>
      <c r="G5" s="87">
        <f>F5-D6</f>
        <v>0</v>
      </c>
      <c r="H5" s="87">
        <f>G5-D6</f>
        <v>0</v>
      </c>
      <c r="I5" s="87">
        <f>H5-D6</f>
        <v>0</v>
      </c>
      <c r="J5" s="87">
        <f t="shared" ref="J5" si="1">I5-$E$10</f>
        <v>0</v>
      </c>
      <c r="K5" s="87"/>
    </row>
    <row r="6" spans="1:22" x14ac:dyDescent="0.35">
      <c r="B6" t="s">
        <v>59</v>
      </c>
      <c r="C6" s="87"/>
      <c r="D6" s="87">
        <f>D5/B1</f>
        <v>0</v>
      </c>
      <c r="E6" s="87"/>
      <c r="F6" s="87"/>
      <c r="G6" s="87"/>
      <c r="H6" s="87"/>
      <c r="I6" s="87"/>
      <c r="J6" s="87"/>
    </row>
    <row r="7" spans="1:22" x14ac:dyDescent="0.35">
      <c r="B7" t="s">
        <v>60</v>
      </c>
      <c r="C7" s="87"/>
      <c r="D7" s="87">
        <f>(D5*[2]IRR!$E$4*6/12)</f>
        <v>0</v>
      </c>
      <c r="E7" s="193">
        <f>AVERAGE(D5:E5)*[2]IRR!$E$4</f>
        <v>0</v>
      </c>
      <c r="F7" s="193">
        <f>AVERAGE(E5:F5)*[2]IRR!$E$4</f>
        <v>0</v>
      </c>
      <c r="G7" s="193">
        <f>AVERAGE(F5:G5)*[2]IRR!$E$4</f>
        <v>0</v>
      </c>
      <c r="H7" s="193">
        <f>AVERAGE(G5:H5)*[2]IRR!$E$4</f>
        <v>0</v>
      </c>
      <c r="I7" s="193">
        <f>AVERAGE(H5:I5)*[2]IRR!$E$4</f>
        <v>0</v>
      </c>
      <c r="J7" s="87"/>
    </row>
    <row r="8" spans="1:22" x14ac:dyDescent="0.35">
      <c r="A8">
        <v>2019</v>
      </c>
      <c r="B8" t="s">
        <v>58</v>
      </c>
      <c r="C8" s="87"/>
      <c r="D8" s="14"/>
      <c r="E8" s="87"/>
      <c r="F8" s="87">
        <f>E8-E9</f>
        <v>0</v>
      </c>
      <c r="G8" s="87">
        <f>F8-E9</f>
        <v>0</v>
      </c>
      <c r="H8" s="87">
        <f>G8-E9</f>
        <v>0</v>
      </c>
      <c r="I8" s="87">
        <f>H8-E9</f>
        <v>0</v>
      </c>
      <c r="J8" s="87">
        <f>I8-E9</f>
        <v>0</v>
      </c>
      <c r="K8" s="87"/>
      <c r="L8" s="87"/>
      <c r="M8" s="87"/>
      <c r="N8" s="87"/>
    </row>
    <row r="9" spans="1:22" x14ac:dyDescent="0.35">
      <c r="B9" t="s">
        <v>59</v>
      </c>
      <c r="C9" s="87"/>
      <c r="D9" s="14"/>
      <c r="E9" s="87">
        <f>E8/B1</f>
        <v>0</v>
      </c>
      <c r="F9" s="87"/>
      <c r="G9" s="87"/>
      <c r="H9" s="87"/>
      <c r="I9" s="87"/>
      <c r="J9" s="87"/>
      <c r="K9" s="87"/>
      <c r="L9" s="87"/>
    </row>
    <row r="10" spans="1:22" x14ac:dyDescent="0.35">
      <c r="B10" t="s">
        <v>60</v>
      </c>
      <c r="C10" s="87"/>
      <c r="D10" s="14"/>
      <c r="E10" s="87">
        <f>(E8*[2]IRR!$E$4*6/12)</f>
        <v>0</v>
      </c>
      <c r="F10" s="193">
        <f>AVERAGE(E8:F8)*[2]IRR!$E$4</f>
        <v>0</v>
      </c>
      <c r="G10" s="193">
        <f>AVERAGE(F8:G8)*[2]IRR!$E$4</f>
        <v>0</v>
      </c>
      <c r="H10" s="193">
        <f>AVERAGE(G8:H8)*[2]IRR!$E$4</f>
        <v>0</v>
      </c>
      <c r="I10" s="193">
        <f>AVERAGE(H8:I8)*[2]IRR!$E$4</f>
        <v>0</v>
      </c>
      <c r="J10" s="193">
        <f>AVERAGE(I8:J8)*[2]IRR!$E$4</f>
        <v>0</v>
      </c>
      <c r="K10" s="87"/>
      <c r="L10" s="87"/>
    </row>
    <row r="11" spans="1:22" x14ac:dyDescent="0.35">
      <c r="A11">
        <v>2020</v>
      </c>
      <c r="B11" t="s">
        <v>58</v>
      </c>
      <c r="C11" s="87"/>
      <c r="D11" s="14"/>
      <c r="E11" s="87"/>
      <c r="F11" s="87">
        <v>268604638</v>
      </c>
      <c r="G11" s="87">
        <f>F11-F12</f>
        <v>214883710.40000001</v>
      </c>
      <c r="H11" s="87">
        <f>G11-F12</f>
        <v>161162782.80000001</v>
      </c>
      <c r="I11" s="87">
        <f>H11-F12</f>
        <v>107441855.20000002</v>
      </c>
      <c r="J11" s="87">
        <f>I11-F12</f>
        <v>53720927.600000016</v>
      </c>
      <c r="K11" s="87">
        <f>J11-F12</f>
        <v>0</v>
      </c>
      <c r="L11" s="87"/>
      <c r="M11" s="87"/>
      <c r="N11" s="87"/>
    </row>
    <row r="12" spans="1:22" x14ac:dyDescent="0.35">
      <c r="B12" t="s">
        <v>59</v>
      </c>
      <c r="C12" s="87"/>
      <c r="D12" s="14"/>
      <c r="E12" s="87"/>
      <c r="F12" s="87">
        <f>F11/B1</f>
        <v>53720927.600000001</v>
      </c>
      <c r="G12" s="87"/>
      <c r="H12" s="87"/>
      <c r="I12" s="87"/>
      <c r="J12" s="87"/>
      <c r="K12" s="87"/>
      <c r="L12" s="87"/>
      <c r="M12" s="87"/>
    </row>
    <row r="13" spans="1:22" x14ac:dyDescent="0.35">
      <c r="B13" t="s">
        <v>60</v>
      </c>
      <c r="C13" s="87"/>
      <c r="D13" s="87"/>
      <c r="E13" s="87"/>
      <c r="F13" s="87">
        <f>(F11*'IRR Approved'!$F$4*6/12)</f>
        <v>13430231.9</v>
      </c>
      <c r="G13" s="193">
        <f>AVERAGE(F11:G11)*'IRR Approved'!$F$4</f>
        <v>24174417.420000002</v>
      </c>
      <c r="H13" s="193">
        <f>AVERAGE(G11:H11)*'IRR Approved'!$F$4</f>
        <v>18802324.660000004</v>
      </c>
      <c r="I13" s="193">
        <f>AVERAGE(H11:I11)*'IRR Approved'!$F$4</f>
        <v>13430231.9</v>
      </c>
      <c r="J13" s="193">
        <f>AVERAGE(I11:J11)*'IRR Approved'!$F$4</f>
        <v>8058139.1400000025</v>
      </c>
      <c r="K13" s="193">
        <f>AVERAGE(J11:K11)*'IRR Approved'!$F$4</f>
        <v>2686046.3800000008</v>
      </c>
      <c r="L13" s="193">
        <f>AVERAGE(K11:L11)*'IRR Approved'!$F$4</f>
        <v>0</v>
      </c>
      <c r="M13" s="87"/>
    </row>
    <row r="14" spans="1:22" x14ac:dyDescent="0.35">
      <c r="A14">
        <v>2021</v>
      </c>
      <c r="B14" t="s">
        <v>58</v>
      </c>
      <c r="C14" s="87"/>
      <c r="D14" s="14"/>
      <c r="E14" s="87"/>
      <c r="F14" s="87"/>
      <c r="G14" s="87"/>
      <c r="H14" s="87"/>
      <c r="I14" s="87"/>
      <c r="J14" s="87">
        <f>I14-I15</f>
        <v>0</v>
      </c>
      <c r="K14" s="87">
        <f>J14-I15</f>
        <v>0</v>
      </c>
      <c r="L14" s="87">
        <f>K14-I15</f>
        <v>0</v>
      </c>
      <c r="M14" s="87">
        <f>L14-I15</f>
        <v>0</v>
      </c>
      <c r="N14" s="87">
        <f>M14-I15</f>
        <v>0</v>
      </c>
    </row>
    <row r="15" spans="1:22" x14ac:dyDescent="0.35">
      <c r="B15" t="s">
        <v>59</v>
      </c>
      <c r="C15" s="87"/>
      <c r="D15" s="14"/>
      <c r="E15" s="87"/>
      <c r="F15" s="87"/>
      <c r="G15" s="87"/>
      <c r="H15" s="87"/>
      <c r="I15" s="87">
        <f>I14/B1</f>
        <v>0</v>
      </c>
      <c r="J15" s="87"/>
      <c r="K15" s="87"/>
      <c r="L15" s="87"/>
      <c r="M15" s="87"/>
      <c r="N15" s="87"/>
    </row>
    <row r="16" spans="1:22" x14ac:dyDescent="0.35">
      <c r="B16" t="s">
        <v>60</v>
      </c>
      <c r="C16" s="87"/>
      <c r="D16" s="87"/>
      <c r="E16" s="87"/>
      <c r="F16" s="87"/>
      <c r="G16" s="87"/>
      <c r="H16" s="87"/>
      <c r="I16" s="87">
        <f>(I14*[2]IRR!$E$4*6/12)</f>
        <v>0</v>
      </c>
      <c r="J16" s="193">
        <f>AVERAGE(I14:J14)*[2]IRR!$E$4</f>
        <v>0</v>
      </c>
      <c r="K16" s="193">
        <f>AVERAGE(J14:K14)*[2]IRR!$E$4</f>
        <v>0</v>
      </c>
      <c r="L16" s="193">
        <f>AVERAGE(K14:L14)*[2]IRR!$E$4</f>
        <v>0</v>
      </c>
      <c r="M16" s="193">
        <f>AVERAGE(L14:M14)*[2]IRR!$E$4</f>
        <v>0</v>
      </c>
      <c r="N16" s="193">
        <f>AVERAGE(M14:N14)*[2]IRR!$E$4</f>
        <v>0</v>
      </c>
    </row>
    <row r="17" spans="1:20" x14ac:dyDescent="0.35">
      <c r="A17">
        <v>2022</v>
      </c>
      <c r="B17" t="s">
        <v>58</v>
      </c>
      <c r="C17" s="87"/>
      <c r="D17" s="14"/>
      <c r="E17" s="87"/>
      <c r="F17" s="87"/>
      <c r="G17" s="87"/>
      <c r="H17" s="87"/>
      <c r="I17" s="87"/>
      <c r="J17" s="87"/>
      <c r="K17" s="87">
        <f>J17-J18</f>
        <v>0</v>
      </c>
      <c r="L17" s="87">
        <f>K17-J18</f>
        <v>0</v>
      </c>
      <c r="M17" s="87">
        <f>L17-J18</f>
        <v>0</v>
      </c>
      <c r="N17" s="87">
        <f>M17-J18</f>
        <v>0</v>
      </c>
      <c r="O17" s="87">
        <f>N17-J18</f>
        <v>0</v>
      </c>
    </row>
    <row r="18" spans="1:20" x14ac:dyDescent="0.35">
      <c r="B18" t="s">
        <v>59</v>
      </c>
      <c r="C18" s="87"/>
      <c r="D18" s="14"/>
      <c r="E18" s="87"/>
      <c r="F18" s="87"/>
      <c r="G18" s="87"/>
      <c r="H18" s="87"/>
      <c r="I18" s="87"/>
      <c r="J18" s="87">
        <f>J17/B1</f>
        <v>0</v>
      </c>
      <c r="K18" s="87"/>
      <c r="L18" s="87"/>
      <c r="M18" s="87"/>
      <c r="N18" s="87"/>
      <c r="O18" s="87"/>
    </row>
    <row r="19" spans="1:20" x14ac:dyDescent="0.35">
      <c r="B19" t="s">
        <v>60</v>
      </c>
      <c r="C19" s="87"/>
      <c r="D19" s="87"/>
      <c r="E19" s="87"/>
      <c r="F19" s="87"/>
      <c r="G19" s="87"/>
      <c r="H19" s="87"/>
      <c r="I19" s="87"/>
      <c r="J19" s="87">
        <f>(J17*[2]IRR!$E$4*6/12)</f>
        <v>0</v>
      </c>
      <c r="K19" s="193">
        <f>AVERAGE(J17:K17)*[2]IRR!$E$4</f>
        <v>0</v>
      </c>
      <c r="L19" s="193">
        <f>AVERAGE(K17:L17)*[2]IRR!$E$4</f>
        <v>0</v>
      </c>
      <c r="M19" s="193">
        <f>AVERAGE(L17:M17)*[2]IRR!$E$4</f>
        <v>0</v>
      </c>
      <c r="N19" s="193">
        <f>AVERAGE(M17:N17)*[2]IRR!$E$4</f>
        <v>0</v>
      </c>
      <c r="O19" s="193">
        <f>AVERAGE(N17:O17)*[2]IRR!$E$4</f>
        <v>0</v>
      </c>
    </row>
    <row r="20" spans="1:20" x14ac:dyDescent="0.35">
      <c r="A20">
        <v>2023</v>
      </c>
      <c r="B20" t="s">
        <v>58</v>
      </c>
      <c r="C20" s="87"/>
      <c r="D20" s="14"/>
      <c r="E20" s="87"/>
      <c r="F20" s="87"/>
      <c r="G20" s="87"/>
      <c r="H20" s="87"/>
      <c r="I20" s="87"/>
      <c r="J20" s="87"/>
      <c r="K20" s="87"/>
      <c r="L20" s="87"/>
      <c r="M20" s="87">
        <f>L20-L21</f>
        <v>0</v>
      </c>
      <c r="N20" s="87">
        <f>M20-L21</f>
        <v>0</v>
      </c>
      <c r="O20" s="87">
        <f>N20-L21</f>
        <v>0</v>
      </c>
      <c r="P20" s="87">
        <f>O20-L21</f>
        <v>0</v>
      </c>
      <c r="Q20" s="87">
        <f>P20-L21</f>
        <v>0</v>
      </c>
      <c r="R20" s="87"/>
      <c r="S20" s="87"/>
      <c r="T20" s="87"/>
    </row>
    <row r="21" spans="1:20" x14ac:dyDescent="0.35">
      <c r="B21" t="s">
        <v>59</v>
      </c>
      <c r="C21" s="87"/>
      <c r="D21" s="14"/>
      <c r="E21" s="87"/>
      <c r="F21" s="87"/>
      <c r="G21" s="87"/>
      <c r="H21" s="87"/>
      <c r="I21" s="87"/>
      <c r="J21" s="87"/>
      <c r="K21" s="87"/>
      <c r="L21" s="87">
        <f>L20/B1</f>
        <v>0</v>
      </c>
      <c r="M21" s="87"/>
      <c r="N21" s="87"/>
      <c r="O21" s="87"/>
      <c r="P21" s="87"/>
      <c r="Q21" s="87"/>
      <c r="R21" s="87"/>
      <c r="S21" s="87"/>
      <c r="T21" s="87"/>
    </row>
    <row r="22" spans="1:20" x14ac:dyDescent="0.35">
      <c r="B22" t="s">
        <v>60</v>
      </c>
      <c r="C22" s="87"/>
      <c r="D22" s="14"/>
      <c r="E22" s="87"/>
      <c r="F22" s="87"/>
      <c r="G22" s="87"/>
      <c r="H22" s="87"/>
      <c r="I22" s="87"/>
      <c r="J22" s="87"/>
      <c r="K22" s="87"/>
      <c r="L22" s="87">
        <f>(L20*[2]IRR!$E$4*6/12)</f>
        <v>0</v>
      </c>
      <c r="M22" s="193">
        <f>AVERAGE(L20:M20)*[2]IRR!$E$4</f>
        <v>0</v>
      </c>
      <c r="N22" s="193">
        <f>AVERAGE(M20:N20)*[2]IRR!$E$4</f>
        <v>0</v>
      </c>
      <c r="O22" s="193">
        <f>AVERAGE(N20:O20)*[2]IRR!$E$4</f>
        <v>0</v>
      </c>
      <c r="P22" s="193">
        <f>AVERAGE(O20:P20)*[2]IRR!$E$4</f>
        <v>0</v>
      </c>
      <c r="Q22" s="193">
        <f>AVERAGE(P20:Q20)*[2]IRR!$E$4</f>
        <v>0</v>
      </c>
      <c r="R22" s="87"/>
      <c r="S22" s="87"/>
      <c r="T22" s="87"/>
    </row>
    <row r="23" spans="1:20" x14ac:dyDescent="0.35">
      <c r="C23" s="87"/>
      <c r="D23" s="14"/>
      <c r="E23" s="87"/>
      <c r="F23" s="87"/>
      <c r="G23" s="87"/>
      <c r="H23" s="87"/>
      <c r="I23" s="87"/>
      <c r="J23" s="87"/>
    </row>
    <row r="24" spans="1:20" x14ac:dyDescent="0.35">
      <c r="C24" s="194">
        <f>C22+C19+C16+C13+C10+C7+C4</f>
        <v>74967259.049999997</v>
      </c>
      <c r="D24" s="194">
        <f>D22+D19+D16+D13+D10+D7+D4</f>
        <v>134941066.29000002</v>
      </c>
      <c r="E24" s="194">
        <f t="shared" ref="E24:Q24" si="2">E22+E19+E16+E13+E10+E7+E4</f>
        <v>104954162.67</v>
      </c>
      <c r="F24" s="194">
        <f>F22+F19+F16+F13+F10+F7+F4</f>
        <v>88397490.950000003</v>
      </c>
      <c r="G24" s="194">
        <f t="shared" si="2"/>
        <v>69154772.849999994</v>
      </c>
      <c r="H24" s="194">
        <f t="shared" si="2"/>
        <v>33795776.469999999</v>
      </c>
      <c r="I24" s="194">
        <f t="shared" si="2"/>
        <v>13430231.9</v>
      </c>
      <c r="J24" s="195">
        <f t="shared" si="2"/>
        <v>8058139.1400000025</v>
      </c>
      <c r="K24" s="195">
        <f t="shared" si="2"/>
        <v>2686046.3800000008</v>
      </c>
      <c r="L24" s="194">
        <f t="shared" si="2"/>
        <v>0</v>
      </c>
      <c r="M24" s="194">
        <f t="shared" si="2"/>
        <v>0</v>
      </c>
      <c r="N24" s="194">
        <f t="shared" si="2"/>
        <v>0</v>
      </c>
      <c r="O24" s="194">
        <f t="shared" si="2"/>
        <v>0</v>
      </c>
      <c r="P24" s="194">
        <f t="shared" si="2"/>
        <v>0</v>
      </c>
      <c r="Q24" s="194">
        <f t="shared" si="2"/>
        <v>0</v>
      </c>
      <c r="R24" s="194">
        <f>R22+R19+R16+R13+R10+R7+R4</f>
        <v>0</v>
      </c>
      <c r="S24" s="194">
        <f t="shared" ref="S24:T24" si="3">S22+S19+S16+S13+S10+S7+S4</f>
        <v>0</v>
      </c>
      <c r="T24" s="194">
        <f t="shared" si="3"/>
        <v>0</v>
      </c>
    </row>
    <row r="25" spans="1:20" x14ac:dyDescent="0.35">
      <c r="B25" s="87"/>
      <c r="C25" s="14"/>
      <c r="D25" s="14"/>
      <c r="E25" s="14"/>
      <c r="F25" s="14"/>
      <c r="G25" s="14"/>
      <c r="H25" s="14"/>
      <c r="I25" s="14"/>
      <c r="J25" s="14"/>
      <c r="K25" s="14"/>
    </row>
    <row r="26" spans="1:20" x14ac:dyDescent="0.35">
      <c r="B26" s="87"/>
      <c r="C26" s="14"/>
      <c r="D26" s="14"/>
      <c r="E26" s="14"/>
      <c r="F26" s="14"/>
      <c r="G26" s="14"/>
      <c r="H26" s="14"/>
      <c r="I26" s="14"/>
      <c r="J26" s="14"/>
      <c r="K26" s="14"/>
    </row>
    <row r="27" spans="1:20" x14ac:dyDescent="0.35">
      <c r="B27" s="87"/>
      <c r="C27" s="14"/>
      <c r="D27" s="14"/>
      <c r="E27" s="14"/>
      <c r="F27" s="14"/>
      <c r="G27" s="14"/>
      <c r="H27" s="14"/>
      <c r="I27" s="14"/>
      <c r="J27" s="14"/>
      <c r="K27" s="14"/>
    </row>
    <row r="28" spans="1:20" x14ac:dyDescent="0.35">
      <c r="B28" s="87"/>
      <c r="C28" s="14"/>
      <c r="D28" s="14"/>
      <c r="E28" s="14"/>
      <c r="F28" s="14"/>
      <c r="G28" s="14"/>
      <c r="H28" s="14"/>
      <c r="I28" s="14"/>
      <c r="J28" s="14"/>
      <c r="K28" s="14"/>
    </row>
    <row r="29" spans="1:20" x14ac:dyDescent="0.35">
      <c r="B29" s="87"/>
      <c r="C29" s="14"/>
      <c r="D29" s="14"/>
      <c r="E29" s="14"/>
      <c r="F29" s="14"/>
      <c r="G29" s="14"/>
      <c r="H29" s="14"/>
      <c r="I29" s="14"/>
      <c r="J29" s="14"/>
      <c r="K29" s="14"/>
    </row>
    <row r="30" spans="1:20" x14ac:dyDescent="0.35">
      <c r="B30" s="87"/>
      <c r="C30" s="14"/>
      <c r="D30" s="14"/>
      <c r="E30" s="14"/>
      <c r="F30" s="14"/>
      <c r="G30" s="14"/>
      <c r="H30" s="14"/>
      <c r="I30" s="14"/>
      <c r="J30" s="14"/>
      <c r="K30" s="14"/>
    </row>
    <row r="31" spans="1:20" x14ac:dyDescent="0.35">
      <c r="B31" s="87"/>
      <c r="C31" s="14"/>
      <c r="D31" s="14"/>
      <c r="E31" s="14"/>
      <c r="F31" s="14"/>
      <c r="G31" s="14"/>
      <c r="H31" s="14"/>
      <c r="I31" s="14"/>
      <c r="J31" s="14"/>
      <c r="K31" s="14"/>
    </row>
    <row r="34" spans="1:11" s="140" customFormat="1" x14ac:dyDescent="0.35"/>
    <row r="36" spans="1:11" x14ac:dyDescent="0.35">
      <c r="A36" t="s">
        <v>1</v>
      </c>
      <c r="B36" s="87">
        <v>50000000</v>
      </c>
      <c r="C36" s="14">
        <f>B36+C37</f>
        <v>51000000</v>
      </c>
      <c r="D36" s="14">
        <f>C36+D38</f>
        <v>52020000</v>
      </c>
      <c r="E36" s="14">
        <f t="shared" ref="E36:K36" si="4">D36+E38</f>
        <v>53060400</v>
      </c>
      <c r="F36" s="14">
        <f t="shared" si="4"/>
        <v>54121608</v>
      </c>
      <c r="G36" s="14">
        <f t="shared" si="4"/>
        <v>55204040.159999996</v>
      </c>
      <c r="H36" s="14">
        <f t="shared" si="4"/>
        <v>56308120.963199995</v>
      </c>
      <c r="I36" s="14">
        <f t="shared" si="4"/>
        <v>57434283.382463992</v>
      </c>
      <c r="J36" s="14">
        <f t="shared" si="4"/>
        <v>58582969.050113268</v>
      </c>
      <c r="K36" s="14">
        <f t="shared" si="4"/>
        <v>59754628.43111553</v>
      </c>
    </row>
    <row r="37" spans="1:11" x14ac:dyDescent="0.35">
      <c r="A37" s="79">
        <v>0.02</v>
      </c>
      <c r="C37" s="14">
        <f>C38</f>
        <v>1000000</v>
      </c>
      <c r="D37" s="14">
        <f>C37+D38</f>
        <v>2020000</v>
      </c>
      <c r="E37" s="14">
        <f t="shared" ref="E37:K37" si="5">D37+E38</f>
        <v>3060400</v>
      </c>
      <c r="F37" s="14">
        <f t="shared" si="5"/>
        <v>4121608</v>
      </c>
      <c r="G37" s="14">
        <f t="shared" si="5"/>
        <v>5204040.16</v>
      </c>
      <c r="H37" s="14">
        <f t="shared" si="5"/>
        <v>6308120.9632000001</v>
      </c>
      <c r="I37" s="14">
        <f t="shared" si="5"/>
        <v>7434283.382464</v>
      </c>
      <c r="J37" s="14">
        <f t="shared" si="5"/>
        <v>8582969.0501132794</v>
      </c>
      <c r="K37" s="14">
        <f t="shared" si="5"/>
        <v>9754628.4311155453</v>
      </c>
    </row>
    <row r="38" spans="1:11" x14ac:dyDescent="0.35">
      <c r="C38" s="14">
        <f>B36*$A$37</f>
        <v>1000000</v>
      </c>
      <c r="D38" s="14">
        <f>C36*$A$37</f>
        <v>1020000</v>
      </c>
      <c r="E38" s="14">
        <f t="shared" ref="E38:K38" si="6">D36*$A$37</f>
        <v>1040400</v>
      </c>
      <c r="F38" s="14">
        <f t="shared" si="6"/>
        <v>1061208</v>
      </c>
      <c r="G38" s="14">
        <f t="shared" si="6"/>
        <v>1082432.1599999999</v>
      </c>
      <c r="H38" s="14">
        <f t="shared" si="6"/>
        <v>1104080.8032</v>
      </c>
      <c r="I38" s="14">
        <f t="shared" si="6"/>
        <v>1126162.4192639999</v>
      </c>
      <c r="J38" s="14">
        <f t="shared" si="6"/>
        <v>1148685.6676492798</v>
      </c>
      <c r="K38" s="14">
        <f t="shared" si="6"/>
        <v>1171659.3810022655</v>
      </c>
    </row>
    <row r="39" spans="1:11" x14ac:dyDescent="0.35">
      <c r="F39" s="87"/>
    </row>
    <row r="41" spans="1:11" s="140" customFormat="1" x14ac:dyDescent="0.35"/>
    <row r="43" spans="1:11" x14ac:dyDescent="0.35">
      <c r="F43" s="127" t="s">
        <v>102</v>
      </c>
      <c r="G43" s="127" t="s">
        <v>103</v>
      </c>
      <c r="H43" s="127" t="s">
        <v>104</v>
      </c>
      <c r="I43" s="128" t="s">
        <v>105</v>
      </c>
      <c r="J43" s="222" t="s">
        <v>106</v>
      </c>
      <c r="K43" s="222" t="s">
        <v>107</v>
      </c>
    </row>
    <row r="44" spans="1:11" x14ac:dyDescent="0.35">
      <c r="E44" s="129" t="s">
        <v>108</v>
      </c>
      <c r="F44" s="130">
        <v>1</v>
      </c>
      <c r="G44" s="131">
        <v>1</v>
      </c>
      <c r="H44" s="131">
        <v>1</v>
      </c>
      <c r="I44" s="226">
        <f>'IRR Approved'!F13</f>
        <v>157</v>
      </c>
      <c r="J44" s="222"/>
      <c r="K44" s="222"/>
    </row>
    <row r="45" spans="1:11" x14ac:dyDescent="0.35">
      <c r="B45" s="223" t="s">
        <v>109</v>
      </c>
      <c r="C45" s="132" t="s">
        <v>110</v>
      </c>
      <c r="D45" s="133">
        <f>C55</f>
        <v>4000000</v>
      </c>
      <c r="E45" s="132" t="s">
        <v>102</v>
      </c>
      <c r="F45" s="127">
        <f>F44</f>
        <v>1</v>
      </c>
      <c r="G45" s="127"/>
      <c r="H45" s="127"/>
      <c r="I45" s="128"/>
      <c r="J45" s="134">
        <f>F45*D45</f>
        <v>4000000</v>
      </c>
    </row>
    <row r="46" spans="1:11" x14ac:dyDescent="0.35">
      <c r="B46" s="224"/>
      <c r="C46" s="132" t="s">
        <v>111</v>
      </c>
      <c r="D46" s="135">
        <v>600000</v>
      </c>
      <c r="E46" s="132" t="s">
        <v>102</v>
      </c>
      <c r="F46" s="127">
        <f>F44</f>
        <v>1</v>
      </c>
      <c r="G46" s="127"/>
      <c r="H46" s="127"/>
      <c r="I46" s="128">
        <f>IF($I$36&lt;=120,2,IF($I$45&gt;220,4,3))</f>
        <v>3</v>
      </c>
      <c r="J46" s="135">
        <f>D46*F46</f>
        <v>600000</v>
      </c>
    </row>
    <row r="47" spans="1:11" x14ac:dyDescent="0.35">
      <c r="B47" s="225"/>
      <c r="C47" s="132" t="s">
        <v>109</v>
      </c>
      <c r="D47" s="135">
        <v>200000</v>
      </c>
      <c r="E47" s="132" t="s">
        <v>112</v>
      </c>
      <c r="F47" s="127"/>
      <c r="G47" s="127">
        <f>G44</f>
        <v>1</v>
      </c>
      <c r="H47" s="127"/>
      <c r="I47" s="128"/>
      <c r="J47" s="135">
        <f>G47*D47</f>
        <v>200000</v>
      </c>
    </row>
    <row r="48" spans="1:11" x14ac:dyDescent="0.35">
      <c r="B48" s="132" t="s">
        <v>113</v>
      </c>
      <c r="C48" s="132" t="s">
        <v>113</v>
      </c>
      <c r="D48" s="135">
        <v>450000</v>
      </c>
      <c r="E48" s="132" t="s">
        <v>104</v>
      </c>
      <c r="F48" s="127">
        <f>F44</f>
        <v>1</v>
      </c>
      <c r="G48" s="127"/>
      <c r="H48" s="127">
        <f>H44</f>
        <v>1</v>
      </c>
      <c r="I48" s="128">
        <f>IF($I$36&lt;=120,2,IF($I$45&gt;220,4,3))</f>
        <v>3</v>
      </c>
      <c r="J48" s="135">
        <f>H48*D48*I48</f>
        <v>1350000</v>
      </c>
    </row>
    <row r="49" spans="1:11" x14ac:dyDescent="0.35">
      <c r="B49" s="132" t="s">
        <v>114</v>
      </c>
      <c r="C49" s="132" t="s">
        <v>114</v>
      </c>
      <c r="D49" s="135">
        <v>120000</v>
      </c>
      <c r="E49" s="132" t="s">
        <v>102</v>
      </c>
      <c r="F49" s="127">
        <f>F44</f>
        <v>1</v>
      </c>
      <c r="G49" s="127"/>
      <c r="H49" s="127"/>
      <c r="I49" s="128">
        <f>IF($I$36&lt;=120,2,IF($I$45&gt;220,4,3))</f>
        <v>3</v>
      </c>
      <c r="J49" s="135">
        <f>I49*D49*F49</f>
        <v>360000</v>
      </c>
    </row>
    <row r="50" spans="1:11" x14ac:dyDescent="0.35">
      <c r="J50" s="136">
        <f>SUM(J45:J49)</f>
        <v>6510000</v>
      </c>
      <c r="K50" s="137">
        <f>J50*2</f>
        <v>13020000</v>
      </c>
    </row>
    <row r="51" spans="1:11" x14ac:dyDescent="0.35">
      <c r="K51" s="14">
        <f>B55</f>
        <v>16800000</v>
      </c>
    </row>
    <row r="52" spans="1:11" s="140" customFormat="1" x14ac:dyDescent="0.35"/>
    <row r="53" spans="1:11" x14ac:dyDescent="0.35">
      <c r="K53" s="14">
        <v>14000000</v>
      </c>
    </row>
    <row r="54" spans="1:11" x14ac:dyDescent="0.35">
      <c r="B54" s="127" t="s">
        <v>115</v>
      </c>
      <c r="C54" s="127" t="s">
        <v>110</v>
      </c>
      <c r="E54" s="132" t="s">
        <v>116</v>
      </c>
      <c r="K54" s="38">
        <f>SUM(K50:K53)</f>
        <v>43820000</v>
      </c>
    </row>
    <row r="55" spans="1:11" x14ac:dyDescent="0.35">
      <c r="A55" t="s">
        <v>117</v>
      </c>
      <c r="B55" s="87">
        <v>16800000</v>
      </c>
      <c r="C55" s="87">
        <v>4000000</v>
      </c>
      <c r="D55" s="14"/>
      <c r="E55" t="s">
        <v>118</v>
      </c>
      <c r="K55" s="14"/>
    </row>
    <row r="56" spans="1:11" x14ac:dyDescent="0.35">
      <c r="A56" t="s">
        <v>119</v>
      </c>
      <c r="B56" s="87"/>
      <c r="C56" s="87">
        <v>3000000</v>
      </c>
      <c r="E56" t="s">
        <v>120</v>
      </c>
      <c r="I56" s="87">
        <v>10000000</v>
      </c>
    </row>
    <row r="57" spans="1:11" x14ac:dyDescent="0.35">
      <c r="A57" t="s">
        <v>121</v>
      </c>
      <c r="B57" s="87">
        <v>15600000</v>
      </c>
      <c r="C57" s="87">
        <v>2500000</v>
      </c>
      <c r="D57" s="14"/>
      <c r="E57" t="s">
        <v>120</v>
      </c>
      <c r="H57" t="s">
        <v>122</v>
      </c>
      <c r="I57" s="87">
        <v>12000000</v>
      </c>
    </row>
    <row r="58" spans="1:11" x14ac:dyDescent="0.35">
      <c r="A58" t="s">
        <v>123</v>
      </c>
      <c r="B58" s="87">
        <v>15000000</v>
      </c>
      <c r="C58" s="87">
        <v>2000000</v>
      </c>
      <c r="D58" s="14"/>
      <c r="E58" t="s">
        <v>120</v>
      </c>
      <c r="H58" t="s">
        <v>124</v>
      </c>
      <c r="I58" s="87">
        <v>14000000</v>
      </c>
    </row>
    <row r="59" spans="1:11" x14ac:dyDescent="0.35">
      <c r="A59" t="s">
        <v>125</v>
      </c>
      <c r="B59" s="87">
        <v>15000000</v>
      </c>
      <c r="C59" s="87">
        <v>1850000</v>
      </c>
      <c r="D59" s="14"/>
      <c r="E59" t="s">
        <v>120</v>
      </c>
      <c r="H59" t="s">
        <v>126</v>
      </c>
      <c r="I59" s="87">
        <v>14000000</v>
      </c>
    </row>
    <row r="60" spans="1:11" x14ac:dyDescent="0.35">
      <c r="A60" t="s">
        <v>127</v>
      </c>
      <c r="B60" s="87">
        <v>12000000</v>
      </c>
      <c r="C60" s="87">
        <v>1200000</v>
      </c>
      <c r="D60" s="14"/>
      <c r="E60" t="s">
        <v>120</v>
      </c>
      <c r="H60" t="s">
        <v>117</v>
      </c>
      <c r="I60" s="87">
        <v>17000000</v>
      </c>
    </row>
    <row r="61" spans="1:11" x14ac:dyDescent="0.35">
      <c r="A61" t="s">
        <v>128</v>
      </c>
      <c r="B61" s="87">
        <v>16800000</v>
      </c>
      <c r="C61" s="87">
        <v>2000000</v>
      </c>
      <c r="D61" s="14"/>
      <c r="E61" t="s">
        <v>120</v>
      </c>
      <c r="H61" t="s">
        <v>128</v>
      </c>
      <c r="I61" s="87">
        <v>14000000</v>
      </c>
    </row>
    <row r="62" spans="1:11" x14ac:dyDescent="0.35">
      <c r="A62" t="s">
        <v>129</v>
      </c>
      <c r="B62" s="87">
        <v>15720000</v>
      </c>
      <c r="C62" s="87">
        <v>3500000</v>
      </c>
      <c r="D62" s="14"/>
    </row>
    <row r="63" spans="1:11" x14ac:dyDescent="0.35">
      <c r="A63" t="s">
        <v>130</v>
      </c>
      <c r="C63" s="87">
        <v>2800000</v>
      </c>
      <c r="D63" s="14"/>
    </row>
    <row r="64" spans="1:11" x14ac:dyDescent="0.35">
      <c r="A64" t="s">
        <v>131</v>
      </c>
      <c r="B64">
        <v>0</v>
      </c>
      <c r="C64" s="87">
        <v>0</v>
      </c>
      <c r="D64" t="s">
        <v>132</v>
      </c>
    </row>
    <row r="66" spans="1:4" x14ac:dyDescent="0.35">
      <c r="B66" s="127" t="s">
        <v>133</v>
      </c>
      <c r="C66" s="127"/>
    </row>
    <row r="67" spans="1:4" x14ac:dyDescent="0.35">
      <c r="B67" s="87">
        <v>7000000</v>
      </c>
      <c r="D67" s="14">
        <f>B67/12</f>
        <v>583333.33333333337</v>
      </c>
    </row>
    <row r="68" spans="1:4" x14ac:dyDescent="0.35">
      <c r="B68" s="87"/>
      <c r="D68" s="14"/>
    </row>
    <row r="70" spans="1:4" s="140" customFormat="1" x14ac:dyDescent="0.35"/>
    <row r="72" spans="1:4" x14ac:dyDescent="0.35">
      <c r="A72" s="132" t="s">
        <v>134</v>
      </c>
      <c r="B72" s="14"/>
    </row>
    <row r="73" spans="1:4" x14ac:dyDescent="0.35">
      <c r="A73" t="s">
        <v>135</v>
      </c>
    </row>
    <row r="74" spans="1:4" x14ac:dyDescent="0.35">
      <c r="A74" t="s">
        <v>136</v>
      </c>
      <c r="B74" s="87">
        <v>36000000</v>
      </c>
    </row>
    <row r="75" spans="1:4" x14ac:dyDescent="0.35">
      <c r="A75" t="s">
        <v>137</v>
      </c>
      <c r="B75" s="87">
        <v>42000000</v>
      </c>
    </row>
    <row r="76" spans="1:4" x14ac:dyDescent="0.35">
      <c r="A76" t="s">
        <v>138</v>
      </c>
      <c r="B76" s="87">
        <v>48000000</v>
      </c>
      <c r="C76" s="14">
        <f>B76/12</f>
        <v>4000000</v>
      </c>
    </row>
    <row r="78" spans="1:4" x14ac:dyDescent="0.35">
      <c r="A78" t="s">
        <v>139</v>
      </c>
    </row>
    <row r="79" spans="1:4" x14ac:dyDescent="0.35">
      <c r="A79" t="s">
        <v>140</v>
      </c>
      <c r="B79" s="87">
        <v>75000000</v>
      </c>
    </row>
    <row r="80" spans="1:4" x14ac:dyDescent="0.35">
      <c r="A80" t="s">
        <v>138</v>
      </c>
      <c r="B80" s="87">
        <v>95000000</v>
      </c>
    </row>
  </sheetData>
  <mergeCells count="3">
    <mergeCell ref="J43:J44"/>
    <mergeCell ref="K43:K44"/>
    <mergeCell ref="B45:B47"/>
  </mergeCells>
  <phoneticPr fontId="26" type="noConversion"/>
  <conditionalFormatting sqref="B25:K31">
    <cfRule type="cellIs" dxfId="23" priority="25" operator="lessThan">
      <formula>0</formula>
    </cfRule>
  </conditionalFormatting>
  <conditionalFormatting sqref="C23:J23 C8:D10 C5:C7 C24:T24 C4:J4">
    <cfRule type="cellIs" dxfId="22" priority="24" operator="lessThan">
      <formula>0</formula>
    </cfRule>
  </conditionalFormatting>
  <conditionalFormatting sqref="C20:H22 C11:E13">
    <cfRule type="cellIs" dxfId="21" priority="23" operator="lessThan">
      <formula>0</formula>
    </cfRule>
  </conditionalFormatting>
  <conditionalFormatting sqref="J7">
    <cfRule type="cellIs" dxfId="20" priority="22" operator="lessThan">
      <formula>0</formula>
    </cfRule>
  </conditionalFormatting>
  <conditionalFormatting sqref="K10:L10">
    <cfRule type="cellIs" dxfId="19" priority="21" operator="lessThan">
      <formula>0</formula>
    </cfRule>
  </conditionalFormatting>
  <conditionalFormatting sqref="M13">
    <cfRule type="cellIs" dxfId="18" priority="20" operator="lessThan">
      <formula>0</formula>
    </cfRule>
  </conditionalFormatting>
  <conditionalFormatting sqref="I22">
    <cfRule type="cellIs" dxfId="17" priority="19" operator="lessThan">
      <formula>0</formula>
    </cfRule>
  </conditionalFormatting>
  <conditionalFormatting sqref="J22:K22">
    <cfRule type="cellIs" dxfId="16" priority="18" operator="lessThan">
      <formula>0</formula>
    </cfRule>
  </conditionalFormatting>
  <conditionalFormatting sqref="C14:E16">
    <cfRule type="cellIs" dxfId="15" priority="16" operator="lessThan">
      <formula>0</formula>
    </cfRule>
  </conditionalFormatting>
  <conditionalFormatting sqref="F16">
    <cfRule type="cellIs" dxfId="14" priority="15" operator="lessThan">
      <formula>0</formula>
    </cfRule>
  </conditionalFormatting>
  <conditionalFormatting sqref="H16">
    <cfRule type="cellIs" dxfId="13" priority="10" operator="lessThan">
      <formula>0</formula>
    </cfRule>
  </conditionalFormatting>
  <conditionalFormatting sqref="C17:E19">
    <cfRule type="cellIs" dxfId="12" priority="14" operator="lessThan">
      <formula>0</formula>
    </cfRule>
  </conditionalFormatting>
  <conditionalFormatting sqref="F19">
    <cfRule type="cellIs" dxfId="11" priority="13" operator="lessThan">
      <formula>0</formula>
    </cfRule>
  </conditionalFormatting>
  <conditionalFormatting sqref="G19:H19">
    <cfRule type="cellIs" dxfId="10" priority="12" operator="lessThan">
      <formula>0</formula>
    </cfRule>
  </conditionalFormatting>
  <conditionalFormatting sqref="G16">
    <cfRule type="cellIs" dxfId="9" priority="11" operator="lessThan">
      <formula>0</formula>
    </cfRule>
  </conditionalFormatting>
  <conditionalFormatting sqref="I19">
    <cfRule type="cellIs" dxfId="8" priority="9" operator="lessThan">
      <formula>0</formula>
    </cfRule>
  </conditionalFormatting>
  <conditionalFormatting sqref="R22:T22">
    <cfRule type="cellIs" dxfId="7" priority="8" operator="lessThan">
      <formula>0</formula>
    </cfRule>
  </conditionalFormatting>
  <conditionalFormatting sqref="D7:I7">
    <cfRule type="cellIs" dxfId="6" priority="7" operator="lessThan">
      <formula>0</formula>
    </cfRule>
  </conditionalFormatting>
  <conditionalFormatting sqref="E10:J10">
    <cfRule type="cellIs" dxfId="5" priority="6" operator="lessThan">
      <formula>0</formula>
    </cfRule>
  </conditionalFormatting>
  <conditionalFormatting sqref="F13:K13">
    <cfRule type="cellIs" dxfId="4" priority="5" operator="lessThan">
      <formula>0</formula>
    </cfRule>
  </conditionalFormatting>
  <conditionalFormatting sqref="I16:N16">
    <cfRule type="cellIs" dxfId="3" priority="4" operator="lessThan">
      <formula>0</formula>
    </cfRule>
  </conditionalFormatting>
  <conditionalFormatting sqref="J19:O19">
    <cfRule type="cellIs" dxfId="2" priority="3" operator="lessThan">
      <formula>0</formula>
    </cfRule>
  </conditionalFormatting>
  <conditionalFormatting sqref="L22:Q22">
    <cfRule type="cellIs" dxfId="1" priority="2" operator="lessThan">
      <formula>0</formula>
    </cfRule>
  </conditionalFormatting>
  <conditionalFormatting sqref="L1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5DDE3-6652-4D1F-AE74-38B51EFC27DF}">
  <dimension ref="A1:D18"/>
  <sheetViews>
    <sheetView workbookViewId="0">
      <selection activeCell="C27" sqref="C27"/>
    </sheetView>
  </sheetViews>
  <sheetFormatPr defaultColWidth="8.83203125" defaultRowHeight="14.5" x14ac:dyDescent="0.35"/>
  <cols>
    <col min="1" max="1" width="8.83203125" style="229"/>
    <col min="2" max="2" width="21.4140625" style="229" bestFit="1" customWidth="1"/>
    <col min="3" max="4" width="39.08203125" style="229" bestFit="1" customWidth="1"/>
    <col min="5" max="16384" width="8.83203125" style="229"/>
  </cols>
  <sheetData>
    <row r="1" spans="1:4" ht="21" x14ac:dyDescent="0.5">
      <c r="A1" s="227"/>
      <c r="B1" s="227"/>
      <c r="C1" s="228" t="s">
        <v>164</v>
      </c>
      <c r="D1" s="227"/>
    </row>
    <row r="2" spans="1:4" x14ac:dyDescent="0.35">
      <c r="A2" s="227"/>
      <c r="B2" s="227"/>
      <c r="C2" s="227"/>
      <c r="D2" s="227"/>
    </row>
    <row r="3" spans="1:4" x14ac:dyDescent="0.35">
      <c r="A3" s="230" t="s">
        <v>165</v>
      </c>
      <c r="B3" s="230"/>
      <c r="C3" s="230" t="s">
        <v>166</v>
      </c>
      <c r="D3" s="227"/>
    </row>
    <row r="4" spans="1:4" x14ac:dyDescent="0.35">
      <c r="A4" s="230" t="s">
        <v>167</v>
      </c>
      <c r="B4" s="230"/>
      <c r="C4" s="230" t="s">
        <v>168</v>
      </c>
      <c r="D4" s="227"/>
    </row>
    <row r="5" spans="1:4" x14ac:dyDescent="0.35">
      <c r="A5" s="230" t="s">
        <v>169</v>
      </c>
      <c r="B5" s="230"/>
      <c r="C5" s="230"/>
      <c r="D5" s="227"/>
    </row>
    <row r="6" spans="1:4" x14ac:dyDescent="0.35">
      <c r="A6" s="230" t="s">
        <v>170</v>
      </c>
      <c r="B6" s="230"/>
      <c r="C6" s="230"/>
      <c r="D6" s="227"/>
    </row>
    <row r="7" spans="1:4" x14ac:dyDescent="0.35">
      <c r="A7" s="230" t="s">
        <v>171</v>
      </c>
      <c r="B7" s="230"/>
      <c r="C7" s="230" t="s">
        <v>172</v>
      </c>
      <c r="D7" s="227"/>
    </row>
    <row r="8" spans="1:4" x14ac:dyDescent="0.35">
      <c r="A8" s="227"/>
      <c r="B8" s="227"/>
      <c r="C8" s="227"/>
      <c r="D8" s="227"/>
    </row>
    <row r="9" spans="1:4" x14ac:dyDescent="0.35">
      <c r="A9" s="231" t="s">
        <v>173</v>
      </c>
      <c r="B9" s="232" t="s">
        <v>174</v>
      </c>
      <c r="C9" s="232" t="s">
        <v>175</v>
      </c>
      <c r="D9" s="232" t="s">
        <v>158</v>
      </c>
    </row>
    <row r="10" spans="1:4" x14ac:dyDescent="0.35">
      <c r="A10" s="231"/>
      <c r="B10" s="233"/>
      <c r="C10" s="233"/>
      <c r="D10" s="233"/>
    </row>
    <row r="11" spans="1:4" x14ac:dyDescent="0.35">
      <c r="A11" s="234" t="s">
        <v>176</v>
      </c>
      <c r="B11" s="235" t="s">
        <v>177</v>
      </c>
      <c r="C11" s="236" t="s">
        <v>76</v>
      </c>
      <c r="D11" s="235" t="s">
        <v>76</v>
      </c>
    </row>
    <row r="12" spans="1:4" x14ac:dyDescent="0.35">
      <c r="A12" s="234" t="s">
        <v>178</v>
      </c>
      <c r="B12" s="235" t="s">
        <v>179</v>
      </c>
      <c r="C12" s="237" t="s">
        <v>172</v>
      </c>
      <c r="D12" s="237" t="s">
        <v>172</v>
      </c>
    </row>
    <row r="13" spans="1:4" x14ac:dyDescent="0.35">
      <c r="A13" s="234" t="s">
        <v>180</v>
      </c>
      <c r="B13" s="235" t="s">
        <v>181</v>
      </c>
      <c r="C13" s="235" t="s">
        <v>182</v>
      </c>
      <c r="D13" s="235" t="s">
        <v>183</v>
      </c>
    </row>
    <row r="14" spans="1:4" ht="15.5" x14ac:dyDescent="0.35">
      <c r="A14" s="238">
        <v>4</v>
      </c>
      <c r="B14" s="235" t="s">
        <v>184</v>
      </c>
      <c r="C14" s="239" t="s">
        <v>185</v>
      </c>
      <c r="D14" s="240" t="s">
        <v>186</v>
      </c>
    </row>
    <row r="15" spans="1:4" ht="15.5" x14ac:dyDescent="0.35">
      <c r="A15" s="241"/>
      <c r="B15" s="235"/>
      <c r="C15" s="239" t="s">
        <v>187</v>
      </c>
      <c r="D15" s="240" t="s">
        <v>188</v>
      </c>
    </row>
    <row r="16" spans="1:4" x14ac:dyDescent="0.35">
      <c r="A16" s="242">
        <v>5</v>
      </c>
      <c r="B16" s="243" t="s">
        <v>189</v>
      </c>
      <c r="C16" s="236" t="s">
        <v>190</v>
      </c>
      <c r="D16" s="235" t="s">
        <v>190</v>
      </c>
    </row>
    <row r="17" spans="1:4" x14ac:dyDescent="0.35">
      <c r="A17" s="244"/>
      <c r="B17" s="245"/>
      <c r="C17" s="236" t="s">
        <v>191</v>
      </c>
      <c r="D17" s="235" t="s">
        <v>192</v>
      </c>
    </row>
    <row r="18" spans="1:4" x14ac:dyDescent="0.35">
      <c r="A18" s="234" t="s">
        <v>193</v>
      </c>
      <c r="B18" s="235" t="s">
        <v>194</v>
      </c>
      <c r="C18" s="246" t="s">
        <v>195</v>
      </c>
      <c r="D18" s="247"/>
    </row>
  </sheetData>
  <mergeCells count="6">
    <mergeCell ref="A9:A10"/>
    <mergeCell ref="B9:B10"/>
    <mergeCell ref="C9:C10"/>
    <mergeCell ref="D9:D10"/>
    <mergeCell ref="A14:A15"/>
    <mergeCell ref="C18:D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workbookViewId="0">
      <selection activeCell="D9" sqref="D9"/>
    </sheetView>
  </sheetViews>
  <sheetFormatPr defaultRowHeight="15.5" x14ac:dyDescent="0.35"/>
  <cols>
    <col min="2" max="3" width="13.75" bestFit="1" customWidth="1"/>
    <col min="4" max="4" width="12.08203125" bestFit="1" customWidth="1"/>
    <col min="5" max="5" width="10.08203125" bestFit="1" customWidth="1"/>
    <col min="6" max="6" width="12.08203125" bestFit="1" customWidth="1"/>
  </cols>
  <sheetData>
    <row r="1" spans="1:10" x14ac:dyDescent="0.3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</row>
    <row r="2" spans="1:10" x14ac:dyDescent="0.35">
      <c r="A2" t="s">
        <v>86</v>
      </c>
      <c r="B2" s="87">
        <v>1590676795</v>
      </c>
      <c r="C2" s="87"/>
      <c r="D2" s="87"/>
      <c r="E2" s="87"/>
      <c r="F2" s="87"/>
    </row>
    <row r="3" spans="1:10" x14ac:dyDescent="0.35">
      <c r="A3" t="s">
        <v>154</v>
      </c>
      <c r="B3" s="87"/>
      <c r="C3" s="87"/>
      <c r="D3" s="87">
        <v>482091041</v>
      </c>
    </row>
    <row r="5" spans="1:10" x14ac:dyDescent="0.35">
      <c r="A5" t="s">
        <v>86</v>
      </c>
      <c r="B5" s="87">
        <f>(B2/10)*(2023-B1)</f>
        <v>1590676795</v>
      </c>
      <c r="C5" s="87">
        <f t="shared" ref="C5:F5" si="0">(C2/10)*(2023-C1)</f>
        <v>0</v>
      </c>
      <c r="D5" s="87">
        <f t="shared" si="0"/>
        <v>0</v>
      </c>
      <c r="E5" s="87">
        <f t="shared" si="0"/>
        <v>0</v>
      </c>
      <c r="F5" s="87">
        <f t="shared" si="0"/>
        <v>0</v>
      </c>
    </row>
    <row r="6" spans="1:10" x14ac:dyDescent="0.35">
      <c r="A6" t="s">
        <v>154</v>
      </c>
      <c r="C6" s="87">
        <f>(C3/10)*(2023-C1)</f>
        <v>0</v>
      </c>
      <c r="D6" s="87">
        <f>(D3/10)*(2023-D1)</f>
        <v>385672832.80000001</v>
      </c>
      <c r="E6" s="87">
        <f t="shared" ref="E6" si="1">(E3/10)*(2023-E1)</f>
        <v>0</v>
      </c>
    </row>
    <row r="8" spans="1:10" x14ac:dyDescent="0.35">
      <c r="A8" t="s">
        <v>86</v>
      </c>
      <c r="B8" s="14">
        <f>B2-B5</f>
        <v>0</v>
      </c>
      <c r="C8" s="14">
        <f t="shared" ref="C8:F9" si="2">C2-C5</f>
        <v>0</v>
      </c>
      <c r="D8" s="14">
        <f t="shared" si="2"/>
        <v>0</v>
      </c>
      <c r="E8" s="14">
        <f t="shared" si="2"/>
        <v>0</v>
      </c>
      <c r="F8" s="14">
        <f>F2-F5</f>
        <v>0</v>
      </c>
    </row>
    <row r="9" spans="1:10" x14ac:dyDescent="0.35">
      <c r="A9" t="s">
        <v>154</v>
      </c>
      <c r="C9" s="14">
        <f>C3-C6</f>
        <v>0</v>
      </c>
      <c r="D9" s="14">
        <f t="shared" si="2"/>
        <v>96418208.199999988</v>
      </c>
      <c r="E9" s="14">
        <f t="shared" si="2"/>
        <v>0</v>
      </c>
      <c r="F9" s="14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 Approved</vt:lpstr>
      <vt:lpstr>PARAMETER</vt:lpstr>
      <vt:lpstr>SummaryBR</vt:lpstr>
      <vt:lpstr>Book Value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2024-06-25T01:44:14Z</dcterms:modified>
</cp:coreProperties>
</file>