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8_{C4DE7C85-A681-4F32-B429-C8698ED53AFB}" xr6:coauthVersionLast="36" xr6:coauthVersionMax="36" xr10:uidLastSave="{00000000-0000-0000-0000-000000000000}"/>
  <bookViews>
    <workbookView xWindow="0" yWindow="0" windowWidth="19200" windowHeight="8130" xr2:uid="{00000000-000D-0000-FFFF-FFFF00000000}"/>
  </bookViews>
  <sheets>
    <sheet name="Summary" sheetId="8" r:id="rId1"/>
    <sheet name="IRR" sheetId="1" r:id="rId2"/>
    <sheet name="PARAMETER" sheetId="5" r:id="rId3"/>
    <sheet name="SummaryBR" sheetId="9" r:id="rId4"/>
    <sheet name="Analisa" sheetId="10" r:id="rId5"/>
  </sheets>
  <externalReferences>
    <externalReference r:id="rId6"/>
  </externalReferences>
  <definedNames>
    <definedName name="jk" localSheetId="4">#REF!</definedName>
    <definedName name="jk" localSheetId="3">#REF!</definedName>
    <definedName name="jk">#REF!</definedName>
    <definedName name="_xlnm.Print_Area" localSheetId="4">Analisa!$A$2:$F$24</definedName>
    <definedName name="_xlnm.Print_Area" localSheetId="1">IRR!$B$1:$Q$64</definedName>
    <definedName name="_xlnm.Print_Area" localSheetId="0">Summary!$B$1:$N$34</definedName>
    <definedName name="_xlnm.Print_Area" localSheetId="3">SummaryBR!$A$1:$E$21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7" i="1" l="1"/>
  <c r="G43" i="1"/>
  <c r="G41" i="1"/>
  <c r="K19" i="1"/>
  <c r="J19" i="1"/>
  <c r="M2" i="8" l="1"/>
  <c r="E21" i="10" l="1"/>
  <c r="B21" i="10"/>
  <c r="E12" i="9"/>
  <c r="D12" i="9"/>
  <c r="D8" i="5"/>
  <c r="I28" i="1"/>
  <c r="G28" i="1"/>
  <c r="H28" i="1"/>
  <c r="D6" i="8" l="1"/>
  <c r="D3" i="9"/>
  <c r="M12" i="8"/>
  <c r="M11" i="8"/>
  <c r="F22" i="10"/>
  <c r="F20" i="10"/>
  <c r="E18" i="10"/>
  <c r="E20" i="10"/>
  <c r="E19" i="10"/>
  <c r="D20" i="10"/>
  <c r="D19" i="10"/>
  <c r="F19" i="10" s="1"/>
  <c r="E15" i="9"/>
  <c r="E16" i="9" s="1"/>
  <c r="D16" i="9"/>
  <c r="H23" i="1"/>
  <c r="G23" i="1"/>
  <c r="J53" i="5"/>
  <c r="I48" i="5" l="1"/>
  <c r="D49" i="5"/>
  <c r="H27" i="1"/>
  <c r="I27" i="1" s="1"/>
  <c r="J27" i="1" s="1"/>
  <c r="K27" i="1" s="1"/>
  <c r="Q20" i="1"/>
  <c r="J28" i="1"/>
  <c r="K28" i="1" l="1"/>
  <c r="Q19" i="1"/>
  <c r="Q11" i="1" l="1"/>
  <c r="G12" i="1"/>
  <c r="G53" i="1" s="1"/>
  <c r="Q10" i="1"/>
  <c r="M30" i="5"/>
  <c r="L29" i="5"/>
  <c r="L28" i="5"/>
  <c r="M27" i="5" s="1"/>
  <c r="T2" i="5"/>
  <c r="S2" i="5"/>
  <c r="R2" i="5"/>
  <c r="J26" i="5"/>
  <c r="J25" i="5"/>
  <c r="K24" i="5" s="1"/>
  <c r="K26" i="5" s="1"/>
  <c r="I23" i="5"/>
  <c r="I22" i="5"/>
  <c r="J21" i="5" s="1"/>
  <c r="K21" i="5" s="1"/>
  <c r="L21" i="5" s="1"/>
  <c r="M21" i="5" s="1"/>
  <c r="N21" i="5" s="1"/>
  <c r="Q2" i="5"/>
  <c r="P2" i="5"/>
  <c r="O2" i="5"/>
  <c r="N2" i="5"/>
  <c r="H20" i="5"/>
  <c r="H19" i="5"/>
  <c r="I18" i="5" s="1"/>
  <c r="J18" i="5" s="1"/>
  <c r="K18" i="5" s="1"/>
  <c r="L18" i="5" s="1"/>
  <c r="M18" i="5" s="1"/>
  <c r="G17" i="5"/>
  <c r="G16" i="5"/>
  <c r="H15" i="5" s="1"/>
  <c r="F14" i="5"/>
  <c r="E11" i="5"/>
  <c r="F13" i="5"/>
  <c r="G12" i="5" s="1"/>
  <c r="E10" i="5"/>
  <c r="M31" i="5" l="1"/>
  <c r="N30" i="5" s="1"/>
  <c r="M32" i="5"/>
  <c r="M29" i="5"/>
  <c r="N27" i="5"/>
  <c r="N29" i="5" s="1"/>
  <c r="H17" i="5"/>
  <c r="I15" i="5"/>
  <c r="I17" i="5" s="1"/>
  <c r="L24" i="5"/>
  <c r="M24" i="5" s="1"/>
  <c r="M26" i="5"/>
  <c r="L23" i="5"/>
  <c r="J23" i="5"/>
  <c r="K23" i="5"/>
  <c r="I20" i="5"/>
  <c r="J20" i="5"/>
  <c r="D7" i="5"/>
  <c r="E6" i="5" s="1"/>
  <c r="F9" i="5"/>
  <c r="O30" i="5" l="1"/>
  <c r="O32" i="5" s="1"/>
  <c r="N32" i="5"/>
  <c r="L26" i="5"/>
  <c r="F6" i="5"/>
  <c r="G6" i="5" s="1"/>
  <c r="E8" i="5"/>
  <c r="P30" i="5"/>
  <c r="N24" i="5"/>
  <c r="N26" i="5" s="1"/>
  <c r="O27" i="5"/>
  <c r="O29" i="5" s="1"/>
  <c r="J15" i="5"/>
  <c r="J17" i="5" s="1"/>
  <c r="L20" i="5"/>
  <c r="K20" i="5"/>
  <c r="H12" i="5"/>
  <c r="H14" i="5"/>
  <c r="G14" i="5"/>
  <c r="G9" i="5"/>
  <c r="G11" i="5" s="1"/>
  <c r="F11" i="5"/>
  <c r="Q30" i="5" l="1"/>
  <c r="R30" i="5" s="1"/>
  <c r="Q32" i="5"/>
  <c r="K15" i="5"/>
  <c r="P32" i="5"/>
  <c r="O24" i="5"/>
  <c r="P26" i="5" s="1"/>
  <c r="P27" i="5"/>
  <c r="Q27" i="5" s="1"/>
  <c r="O23" i="5"/>
  <c r="M23" i="5"/>
  <c r="N20" i="5"/>
  <c r="I12" i="5"/>
  <c r="I14" i="5" s="1"/>
  <c r="H9" i="5"/>
  <c r="H11" i="5" s="1"/>
  <c r="L15" i="5" l="1"/>
  <c r="M17" i="5" s="1"/>
  <c r="K17" i="5"/>
  <c r="O26" i="5"/>
  <c r="O34" i="5" s="1"/>
  <c r="I36" i="1" s="1"/>
  <c r="Q29" i="5"/>
  <c r="Q34" i="5" s="1"/>
  <c r="K36" i="1" s="1"/>
  <c r="R29" i="5"/>
  <c r="P29" i="5"/>
  <c r="P34" i="5" s="1"/>
  <c r="J36" i="1" s="1"/>
  <c r="R32" i="5"/>
  <c r="S32" i="5"/>
  <c r="S34" i="5" s="1"/>
  <c r="N23" i="5"/>
  <c r="N34" i="5" s="1"/>
  <c r="H36" i="1" s="1"/>
  <c r="M20" i="5"/>
  <c r="J12" i="5"/>
  <c r="I9" i="5"/>
  <c r="R34" i="5" l="1"/>
  <c r="L17" i="5"/>
  <c r="M34" i="5"/>
  <c r="G36" i="1" s="1"/>
  <c r="J9" i="5"/>
  <c r="K11" i="5" s="1"/>
  <c r="K12" i="5"/>
  <c r="L14" i="5" s="1"/>
  <c r="L34" i="5" s="1"/>
  <c r="J14" i="5"/>
  <c r="I11" i="5"/>
  <c r="K14" i="5" l="1"/>
  <c r="K34" i="5" s="1"/>
  <c r="J11" i="5"/>
  <c r="D22" i="10" l="1"/>
  <c r="D21" i="10"/>
  <c r="F21" i="10" s="1"/>
  <c r="D18" i="10"/>
  <c r="F18" i="10" s="1"/>
  <c r="D11" i="10"/>
  <c r="F11" i="10" s="1"/>
  <c r="D13" i="10"/>
  <c r="F13" i="10" s="1"/>
  <c r="E12" i="10"/>
  <c r="D12" i="10"/>
  <c r="F24" i="10" l="1"/>
  <c r="F12" i="10"/>
  <c r="F15" i="10"/>
  <c r="H53" i="1" l="1"/>
  <c r="I53" i="1" s="1"/>
  <c r="J53" i="1" s="1"/>
  <c r="K53" i="1" s="1"/>
  <c r="M7" i="8"/>
  <c r="L36" i="1"/>
  <c r="M36" i="1"/>
  <c r="N36" i="1"/>
  <c r="O36" i="1"/>
  <c r="P36" i="1"/>
  <c r="Q53" i="1" l="1"/>
  <c r="J88" i="1"/>
  <c r="J89" i="1" s="1"/>
  <c r="J84" i="1"/>
  <c r="J82" i="1"/>
  <c r="F8" i="5" l="1"/>
  <c r="C34" i="5"/>
  <c r="D3" i="5"/>
  <c r="D2" i="5"/>
  <c r="E2" i="5" s="1"/>
  <c r="F2" i="5" s="1"/>
  <c r="G2" i="5" s="1"/>
  <c r="H2" i="5" s="1"/>
  <c r="I2" i="5" s="1"/>
  <c r="J2" i="5" s="1"/>
  <c r="K2" i="5" s="1"/>
  <c r="L2" i="5" s="1"/>
  <c r="M2" i="5" s="1"/>
  <c r="Q26" i="1" l="1"/>
  <c r="E3" i="5"/>
  <c r="F3" i="5" s="1"/>
  <c r="G3" i="5" s="1"/>
  <c r="H3" i="5" s="1"/>
  <c r="E5" i="5"/>
  <c r="E34" i="5" s="1"/>
  <c r="D5" i="5"/>
  <c r="D34" i="5" s="1"/>
  <c r="F5" i="5"/>
  <c r="F34" i="5" s="1"/>
  <c r="H6" i="5"/>
  <c r="I6" i="5" s="1"/>
  <c r="G8" i="5" l="1"/>
  <c r="G5" i="5"/>
  <c r="G34" i="5" l="1"/>
  <c r="H8" i="5"/>
  <c r="J8" i="5"/>
  <c r="J34" i="5" s="1"/>
  <c r="I8" i="5" l="1"/>
  <c r="I34" i="5" s="1"/>
  <c r="H5" i="5"/>
  <c r="H34" i="5" s="1"/>
  <c r="Q41" i="1" l="1"/>
  <c r="G34" i="1"/>
  <c r="G52" i="1"/>
  <c r="G63" i="1" l="1"/>
  <c r="H14" i="1" l="1"/>
  <c r="I14" i="1" s="1"/>
  <c r="J14" i="1" s="1"/>
  <c r="K14" i="1" s="1"/>
  <c r="L14" i="1" s="1"/>
  <c r="I23" i="1" l="1"/>
  <c r="M14" i="1"/>
  <c r="L52" i="1"/>
  <c r="Q62" i="1"/>
  <c r="J23" i="1" l="1"/>
  <c r="N14" i="1"/>
  <c r="M52" i="1"/>
  <c r="Q22" i="1"/>
  <c r="M9" i="8"/>
  <c r="Q21" i="1" l="1"/>
  <c r="Q23" i="1" s="1"/>
  <c r="K23" i="1"/>
  <c r="L23" i="1"/>
  <c r="O14" i="1"/>
  <c r="N52" i="1"/>
  <c r="Q12" i="1"/>
  <c r="C80" i="5"/>
  <c r="D71" i="5"/>
  <c r="F53" i="5"/>
  <c r="H52" i="5"/>
  <c r="F52" i="5"/>
  <c r="G51" i="5"/>
  <c r="J51" i="5" s="1"/>
  <c r="F50" i="5"/>
  <c r="J50" i="5" s="1"/>
  <c r="F49" i="5"/>
  <c r="P14" i="1" l="1"/>
  <c r="P52" i="1" s="1"/>
  <c r="O52" i="1"/>
  <c r="L29" i="1"/>
  <c r="M23" i="1"/>
  <c r="J49" i="5"/>
  <c r="L30" i="1" l="1"/>
  <c r="L31" i="1" s="1"/>
  <c r="L32" i="1" s="1"/>
  <c r="M29" i="1"/>
  <c r="N23" i="1"/>
  <c r="O6" i="8"/>
  <c r="M30" i="1" l="1"/>
  <c r="M31" i="1" s="1"/>
  <c r="M32" i="1" s="1"/>
  <c r="N29" i="1"/>
  <c r="N30" i="1" s="1"/>
  <c r="N31" i="1" s="1"/>
  <c r="N32" i="1" s="1"/>
  <c r="O23" i="1"/>
  <c r="H52" i="1"/>
  <c r="O29" i="1" l="1"/>
  <c r="O30" i="1" s="1"/>
  <c r="O31" i="1" s="1"/>
  <c r="O32" i="1" s="1"/>
  <c r="P23" i="1"/>
  <c r="C42" i="5"/>
  <c r="C41" i="5" s="1"/>
  <c r="C40" i="5" s="1"/>
  <c r="I52" i="1"/>
  <c r="P29" i="1" l="1"/>
  <c r="P30" i="1"/>
  <c r="P31" i="1" s="1"/>
  <c r="P32" i="1" s="1"/>
  <c r="J52" i="1"/>
  <c r="K52" i="1" l="1"/>
  <c r="D42" i="5" l="1"/>
  <c r="D41" i="5" s="1"/>
  <c r="D40" i="5" l="1"/>
  <c r="E42" i="5" l="1"/>
  <c r="E40" i="5" s="1"/>
  <c r="F42" i="5" l="1"/>
  <c r="F40" i="5" s="1"/>
  <c r="E41" i="5"/>
  <c r="G42" i="5" l="1"/>
  <c r="G40" i="5" s="1"/>
  <c r="F41" i="5"/>
  <c r="G41" i="5" s="1"/>
  <c r="H42" i="5" l="1"/>
  <c r="H63" i="1"/>
  <c r="H34" i="1" s="1"/>
  <c r="Q61" i="1"/>
  <c r="Q60" i="1" l="1"/>
  <c r="H41" i="5"/>
  <c r="H40" i="5"/>
  <c r="Q59" i="1" l="1"/>
  <c r="Q57" i="1"/>
  <c r="Q54" i="1"/>
  <c r="Q58" i="1"/>
  <c r="Q55" i="1"/>
  <c r="Q56" i="1"/>
  <c r="I42" i="5"/>
  <c r="I41" i="5" s="1"/>
  <c r="I40" i="5" l="1"/>
  <c r="J52" i="5" l="1"/>
  <c r="J42" i="5"/>
  <c r="J41" i="5" s="1"/>
  <c r="J54" i="5" l="1"/>
  <c r="J40" i="5"/>
  <c r="M10" i="8"/>
  <c r="Q27" i="1"/>
  <c r="K54" i="5" l="1"/>
  <c r="K42" i="5"/>
  <c r="I29" i="1"/>
  <c r="J29" i="1"/>
  <c r="K29" i="1"/>
  <c r="H29" i="1"/>
  <c r="Q28" i="1" l="1"/>
  <c r="K40" i="5"/>
  <c r="K41" i="5"/>
  <c r="Q36" i="1" l="1"/>
  <c r="G29" i="1" l="1"/>
  <c r="Q29" i="1" s="1"/>
  <c r="Q30" i="1" s="1"/>
  <c r="Q31" i="1" s="1"/>
  <c r="Q32" i="1" l="1"/>
  <c r="R23" i="1"/>
  <c r="M13" i="8"/>
  <c r="I63" i="1" l="1"/>
  <c r="I34" i="1" s="1"/>
  <c r="J63" i="1" l="1"/>
  <c r="J34" i="1" s="1"/>
  <c r="K30" i="1"/>
  <c r="K31" i="1" s="1"/>
  <c r="K32" i="1" s="1"/>
  <c r="J30" i="1"/>
  <c r="J31" i="1" s="1"/>
  <c r="J32" i="1" s="1"/>
  <c r="I30" i="1"/>
  <c r="I31" i="1" s="1"/>
  <c r="I32" i="1" s="1"/>
  <c r="H30" i="1"/>
  <c r="H31" i="1" s="1"/>
  <c r="H35" i="1" s="1"/>
  <c r="H37" i="1" s="1"/>
  <c r="L63" i="1" l="1"/>
  <c r="L35" i="1" s="1"/>
  <c r="L37" i="1" s="1"/>
  <c r="M14" i="8"/>
  <c r="K63" i="1"/>
  <c r="K34" i="1" s="1"/>
  <c r="Q34" i="1" s="1"/>
  <c r="Q35" i="1" s="1"/>
  <c r="I35" i="1"/>
  <c r="G30" i="1"/>
  <c r="L39" i="1" l="1"/>
  <c r="L42" i="1" s="1"/>
  <c r="M63" i="1"/>
  <c r="M35" i="1" s="1"/>
  <c r="M37" i="1" s="1"/>
  <c r="M39" i="1" s="1"/>
  <c r="M42" i="1" s="1"/>
  <c r="F48" i="1"/>
  <c r="M18" i="8" s="1"/>
  <c r="G31" i="1"/>
  <c r="G35" i="1" s="1"/>
  <c r="G37" i="1" s="1"/>
  <c r="G38" i="1" s="1"/>
  <c r="H38" i="1"/>
  <c r="H32" i="1"/>
  <c r="J35" i="1"/>
  <c r="I37" i="1"/>
  <c r="N63" i="1" l="1"/>
  <c r="N35" i="1" s="1"/>
  <c r="N37" i="1" s="1"/>
  <c r="N39" i="1" s="1"/>
  <c r="N42" i="1" s="1"/>
  <c r="H39" i="1"/>
  <c r="H42" i="1" s="1"/>
  <c r="R30" i="1"/>
  <c r="R31" i="1"/>
  <c r="I38" i="1"/>
  <c r="I39" i="1" s="1"/>
  <c r="I42" i="1" s="1"/>
  <c r="J37" i="1"/>
  <c r="P63" i="1" l="1"/>
  <c r="P35" i="1" s="1"/>
  <c r="P37" i="1" s="1"/>
  <c r="P39" i="1" s="1"/>
  <c r="P42" i="1" s="1"/>
  <c r="O63" i="1"/>
  <c r="O35" i="1" s="1"/>
  <c r="O37" i="1" s="1"/>
  <c r="O39" i="1" s="1"/>
  <c r="O42" i="1" s="1"/>
  <c r="J38" i="1"/>
  <c r="J39" i="1" s="1"/>
  <c r="G39" i="1"/>
  <c r="G42" i="1" s="1"/>
  <c r="J42" i="1" l="1"/>
  <c r="Q63" i="1"/>
  <c r="K35" i="1"/>
  <c r="K37" i="1" l="1"/>
  <c r="Q37" i="1" s="1"/>
  <c r="G44" i="1" l="1"/>
  <c r="H43" i="1"/>
  <c r="K38" i="1"/>
  <c r="Q38" i="1" s="1"/>
  <c r="Q39" i="1" s="1"/>
  <c r="K39" i="1" l="1"/>
  <c r="K42" i="1" s="1"/>
  <c r="F46" i="1" s="1"/>
  <c r="R35" i="1"/>
  <c r="I43" i="1"/>
  <c r="H44" i="1"/>
  <c r="M17" i="8" l="1"/>
  <c r="Q42" i="1"/>
  <c r="R37" i="1"/>
  <c r="I44" i="1"/>
  <c r="J43" i="1"/>
  <c r="R39" i="1"/>
  <c r="J44" i="1" l="1"/>
  <c r="K43" i="1"/>
  <c r="K44" i="1" l="1"/>
  <c r="M16" i="8"/>
  <c r="F49" i="1" l="1"/>
  <c r="M19" i="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48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<sst xmlns="http://schemas.openxmlformats.org/spreadsheetml/2006/main" count="265" uniqueCount="197">
  <si>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</si>
  <si>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</si>
  <si>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</si>
  <si>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</si>
  <si>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</si>
  <si>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</si>
  <si>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</si>
  <si>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</si>
  <si>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</si>
  <si>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</si>
  <si>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</si>
  <si>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</si>
  <si>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</si>
  <si>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</si>
  <si>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</si>
  <si>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</si>
  <si>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</si>
  <si>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</si>
  <si>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</si>
  <si>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</si>
  <si>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</si>
  <si>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</si>
  <si>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</si>
  <si>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</si>
  <si>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</si>
  <si>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</si>
  <si>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</si>
  <si>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</si>
  <si>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</si>
  <si>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</si>
  <si>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</si>
  <si>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</si>
  <si>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</si>
  <si>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</si>
  <si>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</si>
  <si>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</si>
  <si>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</si>
  <si>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</si>
  <si>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</si>
  <si>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Lease to BM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</si>
  <si>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</si>
  <si>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</si>
  <si>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</si>
  <si>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</si>
  <si>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</si>
  <si>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</si>
  <si>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</si>
  <si>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</si>
  <si>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</si>
  <si>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</si>
  <si>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Installment/thn</t>
  </si>
  <si>
    <t>Interest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</si>
  <si>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</si>
  <si>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</si>
  <si>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</si>
  <si>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</si>
  <si>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</si>
  <si>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</si>
  <si>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</si>
  <si>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</si>
  <si>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</si>
  <si>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</si>
  <si>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</si>
  <si>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</si>
  <si>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</si>
  <si>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</si>
  <si>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</si>
  <si>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</si>
  <si>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</si>
  <si>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</si>
  <si>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</si>
  <si>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Drop Wire (meter)</t>
  </si>
  <si>
    <t>Cable FO (meter)</t>
  </si>
  <si>
    <t>Product :</t>
  </si>
  <si>
    <t>Status P&amp;L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</si>
  <si>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</si>
  <si>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</si>
  <si>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</si>
  <si>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</si>
  <si>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</si>
  <si>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</si>
  <si>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</si>
  <si>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</si>
  <si>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General Asumption</t>
  </si>
  <si>
    <t>Price Adjustment after 5 year</t>
  </si>
  <si>
    <t>Citra K.</t>
  </si>
  <si>
    <t>Total COGS Rent</t>
  </si>
  <si>
    <t>Total COGS Other</t>
  </si>
  <si>
    <t>Total Capex CME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</si>
  <si>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</si>
  <si>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</si>
  <si>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</si>
  <si>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</si>
  <si>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</si>
  <si>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</si>
  <si>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</si>
  <si>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</si>
  <si>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</si>
  <si>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</si>
  <si>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</si>
  <si>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</si>
  <si>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</si>
  <si>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</si>
  <si>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</si>
  <si>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</si>
  <si>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</si>
  <si>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</si>
  <si>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</si>
  <si>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</si>
  <si>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</si>
  <si>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</si>
  <si>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</si>
  <si>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</si>
  <si>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</si>
  <si>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</si>
  <si>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</si>
  <si>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</si>
  <si>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</si>
  <si>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</si>
  <si>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</si>
  <si>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</si>
  <si>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</si>
  <si>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</si>
  <si>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</si>
  <si>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</si>
  <si>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</si>
  <si>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</si>
  <si>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</si>
  <si>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Maintenance (RPM)</t>
  </si>
  <si>
    <t>SG&amp;A (inhouse resources)</t>
  </si>
  <si>
    <t>% increase (decrease)</t>
  </si>
  <si>
    <t>Renewal</t>
  </si>
  <si>
    <t>Renewal IBC</t>
  </si>
  <si>
    <t xml:space="preserve">NO : </t>
  </si>
  <si>
    <t>PERHITUNGAN INTEREST EXPENSE based CAPEX</t>
  </si>
  <si>
    <t>Capex tahun</t>
  </si>
  <si>
    <t>Interest Exp</t>
  </si>
  <si>
    <t>SUMMARY REVIEW</t>
  </si>
  <si>
    <t xml:space="preserve">Nama Site                   </t>
  </si>
  <si>
    <t xml:space="preserve">Nama Pemilik           </t>
  </si>
  <si>
    <t xml:space="preserve">Alamat Pemilik       </t>
  </si>
  <si>
    <t xml:space="preserve">Telp                           </t>
  </si>
  <si>
    <t xml:space="preserve">Obyek Sewa             </t>
  </si>
  <si>
    <t xml:space="preserve">No. </t>
  </si>
  <si>
    <t>Keterangan</t>
  </si>
  <si>
    <t>Existing</t>
  </si>
  <si>
    <t>1.</t>
  </si>
  <si>
    <t>Scope Of Lease</t>
  </si>
  <si>
    <t>2.</t>
  </si>
  <si>
    <t>Obyek Sewa</t>
  </si>
  <si>
    <t>3.</t>
  </si>
  <si>
    <t>Periode Sewa</t>
  </si>
  <si>
    <t>Harga Sewa</t>
  </si>
  <si>
    <t>Operator Join</t>
  </si>
  <si>
    <t>6.</t>
  </si>
  <si>
    <t>Kenaikan/ Penurunan Harga</t>
  </si>
  <si>
    <t>Y6</t>
  </si>
  <si>
    <t>Y7</t>
  </si>
  <si>
    <t>Y8</t>
  </si>
  <si>
    <t>Y9</t>
  </si>
  <si>
    <t>Y10</t>
  </si>
  <si>
    <t>Total Capex BV31DEs2023</t>
  </si>
  <si>
    <t>Capex DAS</t>
  </si>
  <si>
    <t>IRR 5 th</t>
  </si>
  <si>
    <t>NPV 5th</t>
  </si>
  <si>
    <t>0009/IRR/IBC/IV/2024</t>
  </si>
  <si>
    <t xml:space="preserve">Periode </t>
  </si>
  <si>
    <t>Start</t>
  </si>
  <si>
    <t>End</t>
  </si>
  <si>
    <t>Rev XL</t>
  </si>
  <si>
    <t>Sewa BM</t>
  </si>
  <si>
    <t>Days</t>
  </si>
  <si>
    <t>Worse &gt;&gt; Jika Sewa BM diperpanjang 5 tahun dan XL sesuai periodenya XL, maka:</t>
  </si>
  <si>
    <t xml:space="preserve">Sewa BM </t>
  </si>
  <si>
    <t xml:space="preserve">OM </t>
  </si>
  <si>
    <t>Antisipasi Add Capex and Pole</t>
  </si>
  <si>
    <t>Profit</t>
  </si>
  <si>
    <t xml:space="preserve">No of tower </t>
  </si>
  <si>
    <t>IRR 5th</t>
  </si>
  <si>
    <t>Harga Sewa/th</t>
  </si>
  <si>
    <t>TSEL</t>
  </si>
  <si>
    <t>Harga tetap</t>
  </si>
  <si>
    <t>Rev TSEL</t>
  </si>
  <si>
    <t>SITE Mall Medan centre Point</t>
  </si>
  <si>
    <t>Gudang Garam Office</t>
  </si>
  <si>
    <t>:</t>
  </si>
  <si>
    <t>Jakarta</t>
  </si>
  <si>
    <t>Office</t>
  </si>
  <si>
    <t>PT Gudang Garam, tbk</t>
  </si>
  <si>
    <t>Jl. Jenderal Ahmad Yani No.79, Cemp. Putih Tim., Kec. Cemp. Putih</t>
  </si>
  <si>
    <t>8 pole + 40m2 RBS room</t>
  </si>
  <si>
    <t>Jl. Jend Ahmad Yani No.75-76, Jakarta</t>
  </si>
  <si>
    <t>203 omni + 8 pole + RBS 40m2</t>
  </si>
  <si>
    <t>13 Mar 19 s/d 12 Mar 2024</t>
  </si>
  <si>
    <t>13 Mar 24 s/d 12 Mar 2029</t>
  </si>
  <si>
    <t>TSEL (13 Aug 22 s/d 12 Aug 27)</t>
  </si>
  <si>
    <t>BV 29 Feb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</si>
</sst>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  <numFmt numFmtId="171" formatCode="[$-C09]dd\-mmm\-yy;@"/>
    <numFmt numFmtId="172" formatCode="#,###&quot;/thn&quot;"/>
    <numFmt numFmtId="173" formatCode="#,###&quot;/pole&quot;"/>
  </numFmts>
  <fonts count="4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166" fontId="13" fillId="0" borderId="0" applyFont="0" applyFill="0" applyBorder="0" applyAlignment="0" applyProtection="0"/>
    <xf numFmtId="41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2" fillId="0" borderId="0"/>
    <xf numFmtId="0" fontId="27" fillId="0" borderId="0"/>
    <xf numFmtId="166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165" fontId="14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4" fillId="0" borderId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3" fillId="0" borderId="0"/>
    <xf numFmtId="166" fontId="33" fillId="0" borderId="0" applyFont="0" applyFill="0" applyBorder="0" applyAlignment="0" applyProtection="0"/>
    <xf numFmtId="0" fontId="7" fillId="0" borderId="0"/>
    <xf numFmtId="170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3" fillId="0" borderId="0"/>
    <xf numFmtId="165" fontId="7" fillId="0" borderId="0" applyFont="0" applyFill="0" applyBorder="0" applyAlignment="0" applyProtection="0"/>
    <xf numFmtId="0" fontId="6" fillId="0" borderId="0"/>
    <xf numFmtId="170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0" fontId="27" fillId="0" borderId="0"/>
    <xf numFmtId="0" fontId="3" fillId="0" borderId="0"/>
    <xf numFmtId="164" fontId="27" fillId="0" borderId="0" applyFont="0" applyFill="0" applyBorder="0" applyAlignment="0" applyProtection="0"/>
    <xf numFmtId="0" fontId="2" fillId="0" borderId="0"/>
    <xf numFmtId="0" fontId="27" fillId="0" borderId="0"/>
    <xf numFmtId="165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68">
    <xf numFmtId="0" fontId="0" fillId="0" borderId="0" xfId="0"/>
    <xf numFmtId="0" fontId="15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6" fillId="0" borderId="0" xfId="2" applyNumberFormat="1" applyFont="1"/>
    <xf numFmtId="10" fontId="16" fillId="0" borderId="0" xfId="2" applyNumberFormat="1" applyFont="1"/>
    <xf numFmtId="0" fontId="0" fillId="0" borderId="1" xfId="0" applyBorder="1"/>
    <xf numFmtId="0" fontId="1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8" fillId="0" borderId="0" xfId="0" applyNumberFormat="1" applyFont="1" applyBorder="1"/>
    <xf numFmtId="41" fontId="16" fillId="0" borderId="0" xfId="0" applyNumberFormat="1" applyFont="1" applyBorder="1"/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22" fillId="0" borderId="0" xfId="0" applyFont="1"/>
    <xf numFmtId="0" fontId="22" fillId="0" borderId="0" xfId="0" applyFont="1" applyAlignment="1">
      <alignment vertical="center"/>
    </xf>
    <xf numFmtId="166" fontId="22" fillId="0" borderId="0" xfId="1" applyFont="1"/>
    <xf numFmtId="41" fontId="0" fillId="0" borderId="2" xfId="2" applyFont="1" applyBorder="1" applyAlignment="1">
      <alignment vertical="center"/>
    </xf>
    <xf numFmtId="41" fontId="15" fillId="0" borderId="0" xfId="0" applyNumberFormat="1" applyFont="1" applyAlignment="1">
      <alignment vertical="center"/>
    </xf>
    <xf numFmtId="0" fontId="23" fillId="0" borderId="0" xfId="0" applyFont="1"/>
    <xf numFmtId="0" fontId="24" fillId="0" borderId="0" xfId="0" applyFont="1"/>
    <xf numFmtId="9" fontId="23" fillId="0" borderId="0" xfId="3" applyFont="1" applyAlignment="1">
      <alignment vertical="center"/>
    </xf>
    <xf numFmtId="0" fontId="0" fillId="0" borderId="0" xfId="0" applyFill="1" applyBorder="1"/>
    <xf numFmtId="38" fontId="17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21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5" fillId="0" borderId="0" xfId="0" applyFont="1"/>
    <xf numFmtId="0" fontId="25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5" fillId="0" borderId="4" xfId="0" applyFont="1" applyBorder="1"/>
    <xf numFmtId="0" fontId="0" fillId="0" borderId="4" xfId="0" applyBorder="1"/>
    <xf numFmtId="167" fontId="15" fillId="0" borderId="4" xfId="0" applyNumberFormat="1" applyFont="1" applyBorder="1" applyAlignment="1">
      <alignment vertical="center"/>
    </xf>
    <xf numFmtId="0" fontId="0" fillId="0" borderId="0" xfId="0" applyBorder="1"/>
    <xf numFmtId="41" fontId="20" fillId="0" borderId="0" xfId="0" applyNumberFormat="1" applyFont="1" applyBorder="1"/>
    <xf numFmtId="41" fontId="19" fillId="0" borderId="0" xfId="0" applyNumberFormat="1" applyFont="1" applyBorder="1"/>
    <xf numFmtId="167" fontId="15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22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5" fillId="3" borderId="0" xfId="0" applyNumberFormat="1" applyFont="1" applyFill="1" applyBorder="1" applyAlignment="1">
      <alignment vertical="center"/>
    </xf>
    <xf numFmtId="0" fontId="15" fillId="3" borderId="0" xfId="0" applyFont="1" applyFill="1" applyBorder="1"/>
    <xf numFmtId="9" fontId="23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5" fillId="0" borderId="0" xfId="0" applyFont="1" applyBorder="1" applyAlignment="1">
      <alignment horizontal="center"/>
    </xf>
    <xf numFmtId="0" fontId="26" fillId="0" borderId="6" xfId="0" applyFont="1" applyBorder="1"/>
    <xf numFmtId="0" fontId="26" fillId="0" borderId="3" xfId="0" applyFont="1" applyBorder="1"/>
    <xf numFmtId="0" fontId="26" fillId="0" borderId="8" xfId="0" applyFont="1" applyBorder="1"/>
    <xf numFmtId="0" fontId="26" fillId="0" borderId="0" xfId="0" applyFont="1" applyBorder="1"/>
    <xf numFmtId="9" fontId="26" fillId="0" borderId="9" xfId="3" applyFont="1" applyBorder="1"/>
    <xf numFmtId="0" fontId="26" fillId="0" borderId="10" xfId="0" applyFont="1" applyBorder="1"/>
    <xf numFmtId="0" fontId="26" fillId="0" borderId="2" xfId="0" applyFont="1" applyBorder="1"/>
    <xf numFmtId="168" fontId="26" fillId="0" borderId="11" xfId="1" applyNumberFormat="1" applyFont="1" applyBorder="1"/>
    <xf numFmtId="0" fontId="15" fillId="0" borderId="12" xfId="0" applyFont="1" applyBorder="1"/>
    <xf numFmtId="41" fontId="15" fillId="0" borderId="12" xfId="0" applyNumberFormat="1" applyFont="1" applyBorder="1" applyAlignment="1">
      <alignment vertical="center"/>
    </xf>
    <xf numFmtId="167" fontId="14" fillId="0" borderId="0" xfId="17" applyNumberFormat="1" applyFont="1"/>
    <xf numFmtId="41" fontId="0" fillId="0" borderId="0" xfId="2" applyFont="1" applyAlignment="1">
      <alignment vertical="center"/>
    </xf>
    <xf numFmtId="167" fontId="0" fillId="4" borderId="0" xfId="0" applyNumberFormat="1" applyFill="1" applyAlignment="1">
      <alignment vertical="center"/>
    </xf>
    <xf numFmtId="0" fontId="17" fillId="0" borderId="0" xfId="0" applyFont="1"/>
    <xf numFmtId="41" fontId="26" fillId="0" borderId="0" xfId="0" applyNumberFormat="1" applyFont="1" applyBorder="1"/>
    <xf numFmtId="41" fontId="28" fillId="0" borderId="0" xfId="0" applyNumberFormat="1" applyFont="1" applyBorder="1"/>
    <xf numFmtId="0" fontId="26" fillId="0" borderId="0" xfId="0" applyFont="1"/>
    <xf numFmtId="41" fontId="0" fillId="0" borderId="0" xfId="0" applyNumberFormat="1" applyAlignment="1">
      <alignment horizontal="right" vertical="center"/>
    </xf>
    <xf numFmtId="168" fontId="21" fillId="0" borderId="0" xfId="1" applyNumberFormat="1" applyFont="1"/>
    <xf numFmtId="9" fontId="0" fillId="0" borderId="0" xfId="0" applyNumberFormat="1"/>
    <xf numFmtId="0" fontId="29" fillId="0" borderId="0" xfId="0" applyFont="1"/>
    <xf numFmtId="0" fontId="29" fillId="0" borderId="0" xfId="0" applyFont="1" applyAlignment="1">
      <alignment vertical="center"/>
    </xf>
    <xf numFmtId="41" fontId="29" fillId="0" borderId="0" xfId="0" applyNumberFormat="1" applyFont="1" applyAlignment="1">
      <alignment vertical="center"/>
    </xf>
    <xf numFmtId="41" fontId="29" fillId="0" borderId="0" xfId="0" applyNumberFormat="1" applyFont="1"/>
    <xf numFmtId="41" fontId="0" fillId="0" borderId="0" xfId="2" applyFont="1"/>
    <xf numFmtId="0" fontId="0" fillId="0" borderId="0" xfId="0" applyFont="1"/>
    <xf numFmtId="0" fontId="15" fillId="0" borderId="0" xfId="0" applyFont="1" applyBorder="1"/>
    <xf numFmtId="0" fontId="0" fillId="0" borderId="0" xfId="0" applyFont="1" applyBorder="1"/>
    <xf numFmtId="0" fontId="32" fillId="0" borderId="0" xfId="0" applyFont="1"/>
    <xf numFmtId="0" fontId="31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5" fillId="0" borderId="18" xfId="2" applyNumberFormat="1" applyFont="1" applyBorder="1"/>
    <xf numFmtId="169" fontId="15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5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5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31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Border="1"/>
    <xf numFmtId="0" fontId="15" fillId="0" borderId="23" xfId="0" applyFont="1" applyBorder="1" applyAlignment="1">
      <alignment horizontal="left"/>
    </xf>
    <xf numFmtId="0" fontId="0" fillId="0" borderId="23" xfId="0" applyFont="1" applyBorder="1"/>
    <xf numFmtId="0" fontId="15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6" fillId="0" borderId="9" xfId="0" applyNumberFormat="1" applyFont="1" applyBorder="1"/>
    <xf numFmtId="38" fontId="15" fillId="0" borderId="18" xfId="2" applyNumberFormat="1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0" fillId="9" borderId="0" xfId="0" applyFill="1"/>
    <xf numFmtId="41" fontId="36" fillId="0" borderId="0" xfId="0" applyNumberFormat="1" applyFont="1" applyBorder="1"/>
    <xf numFmtId="0" fontId="0" fillId="0" borderId="0" xfId="0" quotePrefix="1"/>
    <xf numFmtId="0" fontId="25" fillId="0" borderId="0" xfId="0" applyFont="1" applyAlignment="1">
      <alignment horizontal="center"/>
    </xf>
    <xf numFmtId="167" fontId="15" fillId="0" borderId="32" xfId="0" applyNumberFormat="1" applyFont="1" applyBorder="1" applyAlignment="1">
      <alignment vertical="center"/>
    </xf>
    <xf numFmtId="0" fontId="26" fillId="0" borderId="29" xfId="0" applyFont="1" applyFill="1" applyBorder="1" applyAlignment="1">
      <alignment horizontal="center"/>
    </xf>
    <xf numFmtId="41" fontId="26" fillId="0" borderId="30" xfId="0" applyNumberFormat="1" applyFont="1" applyFill="1" applyBorder="1" applyAlignment="1">
      <alignment vertical="center"/>
    </xf>
    <xf numFmtId="41" fontId="15" fillId="0" borderId="30" xfId="0" applyNumberFormat="1" applyFont="1" applyFill="1" applyBorder="1" applyAlignment="1">
      <alignment vertical="center"/>
    </xf>
    <xf numFmtId="41" fontId="15" fillId="0" borderId="23" xfId="0" applyNumberFormat="1" applyFont="1" applyFill="1" applyBorder="1" applyAlignment="1">
      <alignment vertical="center"/>
    </xf>
    <xf numFmtId="9" fontId="23" fillId="0" borderId="23" xfId="3" applyFont="1" applyFill="1" applyBorder="1" applyAlignment="1">
      <alignment vertical="center"/>
    </xf>
    <xf numFmtId="41" fontId="26" fillId="0" borderId="3" xfId="0" applyNumberFormat="1" applyFont="1" applyBorder="1"/>
    <xf numFmtId="0" fontId="26" fillId="0" borderId="34" xfId="0" applyFont="1" applyFill="1" applyBorder="1" applyAlignment="1">
      <alignment horizontal="center"/>
    </xf>
    <xf numFmtId="0" fontId="15" fillId="3" borderId="0" xfId="0" applyFont="1" applyFill="1"/>
    <xf numFmtId="0" fontId="15" fillId="0" borderId="23" xfId="0" applyFont="1" applyFill="1" applyBorder="1"/>
    <xf numFmtId="41" fontId="26" fillId="0" borderId="33" xfId="0" applyNumberFormat="1" applyFont="1" applyFill="1" applyBorder="1" applyAlignment="1">
      <alignment vertical="center"/>
    </xf>
    <xf numFmtId="41" fontId="26" fillId="0" borderId="31" xfId="0" applyNumberFormat="1" applyFont="1" applyFill="1" applyBorder="1" applyAlignment="1">
      <alignment vertical="center"/>
    </xf>
    <xf numFmtId="0" fontId="26" fillId="0" borderId="23" xfId="0" applyFont="1" applyFill="1" applyBorder="1"/>
    <xf numFmtId="41" fontId="26" fillId="0" borderId="23" xfId="0" applyNumberFormat="1" applyFont="1" applyFill="1" applyBorder="1" applyAlignment="1">
      <alignment vertical="center"/>
    </xf>
    <xf numFmtId="166" fontId="37" fillId="0" borderId="23" xfId="1" applyFont="1" applyFill="1" applyBorder="1"/>
    <xf numFmtId="38" fontId="15" fillId="0" borderId="23" xfId="0" applyNumberFormat="1" applyFont="1" applyFill="1" applyBorder="1" applyAlignment="1">
      <alignment vertical="center"/>
    </xf>
    <xf numFmtId="165" fontId="15" fillId="0" borderId="31" xfId="1" applyNumberFormat="1" applyFont="1" applyFill="1" applyBorder="1"/>
    <xf numFmtId="38" fontId="15" fillId="0" borderId="23" xfId="0" applyNumberFormat="1" applyFont="1" applyFill="1" applyBorder="1"/>
    <xf numFmtId="167" fontId="38" fillId="0" borderId="23" xfId="1" applyNumberFormat="1" applyFont="1" applyFill="1" applyBorder="1"/>
    <xf numFmtId="0" fontId="39" fillId="0" borderId="23" xfId="0" applyFont="1" applyFill="1" applyBorder="1"/>
    <xf numFmtId="0" fontId="15" fillId="0" borderId="23" xfId="0" applyFont="1" applyBorder="1"/>
    <xf numFmtId="0" fontId="15" fillId="0" borderId="29" xfId="0" applyFont="1" applyBorder="1"/>
    <xf numFmtId="0" fontId="15" fillId="0" borderId="0" xfId="0" applyFont="1" applyAlignment="1">
      <alignment vertical="center"/>
    </xf>
    <xf numFmtId="14" fontId="15" fillId="9" borderId="0" xfId="0" applyNumberFormat="1" applyFont="1" applyFill="1" applyBorder="1" applyAlignment="1"/>
    <xf numFmtId="0" fontId="0" fillId="0" borderId="0" xfId="0" quotePrefix="1" applyFont="1" applyBorder="1" applyAlignment="1">
      <alignment horizontal="left" indent="1"/>
    </xf>
    <xf numFmtId="0" fontId="15" fillId="0" borderId="0" xfId="0" applyFont="1" applyBorder="1" applyAlignment="1">
      <alignment horizontal="left"/>
    </xf>
    <xf numFmtId="0" fontId="15" fillId="0" borderId="12" xfId="0" applyFont="1" applyBorder="1" applyAlignment="1">
      <alignment horizontal="center"/>
    </xf>
    <xf numFmtId="0" fontId="30" fillId="9" borderId="0" xfId="0" applyFont="1" applyFill="1" applyBorder="1" applyAlignment="1">
      <alignment horizontal="right" vertical="top"/>
    </xf>
    <xf numFmtId="38" fontId="15" fillId="2" borderId="5" xfId="0" applyNumberFormat="1" applyFont="1" applyFill="1" applyBorder="1" applyAlignment="1">
      <alignment vertical="center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5" fillId="0" borderId="0" xfId="0" applyFont="1" applyBorder="1" applyAlignment="1">
      <alignment horizontal="left"/>
    </xf>
    <xf numFmtId="0" fontId="0" fillId="0" borderId="0" xfId="0" quotePrefix="1" applyFont="1" applyBorder="1" applyAlignment="1">
      <alignment horizontal="left" indent="1"/>
    </xf>
    <xf numFmtId="0" fontId="15" fillId="0" borderId="12" xfId="0" applyFont="1" applyBorder="1" applyAlignment="1">
      <alignment horizontal="center"/>
    </xf>
    <xf numFmtId="0" fontId="11" fillId="0" borderId="0" xfId="13"/>
    <xf numFmtId="0" fontId="11" fillId="0" borderId="0" xfId="13" applyAlignment="1">
      <alignment horizontal="right"/>
    </xf>
    <xf numFmtId="41" fontId="0" fillId="0" borderId="0" xfId="0" applyNumberFormat="1" applyAlignment="1">
      <alignment horizontal="right"/>
    </xf>
    <xf numFmtId="165" fontId="0" fillId="0" borderId="0" xfId="31" applyFont="1" applyAlignment="1">
      <alignment horizontal="right"/>
    </xf>
    <xf numFmtId="0" fontId="0" fillId="0" borderId="0" xfId="0" applyAlignment="1">
      <alignment horizontal="right"/>
    </xf>
    <xf numFmtId="41" fontId="4" fillId="0" borderId="0" xfId="2" applyFont="1" applyAlignment="1">
      <alignment horizontal="right"/>
    </xf>
    <xf numFmtId="41" fontId="4" fillId="0" borderId="0" xfId="34" applyFont="1"/>
    <xf numFmtId="0" fontId="40" fillId="0" borderId="0" xfId="0" applyFont="1"/>
    <xf numFmtId="0" fontId="0" fillId="0" borderId="25" xfId="0" applyBorder="1"/>
    <xf numFmtId="0" fontId="0" fillId="0" borderId="24" xfId="0" applyBorder="1" applyAlignment="1">
      <alignment horizontal="center" vertical="center"/>
    </xf>
    <xf numFmtId="0" fontId="0" fillId="0" borderId="0" xfId="0" quotePrefix="1" applyAlignment="1">
      <alignment horizontal="right"/>
    </xf>
    <xf numFmtId="165" fontId="0" fillId="0" borderId="0" xfId="31" applyFont="1"/>
    <xf numFmtId="0" fontId="0" fillId="0" borderId="35" xfId="0" applyBorder="1"/>
    <xf numFmtId="165" fontId="0" fillId="0" borderId="24" xfId="31" applyFont="1" applyBorder="1"/>
    <xf numFmtId="0" fontId="27" fillId="0" borderId="0" xfId="35"/>
    <xf numFmtId="0" fontId="41" fillId="0" borderId="0" xfId="35" applyFont="1" applyAlignment="1">
      <alignment horizontal="center"/>
    </xf>
    <xf numFmtId="0" fontId="3" fillId="0" borderId="0" xfId="36"/>
    <xf numFmtId="0" fontId="42" fillId="0" borderId="0" xfId="35" applyFont="1"/>
    <xf numFmtId="0" fontId="27" fillId="0" borderId="24" xfId="35" applyBorder="1" applyAlignment="1">
      <alignment horizontal="center" vertical="center"/>
    </xf>
    <xf numFmtId="0" fontId="27" fillId="0" borderId="24" xfId="35" applyBorder="1"/>
    <xf numFmtId="0" fontId="27" fillId="0" borderId="25" xfId="35" applyBorder="1"/>
    <xf numFmtId="0" fontId="42" fillId="0" borderId="24" xfId="35" applyFont="1" applyBorder="1"/>
    <xf numFmtId="164" fontId="0" fillId="0" borderId="25" xfId="37" applyFont="1" applyBorder="1"/>
    <xf numFmtId="164" fontId="0" fillId="0" borderId="24" xfId="37" applyFont="1" applyBorder="1"/>
    <xf numFmtId="0" fontId="27" fillId="0" borderId="26" xfId="35" applyBorder="1" applyAlignment="1">
      <alignment horizontal="center" vertical="center"/>
    </xf>
    <xf numFmtId="0" fontId="27" fillId="0" borderId="7" xfId="35" applyBorder="1"/>
    <xf numFmtId="9" fontId="0" fillId="0" borderId="0" xfId="3" applyFont="1" applyAlignment="1">
      <alignment vertical="center"/>
    </xf>
    <xf numFmtId="9" fontId="39" fillId="5" borderId="7" xfId="0" applyNumberFormat="1" applyFont="1" applyFill="1" applyBorder="1"/>
    <xf numFmtId="9" fontId="39" fillId="0" borderId="19" xfId="2" applyNumberFormat="1" applyFont="1" applyBorder="1"/>
    <xf numFmtId="0" fontId="14" fillId="0" borderId="0" xfId="17"/>
    <xf numFmtId="0" fontId="45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 applyFont="1" applyFill="1" applyBorder="1"/>
    <xf numFmtId="0" fontId="2" fillId="0" borderId="0" xfId="38"/>
    <xf numFmtId="0" fontId="27" fillId="0" borderId="24" xfId="35" applyBorder="1" applyAlignment="1">
      <alignment horizontal="center"/>
    </xf>
    <xf numFmtId="0" fontId="27" fillId="0" borderId="0" xfId="35" applyAlignment="1">
      <alignment horizontal="center"/>
    </xf>
    <xf numFmtId="171" fontId="27" fillId="0" borderId="24" xfId="35" applyNumberFormat="1" applyBorder="1" applyAlignment="1">
      <alignment horizontal="center"/>
    </xf>
    <xf numFmtId="171" fontId="27" fillId="0" borderId="0" xfId="35" applyNumberFormat="1"/>
    <xf numFmtId="0" fontId="40" fillId="0" borderId="0" xfId="39" applyFont="1" applyAlignment="1">
      <alignment horizontal="center"/>
    </xf>
    <xf numFmtId="171" fontId="27" fillId="0" borderId="0" xfId="35" applyNumberFormat="1" applyAlignment="1">
      <alignment horizontal="center"/>
    </xf>
    <xf numFmtId="165" fontId="27" fillId="0" borderId="0" xfId="40" applyFont="1" applyBorder="1"/>
    <xf numFmtId="172" fontId="27" fillId="0" borderId="0" xfId="41" applyNumberFormat="1" applyFont="1"/>
    <xf numFmtId="165" fontId="27" fillId="0" borderId="0" xfId="35" applyNumberFormat="1"/>
    <xf numFmtId="173" fontId="27" fillId="0" borderId="0" xfId="42" applyNumberFormat="1" applyFont="1"/>
    <xf numFmtId="41" fontId="27" fillId="0" borderId="2" xfId="41" applyFont="1" applyBorder="1"/>
    <xf numFmtId="38" fontId="29" fillId="0" borderId="0" xfId="2" applyNumberFormat="1" applyFont="1" applyFill="1"/>
    <xf numFmtId="38" fontId="39" fillId="0" borderId="23" xfId="0" applyNumberFormat="1" applyFont="1" applyFill="1" applyBorder="1" applyAlignment="1">
      <alignment vertical="center"/>
    </xf>
    <xf numFmtId="0" fontId="0" fillId="0" borderId="19" xfId="0" applyFont="1" applyFill="1" applyBorder="1"/>
    <xf numFmtId="0" fontId="0" fillId="0" borderId="18" xfId="0" applyFont="1" applyFill="1" applyBorder="1" applyAlignment="1">
      <alignment horizontal="left" vertical="justify" wrapText="1"/>
    </xf>
    <xf numFmtId="0" fontId="0" fillId="0" borderId="18" xfId="0" applyFont="1" applyFill="1" applyBorder="1"/>
    <xf numFmtId="41" fontId="26" fillId="0" borderId="0" xfId="0" applyNumberFormat="1" applyFont="1" applyFill="1"/>
    <xf numFmtId="41" fontId="40" fillId="0" borderId="24" xfId="34" applyFont="1" applyBorder="1"/>
    <xf numFmtId="0" fontId="44" fillId="10" borderId="26" xfId="35" applyFont="1" applyFill="1" applyBorder="1" applyAlignment="1">
      <alignment horizontal="center" vertical="center"/>
    </xf>
    <xf numFmtId="0" fontId="44" fillId="10" borderId="28" xfId="35" applyFont="1" applyFill="1" applyBorder="1" applyAlignment="1">
      <alignment horizontal="center" vertical="center"/>
    </xf>
    <xf numFmtId="0" fontId="27" fillId="0" borderId="26" xfId="35" applyBorder="1" applyAlignment="1">
      <alignment horizontal="center" vertical="center"/>
    </xf>
    <xf numFmtId="41" fontId="15" fillId="0" borderId="23" xfId="0" applyNumberFormat="1" applyFont="1" applyFill="1" applyBorder="1"/>
    <xf numFmtId="41" fontId="17" fillId="0" borderId="0" xfId="2" applyFont="1" applyAlignment="1">
      <alignment vertical="center"/>
    </xf>
    <xf numFmtId="41" fontId="17" fillId="0" borderId="0" xfId="2" applyFont="1"/>
    <xf numFmtId="0" fontId="1" fillId="0" borderId="0" xfId="36" applyFont="1"/>
    <xf numFmtId="0" fontId="27" fillId="0" borderId="35" xfId="35" applyBorder="1"/>
    <xf numFmtId="0" fontId="27" fillId="0" borderId="0" xfId="35" applyBorder="1"/>
    <xf numFmtId="0" fontId="27" fillId="0" borderId="3" xfId="35" applyBorder="1"/>
    <xf numFmtId="0" fontId="15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5" fillId="0" borderId="16" xfId="0" applyFont="1" applyFill="1" applyBorder="1" applyAlignment="1" applyProtection="1">
      <alignment horizontal="left" indent="1"/>
    </xf>
    <xf numFmtId="0" fontId="15" fillId="0" borderId="17" xfId="0" applyFont="1" applyFill="1" applyBorder="1" applyAlignment="1" applyProtection="1">
      <alignment horizontal="left" indent="1"/>
    </xf>
    <xf numFmtId="0" fontId="15" fillId="0" borderId="20" xfId="0" applyFont="1" applyFill="1" applyBorder="1" applyAlignment="1" applyProtection="1">
      <alignment horizontal="left" indent="1"/>
    </xf>
    <xf numFmtId="0" fontId="15" fillId="0" borderId="0" xfId="0" applyFont="1" applyFill="1" applyBorder="1" applyAlignment="1" applyProtection="1">
      <alignment horizontal="left" indent="1"/>
    </xf>
    <xf numFmtId="0" fontId="15" fillId="0" borderId="0" xfId="0" applyFont="1" applyBorder="1" applyAlignment="1">
      <alignment horizontal="left"/>
    </xf>
    <xf numFmtId="0" fontId="15" fillId="0" borderId="17" xfId="0" applyFont="1" applyBorder="1" applyAlignment="1">
      <alignment horizontal="center"/>
    </xf>
    <xf numFmtId="0" fontId="15" fillId="0" borderId="21" xfId="0" applyFont="1" applyFill="1" applyBorder="1" applyAlignment="1" applyProtection="1">
      <alignment horizontal="left" indent="1"/>
    </xf>
    <xf numFmtId="0" fontId="15" fillId="0" borderId="1" xfId="0" applyFont="1" applyFill="1" applyBorder="1" applyAlignment="1" applyProtection="1">
      <alignment horizontal="left" indent="1"/>
    </xf>
    <xf numFmtId="167" fontId="0" fillId="0" borderId="0" xfId="19" applyNumberFormat="1" applyFont="1" applyFill="1" applyBorder="1" applyAlignment="1" applyProtection="1">
      <alignment horizontal="center" wrapText="1"/>
      <protection locked="0"/>
    </xf>
    <xf numFmtId="167" fontId="0" fillId="0" borderId="18" xfId="19" applyNumberFormat="1" applyFont="1" applyFill="1" applyBorder="1" applyAlignment="1" applyProtection="1">
      <alignment horizontal="center" wrapText="1"/>
      <protection locked="0"/>
    </xf>
    <xf numFmtId="0" fontId="31" fillId="0" borderId="13" xfId="0" applyFont="1" applyBorder="1" applyAlignment="1">
      <alignment horizontal="center"/>
    </xf>
    <xf numFmtId="0" fontId="31" fillId="0" borderId="14" xfId="0" applyFont="1" applyBorder="1" applyAlignment="1">
      <alignment horizontal="center"/>
    </xf>
    <xf numFmtId="0" fontId="31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5" fillId="0" borderId="17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41" fontId="15" fillId="0" borderId="12" xfId="0" applyNumberFormat="1" applyFont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7" fillId="0" borderId="25" xfId="35" applyBorder="1" applyAlignment="1">
      <alignment horizontal="center" wrapText="1"/>
    </xf>
    <xf numFmtId="0" fontId="27" fillId="0" borderId="35" xfId="35" applyBorder="1" applyAlignment="1">
      <alignment horizontal="center" wrapText="1"/>
    </xf>
    <xf numFmtId="0" fontId="43" fillId="10" borderId="24" xfId="35" applyFont="1" applyFill="1" applyBorder="1" applyAlignment="1">
      <alignment horizontal="center" vertical="center"/>
    </xf>
    <xf numFmtId="0" fontId="44" fillId="10" borderId="26" xfId="35" applyFont="1" applyFill="1" applyBorder="1" applyAlignment="1">
      <alignment horizontal="center" vertical="center"/>
    </xf>
    <xf numFmtId="0" fontId="44" fillId="10" borderId="28" xfId="35" applyFont="1" applyFill="1" applyBorder="1" applyAlignment="1">
      <alignment horizontal="center" vertical="center"/>
    </xf>
    <xf numFmtId="0" fontId="27" fillId="0" borderId="26" xfId="35" applyBorder="1" applyAlignment="1">
      <alignment horizontal="center" vertical="center"/>
    </xf>
    <xf numFmtId="0" fontId="27" fillId="0" borderId="28" xfId="35" applyBorder="1" applyAlignment="1">
      <alignment horizontal="center" vertical="center"/>
    </xf>
    <xf numFmtId="0" fontId="27" fillId="0" borderId="24" xfId="35" applyBorder="1" applyAlignment="1">
      <alignment horizontal="center"/>
    </xf>
  </cellXfs>
  <cellStyles count="44">
    <cellStyle name="Comma" xfId="1" builtinId="3"/>
    <cellStyle name="Comma [0]" xfId="2" builtinId="6"/>
    <cellStyle name="Comma [0] 2" xfId="9" xr:uid="{00000000-0005-0000-0000-000002000000}"/>
    <cellStyle name="Comma [0] 3" xfId="27" xr:uid="{00000000-0005-0000-0000-000003000000}"/>
    <cellStyle name="Comma [0] 3 2" xfId="41" xr:uid="{196225D8-0CEA-468A-B789-05FD935F1AAE}"/>
    <cellStyle name="Comma [0] 3 3" xfId="42" xr:uid="{24E55ED1-6ECF-43BE-B81C-AA2976614944}"/>
    <cellStyle name="Comma [0] 4" xfId="31" xr:uid="{00000000-0005-0000-0000-000004000000}"/>
    <cellStyle name="Comma [0] 5" xfId="34" xr:uid="{00000000-0005-0000-0000-00004C000000}"/>
    <cellStyle name="Comma [0] 6" xfId="40" xr:uid="{B67F9052-DBE9-4401-BCB0-27B04B6595F3}"/>
    <cellStyle name="Comma 2" xfId="7" xr:uid="{00000000-0005-0000-0000-000005000000}"/>
    <cellStyle name="Comma 2 3" xfId="22" xr:uid="{00000000-0005-0000-0000-000006000000}"/>
    <cellStyle name="Comma 3" xfId="10" xr:uid="{00000000-0005-0000-0000-000007000000}"/>
    <cellStyle name="Comma 3 2" xfId="11" xr:uid="{00000000-0005-0000-0000-000008000000}"/>
    <cellStyle name="Comma 4" xfId="12" xr:uid="{00000000-0005-0000-0000-000009000000}"/>
    <cellStyle name="Comma 5" xfId="18" xr:uid="{00000000-0005-0000-0000-00000A000000}"/>
    <cellStyle name="Comma 5 2" xfId="19" xr:uid="{00000000-0005-0000-0000-00000B000000}"/>
    <cellStyle name="Comma 6" xfId="20" xr:uid="{00000000-0005-0000-0000-00000C000000}"/>
    <cellStyle name="Comma 7" xfId="32" xr:uid="{00000000-0005-0000-0000-00000D000000}"/>
    <cellStyle name="Currency [0] 2" xfId="25" xr:uid="{00000000-0005-0000-0000-00000E000000}"/>
    <cellStyle name="Currency [0] 2 2" xfId="37" xr:uid="{BA51C772-C60A-4037-A2B5-277B8197E896}"/>
    <cellStyle name="Currency [0] 3" xfId="30" xr:uid="{00000000-0005-0000-0000-00000F000000}"/>
    <cellStyle name="Currency 2" xfId="24" xr:uid="{00000000-0005-0000-0000-000010000000}"/>
    <cellStyle name="Currency 3" xfId="29" xr:uid="{00000000-0005-0000-0000-000011000000}"/>
    <cellStyle name="Normal" xfId="0" builtinId="0"/>
    <cellStyle name="Normal 2" xfId="5" xr:uid="{00000000-0005-0000-0000-000013000000}"/>
    <cellStyle name="Normal 2 2" xfId="6" xr:uid="{00000000-0005-0000-0000-000014000000}"/>
    <cellStyle name="Normal 2 2 2 2 3" xfId="17" xr:uid="{00000000-0005-0000-0000-000015000000}"/>
    <cellStyle name="Normal 2 7" xfId="21" xr:uid="{00000000-0005-0000-0000-000016000000}"/>
    <cellStyle name="Normal 3" xfId="13" xr:uid="{00000000-0005-0000-0000-000017000000}"/>
    <cellStyle name="Normal 3 2" xfId="14" xr:uid="{00000000-0005-0000-0000-000018000000}"/>
    <cellStyle name="Normal 3 3" xfId="26" xr:uid="{00000000-0005-0000-0000-000019000000}"/>
    <cellStyle name="Normal 4" xfId="23" xr:uid="{00000000-0005-0000-0000-00001A000000}"/>
    <cellStyle name="Normal 5" xfId="28" xr:uid="{00000000-0005-0000-0000-00001B000000}"/>
    <cellStyle name="Normal 6" xfId="33" xr:uid="{00000000-0005-0000-0000-00004D000000}"/>
    <cellStyle name="Normal 7" xfId="35" xr:uid="{3E399743-90A6-4EC7-85FB-A11415624228}"/>
    <cellStyle name="Normal 7 3" xfId="39" xr:uid="{2DF1862C-3206-4D29-A2C4-F9AF1DDFF5A2}"/>
    <cellStyle name="Normal 8" xfId="36" xr:uid="{93DAC2DA-B8F3-4C45-A65D-43A5C10729F9}"/>
    <cellStyle name="Normal 9" xfId="38" xr:uid="{2455F285-E815-4E8D-830B-6EB39497E235}"/>
    <cellStyle name="Percent" xfId="3" builtinId="5"/>
    <cellStyle name="Percent 2" xfId="8" xr:uid="{00000000-0005-0000-0000-00001D000000}"/>
    <cellStyle name="Percent 2 2" xfId="4" xr:uid="{00000000-0005-0000-0000-00001E000000}"/>
    <cellStyle name="Percent 3" xfId="15" xr:uid="{00000000-0005-0000-0000-00001F000000}"/>
    <cellStyle name="Percent 3 2" xfId="16" xr:uid="{00000000-0005-0000-0000-000020000000}"/>
    <cellStyle name="Percent 4" xfId="43" xr:uid="{421A9140-0426-42ED-BE09-1323D055C8E1}"/>
  </cellStyles>
  <dxfs count="55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27</xdr:row>
      <xdr:rowOff>20069</xdr:rowOff>
    </xdr:from>
    <xdr:to>
      <xdr:col>12</xdr:col>
      <xdr:colOff>1208314</xdr:colOff>
      <xdr:row>27</xdr:row>
      <xdr:rowOff>185057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F1A87ACD-72D4-44AB-83CD-DBA05FA313A6}"/>
            </a:ext>
          </a:extLst>
        </xdr:cNvPr>
        <xdr:cNvGrpSpPr/>
      </xdr:nvGrpSpPr>
      <xdr:grpSpPr>
        <a:xfrm>
          <a:off x="622078" y="5345157"/>
          <a:ext cx="8757683" cy="164988"/>
          <a:chOff x="570986" y="5042917"/>
          <a:chExt cx="14774690" cy="343744"/>
        </a:xfrm>
      </xdr:grpSpPr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CB6196-0650-4CD5-9428-B44F6C58D1A1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EFD91DE-8A03-4159-9DAE-6176F6C62990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BD897F5A-A50E-4058-8895-B03CC640D56E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84426472-AE60-45E8-B57B-EE367D1DF6E5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0C85AD9D-2C43-415A-9C71-18CB5CD3E100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C2F8C3A0-6B73-4B9C-A5BF-1ECA548956B4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33</xdr:row>
      <xdr:rowOff>104251</xdr:rowOff>
    </xdr:from>
    <xdr:to>
      <xdr:col>13</xdr:col>
      <xdr:colOff>156845</xdr:colOff>
      <xdr:row>34</xdr:row>
      <xdr:rowOff>79374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171275C4-FFC0-4835-8C9E-25C962482327}"/>
            </a:ext>
          </a:extLst>
        </xdr:cNvPr>
        <xdr:cNvGrpSpPr/>
      </xdr:nvGrpSpPr>
      <xdr:grpSpPr>
        <a:xfrm>
          <a:off x="633824" y="6599076"/>
          <a:ext cx="8953328" cy="170079"/>
          <a:chOff x="722947" y="7327377"/>
          <a:chExt cx="10285884" cy="0"/>
        </a:xfrm>
      </xdr:grpSpPr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FDD61552-BB96-45A1-81E9-560F32EC1A98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9794F9C4-D5DB-4D03-B162-288C055F8F52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0052FCBA-E126-40D7-80FF-84C9CBFFB5CF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7" name="Straight Connector 16">
            <a:extLst>
              <a:ext uri="{FF2B5EF4-FFF2-40B4-BE49-F238E27FC236}">
                <a16:creationId xmlns:a16="http://schemas.microsoft.com/office/drawing/2014/main" id="{AB89CFE5-14FC-4D41-9CA4-525B5A397FF2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" name="Straight Connector 17">
            <a:extLst>
              <a:ext uri="{FF2B5EF4-FFF2-40B4-BE49-F238E27FC236}">
                <a16:creationId xmlns:a16="http://schemas.microsoft.com/office/drawing/2014/main" id="{13CFF796-907C-4D66-8930-432705471D0E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9" name="Straight Connector 18">
            <a:extLst>
              <a:ext uri="{FF2B5EF4-FFF2-40B4-BE49-F238E27FC236}">
                <a16:creationId xmlns:a16="http://schemas.microsoft.com/office/drawing/2014/main" id="{6209045D-B646-485D-9699-BDA99EED512B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B1:S34"/>
  <sheetViews>
    <sheetView showGridLines="0" tabSelected="1" topLeftCell="A14" zoomScale="114" zoomScaleNormal="114" workbookViewId="0">
      <selection activeCell="M9" sqref="M9"/>
    </sheetView>
  </sheetViews>
  <sheetFormatPr defaultColWidth="8.6640625" defaultRowHeight="15.5" x14ac:dyDescent="0.35"/>
  <cols>
    <col min="1" max="1" width="4.1640625" style="82" customWidth="1"/>
    <col min="2" max="2" width="3" style="82" customWidth="1"/>
    <col min="3" max="3" width="12.58203125" style="82" customWidth="1"/>
    <col min="4" max="4" width="20.1640625" style="82" customWidth="1"/>
    <col min="5" max="5" width="4.1640625" style="82" customWidth="1"/>
    <col min="6" max="6" width="4.83203125" style="82" customWidth="1"/>
    <col min="7" max="7" width="17" style="82" bestFit="1" customWidth="1"/>
    <col min="8" max="8" width="12.1640625" style="82" customWidth="1"/>
    <col min="9" max="9" width="3.58203125" style="82" customWidth="1"/>
    <col min="10" max="10" width="2.08203125" style="82" customWidth="1"/>
    <col min="11" max="11" width="5.08203125" style="82" customWidth="1"/>
    <col min="12" max="12" width="18.33203125" style="82" bestFit="1" customWidth="1"/>
    <col min="13" max="13" width="16.5" style="82" customWidth="1"/>
    <col min="14" max="14" width="2.08203125" style="82" customWidth="1"/>
    <col min="15" max="15" width="3.6640625" style="82" customWidth="1"/>
    <col min="16" max="16384" width="8.6640625" style="82"/>
  </cols>
  <sheetData>
    <row r="1" spans="2:19" x14ac:dyDescent="0.35">
      <c r="B1" s="84"/>
      <c r="C1" s="84" t="s">
        <v>165</v>
      </c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2:19" ht="21" x14ac:dyDescent="0.5">
      <c r="B2" s="84"/>
      <c r="C2" s="86" t="s">
        <v>73</v>
      </c>
      <c r="D2" s="83" t="s">
        <v>81</v>
      </c>
      <c r="E2" s="84"/>
      <c r="F2" s="84"/>
      <c r="G2" s="84"/>
      <c r="H2" s="84"/>
      <c r="M2" s="199" t="str">
        <f>IRR!Q1</f>
        <v>Gudang Garam Office</v>
      </c>
      <c r="N2" s="84"/>
    </row>
    <row r="3" spans="2:19" ht="19" thickBot="1" x14ac:dyDescent="0.5">
      <c r="B3" s="84"/>
      <c r="C3" s="86" t="s">
        <v>74</v>
      </c>
      <c r="D3" s="83" t="s">
        <v>132</v>
      </c>
      <c r="E3" s="84"/>
      <c r="F3" s="84"/>
      <c r="G3" s="84"/>
      <c r="H3" s="84"/>
      <c r="J3" s="103" t="s">
        <v>77</v>
      </c>
      <c r="K3" s="103"/>
      <c r="L3" s="103"/>
      <c r="M3" s="158">
        <v>45318</v>
      </c>
      <c r="N3" s="84"/>
    </row>
    <row r="4" spans="2:19" ht="16" hidden="1" thickBot="1" x14ac:dyDescent="0.4">
      <c r="B4" s="84"/>
      <c r="C4" s="83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</row>
    <row r="5" spans="2:19" s="85" customFormat="1" ht="19" thickBot="1" x14ac:dyDescent="0.5">
      <c r="B5" s="246" t="s">
        <v>58</v>
      </c>
      <c r="C5" s="247"/>
      <c r="D5" s="248"/>
      <c r="E5" s="246" t="s">
        <v>64</v>
      </c>
      <c r="F5" s="247"/>
      <c r="G5" s="247"/>
      <c r="H5" s="247"/>
      <c r="I5" s="247"/>
      <c r="J5" s="246" t="s">
        <v>59</v>
      </c>
      <c r="K5" s="247"/>
      <c r="L5" s="247"/>
      <c r="M5" s="247"/>
      <c r="N5" s="248"/>
    </row>
    <row r="6" spans="2:19" x14ac:dyDescent="0.35">
      <c r="B6" s="249" t="s">
        <v>56</v>
      </c>
      <c r="C6" s="250"/>
      <c r="D6" s="216" t="str">
        <f>IRR!Q1</f>
        <v>Gudang Garam Office</v>
      </c>
      <c r="E6" s="251" t="s">
        <v>66</v>
      </c>
      <c r="F6" s="251"/>
      <c r="G6" s="251"/>
      <c r="H6" s="251"/>
      <c r="I6" s="251"/>
      <c r="J6" s="98"/>
      <c r="K6" s="250" t="s">
        <v>162</v>
      </c>
      <c r="L6" s="250"/>
      <c r="M6" s="104">
        <v>1089664100</v>
      </c>
      <c r="N6" s="105"/>
      <c r="O6" s="80" t="e">
        <f>M6-IRR!#REF!</f>
        <v>#REF!</v>
      </c>
    </row>
    <row r="7" spans="2:19" ht="45.5" customHeight="1" x14ac:dyDescent="0.35">
      <c r="B7" s="252" t="s">
        <v>57</v>
      </c>
      <c r="C7" s="253"/>
      <c r="D7" s="217" t="s">
        <v>189</v>
      </c>
      <c r="E7" s="234" t="s">
        <v>53</v>
      </c>
      <c r="F7" s="234"/>
      <c r="G7" s="234"/>
      <c r="H7" s="82">
        <v>203</v>
      </c>
      <c r="I7" s="84"/>
      <c r="J7" s="89"/>
      <c r="K7" s="234" t="s">
        <v>62</v>
      </c>
      <c r="L7" s="234"/>
      <c r="M7" s="81">
        <f>M6/H8</f>
        <v>5367803.4482758623</v>
      </c>
      <c r="N7" s="87"/>
    </row>
    <row r="8" spans="2:19" x14ac:dyDescent="0.35">
      <c r="B8" s="252" t="s">
        <v>68</v>
      </c>
      <c r="C8" s="253"/>
      <c r="D8" s="218" t="s">
        <v>186</v>
      </c>
      <c r="E8" s="234" t="s">
        <v>54</v>
      </c>
      <c r="F8" s="234"/>
      <c r="G8" s="234"/>
      <c r="H8" s="82">
        <v>203</v>
      </c>
      <c r="I8" s="84"/>
      <c r="J8" s="89"/>
      <c r="K8" s="234" t="s">
        <v>61</v>
      </c>
      <c r="L8" s="234"/>
      <c r="M8" s="106">
        <v>5</v>
      </c>
      <c r="N8" s="87"/>
    </row>
    <row r="9" spans="2:19" ht="15.75" customHeight="1" x14ac:dyDescent="0.35">
      <c r="B9" s="233" t="s">
        <v>69</v>
      </c>
      <c r="C9" s="234"/>
      <c r="D9" s="218" t="s">
        <v>187</v>
      </c>
      <c r="E9" s="234" t="s">
        <v>55</v>
      </c>
      <c r="F9" s="234"/>
      <c r="G9" s="234"/>
      <c r="H9" s="244" t="s">
        <v>190</v>
      </c>
      <c r="I9" s="245"/>
      <c r="J9" s="89"/>
      <c r="K9" s="164" t="s">
        <v>75</v>
      </c>
      <c r="L9" s="164"/>
      <c r="M9" s="107">
        <f>IRR!$F$4</f>
        <v>0.1</v>
      </c>
      <c r="N9" s="87"/>
    </row>
    <row r="10" spans="2:19" x14ac:dyDescent="0.35">
      <c r="B10" s="100" t="s">
        <v>52</v>
      </c>
      <c r="C10" s="101"/>
      <c r="D10" s="218" t="s">
        <v>131</v>
      </c>
      <c r="H10" s="244"/>
      <c r="I10" s="245"/>
      <c r="J10" s="95"/>
      <c r="K10" s="165" t="s">
        <v>60</v>
      </c>
      <c r="L10" s="165"/>
      <c r="M10" s="104">
        <f>IRR!$Q$23</f>
        <v>1128600000</v>
      </c>
      <c r="N10" s="87"/>
    </row>
    <row r="11" spans="2:19" x14ac:dyDescent="0.35">
      <c r="B11" s="96" t="s">
        <v>70</v>
      </c>
      <c r="C11" s="102"/>
      <c r="D11" s="88"/>
      <c r="E11" s="160" t="s">
        <v>65</v>
      </c>
      <c r="F11" s="160"/>
      <c r="G11" s="160"/>
      <c r="H11" s="160"/>
      <c r="I11" s="160"/>
      <c r="J11" s="89"/>
      <c r="K11" s="165" t="s">
        <v>161</v>
      </c>
      <c r="L11" s="165"/>
      <c r="M11" s="104">
        <f>IRR!G11</f>
        <v>81740579</v>
      </c>
      <c r="N11" s="87"/>
      <c r="O11" s="240"/>
      <c r="P11" s="240"/>
      <c r="Q11" s="240"/>
      <c r="R11" s="240"/>
      <c r="S11" s="240"/>
    </row>
    <row r="12" spans="2:19" x14ac:dyDescent="0.35">
      <c r="B12" s="96" t="s">
        <v>177</v>
      </c>
      <c r="C12" s="102"/>
      <c r="D12" s="88"/>
      <c r="E12" s="159" t="s">
        <v>63</v>
      </c>
      <c r="F12" s="159"/>
      <c r="G12" s="159"/>
      <c r="H12" s="108">
        <v>0</v>
      </c>
      <c r="I12" s="84"/>
      <c r="J12" s="89"/>
      <c r="K12" s="165" t="s">
        <v>88</v>
      </c>
      <c r="L12" s="165"/>
      <c r="M12" s="81">
        <f>IRR!G10</f>
        <v>0</v>
      </c>
      <c r="N12" s="87"/>
      <c r="O12" s="235"/>
      <c r="P12" s="235"/>
      <c r="Q12" s="235"/>
      <c r="R12" s="108"/>
      <c r="S12" s="84"/>
    </row>
    <row r="13" spans="2:19" x14ac:dyDescent="0.35">
      <c r="B13" s="96"/>
      <c r="C13" s="115"/>
      <c r="D13" s="88"/>
      <c r="E13" s="159" t="s">
        <v>72</v>
      </c>
      <c r="F13" s="159"/>
      <c r="G13" s="159"/>
      <c r="H13" s="108">
        <v>0</v>
      </c>
      <c r="I13" s="84"/>
      <c r="J13" s="89"/>
      <c r="K13" s="165" t="s">
        <v>86</v>
      </c>
      <c r="L13" s="165"/>
      <c r="M13" s="81">
        <f>IRR!$Q$26</f>
        <v>275000000</v>
      </c>
      <c r="N13" s="87"/>
      <c r="O13" s="235"/>
      <c r="P13" s="235"/>
      <c r="Q13" s="235"/>
      <c r="R13" s="108"/>
      <c r="S13" s="84"/>
    </row>
    <row r="14" spans="2:19" x14ac:dyDescent="0.35">
      <c r="B14" s="89"/>
      <c r="C14" s="84"/>
      <c r="D14" s="87"/>
      <c r="E14" s="159" t="s">
        <v>71</v>
      </c>
      <c r="F14" s="159"/>
      <c r="G14" s="159"/>
      <c r="H14" s="108">
        <v>0</v>
      </c>
      <c r="I14" s="84"/>
      <c r="J14" s="89"/>
      <c r="K14" s="165" t="s">
        <v>87</v>
      </c>
      <c r="L14" s="165"/>
      <c r="M14" s="104">
        <f>IRR!$Q$27+IRR!$Q$28+IRR!$Q$29</f>
        <v>216430000</v>
      </c>
      <c r="N14" s="87"/>
      <c r="O14" s="114"/>
      <c r="P14" s="114"/>
      <c r="Q14" s="114"/>
      <c r="R14" s="108"/>
      <c r="S14" s="84"/>
    </row>
    <row r="15" spans="2:19" ht="4.25" customHeight="1" thickBot="1" x14ac:dyDescent="0.4">
      <c r="B15" s="89"/>
      <c r="C15" s="84"/>
      <c r="D15" s="87"/>
      <c r="J15" s="89"/>
      <c r="N15" s="87"/>
      <c r="O15" s="167"/>
      <c r="P15" s="167"/>
      <c r="Q15" s="167"/>
      <c r="R15" s="108"/>
      <c r="S15" s="84"/>
    </row>
    <row r="16" spans="2:19" x14ac:dyDescent="0.35">
      <c r="B16" s="89"/>
      <c r="C16" s="84"/>
      <c r="D16" s="87"/>
      <c r="E16" s="240" t="s">
        <v>67</v>
      </c>
      <c r="F16" s="240"/>
      <c r="G16" s="240"/>
      <c r="H16" s="240"/>
      <c r="I16" s="240"/>
      <c r="J16" s="109"/>
      <c r="K16" s="236" t="s">
        <v>163</v>
      </c>
      <c r="L16" s="237"/>
      <c r="M16" s="197">
        <f>IRR!$F$46</f>
        <v>0.89572891363236695</v>
      </c>
      <c r="N16" s="87"/>
      <c r="O16" s="235"/>
      <c r="P16" s="235"/>
      <c r="Q16" s="235"/>
      <c r="R16" s="108"/>
      <c r="S16" s="84"/>
    </row>
    <row r="17" spans="2:19" x14ac:dyDescent="0.35">
      <c r="B17" s="89"/>
      <c r="C17" s="84"/>
      <c r="D17" s="87"/>
      <c r="E17" s="167"/>
      <c r="F17" s="167"/>
      <c r="G17" s="167"/>
      <c r="H17" s="108"/>
      <c r="I17" s="84"/>
      <c r="J17" s="110"/>
      <c r="K17" s="238" t="s">
        <v>164</v>
      </c>
      <c r="L17" s="239"/>
      <c r="M17" s="117">
        <f>IRR!F47</f>
        <v>379987750.74982375</v>
      </c>
      <c r="N17" s="87"/>
      <c r="O17" s="166"/>
      <c r="P17" s="166"/>
      <c r="Q17" s="166"/>
      <c r="R17" s="166"/>
      <c r="S17" s="166"/>
    </row>
    <row r="18" spans="2:19" x14ac:dyDescent="0.35">
      <c r="B18" s="89"/>
      <c r="C18" s="84"/>
      <c r="D18" s="87"/>
      <c r="J18" s="110"/>
      <c r="K18" s="238" t="s">
        <v>26</v>
      </c>
      <c r="L18" s="239"/>
      <c r="M18" s="90">
        <f>IRR!$F$48</f>
        <v>0.56456671982987772</v>
      </c>
      <c r="N18" s="87"/>
      <c r="R18" s="82" t="s">
        <v>48</v>
      </c>
    </row>
    <row r="19" spans="2:19" ht="16" thickBot="1" x14ac:dyDescent="0.4">
      <c r="B19" s="89"/>
      <c r="C19" s="84"/>
      <c r="D19" s="87"/>
      <c r="J19" s="110"/>
      <c r="K19" s="242" t="s">
        <v>76</v>
      </c>
      <c r="L19" s="243"/>
      <c r="M19" s="91">
        <f>IRR!$F$49</f>
        <v>2.0350612884048314</v>
      </c>
      <c r="N19" s="87"/>
      <c r="Q19" s="82" t="s">
        <v>48</v>
      </c>
    </row>
    <row r="20" spans="2:19" ht="3" customHeight="1" thickBot="1" x14ac:dyDescent="0.4">
      <c r="B20" s="92"/>
      <c r="C20" s="93"/>
      <c r="D20" s="94"/>
      <c r="E20" s="93"/>
      <c r="F20" s="93" t="s">
        <v>48</v>
      </c>
      <c r="G20" s="93"/>
      <c r="H20" s="93"/>
      <c r="I20" s="93"/>
      <c r="J20" s="89"/>
      <c r="K20" s="113"/>
      <c r="L20" s="97"/>
      <c r="M20" s="97"/>
      <c r="N20" s="87"/>
    </row>
    <row r="21" spans="2:19" x14ac:dyDescent="0.35">
      <c r="B21" s="111" t="s">
        <v>82</v>
      </c>
      <c r="C21" s="112"/>
      <c r="D21" s="112"/>
      <c r="E21" s="112"/>
      <c r="F21" s="112"/>
      <c r="G21" s="112"/>
      <c r="H21" s="112"/>
      <c r="I21" s="112"/>
      <c r="J21" s="112"/>
      <c r="K21" s="112"/>
      <c r="L21" s="241" t="s">
        <v>78</v>
      </c>
      <c r="M21" s="241"/>
      <c r="N21" s="105"/>
    </row>
    <row r="22" spans="2:19" x14ac:dyDescent="0.35">
      <c r="B22" s="89" t="s">
        <v>79</v>
      </c>
      <c r="C22" s="84"/>
      <c r="D22" s="201"/>
      <c r="E22" s="201"/>
      <c r="F22" s="201"/>
      <c r="G22" s="201"/>
      <c r="H22" s="84"/>
      <c r="I22" s="84"/>
      <c r="J22" s="84"/>
      <c r="K22" s="84"/>
      <c r="L22" s="231" t="s">
        <v>85</v>
      </c>
      <c r="M22" s="232"/>
      <c r="N22" s="87"/>
    </row>
    <row r="23" spans="2:19" x14ac:dyDescent="0.35">
      <c r="B23" s="89"/>
      <c r="C23" s="84"/>
      <c r="E23" s="201"/>
      <c r="F23" s="201"/>
      <c r="G23" s="201"/>
      <c r="H23" s="84"/>
      <c r="I23" s="84"/>
      <c r="J23" s="84"/>
      <c r="K23" s="84"/>
      <c r="L23" s="84"/>
      <c r="M23" s="84"/>
      <c r="N23" s="87"/>
    </row>
    <row r="24" spans="2:19" x14ac:dyDescent="0.35">
      <c r="B24" s="89"/>
      <c r="C24" s="84"/>
      <c r="D24" s="201"/>
      <c r="E24" s="201"/>
      <c r="F24" s="201"/>
      <c r="G24" s="201"/>
      <c r="H24" s="84"/>
      <c r="I24" s="84"/>
      <c r="J24" s="84"/>
      <c r="K24" s="84"/>
      <c r="L24" s="84"/>
      <c r="M24" s="84"/>
      <c r="N24" s="87"/>
    </row>
    <row r="25" spans="2:19" x14ac:dyDescent="0.35">
      <c r="B25" s="89"/>
      <c r="C25" s="84"/>
      <c r="D25" s="201"/>
      <c r="E25" s="84"/>
      <c r="F25" s="84"/>
      <c r="G25" s="84"/>
      <c r="H25" s="84"/>
      <c r="I25" s="84"/>
      <c r="J25" s="84"/>
      <c r="K25" s="84"/>
      <c r="L25" s="84"/>
      <c r="M25" s="84"/>
      <c r="N25" s="87"/>
    </row>
    <row r="26" spans="2:19" ht="16" thickBot="1" x14ac:dyDescent="0.4">
      <c r="B26" s="92"/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4"/>
    </row>
    <row r="27" spans="2:19" x14ac:dyDescent="0.35">
      <c r="B27" s="1" t="s">
        <v>80</v>
      </c>
    </row>
    <row r="28" spans="2:19" x14ac:dyDescent="0.35">
      <c r="B28" s="198"/>
      <c r="C28" s="198"/>
      <c r="D28" s="198"/>
      <c r="E28" s="198"/>
      <c r="F28" s="198"/>
      <c r="G28" s="198"/>
      <c r="H28" s="198"/>
      <c r="I28" s="198"/>
      <c r="J28" s="198"/>
      <c r="K28" s="198"/>
      <c r="L28" s="198"/>
      <c r="M28" s="198"/>
      <c r="N28" s="198"/>
    </row>
    <row r="29" spans="2:19" x14ac:dyDescent="0.35">
      <c r="B29" s="198"/>
      <c r="C29" s="198"/>
      <c r="D29" s="198"/>
      <c r="E29" s="198"/>
      <c r="F29" s="198"/>
      <c r="G29" s="198"/>
      <c r="H29" s="198"/>
      <c r="I29" s="198"/>
      <c r="J29" s="198"/>
      <c r="K29" s="198"/>
      <c r="L29" s="198"/>
      <c r="M29" s="198"/>
      <c r="N29" s="198"/>
    </row>
    <row r="30" spans="2:19" x14ac:dyDescent="0.35">
      <c r="B30" s="198"/>
      <c r="C30" s="198"/>
      <c r="D30" s="198"/>
      <c r="E30" s="198"/>
      <c r="F30" s="198"/>
      <c r="G30" s="198"/>
      <c r="H30" s="198"/>
      <c r="I30" s="198"/>
      <c r="J30" s="198"/>
      <c r="K30" s="198"/>
      <c r="L30" s="198"/>
      <c r="M30" s="198"/>
      <c r="N30" s="198"/>
    </row>
    <row r="31" spans="2:19" x14ac:dyDescent="0.35">
      <c r="B31" s="198"/>
      <c r="C31" s="198"/>
      <c r="D31" s="198"/>
      <c r="E31" s="198"/>
      <c r="F31" s="198"/>
      <c r="G31" s="198"/>
      <c r="H31" s="198"/>
      <c r="I31" s="198"/>
      <c r="J31" s="198"/>
      <c r="K31" s="198"/>
      <c r="L31" s="198"/>
      <c r="M31" s="198"/>
      <c r="N31" s="198"/>
    </row>
    <row r="32" spans="2:19" x14ac:dyDescent="0.35">
      <c r="B32" s="198"/>
      <c r="C32" s="198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</row>
    <row r="33" spans="2:14" x14ac:dyDescent="0.35">
      <c r="B33" s="198"/>
      <c r="C33" s="198"/>
      <c r="D33" s="198"/>
      <c r="E33" s="198"/>
      <c r="F33" s="198"/>
      <c r="G33" s="198"/>
      <c r="H33" s="198"/>
      <c r="I33" s="198"/>
      <c r="J33" s="198"/>
      <c r="K33" s="198"/>
      <c r="L33" s="198"/>
      <c r="M33" s="198"/>
      <c r="N33" s="198"/>
    </row>
    <row r="34" spans="2:14" x14ac:dyDescent="0.35">
      <c r="B34" s="198"/>
      <c r="C34" s="198"/>
      <c r="D34" s="198"/>
      <c r="E34" s="198"/>
      <c r="F34" s="198"/>
      <c r="G34" s="198"/>
      <c r="H34" s="198"/>
      <c r="I34" s="198"/>
      <c r="J34" s="198"/>
      <c r="K34" s="198"/>
      <c r="L34" s="198"/>
      <c r="M34" s="198"/>
      <c r="N34" s="198"/>
    </row>
  </sheetData>
  <mergeCells count="26">
    <mergeCell ref="B7:C7"/>
    <mergeCell ref="E7:G7"/>
    <mergeCell ref="K8:L8"/>
    <mergeCell ref="E8:G8"/>
    <mergeCell ref="B8:C8"/>
    <mergeCell ref="K7:L7"/>
    <mergeCell ref="B5:D5"/>
    <mergeCell ref="E5:I5"/>
    <mergeCell ref="J5:N5"/>
    <mergeCell ref="B6:C6"/>
    <mergeCell ref="E6:I6"/>
    <mergeCell ref="K6:L6"/>
    <mergeCell ref="L22:M22"/>
    <mergeCell ref="B9:C9"/>
    <mergeCell ref="O16:Q16"/>
    <mergeCell ref="K16:L16"/>
    <mergeCell ref="K18:L18"/>
    <mergeCell ref="E9:G9"/>
    <mergeCell ref="O11:S11"/>
    <mergeCell ref="O12:Q12"/>
    <mergeCell ref="L21:M21"/>
    <mergeCell ref="O13:Q13"/>
    <mergeCell ref="K19:L19"/>
    <mergeCell ref="E16:I16"/>
    <mergeCell ref="H9:I10"/>
    <mergeCell ref="K17:L17"/>
  </mergeCells>
  <pageMargins left="0.55000000000000004" right="0.4" top="0.38" bottom="0.48" header="0.39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B1:AA89"/>
  <sheetViews>
    <sheetView showGridLines="0" topLeftCell="A29" zoomScale="90" zoomScaleNormal="90" workbookViewId="0">
      <selection activeCell="F48" sqref="F48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2.33203125" customWidth="1"/>
    <col min="5" max="5" width="11.1640625" customWidth="1"/>
    <col min="6" max="6" width="16.6640625" customWidth="1"/>
    <col min="7" max="7" width="17.58203125" style="2" customWidth="1"/>
    <col min="8" max="8" width="17.6640625" customWidth="1"/>
    <col min="9" max="9" width="15.58203125" bestFit="1" customWidth="1"/>
    <col min="10" max="10" width="15.1640625" bestFit="1" customWidth="1"/>
    <col min="11" max="11" width="13.6640625" bestFit="1" customWidth="1"/>
    <col min="12" max="16" width="13.6640625" hidden="1" customWidth="1"/>
    <col min="17" max="17" width="15.83203125" style="1" customWidth="1"/>
    <col min="18" max="18" width="14.08203125" bestFit="1" customWidth="1"/>
    <col min="19" max="22" width="15" bestFit="1" customWidth="1"/>
    <col min="23" max="23" width="15.58203125" bestFit="1" customWidth="1"/>
    <col min="24" max="24" width="11.58203125" bestFit="1" customWidth="1"/>
  </cols>
  <sheetData>
    <row r="1" spans="2:26" s="1" customFormat="1" ht="26" x14ac:dyDescent="0.35">
      <c r="B1" s="1" t="s">
        <v>133</v>
      </c>
      <c r="C1" s="200" t="s">
        <v>165</v>
      </c>
      <c r="G1" s="157"/>
      <c r="J1" s="83"/>
      <c r="K1" s="83"/>
      <c r="L1" s="83"/>
      <c r="M1" s="83"/>
      <c r="N1" s="83"/>
      <c r="O1" s="83"/>
      <c r="P1" s="83"/>
      <c r="Q1" s="162" t="s">
        <v>184</v>
      </c>
    </row>
    <row r="2" spans="2:26" x14ac:dyDescent="0.35">
      <c r="B2" s="34" t="s">
        <v>83</v>
      </c>
      <c r="I2" s="134"/>
    </row>
    <row r="3" spans="2:26" x14ac:dyDescent="0.35">
      <c r="C3" t="s">
        <v>0</v>
      </c>
      <c r="F3" s="4">
        <v>0.02</v>
      </c>
      <c r="I3" s="33"/>
      <c r="Q3" s="143"/>
      <c r="R3" s="3"/>
      <c r="S3" s="3"/>
    </row>
    <row r="4" spans="2:26" x14ac:dyDescent="0.35">
      <c r="C4" t="s">
        <v>38</v>
      </c>
      <c r="F4" s="4">
        <v>0.1</v>
      </c>
      <c r="I4" s="33"/>
      <c r="Q4" s="143"/>
      <c r="R4" s="3"/>
      <c r="S4" s="3"/>
    </row>
    <row r="5" spans="2:26" x14ac:dyDescent="0.35">
      <c r="C5" t="s">
        <v>1</v>
      </c>
      <c r="F5" s="4">
        <v>0.05</v>
      </c>
      <c r="G5" s="2" t="s">
        <v>2</v>
      </c>
      <c r="I5" s="33"/>
    </row>
    <row r="6" spans="2:26" x14ac:dyDescent="0.35">
      <c r="C6" t="s">
        <v>3</v>
      </c>
      <c r="F6" s="5">
        <v>0</v>
      </c>
      <c r="G6" s="2" t="s">
        <v>2</v>
      </c>
    </row>
    <row r="7" spans="2:26" x14ac:dyDescent="0.35">
      <c r="C7" t="s">
        <v>84</v>
      </c>
      <c r="F7" s="4">
        <v>0.15</v>
      </c>
    </row>
    <row r="8" spans="2:26" ht="4.25" customHeight="1" thickBot="1" x14ac:dyDescent="0.4"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3"/>
      <c r="U8" s="42"/>
      <c r="V8" s="42"/>
      <c r="W8" s="42"/>
      <c r="X8" s="42"/>
      <c r="Y8" s="42"/>
    </row>
    <row r="9" spans="2:26" s="1" customFormat="1" x14ac:dyDescent="0.35">
      <c r="G9" s="161" t="s">
        <v>33</v>
      </c>
      <c r="H9" s="161" t="s">
        <v>34</v>
      </c>
      <c r="I9" s="161" t="s">
        <v>35</v>
      </c>
      <c r="J9" s="161" t="s">
        <v>36</v>
      </c>
      <c r="K9" s="161" t="s">
        <v>37</v>
      </c>
      <c r="L9" s="168" t="s">
        <v>156</v>
      </c>
      <c r="M9" s="168" t="s">
        <v>157</v>
      </c>
      <c r="N9" s="168" t="s">
        <v>158</v>
      </c>
      <c r="O9" s="168" t="s">
        <v>159</v>
      </c>
      <c r="P9" s="168" t="s">
        <v>160</v>
      </c>
      <c r="Q9" s="142" t="s">
        <v>11</v>
      </c>
      <c r="R9" s="42"/>
      <c r="S9" s="42"/>
      <c r="T9" s="132"/>
      <c r="U9" s="42"/>
      <c r="V9" s="42"/>
      <c r="W9" s="42"/>
      <c r="X9" s="42"/>
      <c r="Y9" s="42"/>
    </row>
    <row r="10" spans="2:26" x14ac:dyDescent="0.35">
      <c r="B10" s="1" t="s">
        <v>45</v>
      </c>
      <c r="G10" s="81"/>
      <c r="Q10" s="224">
        <f>SUM(G10:K10)</f>
        <v>0</v>
      </c>
      <c r="R10" s="42"/>
      <c r="S10" s="42"/>
      <c r="T10" s="43"/>
      <c r="U10" s="42"/>
      <c r="V10" s="42"/>
      <c r="W10" s="42"/>
      <c r="X10" s="42"/>
      <c r="Y10" s="42"/>
    </row>
    <row r="11" spans="2:26" x14ac:dyDescent="0.35">
      <c r="B11" s="1"/>
      <c r="E11" s="70" t="s">
        <v>196</v>
      </c>
      <c r="G11" s="81">
        <v>81740579</v>
      </c>
      <c r="Q11" s="224">
        <f>SUM(G11:K11)</f>
        <v>81740579</v>
      </c>
      <c r="R11" s="42"/>
      <c r="S11" s="42"/>
      <c r="T11" s="43"/>
      <c r="U11" s="42"/>
      <c r="V11" s="42"/>
      <c r="W11" s="42"/>
      <c r="X11" s="42"/>
      <c r="Y11" s="42"/>
    </row>
    <row r="12" spans="2:26" s="70" customFormat="1" x14ac:dyDescent="0.35">
      <c r="B12" s="73" t="s">
        <v>46</v>
      </c>
      <c r="F12" s="219"/>
      <c r="G12" s="220">
        <f>SUM(G10:G11)</f>
        <v>81740579</v>
      </c>
      <c r="H12" s="141"/>
      <c r="I12" s="141"/>
      <c r="J12" s="141"/>
      <c r="K12" s="141"/>
      <c r="L12" s="141"/>
      <c r="M12" s="141"/>
      <c r="N12" s="141"/>
      <c r="O12" s="141"/>
      <c r="P12" s="141"/>
      <c r="Q12" s="145">
        <f>SUM(G12:K12)</f>
        <v>81740579</v>
      </c>
      <c r="R12" s="71"/>
      <c r="S12" s="71"/>
      <c r="T12" s="72"/>
      <c r="U12" s="71"/>
      <c r="V12" s="71"/>
      <c r="W12" s="71"/>
      <c r="X12" s="71"/>
      <c r="Y12" s="71"/>
    </row>
    <row r="13" spans="2:26" ht="5.4" customHeight="1" x14ac:dyDescent="0.35">
      <c r="F13" s="10"/>
      <c r="Q13" s="144"/>
      <c r="T13" s="41"/>
      <c r="U13" s="41"/>
      <c r="V13" s="41"/>
      <c r="W13" s="41"/>
      <c r="X13" s="41"/>
      <c r="Y13" s="41"/>
      <c r="Z13" s="41"/>
    </row>
    <row r="14" spans="2:26" ht="16" thickBot="1" x14ac:dyDescent="0.4">
      <c r="B14" s="11" t="s">
        <v>10</v>
      </c>
      <c r="C14" s="6"/>
      <c r="D14" s="6"/>
      <c r="E14" s="6"/>
      <c r="F14" s="6"/>
      <c r="G14" s="12">
        <v>2024</v>
      </c>
      <c r="H14" s="7">
        <f>G14+1</f>
        <v>2025</v>
      </c>
      <c r="I14" s="7">
        <f t="shared" ref="I14" si="0">H14+1</f>
        <v>2026</v>
      </c>
      <c r="J14" s="7">
        <f t="shared" ref="J14" si="1">I14+1</f>
        <v>2027</v>
      </c>
      <c r="K14" s="7">
        <f>J14+1</f>
        <v>2028</v>
      </c>
      <c r="L14" s="7">
        <f t="shared" ref="L14:P14" si="2">K14+1</f>
        <v>2029</v>
      </c>
      <c r="M14" s="7">
        <f t="shared" si="2"/>
        <v>2030</v>
      </c>
      <c r="N14" s="7">
        <f t="shared" si="2"/>
        <v>2031</v>
      </c>
      <c r="O14" s="7">
        <f t="shared" si="2"/>
        <v>2032</v>
      </c>
      <c r="P14" s="7">
        <f t="shared" si="2"/>
        <v>2033</v>
      </c>
      <c r="Q14" s="136" t="s">
        <v>11</v>
      </c>
      <c r="R14" s="56"/>
      <c r="S14" s="56"/>
      <c r="T14" s="56"/>
      <c r="U14" s="56"/>
      <c r="V14" s="56"/>
      <c r="W14" s="56"/>
      <c r="X14" s="41"/>
      <c r="Y14" s="41"/>
      <c r="Z14" s="41"/>
    </row>
    <row r="15" spans="2:26" x14ac:dyDescent="0.35">
      <c r="B15" t="s">
        <v>12</v>
      </c>
      <c r="G15" s="8">
        <v>12</v>
      </c>
      <c r="H15" s="8">
        <v>12</v>
      </c>
      <c r="I15" s="8">
        <v>12</v>
      </c>
      <c r="J15" s="8">
        <v>12</v>
      </c>
      <c r="K15" s="8">
        <v>12</v>
      </c>
      <c r="L15" s="8">
        <v>12</v>
      </c>
      <c r="M15" s="8">
        <v>12</v>
      </c>
      <c r="N15" s="8">
        <v>12</v>
      </c>
      <c r="O15" s="8">
        <v>12</v>
      </c>
      <c r="P15" s="8">
        <v>12</v>
      </c>
      <c r="Q15" s="147"/>
    </row>
    <row r="16" spans="2:26" x14ac:dyDescent="0.35">
      <c r="B16" s="133" t="s">
        <v>130</v>
      </c>
      <c r="Q16" s="147"/>
    </row>
    <row r="17" spans="2:24" ht="2.4" customHeight="1" x14ac:dyDescent="0.35">
      <c r="Q17" s="147"/>
    </row>
    <row r="18" spans="2:24" ht="11.4" customHeight="1" x14ac:dyDescent="0.35">
      <c r="B18" s="1" t="s">
        <v>4</v>
      </c>
      <c r="E18" s="17"/>
      <c r="G18" s="226"/>
      <c r="H18" s="226"/>
      <c r="I18" s="226"/>
      <c r="J18" s="226"/>
      <c r="K18" s="226"/>
      <c r="L18" s="19"/>
      <c r="M18" s="19"/>
      <c r="N18" s="19"/>
      <c r="O18" s="19"/>
      <c r="P18" s="19"/>
      <c r="Q18" s="147"/>
    </row>
    <row r="19" spans="2:24" ht="11.4" customHeight="1" x14ac:dyDescent="0.35">
      <c r="B19" s="1"/>
      <c r="C19" t="s">
        <v>180</v>
      </c>
      <c r="E19" s="17"/>
      <c r="G19" s="225">
        <v>228000000</v>
      </c>
      <c r="H19" s="226">
        <v>228000000</v>
      </c>
      <c r="I19" s="226">
        <v>228000000</v>
      </c>
      <c r="J19" s="226">
        <f>I19</f>
        <v>228000000</v>
      </c>
      <c r="K19" s="226">
        <f>J19*95%</f>
        <v>216600000</v>
      </c>
      <c r="L19" s="19"/>
      <c r="M19" s="19"/>
      <c r="N19" s="19"/>
      <c r="O19" s="19"/>
      <c r="P19" s="19"/>
      <c r="Q19" s="148">
        <f>SUM($G19:P19)</f>
        <v>1128600000</v>
      </c>
    </row>
    <row r="20" spans="2:24" ht="11.4" customHeight="1" x14ac:dyDescent="0.35">
      <c r="B20" s="1"/>
      <c r="E20" s="17"/>
      <c r="G20" s="225"/>
      <c r="H20" s="226"/>
      <c r="I20" s="226"/>
      <c r="J20" s="226"/>
      <c r="K20" s="226"/>
      <c r="L20" s="19"/>
      <c r="M20" s="19"/>
      <c r="N20" s="19"/>
      <c r="O20" s="19"/>
      <c r="P20" s="19"/>
      <c r="Q20" s="148">
        <f>SUM($G20:P20)</f>
        <v>0</v>
      </c>
    </row>
    <row r="21" spans="2:24" x14ac:dyDescent="0.35">
      <c r="G21" s="225"/>
      <c r="H21" s="226"/>
      <c r="I21" s="225"/>
      <c r="J21" s="225"/>
      <c r="K21" s="225"/>
      <c r="L21" s="68"/>
      <c r="M21" s="68"/>
      <c r="N21" s="68"/>
      <c r="O21" s="68"/>
      <c r="P21" s="68"/>
      <c r="Q21" s="148">
        <f>SUM($G21:P21)</f>
        <v>0</v>
      </c>
      <c r="R21" s="13"/>
      <c r="S21" s="13"/>
      <c r="T21" s="13"/>
      <c r="U21" s="13"/>
      <c r="V21" s="13"/>
      <c r="W21" s="14"/>
    </row>
    <row r="22" spans="2:24" ht="3.65" customHeight="1" x14ac:dyDescent="0.35"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48">
        <f>SUM($G22:K22)</f>
        <v>0</v>
      </c>
      <c r="R22" s="45"/>
      <c r="S22" s="45"/>
      <c r="T22" s="45"/>
      <c r="U22" s="45"/>
      <c r="V22" s="45"/>
      <c r="W22" s="46"/>
      <c r="X22" s="47"/>
    </row>
    <row r="23" spans="2:24" x14ac:dyDescent="0.35">
      <c r="B23" s="65" t="s">
        <v>13</v>
      </c>
      <c r="C23" s="65"/>
      <c r="D23" s="65"/>
      <c r="E23" s="254"/>
      <c r="F23" s="255"/>
      <c r="G23" s="66">
        <f>SUM(G19:G21)</f>
        <v>228000000</v>
      </c>
      <c r="H23" s="66">
        <f t="shared" ref="H23:K23" si="3">SUM(H19:H21)</f>
        <v>228000000</v>
      </c>
      <c r="I23" s="66">
        <f t="shared" si="3"/>
        <v>228000000</v>
      </c>
      <c r="J23" s="66">
        <f t="shared" si="3"/>
        <v>228000000</v>
      </c>
      <c r="K23" s="66">
        <f t="shared" si="3"/>
        <v>216600000</v>
      </c>
      <c r="L23" s="66">
        <f t="shared" ref="L23:P23" si="4">SUM(L21:L22)</f>
        <v>0</v>
      </c>
      <c r="M23" s="66">
        <f t="shared" si="4"/>
        <v>0</v>
      </c>
      <c r="N23" s="66">
        <f t="shared" si="4"/>
        <v>0</v>
      </c>
      <c r="O23" s="66">
        <f t="shared" si="4"/>
        <v>0</v>
      </c>
      <c r="P23" s="66">
        <f t="shared" si="4"/>
        <v>0</v>
      </c>
      <c r="Q23" s="137">
        <f>SUM(Q19:Q21)</f>
        <v>1128600000</v>
      </c>
      <c r="R23" s="45">
        <f>SUM(G23:K23)-Q23</f>
        <v>0</v>
      </c>
      <c r="S23" s="45"/>
      <c r="T23" s="45"/>
      <c r="U23" s="45"/>
      <c r="V23" s="45"/>
      <c r="W23" s="45"/>
      <c r="X23" s="47"/>
    </row>
    <row r="24" spans="2:24" ht="4.25" customHeight="1" x14ac:dyDescent="0.35">
      <c r="Q24" s="147"/>
      <c r="R24" s="47"/>
      <c r="S24" s="47"/>
      <c r="T24" s="47"/>
      <c r="U24" s="47"/>
      <c r="V24" s="47"/>
      <c r="W24" s="47"/>
      <c r="X24" s="47"/>
    </row>
    <row r="25" spans="2:24" x14ac:dyDescent="0.35">
      <c r="B25" s="1" t="s">
        <v>14</v>
      </c>
      <c r="E25" s="17"/>
      <c r="F25" s="17"/>
      <c r="G25" s="18"/>
      <c r="H25" s="17"/>
      <c r="I25" s="19"/>
      <c r="J25" s="19"/>
      <c r="K25" s="19"/>
      <c r="L25" s="19"/>
      <c r="M25" s="19"/>
      <c r="N25" s="19"/>
      <c r="O25" s="19"/>
      <c r="P25" s="19"/>
      <c r="Q25" s="149"/>
      <c r="R25" s="48"/>
      <c r="S25" s="48"/>
      <c r="T25" s="48"/>
      <c r="U25" s="48"/>
      <c r="V25" s="48"/>
      <c r="W25" s="47"/>
      <c r="X25" s="47"/>
    </row>
    <row r="26" spans="2:24" x14ac:dyDescent="0.35">
      <c r="C26" t="s">
        <v>39</v>
      </c>
      <c r="G26" s="13">
        <v>275000000</v>
      </c>
      <c r="H26" s="13"/>
      <c r="I26" s="13"/>
      <c r="J26" s="13"/>
      <c r="K26" s="13"/>
      <c r="L26" s="13"/>
      <c r="M26" s="13"/>
      <c r="N26" s="13"/>
      <c r="O26" s="13"/>
      <c r="P26" s="13"/>
      <c r="Q26" s="148">
        <f>SUM($G26:P26)</f>
        <v>275000000</v>
      </c>
      <c r="R26" s="45"/>
      <c r="S26" s="45"/>
      <c r="T26" s="45"/>
      <c r="U26" s="45"/>
      <c r="V26" s="45"/>
      <c r="W26" s="46"/>
      <c r="X26" s="47"/>
    </row>
    <row r="27" spans="2:24" x14ac:dyDescent="0.35">
      <c r="C27" t="s">
        <v>15</v>
      </c>
      <c r="G27" s="13">
        <v>25000000</v>
      </c>
      <c r="H27" s="13">
        <f>G27</f>
        <v>25000000</v>
      </c>
      <c r="I27" s="13">
        <f>H27</f>
        <v>25000000</v>
      </c>
      <c r="J27" s="13">
        <f>I27</f>
        <v>25000000</v>
      </c>
      <c r="K27" s="13">
        <f>J27</f>
        <v>25000000</v>
      </c>
      <c r="L27" s="13"/>
      <c r="M27" s="13"/>
      <c r="N27" s="13"/>
      <c r="O27" s="13"/>
      <c r="P27" s="13"/>
      <c r="Q27" s="148">
        <f>SUM($G27:K27)</f>
        <v>125000000</v>
      </c>
      <c r="R27" s="45"/>
      <c r="S27" s="45"/>
      <c r="T27" s="45"/>
      <c r="U27" s="45"/>
      <c r="V27" s="45"/>
      <c r="W27" s="46"/>
      <c r="X27" s="47"/>
    </row>
    <row r="28" spans="2:24" x14ac:dyDescent="0.35">
      <c r="C28" t="s">
        <v>128</v>
      </c>
      <c r="G28" s="99">
        <f>+PARAMETER!$B$71*(COUNTA(G19:G21))</f>
        <v>7000000</v>
      </c>
      <c r="H28" s="99">
        <f>+PARAMETER!$B$71*(COUNTA(H19:H21))</f>
        <v>7000000</v>
      </c>
      <c r="I28" s="99">
        <f>+PARAMETER!$B$71*(COUNTA(I17:I21))</f>
        <v>7000000</v>
      </c>
      <c r="J28" s="99">
        <f>+PARAMETER!$B$71*(COUNTA(J19:J21))</f>
        <v>7000000</v>
      </c>
      <c r="K28" s="99">
        <f>+PARAMETER!$B$71*(COUNTA(K19:K21))</f>
        <v>7000000</v>
      </c>
      <c r="L28" s="99"/>
      <c r="M28" s="99"/>
      <c r="N28" s="99"/>
      <c r="O28" s="99"/>
      <c r="P28" s="99"/>
      <c r="Q28" s="148">
        <f>SUM($G28:P28)</f>
        <v>35000000</v>
      </c>
      <c r="R28" s="45"/>
      <c r="S28" s="45"/>
      <c r="T28" s="45"/>
      <c r="U28" s="45"/>
      <c r="V28" s="45"/>
      <c r="W28" s="46"/>
      <c r="X28" s="47"/>
    </row>
    <row r="29" spans="2:24" x14ac:dyDescent="0.35">
      <c r="B29" s="15"/>
      <c r="C29" s="15" t="s">
        <v>129</v>
      </c>
      <c r="D29" s="15"/>
      <c r="E29" s="15"/>
      <c r="F29" s="130"/>
      <c r="G29" s="20">
        <f>$F$5*G23</f>
        <v>11400000</v>
      </c>
      <c r="H29" s="20">
        <f t="shared" ref="H29:K29" si="5">$F$5*H23</f>
        <v>11400000</v>
      </c>
      <c r="I29" s="20">
        <f t="shared" si="5"/>
        <v>11400000</v>
      </c>
      <c r="J29" s="20">
        <f t="shared" si="5"/>
        <v>11400000</v>
      </c>
      <c r="K29" s="20">
        <f t="shared" si="5"/>
        <v>10830000</v>
      </c>
      <c r="L29" s="20">
        <f t="shared" ref="L29:P29" si="6">$F$5*L23</f>
        <v>0</v>
      </c>
      <c r="M29" s="20">
        <f t="shared" si="6"/>
        <v>0</v>
      </c>
      <c r="N29" s="20">
        <f t="shared" si="6"/>
        <v>0</v>
      </c>
      <c r="O29" s="20">
        <f t="shared" si="6"/>
        <v>0</v>
      </c>
      <c r="P29" s="20">
        <f t="shared" si="6"/>
        <v>0</v>
      </c>
      <c r="Q29" s="148">
        <f>SUM($G29:P29)</f>
        <v>56430000</v>
      </c>
      <c r="R29" s="49"/>
      <c r="S29" s="49"/>
      <c r="T29" s="49"/>
      <c r="U29" s="49"/>
      <c r="V29" s="49"/>
      <c r="W29" s="46"/>
      <c r="X29" s="47"/>
    </row>
    <row r="30" spans="2:24" s="1" customFormat="1" x14ac:dyDescent="0.35">
      <c r="B30" s="65" t="s">
        <v>16</v>
      </c>
      <c r="C30" s="65"/>
      <c r="D30" s="65"/>
      <c r="E30" s="65"/>
      <c r="F30" s="65"/>
      <c r="G30" s="66">
        <f>SUM(G26:G29)</f>
        <v>318400000</v>
      </c>
      <c r="H30" s="66">
        <f>SUM(H26:H29)</f>
        <v>43400000</v>
      </c>
      <c r="I30" s="66">
        <f t="shared" ref="I30:K30" si="7">SUM(I26:I29)</f>
        <v>43400000</v>
      </c>
      <c r="J30" s="66">
        <f t="shared" si="7"/>
        <v>43400000</v>
      </c>
      <c r="K30" s="66">
        <f t="shared" si="7"/>
        <v>42830000</v>
      </c>
      <c r="L30" s="66">
        <f t="shared" ref="L30:P30" si="8">SUM(L26:L29)</f>
        <v>0</v>
      </c>
      <c r="M30" s="66">
        <f t="shared" si="8"/>
        <v>0</v>
      </c>
      <c r="N30" s="66">
        <f t="shared" si="8"/>
        <v>0</v>
      </c>
      <c r="O30" s="66">
        <f t="shared" si="8"/>
        <v>0</v>
      </c>
      <c r="P30" s="66">
        <f t="shared" si="8"/>
        <v>0</v>
      </c>
      <c r="Q30" s="138">
        <f>SUM(Q26:Q29)</f>
        <v>491430000</v>
      </c>
      <c r="R30" s="45">
        <f>SUM(G30:K30)-Q30</f>
        <v>0</v>
      </c>
      <c r="S30" s="50"/>
      <c r="T30" s="50"/>
      <c r="U30" s="50"/>
      <c r="V30" s="50"/>
      <c r="W30" s="50"/>
      <c r="X30" s="51"/>
    </row>
    <row r="31" spans="2:24" s="1" customFormat="1" x14ac:dyDescent="0.35">
      <c r="B31" s="1" t="s">
        <v>17</v>
      </c>
      <c r="G31" s="21">
        <f>G23-G30</f>
        <v>-90400000</v>
      </c>
      <c r="H31" s="21">
        <f>H23-H30</f>
        <v>184600000</v>
      </c>
      <c r="I31" s="21">
        <f t="shared" ref="I31:K31" si="9">I23-I30</f>
        <v>184600000</v>
      </c>
      <c r="J31" s="21">
        <f t="shared" si="9"/>
        <v>184600000</v>
      </c>
      <c r="K31" s="21">
        <f t="shared" si="9"/>
        <v>173770000</v>
      </c>
      <c r="L31" s="21">
        <f t="shared" ref="L31:P31" si="10">L23-L30</f>
        <v>0</v>
      </c>
      <c r="M31" s="21">
        <f t="shared" si="10"/>
        <v>0</v>
      </c>
      <c r="N31" s="21">
        <f t="shared" si="10"/>
        <v>0</v>
      </c>
      <c r="O31" s="21">
        <f t="shared" si="10"/>
        <v>0</v>
      </c>
      <c r="P31" s="21">
        <f t="shared" si="10"/>
        <v>0</v>
      </c>
      <c r="Q31" s="139">
        <f>Q23-Q30</f>
        <v>637170000</v>
      </c>
      <c r="R31" s="45">
        <f>SUM(G31:K31)-Q31</f>
        <v>0</v>
      </c>
      <c r="S31" s="50"/>
      <c r="T31" s="50"/>
      <c r="U31" s="50"/>
      <c r="V31" s="50"/>
      <c r="W31" s="50"/>
      <c r="X31" s="51"/>
    </row>
    <row r="32" spans="2:24" s="1" customFormat="1" x14ac:dyDescent="0.35">
      <c r="B32" s="22" t="s">
        <v>18</v>
      </c>
      <c r="C32" s="23"/>
      <c r="D32" s="23"/>
      <c r="E32" s="23"/>
      <c r="F32" s="23"/>
      <c r="G32" s="24"/>
      <c r="H32" s="24">
        <f>H31/H23</f>
        <v>0.80964912280701751</v>
      </c>
      <c r="I32" s="24">
        <f t="shared" ref="I32:P32" si="11">I31/I23</f>
        <v>0.80964912280701751</v>
      </c>
      <c r="J32" s="24">
        <f t="shared" si="11"/>
        <v>0.80964912280701751</v>
      </c>
      <c r="K32" s="24">
        <f t="shared" si="11"/>
        <v>0.80226223453370271</v>
      </c>
      <c r="L32" s="24" t="e">
        <f t="shared" si="11"/>
        <v>#DIV/0!</v>
      </c>
      <c r="M32" s="24" t="e">
        <f t="shared" si="11"/>
        <v>#DIV/0!</v>
      </c>
      <c r="N32" s="24" t="e">
        <f t="shared" si="11"/>
        <v>#DIV/0!</v>
      </c>
      <c r="O32" s="24" t="e">
        <f t="shared" si="11"/>
        <v>#DIV/0!</v>
      </c>
      <c r="P32" s="24" t="e">
        <f t="shared" si="11"/>
        <v>#DIV/0!</v>
      </c>
      <c r="Q32" s="140">
        <f>Q31/Q23</f>
        <v>0.56456671982987772</v>
      </c>
      <c r="R32" s="52"/>
      <c r="S32" s="52"/>
      <c r="T32" s="52"/>
      <c r="U32" s="52"/>
      <c r="V32" s="52"/>
      <c r="W32" s="52"/>
      <c r="X32" s="51"/>
    </row>
    <row r="33" spans="2:24" ht="3" customHeight="1" x14ac:dyDescent="0.35">
      <c r="Q33" s="147"/>
      <c r="R33" s="47"/>
      <c r="S33" s="47"/>
      <c r="T33" s="47"/>
      <c r="U33" s="47"/>
      <c r="V33" s="47"/>
      <c r="W33" s="47"/>
      <c r="X33" s="47"/>
    </row>
    <row r="34" spans="2:24" x14ac:dyDescent="0.35">
      <c r="B34" s="15" t="s">
        <v>19</v>
      </c>
      <c r="C34" s="15"/>
      <c r="D34" s="15"/>
      <c r="E34" s="15"/>
      <c r="F34" s="15"/>
      <c r="G34" s="16">
        <f>G53</f>
        <v>16348115.800000001</v>
      </c>
      <c r="H34" s="16">
        <f>H63</f>
        <v>16348115.800000001</v>
      </c>
      <c r="I34" s="16">
        <f>I63</f>
        <v>16348115.800000001</v>
      </c>
      <c r="J34" s="16">
        <f>J63</f>
        <v>16348115.800000001</v>
      </c>
      <c r="K34" s="16">
        <f>K63</f>
        <v>16348115.800000001</v>
      </c>
      <c r="L34" s="16"/>
      <c r="M34" s="16"/>
      <c r="N34" s="16"/>
      <c r="O34" s="16"/>
      <c r="P34" s="16"/>
      <c r="Q34" s="146">
        <f>SUM($G34:P34)</f>
        <v>81740579</v>
      </c>
      <c r="R34" s="45"/>
      <c r="S34" s="45"/>
      <c r="T34" s="45"/>
      <c r="U34" s="45"/>
      <c r="V34" s="45"/>
      <c r="W34" s="45"/>
      <c r="X34" s="47"/>
    </row>
    <row r="35" spans="2:24" x14ac:dyDescent="0.35">
      <c r="B35" s="25" t="s">
        <v>20</v>
      </c>
      <c r="G35" s="26">
        <f>G31-G34</f>
        <v>-106748115.8</v>
      </c>
      <c r="H35" s="26">
        <f>H31-H34</f>
        <v>168251884.19999999</v>
      </c>
      <c r="I35" s="26">
        <f t="shared" ref="I35:K35" si="12">I31-I34</f>
        <v>168251884.19999999</v>
      </c>
      <c r="J35" s="26">
        <f t="shared" si="12"/>
        <v>168251884.19999999</v>
      </c>
      <c r="K35" s="26">
        <f t="shared" si="12"/>
        <v>157421884.19999999</v>
      </c>
      <c r="L35" s="26">
        <f t="shared" ref="L35:P35" si="13">L31-L34</f>
        <v>0</v>
      </c>
      <c r="M35" s="26">
        <f t="shared" si="13"/>
        <v>0</v>
      </c>
      <c r="N35" s="26">
        <f t="shared" si="13"/>
        <v>0</v>
      </c>
      <c r="O35" s="26">
        <f t="shared" si="13"/>
        <v>0</v>
      </c>
      <c r="P35" s="26">
        <f t="shared" si="13"/>
        <v>0</v>
      </c>
      <c r="Q35" s="150">
        <f>Q31-Q34</f>
        <v>555429421</v>
      </c>
      <c r="R35" s="45">
        <f>SUM(G35:K35)-Q35</f>
        <v>0</v>
      </c>
      <c r="S35" s="53"/>
      <c r="T35" s="53"/>
      <c r="U35" s="53"/>
      <c r="V35" s="53"/>
      <c r="W35" s="53"/>
      <c r="X35" s="47"/>
    </row>
    <row r="36" spans="2:24" x14ac:dyDescent="0.35">
      <c r="B36" s="15" t="s">
        <v>31</v>
      </c>
      <c r="C36" s="15"/>
      <c r="D36" s="15"/>
      <c r="E36" s="15"/>
      <c r="F36" s="15"/>
      <c r="G36" s="16">
        <f>PARAMETER!M34</f>
        <v>11756073.560000004</v>
      </c>
      <c r="H36" s="16">
        <f>PARAMETER!N34</f>
        <v>3768001.0600000019</v>
      </c>
      <c r="I36" s="16">
        <f>PARAMETER!O34</f>
        <v>0</v>
      </c>
      <c r="J36" s="16">
        <f>PARAMETER!P34</f>
        <v>0</v>
      </c>
      <c r="K36" s="16">
        <f>PARAMETER!Q34</f>
        <v>0</v>
      </c>
      <c r="L36" s="16">
        <f t="shared" ref="L36:P36" si="14">V74</f>
        <v>0</v>
      </c>
      <c r="M36" s="16">
        <f t="shared" si="14"/>
        <v>0</v>
      </c>
      <c r="N36" s="16">
        <f t="shared" si="14"/>
        <v>0</v>
      </c>
      <c r="O36" s="16">
        <f t="shared" si="14"/>
        <v>0</v>
      </c>
      <c r="P36" s="16">
        <f t="shared" si="14"/>
        <v>0</v>
      </c>
      <c r="Q36" s="146">
        <f>SUM($G36:K36)</f>
        <v>15524074.620000007</v>
      </c>
      <c r="R36" s="45"/>
      <c r="S36" s="45"/>
      <c r="T36" s="45"/>
      <c r="U36" s="45"/>
      <c r="V36" s="45"/>
      <c r="W36" s="45"/>
      <c r="X36" s="47"/>
    </row>
    <row r="37" spans="2:24" x14ac:dyDescent="0.35">
      <c r="B37" s="25" t="s">
        <v>32</v>
      </c>
      <c r="G37" s="214">
        <f>G35-G36</f>
        <v>-118504189.36</v>
      </c>
      <c r="H37" s="214">
        <f t="shared" ref="H37:K37" si="15">H35-H36</f>
        <v>164483883.13999999</v>
      </c>
      <c r="I37" s="214">
        <f t="shared" si="15"/>
        <v>168251884.19999999</v>
      </c>
      <c r="J37" s="214">
        <f t="shared" si="15"/>
        <v>168251884.19999999</v>
      </c>
      <c r="K37" s="214">
        <f t="shared" si="15"/>
        <v>157421884.19999999</v>
      </c>
      <c r="L37" s="214">
        <f t="shared" ref="L37:P37" si="16">L35-L36</f>
        <v>0</v>
      </c>
      <c r="M37" s="214">
        <f t="shared" si="16"/>
        <v>0</v>
      </c>
      <c r="N37" s="214">
        <f t="shared" si="16"/>
        <v>0</v>
      </c>
      <c r="O37" s="214">
        <f t="shared" si="16"/>
        <v>0</v>
      </c>
      <c r="P37" s="214">
        <f t="shared" si="16"/>
        <v>0</v>
      </c>
      <c r="Q37" s="215">
        <f>SUM($G37:P37)</f>
        <v>539905346.37999988</v>
      </c>
      <c r="R37" s="45">
        <f>SUM(G37:K37)-Q37</f>
        <v>0</v>
      </c>
      <c r="S37" s="53"/>
      <c r="T37" s="53"/>
      <c r="U37" s="53"/>
      <c r="V37" s="53"/>
      <c r="W37" s="53"/>
      <c r="X37" s="47"/>
    </row>
    <row r="38" spans="2:24" x14ac:dyDescent="0.35">
      <c r="B38" s="15" t="s">
        <v>21</v>
      </c>
      <c r="C38" s="15"/>
      <c r="D38" s="15"/>
      <c r="E38" s="15"/>
      <c r="F38" s="15"/>
      <c r="G38" s="67">
        <f>IF(G37&lt;0,0,G37*$F$3)</f>
        <v>0</v>
      </c>
      <c r="H38" s="67">
        <f t="shared" ref="H38:K38" si="17">IF(H37&lt;0,0,H37*$F$3)</f>
        <v>3289677.6627999996</v>
      </c>
      <c r="I38" s="67">
        <f>IF(I37&lt;0,0,I37*$F$3)</f>
        <v>3365037.6839999999</v>
      </c>
      <c r="J38" s="67">
        <f t="shared" si="17"/>
        <v>3365037.6839999999</v>
      </c>
      <c r="K38" s="67">
        <f t="shared" si="17"/>
        <v>3148437.6839999999</v>
      </c>
      <c r="L38" s="67"/>
      <c r="M38" s="67"/>
      <c r="N38" s="67"/>
      <c r="O38" s="67"/>
      <c r="P38" s="67"/>
      <c r="Q38" s="148">
        <f>SUM($G38:K38)</f>
        <v>13168190.7148</v>
      </c>
      <c r="R38" s="55"/>
      <c r="S38" s="55"/>
      <c r="T38" s="55"/>
      <c r="U38" s="55"/>
      <c r="V38" s="55"/>
      <c r="W38" s="54"/>
      <c r="X38" s="47"/>
    </row>
    <row r="39" spans="2:24" ht="16" thickBot="1" x14ac:dyDescent="0.4">
      <c r="B39" s="28" t="s">
        <v>47</v>
      </c>
      <c r="C39" s="28"/>
      <c r="D39" s="28"/>
      <c r="E39" s="28"/>
      <c r="F39" s="28"/>
      <c r="G39" s="29">
        <f>G37-G38</f>
        <v>-118504189.36</v>
      </c>
      <c r="H39" s="29">
        <f t="shared" ref="H39:J39" si="18">H37-H38</f>
        <v>161194205.47719997</v>
      </c>
      <c r="I39" s="29">
        <f t="shared" si="18"/>
        <v>164886846.516</v>
      </c>
      <c r="J39" s="29">
        <f t="shared" si="18"/>
        <v>164886846.516</v>
      </c>
      <c r="K39" s="29">
        <f>K37-K38</f>
        <v>154273446.516</v>
      </c>
      <c r="L39" s="29">
        <f t="shared" ref="L39:P39" si="19">L37-L38</f>
        <v>0</v>
      </c>
      <c r="M39" s="29">
        <f t="shared" si="19"/>
        <v>0</v>
      </c>
      <c r="N39" s="29">
        <f t="shared" si="19"/>
        <v>0</v>
      </c>
      <c r="O39" s="29">
        <f t="shared" si="19"/>
        <v>0</v>
      </c>
      <c r="P39" s="29">
        <f t="shared" si="19"/>
        <v>0</v>
      </c>
      <c r="Q39" s="163">
        <f>Q37-Q38</f>
        <v>526737155.66519988</v>
      </c>
      <c r="R39" s="45">
        <f>SUM(G39:K39)-Q39</f>
        <v>0</v>
      </c>
      <c r="S39" s="53"/>
      <c r="T39" s="53"/>
      <c r="U39" s="53"/>
      <c r="V39" s="53"/>
      <c r="W39" s="53"/>
      <c r="X39" s="47"/>
    </row>
    <row r="40" spans="2:24" ht="3" customHeight="1" x14ac:dyDescent="0.35">
      <c r="Q40" s="147"/>
      <c r="R40" s="47"/>
      <c r="S40" s="47"/>
      <c r="T40" s="47"/>
      <c r="U40" s="47"/>
      <c r="V40" s="47"/>
      <c r="W40" s="47"/>
      <c r="X40" s="47"/>
    </row>
    <row r="41" spans="2:24" x14ac:dyDescent="0.35">
      <c r="B41" s="15" t="s">
        <v>22</v>
      </c>
      <c r="C41" s="15"/>
      <c r="D41" s="15"/>
      <c r="E41" s="15"/>
      <c r="F41" s="30"/>
      <c r="G41" s="30">
        <f>-G12</f>
        <v>-81740579</v>
      </c>
      <c r="H41" s="30">
        <v>0</v>
      </c>
      <c r="I41" s="30">
        <v>0</v>
      </c>
      <c r="J41" s="30">
        <v>0</v>
      </c>
      <c r="K41" s="30">
        <v>0</v>
      </c>
      <c r="L41" s="30"/>
      <c r="M41" s="30"/>
      <c r="N41" s="30"/>
      <c r="O41" s="30"/>
      <c r="P41" s="30"/>
      <c r="Q41" s="151">
        <f>SUM($G$41:K41)</f>
        <v>-81740579</v>
      </c>
      <c r="R41" s="54"/>
      <c r="S41" s="54"/>
      <c r="T41" s="54"/>
      <c r="U41" s="54"/>
      <c r="V41" s="54"/>
      <c r="W41" s="54"/>
      <c r="X41" s="47"/>
    </row>
    <row r="42" spans="2:24" x14ac:dyDescent="0.35">
      <c r="B42" t="s">
        <v>23</v>
      </c>
      <c r="F42" s="27"/>
      <c r="G42" s="27">
        <f t="shared" ref="G42:K42" si="20">G41+G39+G34</f>
        <v>-183896652.56</v>
      </c>
      <c r="H42" s="27">
        <f t="shared" si="20"/>
        <v>177542321.27719998</v>
      </c>
      <c r="I42" s="27">
        <f t="shared" si="20"/>
        <v>181234962.31600001</v>
      </c>
      <c r="J42" s="27">
        <f t="shared" si="20"/>
        <v>181234962.31600001</v>
      </c>
      <c r="K42" s="27">
        <f t="shared" si="20"/>
        <v>170621562.31600001</v>
      </c>
      <c r="L42" s="27">
        <f t="shared" ref="L42:P42" si="21">L41+L39+L34</f>
        <v>0</v>
      </c>
      <c r="M42" s="27">
        <f t="shared" si="21"/>
        <v>0</v>
      </c>
      <c r="N42" s="27">
        <f t="shared" si="21"/>
        <v>0</v>
      </c>
      <c r="O42" s="27">
        <f t="shared" si="21"/>
        <v>0</v>
      </c>
      <c r="P42" s="27">
        <f t="shared" si="21"/>
        <v>0</v>
      </c>
      <c r="Q42" s="152">
        <f>SUM($F$42:P42)</f>
        <v>526737155.6652</v>
      </c>
      <c r="R42" s="54"/>
      <c r="S42" s="54"/>
      <c r="T42" s="54"/>
      <c r="U42" s="54"/>
      <c r="V42" s="54"/>
      <c r="W42" s="54"/>
      <c r="X42" s="47"/>
    </row>
    <row r="43" spans="2:24" x14ac:dyDescent="0.35">
      <c r="B43" t="s">
        <v>24</v>
      </c>
      <c r="F43" s="27"/>
      <c r="G43" s="27">
        <f>G42</f>
        <v>-183896652.56</v>
      </c>
      <c r="H43" s="27">
        <f>G43+H42</f>
        <v>-6354331.2828000188</v>
      </c>
      <c r="I43" s="27">
        <f t="shared" ref="I43:J43" si="22">H43+I42</f>
        <v>174880631.0332</v>
      </c>
      <c r="J43" s="27">
        <f t="shared" si="22"/>
        <v>356115593.34920001</v>
      </c>
      <c r="K43" s="27">
        <f>J43+K42</f>
        <v>526737155.6652</v>
      </c>
      <c r="L43" s="27"/>
      <c r="M43" s="27"/>
      <c r="N43" s="27"/>
      <c r="O43" s="27"/>
      <c r="P43" s="27"/>
      <c r="Q43" s="152"/>
      <c r="R43" s="54"/>
      <c r="S43" s="54"/>
      <c r="T43" s="54"/>
      <c r="U43" s="54"/>
      <c r="V43" s="54"/>
      <c r="W43" s="54"/>
      <c r="X43" s="47"/>
    </row>
    <row r="44" spans="2:24" x14ac:dyDescent="0.35">
      <c r="B44" t="s">
        <v>25</v>
      </c>
      <c r="F44" s="27"/>
      <c r="G44" s="31">
        <f>IF(AND(F43&lt;0,G43&gt;0),H51-(G43/G42),0)</f>
        <v>0</v>
      </c>
      <c r="H44" s="31">
        <f>IF(AND(G43&lt;0,H43&gt;0),I51-(H43/H42),0)</f>
        <v>0</v>
      </c>
      <c r="I44" s="31">
        <f>IF(AND(H43&lt;0,I43&gt;0),J51-(I43/I42),0)</f>
        <v>2.0350612884048314</v>
      </c>
      <c r="J44" s="31">
        <f>IF(AND(I43&lt;0,J43&gt;0),K51-(J43/J42),0)</f>
        <v>0</v>
      </c>
      <c r="K44" s="75">
        <f>IF(AND(J43&lt;0,K43&gt;0),#REF!-(K43/K42),0)</f>
        <v>0</v>
      </c>
      <c r="L44" s="75"/>
      <c r="M44" s="75"/>
      <c r="N44" s="75"/>
      <c r="O44" s="75"/>
      <c r="P44" s="75"/>
      <c r="Q44" s="153"/>
      <c r="R44" s="31"/>
      <c r="S44" s="31"/>
      <c r="T44" s="31"/>
      <c r="U44" s="31"/>
      <c r="V44" s="31"/>
      <c r="W44" s="31"/>
    </row>
    <row r="45" spans="2:24" s="77" customFormat="1" ht="3.65" customHeight="1" x14ac:dyDescent="0.35">
      <c r="G45" s="78"/>
      <c r="Q45" s="154"/>
    </row>
    <row r="46" spans="2:24" x14ac:dyDescent="0.35">
      <c r="B46" s="57" t="s">
        <v>178</v>
      </c>
      <c r="C46" s="58"/>
      <c r="D46" s="58"/>
      <c r="E46" s="58"/>
      <c r="F46" s="196">
        <f>IRR(F42:P42)</f>
        <v>0.89572891363236695</v>
      </c>
      <c r="Q46" s="144"/>
    </row>
    <row r="47" spans="2:24" x14ac:dyDescent="0.35">
      <c r="B47" s="59" t="s">
        <v>164</v>
      </c>
      <c r="C47" s="60"/>
      <c r="D47" s="60"/>
      <c r="E47" s="60"/>
      <c r="F47" s="116">
        <f>NPV(F4,H42:P42)+G42</f>
        <v>379987750.74982375</v>
      </c>
      <c r="H47" s="74"/>
      <c r="I47" s="14"/>
      <c r="Q47" s="155"/>
    </row>
    <row r="48" spans="2:24" x14ac:dyDescent="0.35">
      <c r="B48" s="59" t="s">
        <v>26</v>
      </c>
      <c r="C48" s="60"/>
      <c r="D48" s="60"/>
      <c r="E48" s="60"/>
      <c r="F48" s="61">
        <f>Q32</f>
        <v>0.56456671982987772</v>
      </c>
      <c r="H48" s="68"/>
      <c r="Q48" s="155"/>
    </row>
    <row r="49" spans="2:27" x14ac:dyDescent="0.35">
      <c r="B49" s="62" t="s">
        <v>27</v>
      </c>
      <c r="C49" s="63"/>
      <c r="D49" s="63"/>
      <c r="E49" s="63"/>
      <c r="F49" s="64">
        <f>SUM(G44:K44)</f>
        <v>2.0350612884048314</v>
      </c>
      <c r="Q49" s="155"/>
    </row>
    <row r="50" spans="2:27" ht="3.65" customHeight="1" x14ac:dyDescent="0.35">
      <c r="F50" s="32"/>
      <c r="G50" s="32"/>
      <c r="H50" s="2"/>
      <c r="Q50" s="155"/>
    </row>
    <row r="51" spans="2:27" ht="16.25" customHeight="1" x14ac:dyDescent="0.35">
      <c r="G51"/>
      <c r="H51" s="8">
        <v>1</v>
      </c>
      <c r="I51" s="33">
        <v>2</v>
      </c>
      <c r="J51" s="8">
        <v>3</v>
      </c>
      <c r="K51" s="33">
        <v>4</v>
      </c>
      <c r="L51" s="33"/>
      <c r="M51" s="33"/>
      <c r="N51" s="33"/>
      <c r="O51" s="33"/>
      <c r="P51" s="33"/>
      <c r="Q51" s="144"/>
      <c r="R51" s="33"/>
      <c r="S51" s="8"/>
      <c r="T51" s="33"/>
      <c r="U51" s="8"/>
      <c r="V51" s="33"/>
      <c r="W51" s="8"/>
    </row>
    <row r="52" spans="2:27" ht="16" thickBot="1" x14ac:dyDescent="0.4">
      <c r="B52" s="34" t="s">
        <v>28</v>
      </c>
      <c r="E52" s="35" t="s">
        <v>29</v>
      </c>
      <c r="G52" s="35">
        <f t="shared" ref="G52:P52" si="23">G14</f>
        <v>2024</v>
      </c>
      <c r="H52" s="35">
        <f t="shared" si="23"/>
        <v>2025</v>
      </c>
      <c r="I52" s="35">
        <f t="shared" si="23"/>
        <v>2026</v>
      </c>
      <c r="J52" s="35">
        <f t="shared" si="23"/>
        <v>2027</v>
      </c>
      <c r="K52" s="35">
        <f t="shared" si="23"/>
        <v>2028</v>
      </c>
      <c r="L52" s="35">
        <f t="shared" si="23"/>
        <v>2029</v>
      </c>
      <c r="M52" s="35">
        <f t="shared" si="23"/>
        <v>2030</v>
      </c>
      <c r="N52" s="35">
        <f t="shared" si="23"/>
        <v>2031</v>
      </c>
      <c r="O52" s="35">
        <f t="shared" si="23"/>
        <v>2032</v>
      </c>
      <c r="P52" s="35">
        <f t="shared" si="23"/>
        <v>2033</v>
      </c>
      <c r="Q52" s="136" t="s">
        <v>11</v>
      </c>
      <c r="R52" s="35"/>
      <c r="S52" s="35"/>
      <c r="T52" s="35"/>
      <c r="U52" s="35"/>
      <c r="V52" s="35"/>
      <c r="W52" s="35"/>
      <c r="X52" s="35"/>
    </row>
    <row r="53" spans="2:27" x14ac:dyDescent="0.35">
      <c r="D53" t="s">
        <v>5</v>
      </c>
      <c r="E53">
        <v>5</v>
      </c>
      <c r="G53" s="69">
        <f>G12/E53</f>
        <v>16348115.800000001</v>
      </c>
      <c r="H53" s="69">
        <f>(G$12)/$E53</f>
        <v>16348115.800000001</v>
      </c>
      <c r="I53" s="36">
        <f>H53</f>
        <v>16348115.800000001</v>
      </c>
      <c r="J53" s="36">
        <f t="shared" ref="J53" si="24">I53</f>
        <v>16348115.800000001</v>
      </c>
      <c r="K53" s="36">
        <f>J53</f>
        <v>16348115.800000001</v>
      </c>
      <c r="L53" s="36"/>
      <c r="M53" s="36"/>
      <c r="N53" s="36"/>
      <c r="O53" s="36"/>
      <c r="P53" s="36"/>
      <c r="Q53" s="148">
        <f>SUM(G53:P53)</f>
        <v>81740579</v>
      </c>
      <c r="R53" s="36"/>
      <c r="S53" s="36"/>
      <c r="T53" s="36"/>
      <c r="U53" s="36"/>
      <c r="V53" s="36"/>
      <c r="W53" s="36"/>
      <c r="X53" s="37"/>
    </row>
    <row r="54" spans="2:27" x14ac:dyDescent="0.35">
      <c r="D54" t="s">
        <v>6</v>
      </c>
      <c r="E54">
        <v>4</v>
      </c>
      <c r="G54"/>
      <c r="H54" s="2"/>
      <c r="I54" s="69"/>
      <c r="J54" s="36"/>
      <c r="K54" s="36"/>
      <c r="L54" s="36"/>
      <c r="M54" s="36"/>
      <c r="N54" s="36"/>
      <c r="O54" s="36"/>
      <c r="P54" s="36"/>
      <c r="Q54" s="148">
        <f>SUM($G54:K54)</f>
        <v>0</v>
      </c>
      <c r="R54" s="36"/>
      <c r="S54" s="36"/>
      <c r="T54" s="36"/>
      <c r="U54" s="36"/>
      <c r="V54" s="36"/>
      <c r="W54" s="36"/>
      <c r="X54" s="37"/>
    </row>
    <row r="55" spans="2:27" x14ac:dyDescent="0.35">
      <c r="D55" t="s">
        <v>7</v>
      </c>
      <c r="E55">
        <v>3</v>
      </c>
      <c r="G55"/>
      <c r="H55" s="2"/>
      <c r="J55" s="69"/>
      <c r="K55" s="36"/>
      <c r="L55" s="36"/>
      <c r="M55" s="36"/>
      <c r="N55" s="36"/>
      <c r="O55" s="36"/>
      <c r="P55" s="36"/>
      <c r="Q55" s="148">
        <f>SUM($G55:K55)</f>
        <v>0</v>
      </c>
      <c r="R55" s="36"/>
      <c r="S55" s="36"/>
      <c r="T55" s="36"/>
      <c r="U55" s="36"/>
      <c r="V55" s="36"/>
      <c r="W55" s="36"/>
      <c r="X55" s="37"/>
    </row>
    <row r="56" spans="2:27" x14ac:dyDescent="0.35">
      <c r="D56" t="s">
        <v>8</v>
      </c>
      <c r="E56">
        <v>2</v>
      </c>
      <c r="G56"/>
      <c r="H56" s="2"/>
      <c r="K56" s="69"/>
      <c r="L56" s="69"/>
      <c r="M56" s="69"/>
      <c r="N56" s="69"/>
      <c r="O56" s="69"/>
      <c r="P56" s="69"/>
      <c r="Q56" s="148">
        <f>SUM($G56:K56)</f>
        <v>0</v>
      </c>
      <c r="R56" s="36"/>
      <c r="S56" s="36"/>
      <c r="T56" s="36"/>
      <c r="U56" s="36"/>
      <c r="V56" s="36"/>
      <c r="W56" s="36"/>
      <c r="X56" s="37"/>
    </row>
    <row r="57" spans="2:27" x14ac:dyDescent="0.35">
      <c r="D57" t="s">
        <v>9</v>
      </c>
      <c r="E57">
        <v>1</v>
      </c>
      <c r="G57"/>
      <c r="H57" s="2"/>
      <c r="Q57" s="148">
        <f>SUM($G57:K57)</f>
        <v>0</v>
      </c>
      <c r="R57" s="36"/>
      <c r="S57" s="36"/>
      <c r="T57" s="36"/>
      <c r="U57" s="36"/>
      <c r="V57" s="36"/>
      <c r="W57" s="36"/>
      <c r="X57" s="37"/>
    </row>
    <row r="58" spans="2:27" hidden="1" x14ac:dyDescent="0.35">
      <c r="D58" t="s">
        <v>40</v>
      </c>
      <c r="E58">
        <v>5</v>
      </c>
      <c r="G58"/>
      <c r="H58" s="2"/>
      <c r="Q58" s="148">
        <f>SUM($G58:K58)</f>
        <v>0</v>
      </c>
      <c r="R58" s="36"/>
      <c r="S58" s="36"/>
      <c r="T58" s="36"/>
      <c r="U58" s="36"/>
      <c r="V58" s="36"/>
      <c r="W58" s="36"/>
      <c r="X58" s="37"/>
    </row>
    <row r="59" spans="2:27" hidden="1" x14ac:dyDescent="0.35">
      <c r="D59" t="s">
        <v>41</v>
      </c>
      <c r="E59">
        <v>4</v>
      </c>
      <c r="G59"/>
      <c r="H59" s="2"/>
      <c r="Q59" s="148">
        <f>SUM($G59:K59)</f>
        <v>0</v>
      </c>
      <c r="R59" s="36"/>
      <c r="S59" s="36"/>
      <c r="T59" s="36"/>
      <c r="U59" s="36"/>
      <c r="V59" s="36"/>
      <c r="W59" s="36"/>
      <c r="X59" s="37"/>
    </row>
    <row r="60" spans="2:27" hidden="1" x14ac:dyDescent="0.35">
      <c r="D60" t="s">
        <v>42</v>
      </c>
      <c r="E60">
        <v>3</v>
      </c>
      <c r="G60"/>
      <c r="H60" s="2"/>
      <c r="Q60" s="148">
        <f>SUM($G60:K60)</f>
        <v>0</v>
      </c>
      <c r="R60" s="36"/>
      <c r="S60" s="36"/>
      <c r="T60" s="36"/>
      <c r="U60" s="36"/>
      <c r="V60" s="36"/>
      <c r="W60" s="36"/>
      <c r="X60" s="37"/>
    </row>
    <row r="61" spans="2:27" hidden="1" x14ac:dyDescent="0.35">
      <c r="D61" t="s">
        <v>43</v>
      </c>
      <c r="E61">
        <v>2</v>
      </c>
      <c r="G61"/>
      <c r="H61" s="2"/>
      <c r="Q61" s="148">
        <f>SUM($G61:K61)</f>
        <v>0</v>
      </c>
      <c r="R61" s="36"/>
      <c r="S61" s="36"/>
      <c r="T61" s="36"/>
      <c r="U61" s="36"/>
      <c r="V61" s="36"/>
      <c r="W61" s="36"/>
      <c r="X61" s="37"/>
    </row>
    <row r="62" spans="2:27" hidden="1" x14ac:dyDescent="0.35">
      <c r="D62" t="s">
        <v>44</v>
      </c>
      <c r="E62">
        <v>1</v>
      </c>
      <c r="G62"/>
      <c r="H62" s="2"/>
      <c r="K62" s="36"/>
      <c r="L62" s="36"/>
      <c r="M62" s="36"/>
      <c r="N62" s="36"/>
      <c r="O62" s="36"/>
      <c r="P62" s="36"/>
      <c r="Q62" s="148">
        <f>SUM($G62:K62)</f>
        <v>0</v>
      </c>
      <c r="R62" s="36"/>
      <c r="S62" s="36"/>
      <c r="T62" s="36"/>
      <c r="U62" s="36"/>
      <c r="V62" s="36"/>
      <c r="W62" s="36"/>
      <c r="X62" s="37"/>
    </row>
    <row r="63" spans="2:27" ht="16" thickBot="1" x14ac:dyDescent="0.4">
      <c r="B63" s="38" t="s">
        <v>30</v>
      </c>
      <c r="C63" s="39"/>
      <c r="D63" s="39"/>
      <c r="E63" s="39"/>
      <c r="F63" s="39"/>
      <c r="G63" s="40">
        <f>SUM(G53:G62)</f>
        <v>16348115.800000001</v>
      </c>
      <c r="H63" s="40">
        <f>SUM(H53:H62)</f>
        <v>16348115.800000001</v>
      </c>
      <c r="I63" s="40">
        <f t="shared" ref="I63:P63" si="25">SUM(I53:I62)</f>
        <v>16348115.800000001</v>
      </c>
      <c r="J63" s="40">
        <f t="shared" si="25"/>
        <v>16348115.800000001</v>
      </c>
      <c r="K63" s="40">
        <f t="shared" si="25"/>
        <v>16348115.800000001</v>
      </c>
      <c r="L63" s="40">
        <f t="shared" si="25"/>
        <v>0</v>
      </c>
      <c r="M63" s="40">
        <f t="shared" si="25"/>
        <v>0</v>
      </c>
      <c r="N63" s="40">
        <f t="shared" si="25"/>
        <v>0</v>
      </c>
      <c r="O63" s="40">
        <f t="shared" si="25"/>
        <v>0</v>
      </c>
      <c r="P63" s="40">
        <f t="shared" si="25"/>
        <v>0</v>
      </c>
      <c r="Q63" s="135">
        <f>SUM(Q53:Q62)</f>
        <v>81740579</v>
      </c>
      <c r="R63" s="44"/>
      <c r="S63" s="44"/>
      <c r="T63" s="44"/>
      <c r="U63" s="44"/>
      <c r="V63" s="44"/>
      <c r="W63" s="44"/>
      <c r="X63" s="44"/>
      <c r="Y63" s="41"/>
      <c r="Z63" s="41"/>
      <c r="AA63" s="41"/>
    </row>
    <row r="64" spans="2:27" ht="16.5" thickTop="1" thickBot="1" x14ac:dyDescent="0.4">
      <c r="G64"/>
      <c r="H64" s="2"/>
      <c r="Q64" s="156"/>
      <c r="X64" s="14"/>
    </row>
    <row r="66" spans="5:26" x14ac:dyDescent="0.35">
      <c r="F66" t="s">
        <v>48</v>
      </c>
    </row>
    <row r="67" spans="5:26" ht="13.5" customHeight="1" x14ac:dyDescent="0.35">
      <c r="E67" s="169"/>
      <c r="G67" s="170"/>
      <c r="H67" s="170"/>
      <c r="I67" s="170"/>
      <c r="J67" s="170"/>
      <c r="K67" s="170"/>
      <c r="L67" s="170"/>
      <c r="M67" s="170"/>
      <c r="N67" s="170"/>
      <c r="O67" s="170"/>
      <c r="P67" s="170"/>
      <c r="Q67" s="170"/>
      <c r="R67" s="170"/>
      <c r="S67" s="170"/>
      <c r="T67" s="170"/>
      <c r="U67" s="170"/>
      <c r="V67" s="170"/>
      <c r="W67" s="170"/>
      <c r="X67" s="170"/>
      <c r="Y67" s="170"/>
      <c r="Z67" s="170"/>
    </row>
    <row r="68" spans="5:26" x14ac:dyDescent="0.35">
      <c r="E68" s="169"/>
      <c r="G68" s="175"/>
      <c r="H68" s="171"/>
      <c r="I68" s="171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0"/>
      <c r="W68" s="170"/>
      <c r="X68" s="170"/>
      <c r="Y68" s="170"/>
      <c r="Z68" s="170"/>
    </row>
    <row r="69" spans="5:26" x14ac:dyDescent="0.35">
      <c r="E69" s="169"/>
      <c r="G69" s="172"/>
      <c r="H69" s="173"/>
      <c r="I69" s="173"/>
      <c r="J69" s="173"/>
      <c r="K69" s="173"/>
      <c r="L69" s="173"/>
      <c r="M69" s="173"/>
      <c r="N69" s="173"/>
      <c r="O69" s="173"/>
      <c r="P69" s="173"/>
      <c r="Q69" s="173"/>
      <c r="R69" s="173"/>
      <c r="S69" s="173"/>
      <c r="T69" s="173"/>
      <c r="U69" s="173"/>
      <c r="V69" s="170"/>
      <c r="W69" s="170"/>
      <c r="X69" s="170"/>
      <c r="Y69" s="170"/>
      <c r="Z69" s="170"/>
    </row>
    <row r="70" spans="5:26" x14ac:dyDescent="0.35">
      <c r="E70" s="169"/>
      <c r="G70" s="172"/>
      <c r="H70" s="171"/>
      <c r="I70" s="171"/>
      <c r="J70" s="171"/>
      <c r="K70" s="171"/>
      <c r="L70" s="171"/>
      <c r="M70" s="171"/>
      <c r="N70" s="171"/>
      <c r="O70" s="171"/>
      <c r="P70" s="171"/>
      <c r="Q70" s="171"/>
      <c r="R70" s="171"/>
      <c r="S70" s="171"/>
      <c r="T70" s="171"/>
      <c r="U70" s="171"/>
      <c r="V70" s="170"/>
      <c r="W70" s="170"/>
      <c r="X70" s="170"/>
      <c r="Y70" s="170"/>
      <c r="Z70" s="170"/>
    </row>
    <row r="71" spans="5:26" x14ac:dyDescent="0.35">
      <c r="E71" s="169"/>
      <c r="G71" s="170"/>
      <c r="H71" s="174"/>
      <c r="I71" s="171"/>
      <c r="J71" s="171"/>
      <c r="K71" s="171"/>
      <c r="L71" s="171"/>
      <c r="M71" s="171"/>
      <c r="N71" s="171"/>
      <c r="O71" s="171"/>
      <c r="P71" s="171"/>
      <c r="Q71" s="171"/>
      <c r="R71" s="171"/>
      <c r="S71" s="171"/>
      <c r="T71" s="171"/>
      <c r="U71" s="171"/>
      <c r="V71" s="171"/>
      <c r="W71" s="171"/>
      <c r="X71" s="170"/>
      <c r="Y71" s="170"/>
      <c r="Z71" s="170"/>
    </row>
    <row r="72" spans="5:26" x14ac:dyDescent="0.35">
      <c r="E72" s="169"/>
      <c r="G72" s="170"/>
      <c r="H72" s="174"/>
      <c r="I72" s="172"/>
      <c r="J72" s="173"/>
      <c r="K72" s="173"/>
      <c r="L72" s="173"/>
      <c r="M72" s="173"/>
      <c r="N72" s="173"/>
      <c r="O72" s="173"/>
      <c r="P72" s="173"/>
      <c r="Q72" s="173"/>
      <c r="R72" s="173"/>
      <c r="S72" s="173"/>
      <c r="T72" s="173"/>
      <c r="U72" s="173"/>
      <c r="V72" s="173"/>
      <c r="W72" s="173"/>
      <c r="X72" s="170"/>
      <c r="Y72" s="170"/>
      <c r="Z72" s="170"/>
    </row>
    <row r="73" spans="5:26" x14ac:dyDescent="0.35">
      <c r="E73" s="169"/>
      <c r="G73" s="170"/>
      <c r="H73" s="172"/>
      <c r="I73" s="172"/>
      <c r="J73" s="171"/>
      <c r="K73" s="171"/>
      <c r="L73" s="171"/>
      <c r="M73" s="171"/>
      <c r="N73" s="171"/>
      <c r="O73" s="171"/>
      <c r="P73" s="171"/>
      <c r="Q73" s="171"/>
      <c r="R73" s="171"/>
      <c r="S73" s="171"/>
      <c r="T73" s="171"/>
      <c r="U73" s="171"/>
      <c r="V73" s="171"/>
      <c r="W73" s="171"/>
      <c r="X73" s="170"/>
      <c r="Y73" s="170"/>
      <c r="Z73" s="170"/>
    </row>
    <row r="74" spans="5:26" x14ac:dyDescent="0.35">
      <c r="E74" s="169"/>
      <c r="G74" s="170"/>
      <c r="H74" s="172"/>
      <c r="I74" s="14"/>
      <c r="J74" s="171"/>
      <c r="K74" s="171"/>
      <c r="L74" s="171"/>
      <c r="M74" s="171"/>
      <c r="N74" s="171"/>
      <c r="O74" s="171"/>
      <c r="P74" s="171"/>
      <c r="Q74" s="171"/>
      <c r="R74" s="171"/>
      <c r="S74" s="171"/>
      <c r="T74" s="171"/>
      <c r="U74" s="171"/>
      <c r="V74" s="171"/>
      <c r="W74" s="171"/>
      <c r="X74" s="170"/>
      <c r="Y74" s="170"/>
      <c r="Z74" s="170"/>
    </row>
    <row r="75" spans="5:26" x14ac:dyDescent="0.35">
      <c r="E75" s="169"/>
      <c r="G75" s="170"/>
      <c r="H75" s="172"/>
      <c r="I75" s="174"/>
      <c r="J75" s="171"/>
      <c r="K75" s="171"/>
      <c r="L75" s="171"/>
      <c r="M75" s="171"/>
      <c r="N75" s="171"/>
      <c r="O75" s="171"/>
      <c r="P75" s="171"/>
      <c r="Q75" s="171"/>
      <c r="R75" s="171"/>
      <c r="S75" s="171"/>
      <c r="T75" s="171"/>
      <c r="U75" s="171"/>
      <c r="V75" s="171"/>
      <c r="W75" s="171"/>
      <c r="X75" s="170"/>
      <c r="Y75" s="170"/>
      <c r="Z75" s="170"/>
    </row>
    <row r="76" spans="5:26" x14ac:dyDescent="0.35">
      <c r="E76" s="169"/>
      <c r="G76" s="170"/>
      <c r="H76" s="172"/>
      <c r="I76" s="172"/>
      <c r="J76" s="171"/>
      <c r="K76" s="171"/>
      <c r="L76" s="171"/>
      <c r="M76" s="171"/>
      <c r="N76" s="171"/>
      <c r="O76" s="171"/>
      <c r="P76" s="171"/>
      <c r="Q76" s="171"/>
      <c r="R76" s="171"/>
      <c r="S76" s="171"/>
      <c r="T76" s="171"/>
      <c r="U76" s="171"/>
      <c r="V76" s="171"/>
      <c r="W76" s="171"/>
      <c r="X76" s="170"/>
      <c r="Y76" s="170"/>
      <c r="Z76" s="170"/>
    </row>
    <row r="77" spans="5:26" x14ac:dyDescent="0.35">
      <c r="G77" s="13"/>
    </row>
    <row r="78" spans="5:26" x14ac:dyDescent="0.35">
      <c r="G78" s="13"/>
      <c r="H78" s="14"/>
      <c r="I78" s="14"/>
      <c r="J78" s="14"/>
      <c r="K78" s="14"/>
      <c r="L78" s="14"/>
      <c r="M78" s="14"/>
      <c r="N78" s="14"/>
      <c r="O78" s="14"/>
      <c r="P78" s="14"/>
    </row>
    <row r="79" spans="5:26" x14ac:dyDescent="0.35">
      <c r="F79" s="77"/>
      <c r="G79" s="79"/>
      <c r="H79" s="80"/>
      <c r="I79" s="80"/>
      <c r="J79" s="80">
        <v>694444444</v>
      </c>
      <c r="K79" s="80"/>
      <c r="L79" s="80"/>
      <c r="M79" s="80"/>
      <c r="N79" s="80"/>
      <c r="O79" s="80"/>
      <c r="P79" s="80"/>
    </row>
    <row r="80" spans="5:26" x14ac:dyDescent="0.35">
      <c r="J80" s="81">
        <v>200000000</v>
      </c>
    </row>
    <row r="82" spans="7:16" x14ac:dyDescent="0.35">
      <c r="G82" s="13"/>
      <c r="J82" s="14">
        <f>J79-J80</f>
        <v>494444444</v>
      </c>
    </row>
    <row r="84" spans="7:16" x14ac:dyDescent="0.35">
      <c r="G84" s="68"/>
      <c r="H84" s="68"/>
      <c r="I84" s="68"/>
      <c r="J84" s="195">
        <f>J80/J79</f>
        <v>0.28800000018431998</v>
      </c>
      <c r="K84" s="68"/>
      <c r="L84" s="68"/>
      <c r="M84" s="68"/>
      <c r="N84" s="68"/>
      <c r="O84" s="68"/>
      <c r="P84" s="68"/>
    </row>
    <row r="85" spans="7:16" x14ac:dyDescent="0.35">
      <c r="J85" s="81">
        <v>138888889</v>
      </c>
    </row>
    <row r="86" spans="7:16" x14ac:dyDescent="0.35">
      <c r="J86" s="81">
        <v>40000000</v>
      </c>
    </row>
    <row r="87" spans="7:16" x14ac:dyDescent="0.35">
      <c r="J87" s="81"/>
    </row>
    <row r="88" spans="7:16" x14ac:dyDescent="0.35">
      <c r="J88" s="14">
        <f>J85-J86</f>
        <v>98888889</v>
      </c>
    </row>
    <row r="89" spans="7:16" x14ac:dyDescent="0.35">
      <c r="J89">
        <f>J88/J85</f>
        <v>0.7120000002304</v>
      </c>
    </row>
  </sheetData>
  <mergeCells count="1">
    <mergeCell ref="E23:F23"/>
  </mergeCells>
  <phoneticPr fontId="28" type="noConversion"/>
  <conditionalFormatting sqref="G70:U70">
    <cfRule type="cellIs" dxfId="54" priority="17" operator="lessThan">
      <formula>0</formula>
    </cfRule>
  </conditionalFormatting>
  <conditionalFormatting sqref="S75:W75 U76:W76 U73:W74">
    <cfRule type="cellIs" dxfId="53" priority="16" operator="lessThan">
      <formula>0</formula>
    </cfRule>
  </conditionalFormatting>
  <conditionalFormatting sqref="H73:H76">
    <cfRule type="cellIs" dxfId="52" priority="15" operator="lessThan">
      <formula>0</formula>
    </cfRule>
  </conditionalFormatting>
  <conditionalFormatting sqref="I74">
    <cfRule type="cellIs" dxfId="51" priority="14" operator="lessThan">
      <formula>0</formula>
    </cfRule>
  </conditionalFormatting>
  <conditionalFormatting sqref="J75">
    <cfRule type="cellIs" dxfId="50" priority="13" operator="lessThan">
      <formula>0</formula>
    </cfRule>
  </conditionalFormatting>
  <conditionalFormatting sqref="K75:P75">
    <cfRule type="cellIs" dxfId="49" priority="12" operator="lessThan">
      <formula>0</formula>
    </cfRule>
  </conditionalFormatting>
  <conditionalFormatting sqref="Q75">
    <cfRule type="cellIs" dxfId="48" priority="11" operator="lessThan">
      <formula>0</formula>
    </cfRule>
  </conditionalFormatting>
  <conditionalFormatting sqref="R75">
    <cfRule type="cellIs" dxfId="47" priority="10" operator="lessThan">
      <formula>0</formula>
    </cfRule>
  </conditionalFormatting>
  <conditionalFormatting sqref="I76">
    <cfRule type="cellIs" dxfId="46" priority="9" operator="lessThan">
      <formula>0</formula>
    </cfRule>
  </conditionalFormatting>
  <conditionalFormatting sqref="J76">
    <cfRule type="cellIs" dxfId="45" priority="8" operator="lessThan">
      <formula>0</formula>
    </cfRule>
  </conditionalFormatting>
  <conditionalFormatting sqref="K76:P76">
    <cfRule type="cellIs" dxfId="44" priority="7" operator="lessThan">
      <formula>0</formula>
    </cfRule>
  </conditionalFormatting>
  <conditionalFormatting sqref="Q76">
    <cfRule type="cellIs" dxfId="43" priority="6" operator="lessThan">
      <formula>0</formula>
    </cfRule>
  </conditionalFormatting>
  <conditionalFormatting sqref="R76">
    <cfRule type="cellIs" dxfId="42" priority="5" operator="lessThan">
      <formula>0</formula>
    </cfRule>
  </conditionalFormatting>
  <conditionalFormatting sqref="S76">
    <cfRule type="cellIs" dxfId="41" priority="4" operator="lessThan">
      <formula>0</formula>
    </cfRule>
  </conditionalFormatting>
  <conditionalFormatting sqref="T76">
    <cfRule type="cellIs" dxfId="40" priority="3" operator="lessThan">
      <formula>0</formula>
    </cfRule>
  </conditionalFormatting>
  <conditionalFormatting sqref="I73:S73">
    <cfRule type="cellIs" dxfId="39" priority="2" operator="lessThan">
      <formula>0</formula>
    </cfRule>
  </conditionalFormatting>
  <conditionalFormatting sqref="T73">
    <cfRule type="cellIs" dxfId="38" priority="1" operator="lessThan">
      <formula>0</formula>
    </cfRule>
  </conditionalFormatting>
  <printOptions horizontalCentered="1" verticalCentered="1"/>
  <pageMargins left="0" right="0" top="0" bottom="0" header="0.31496062992125984" footer="0.31496062992125984"/>
  <pageSetup paperSize="9" scale="7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/>
  <dimension ref="A1:V84"/>
  <sheetViews>
    <sheetView topLeftCell="A13" workbookViewId="0">
      <selection activeCell="A34" sqref="A34"/>
    </sheetView>
  </sheetViews>
  <sheetFormatPr defaultRowHeight="15.5" x14ac:dyDescent="0.35"/>
  <cols>
    <col min="1" max="1" width="13.5" bestFit="1" customWidth="1"/>
    <col min="2" max="2" width="15.6640625" bestFit="1" customWidth="1"/>
    <col min="3" max="4" width="13.6640625" bestFit="1" customWidth="1"/>
    <col min="5" max="5" width="14" customWidth="1"/>
    <col min="6" max="6" width="13.5" bestFit="1" customWidth="1"/>
    <col min="7" max="9" width="12.08203125" bestFit="1" customWidth="1"/>
    <col min="10" max="11" width="13.6640625" bestFit="1" customWidth="1"/>
    <col min="12" max="16" width="11.9140625" bestFit="1" customWidth="1"/>
    <col min="17" max="17" width="10.9140625" bestFit="1" customWidth="1"/>
    <col min="18" max="18" width="9.9140625" bestFit="1" customWidth="1"/>
  </cols>
  <sheetData>
    <row r="1" spans="1:22" x14ac:dyDescent="0.35">
      <c r="A1" s="176" t="s">
        <v>134</v>
      </c>
    </row>
    <row r="2" spans="1:22" x14ac:dyDescent="0.35">
      <c r="A2" s="177" t="s">
        <v>135</v>
      </c>
      <c r="B2" s="178">
        <v>5</v>
      </c>
      <c r="C2" s="118">
        <v>2014</v>
      </c>
      <c r="D2" s="118">
        <f>C2+1</f>
        <v>2015</v>
      </c>
      <c r="E2" s="118">
        <f t="shared" ref="E2:T2" si="0">D2+1</f>
        <v>2016</v>
      </c>
      <c r="F2" s="118">
        <f t="shared" si="0"/>
        <v>2017</v>
      </c>
      <c r="G2" s="118">
        <f t="shared" si="0"/>
        <v>2018</v>
      </c>
      <c r="H2" s="118">
        <f t="shared" si="0"/>
        <v>2019</v>
      </c>
      <c r="I2" s="118">
        <f t="shared" si="0"/>
        <v>2020</v>
      </c>
      <c r="J2" s="118">
        <f t="shared" si="0"/>
        <v>2021</v>
      </c>
      <c r="K2" s="118">
        <f t="shared" si="0"/>
        <v>2022</v>
      </c>
      <c r="L2" s="118">
        <f t="shared" si="0"/>
        <v>2023</v>
      </c>
      <c r="M2" s="118">
        <f t="shared" si="0"/>
        <v>2024</v>
      </c>
      <c r="N2" s="118">
        <f t="shared" si="0"/>
        <v>2025</v>
      </c>
      <c r="O2" s="118">
        <f t="shared" si="0"/>
        <v>2026</v>
      </c>
      <c r="P2" s="118">
        <f t="shared" si="0"/>
        <v>2027</v>
      </c>
      <c r="Q2" s="118">
        <f t="shared" si="0"/>
        <v>2028</v>
      </c>
      <c r="R2" s="118">
        <f t="shared" si="0"/>
        <v>2029</v>
      </c>
      <c r="S2" s="118">
        <f t="shared" si="0"/>
        <v>2030</v>
      </c>
      <c r="T2" s="118">
        <f t="shared" si="0"/>
        <v>2031</v>
      </c>
    </row>
    <row r="3" spans="1:22" x14ac:dyDescent="0.35">
      <c r="A3" s="179">
        <v>2014</v>
      </c>
      <c r="B3" t="s">
        <v>49</v>
      </c>
      <c r="C3" s="180"/>
      <c r="D3" s="14">
        <f>C3-$C$4</f>
        <v>0</v>
      </c>
      <c r="E3" s="14">
        <f t="shared" ref="E3:H3" si="1">D3-$C$4</f>
        <v>0</v>
      </c>
      <c r="F3" s="14">
        <f t="shared" si="1"/>
        <v>0</v>
      </c>
      <c r="G3" s="14">
        <f t="shared" si="1"/>
        <v>0</v>
      </c>
      <c r="H3" s="14">
        <f t="shared" si="1"/>
        <v>0</v>
      </c>
      <c r="I3" s="14"/>
      <c r="J3" s="14"/>
      <c r="K3" s="14"/>
      <c r="P3" s="14"/>
      <c r="Q3" s="14"/>
      <c r="U3">
        <v>2013</v>
      </c>
      <c r="V3" s="180">
        <v>1726670811.6800001</v>
      </c>
    </row>
    <row r="4" spans="1:22" x14ac:dyDescent="0.35">
      <c r="A4" s="173"/>
      <c r="B4" t="s">
        <v>50</v>
      </c>
      <c r="C4" s="180"/>
      <c r="D4" s="180"/>
      <c r="E4" s="180"/>
      <c r="U4">
        <v>2014</v>
      </c>
      <c r="V4" s="180">
        <v>422342499</v>
      </c>
    </row>
    <row r="5" spans="1:22" x14ac:dyDescent="0.35">
      <c r="A5" s="173"/>
      <c r="B5" t="s">
        <v>51</v>
      </c>
      <c r="C5" s="180"/>
      <c r="D5" s="14">
        <f>AVERAGE(C3:D3)*IRR!$F$4</f>
        <v>0</v>
      </c>
      <c r="E5" s="14">
        <f>AVERAGE(D3:E3)*IRR!$F$4</f>
        <v>0</v>
      </c>
      <c r="F5" s="14">
        <f>AVERAGE(E3:F3)*IRR!$F$4</f>
        <v>0</v>
      </c>
      <c r="G5" s="14">
        <f>AVERAGE(F3:G3)*IRR!$F$4</f>
        <v>0</v>
      </c>
      <c r="H5" s="14">
        <f>AVERAGE(G3:H3)*IRR!$F$4</f>
        <v>0</v>
      </c>
      <c r="I5" s="14"/>
      <c r="J5" s="14"/>
      <c r="K5" s="14"/>
      <c r="P5" s="14"/>
      <c r="Q5" s="14"/>
      <c r="T5" s="14"/>
      <c r="U5">
        <v>2016</v>
      </c>
      <c r="V5" s="180">
        <v>10773000</v>
      </c>
    </row>
    <row r="6" spans="1:22" x14ac:dyDescent="0.35">
      <c r="A6" s="179">
        <v>2015</v>
      </c>
      <c r="B6" t="s">
        <v>49</v>
      </c>
      <c r="C6" s="180"/>
      <c r="D6" s="81">
        <v>1394953527</v>
      </c>
      <c r="E6" s="14">
        <f>D6-D7</f>
        <v>1115962821.5999999</v>
      </c>
      <c r="F6" s="14">
        <f>E6-D7</f>
        <v>836972116.19999993</v>
      </c>
      <c r="G6" s="14">
        <f>F6-D7</f>
        <v>557981410.79999995</v>
      </c>
      <c r="H6" s="14">
        <f>G6-D7</f>
        <v>278990705.39999998</v>
      </c>
      <c r="I6" s="14">
        <f>H6-D7</f>
        <v>0</v>
      </c>
      <c r="J6" s="14"/>
      <c r="K6" s="14"/>
      <c r="U6">
        <v>2017</v>
      </c>
      <c r="V6" s="180">
        <v>102210600</v>
      </c>
    </row>
    <row r="7" spans="1:22" x14ac:dyDescent="0.35">
      <c r="A7" s="173"/>
      <c r="B7" t="s">
        <v>50</v>
      </c>
      <c r="C7" s="180"/>
      <c r="D7" s="14">
        <f>D6/B2</f>
        <v>278990705.39999998</v>
      </c>
      <c r="E7" s="14"/>
      <c r="F7" s="14"/>
      <c r="G7" s="14"/>
      <c r="H7" s="14"/>
      <c r="I7" s="14"/>
      <c r="J7" s="14"/>
      <c r="K7" s="14"/>
    </row>
    <row r="8" spans="1:22" x14ac:dyDescent="0.35">
      <c r="A8" s="173"/>
      <c r="B8" t="s">
        <v>51</v>
      </c>
      <c r="C8" s="180"/>
      <c r="D8" s="81">
        <f>((D6*IRR!F4*6)/12)</f>
        <v>69747676.350000009</v>
      </c>
      <c r="E8" s="81">
        <f>AVERAGE(D6:E6)*IRR!$F$4</f>
        <v>125545817.43000001</v>
      </c>
      <c r="F8" s="81">
        <f>AVERAGE(E6:F6)*IRR!$F$4</f>
        <v>97646746.889999986</v>
      </c>
      <c r="G8" s="81">
        <f>AVERAGE(F6:G6)*IRR!$F$4</f>
        <v>69747676.350000009</v>
      </c>
      <c r="H8" s="81">
        <f>AVERAGE(G6:H6)*IRR!$F$4</f>
        <v>41848605.810000002</v>
      </c>
      <c r="I8" s="81">
        <f>AVERAGE(H6:I6)*IRR!$F$4</f>
        <v>13949535.27</v>
      </c>
      <c r="J8" s="81">
        <f>AVERAGE(I6:J6)*IRR!$F$4</f>
        <v>0</v>
      </c>
      <c r="K8" s="14"/>
    </row>
    <row r="9" spans="1:22" x14ac:dyDescent="0.35">
      <c r="A9" s="179">
        <v>2016</v>
      </c>
      <c r="B9" t="s">
        <v>49</v>
      </c>
      <c r="C9" s="180"/>
      <c r="E9" s="14">
        <v>198823424</v>
      </c>
      <c r="F9" s="14">
        <f>E9-E10</f>
        <v>159058739.19999999</v>
      </c>
      <c r="G9" s="14">
        <f>F9-E10</f>
        <v>119294054.39999999</v>
      </c>
      <c r="H9" s="14">
        <f>G9-E10</f>
        <v>79529369.599999994</v>
      </c>
      <c r="I9" s="14">
        <f>H9-E10</f>
        <v>39764684.799999997</v>
      </c>
      <c r="J9" s="14">
        <f>I9-E10</f>
        <v>0</v>
      </c>
      <c r="K9" s="14"/>
      <c r="U9">
        <v>2017</v>
      </c>
      <c r="V9" s="180">
        <v>102210600</v>
      </c>
    </row>
    <row r="10" spans="1:22" x14ac:dyDescent="0.35">
      <c r="A10" s="173"/>
      <c r="B10" t="s">
        <v>50</v>
      </c>
      <c r="C10" s="180"/>
      <c r="E10" s="14">
        <f>E9/B2</f>
        <v>39764684.799999997</v>
      </c>
      <c r="F10" s="14"/>
      <c r="G10" s="14"/>
      <c r="H10" s="14"/>
      <c r="I10" s="14"/>
      <c r="J10" s="14"/>
      <c r="K10" s="14"/>
    </row>
    <row r="11" spans="1:22" x14ac:dyDescent="0.35">
      <c r="A11" s="173"/>
      <c r="B11" t="s">
        <v>51</v>
      </c>
      <c r="C11" s="180"/>
      <c r="E11" s="180">
        <f>((E9*IRR!F4*6)/12)</f>
        <v>9941171.2000000011</v>
      </c>
      <c r="F11" s="14">
        <f>AVERAGE(E9:F9)*IRR!$F$4</f>
        <v>17894108.16</v>
      </c>
      <c r="G11" s="14">
        <f>AVERAGE(F9:G9)*IRR!$F$4</f>
        <v>13917639.68</v>
      </c>
      <c r="H11" s="14">
        <f>AVERAGE(G9:H9)*IRR!$F$4</f>
        <v>9941171.2000000011</v>
      </c>
      <c r="I11" s="14">
        <f>AVERAGE(H9:I9)*IRR!$F$4</f>
        <v>5964702.7199999997</v>
      </c>
      <c r="J11" s="14">
        <f>AVERAGE(I9:J9)*IRR!$F$4</f>
        <v>1988234.24</v>
      </c>
      <c r="K11" s="14">
        <f>AVERAGE(J9:K9)*IRR!$F$4</f>
        <v>0</v>
      </c>
    </row>
    <row r="12" spans="1:22" x14ac:dyDescent="0.35">
      <c r="A12" s="179">
        <v>2017</v>
      </c>
      <c r="B12" t="s">
        <v>49</v>
      </c>
      <c r="C12" s="180"/>
      <c r="F12" s="14"/>
      <c r="G12" s="14">
        <f>F12-F13</f>
        <v>0</v>
      </c>
      <c r="H12" s="14">
        <f>G12-F13</f>
        <v>0</v>
      </c>
      <c r="I12" s="14">
        <f>H12-F13</f>
        <v>0</v>
      </c>
      <c r="J12" s="14">
        <f>I12-F13</f>
        <v>0</v>
      </c>
      <c r="K12" s="14">
        <f>J12-F13</f>
        <v>0</v>
      </c>
      <c r="U12">
        <v>2017</v>
      </c>
      <c r="V12" s="180">
        <v>102210600</v>
      </c>
    </row>
    <row r="13" spans="1:22" x14ac:dyDescent="0.35">
      <c r="A13" s="173"/>
      <c r="B13" t="s">
        <v>50</v>
      </c>
      <c r="C13" s="180"/>
      <c r="F13" s="14">
        <f>F12/B2</f>
        <v>0</v>
      </c>
      <c r="G13" s="14"/>
      <c r="H13" s="14"/>
      <c r="I13" s="14"/>
      <c r="J13" s="14"/>
      <c r="K13" s="14"/>
    </row>
    <row r="14" spans="1:22" x14ac:dyDescent="0.35">
      <c r="A14" s="173"/>
      <c r="B14" t="s">
        <v>51</v>
      </c>
      <c r="C14" s="180"/>
      <c r="F14" s="180">
        <f>((F12*IRR!F4*6)/12)</f>
        <v>0</v>
      </c>
      <c r="G14" s="14">
        <f>AVERAGE(F12:G12)*IRR!$F$4</f>
        <v>0</v>
      </c>
      <c r="H14" s="14">
        <f>AVERAGE(G12:H12)*IRR!$F$4</f>
        <v>0</v>
      </c>
      <c r="I14" s="14">
        <f>AVERAGE(H12:I12)*IRR!$F$4</f>
        <v>0</v>
      </c>
      <c r="J14" s="14">
        <f>AVERAGE(I12:J12)*IRR!$F$4</f>
        <v>0</v>
      </c>
      <c r="K14" s="14">
        <f>AVERAGE(J12:K12)*IRR!$F$4</f>
        <v>0</v>
      </c>
      <c r="L14" s="14">
        <f>AVERAGE(K12:L12)*IRR!$F$4</f>
        <v>0</v>
      </c>
    </row>
    <row r="15" spans="1:22" x14ac:dyDescent="0.35">
      <c r="A15" s="179">
        <v>2018</v>
      </c>
      <c r="B15" t="s">
        <v>49</v>
      </c>
      <c r="C15" s="180"/>
      <c r="E15" s="180"/>
      <c r="F15" s="14"/>
      <c r="G15" s="14"/>
      <c r="H15" s="14">
        <f>G15-$G$16</f>
        <v>0</v>
      </c>
      <c r="I15" s="14">
        <f>H15-$G$16</f>
        <v>0</v>
      </c>
      <c r="J15" s="14">
        <f>I15-$G$16</f>
        <v>0</v>
      </c>
      <c r="K15" s="14">
        <f>J15-$G$16</f>
        <v>0</v>
      </c>
      <c r="L15" s="14">
        <f>K15-$G$16</f>
        <v>0</v>
      </c>
    </row>
    <row r="16" spans="1:22" x14ac:dyDescent="0.35">
      <c r="A16" s="173"/>
      <c r="B16" t="s">
        <v>50</v>
      </c>
      <c r="C16" s="180"/>
      <c r="E16" s="180"/>
      <c r="F16" s="14"/>
      <c r="G16" s="14">
        <f>G15/$B$2</f>
        <v>0</v>
      </c>
      <c r="H16" s="14"/>
      <c r="I16" s="14"/>
      <c r="J16" s="14"/>
      <c r="K16" s="14"/>
    </row>
    <row r="17" spans="1:19" x14ac:dyDescent="0.35">
      <c r="A17" s="173"/>
      <c r="B17" t="s">
        <v>51</v>
      </c>
      <c r="C17" s="180"/>
      <c r="E17" s="180"/>
      <c r="F17" s="14"/>
      <c r="G17" s="180">
        <f>((G15*IRR!$F$4*6)/12)</f>
        <v>0</v>
      </c>
      <c r="H17" s="14">
        <f>AVERAGE(G15:H15)*IRR!$F$4</f>
        <v>0</v>
      </c>
      <c r="I17" s="14">
        <f>AVERAGE(H15:I15)*IRR!$F$4</f>
        <v>0</v>
      </c>
      <c r="J17" s="14">
        <f>AVERAGE(I15:J15)*IRR!$F$4</f>
        <v>0</v>
      </c>
      <c r="K17" s="14">
        <f>AVERAGE(J15:K15)*IRR!$F$4</f>
        <v>0</v>
      </c>
      <c r="L17" s="14">
        <f>AVERAGE(K15:L15)*IRR!$F$4</f>
        <v>0</v>
      </c>
      <c r="M17" s="14">
        <f>AVERAGE(L15:M15)*IRR!$F$4</f>
        <v>0</v>
      </c>
    </row>
    <row r="18" spans="1:19" x14ac:dyDescent="0.35">
      <c r="A18" s="179">
        <v>2019</v>
      </c>
      <c r="B18" t="s">
        <v>49</v>
      </c>
      <c r="C18" s="180"/>
      <c r="E18" s="180"/>
      <c r="F18" s="14"/>
      <c r="G18" s="180"/>
      <c r="H18" s="14">
        <v>45207038</v>
      </c>
      <c r="I18" s="14">
        <f>H18-$H19</f>
        <v>36165630.399999999</v>
      </c>
      <c r="J18" s="14">
        <f>I18-$H19</f>
        <v>27124222.799999997</v>
      </c>
      <c r="K18" s="14">
        <f>J18-$H19</f>
        <v>18082815.199999996</v>
      </c>
      <c r="L18" s="14">
        <f>K18-$H19</f>
        <v>9041407.5999999959</v>
      </c>
      <c r="M18" s="14">
        <f>L18-$H19</f>
        <v>0</v>
      </c>
      <c r="N18" s="14"/>
    </row>
    <row r="19" spans="1:19" x14ac:dyDescent="0.35">
      <c r="A19" s="173"/>
      <c r="B19" t="s">
        <v>50</v>
      </c>
      <c r="C19" s="180"/>
      <c r="E19" s="180"/>
      <c r="F19" s="14"/>
      <c r="G19" s="180"/>
      <c r="H19" s="14">
        <f>H18/$B$2</f>
        <v>9041407.5999999996</v>
      </c>
      <c r="I19" s="14"/>
      <c r="J19" s="14"/>
      <c r="K19" s="14"/>
      <c r="L19" s="14"/>
    </row>
    <row r="20" spans="1:19" x14ac:dyDescent="0.35">
      <c r="A20" s="173"/>
      <c r="B20" t="s">
        <v>51</v>
      </c>
      <c r="C20" s="180"/>
      <c r="E20" s="180"/>
      <c r="F20" s="14"/>
      <c r="G20" s="180"/>
      <c r="H20" s="180">
        <f>((H18*IRR!$F$4*6)/12)</f>
        <v>2260351.9</v>
      </c>
      <c r="I20" s="14">
        <f>AVERAGE(H18:I18)*IRR!$F$4</f>
        <v>4068633.4200000004</v>
      </c>
      <c r="J20" s="14">
        <f>AVERAGE(I18:J18)*IRR!$F$4</f>
        <v>3164492.66</v>
      </c>
      <c r="K20" s="14">
        <f>AVERAGE(J18:K18)*IRR!$F$4</f>
        <v>2260351.9</v>
      </c>
      <c r="L20" s="14">
        <f>AVERAGE(K18:L18)*IRR!$F$4</f>
        <v>1356211.1399999997</v>
      </c>
      <c r="M20" s="14">
        <f>AVERAGE(L18:M18)*IRR!$F$4</f>
        <v>452070.37999999983</v>
      </c>
      <c r="N20" s="14">
        <f>AVERAGE(M18:N18)*IRR!$F$4</f>
        <v>0</v>
      </c>
    </row>
    <row r="21" spans="1:19" x14ac:dyDescent="0.35">
      <c r="A21" s="173">
        <v>2020</v>
      </c>
      <c r="B21" t="s">
        <v>49</v>
      </c>
      <c r="C21" s="180"/>
      <c r="E21" s="180"/>
      <c r="F21" s="14"/>
      <c r="G21" s="180"/>
      <c r="H21" s="14"/>
      <c r="I21" s="14">
        <v>376800106</v>
      </c>
      <c r="J21" s="14">
        <f>I21-$I22</f>
        <v>301440084.80000001</v>
      </c>
      <c r="K21" s="14">
        <f>J21-$I22</f>
        <v>226080063.60000002</v>
      </c>
      <c r="L21" s="14">
        <f>K21-I$22</f>
        <v>150720042.40000004</v>
      </c>
      <c r="M21" s="14">
        <f>L21-$I22</f>
        <v>75360021.200000033</v>
      </c>
      <c r="N21" s="14">
        <f>M21-$I22</f>
        <v>0</v>
      </c>
      <c r="O21" s="14"/>
    </row>
    <row r="22" spans="1:19" x14ac:dyDescent="0.35">
      <c r="A22" s="173"/>
      <c r="B22" t="s">
        <v>50</v>
      </c>
      <c r="C22" s="180"/>
      <c r="E22" s="180"/>
      <c r="F22" s="14"/>
      <c r="G22" s="180"/>
      <c r="H22" s="14"/>
      <c r="I22" s="14">
        <f>I21/$B$2</f>
        <v>75360021.200000003</v>
      </c>
      <c r="J22" s="14"/>
      <c r="K22" s="14"/>
      <c r="L22" s="14"/>
      <c r="M22" s="14"/>
    </row>
    <row r="23" spans="1:19" x14ac:dyDescent="0.35">
      <c r="A23" s="173"/>
      <c r="B23" t="s">
        <v>51</v>
      </c>
      <c r="C23" s="180"/>
      <c r="E23" s="180"/>
      <c r="F23" s="14"/>
      <c r="G23" s="180"/>
      <c r="H23" s="14"/>
      <c r="I23" s="180">
        <f>((I21*IRR!$F$4*6)/12)</f>
        <v>18840005.300000001</v>
      </c>
      <c r="J23" s="14">
        <f>AVERAGE(I21:J21)*IRR!$F$4</f>
        <v>33912009.539999999</v>
      </c>
      <c r="K23" s="14">
        <f>AVERAGE(J21:K21)*IRR!$F$4</f>
        <v>26376007.420000002</v>
      </c>
      <c r="L23" s="14">
        <f>AVERAGE(K21:L21)*IRR!$F$4</f>
        <v>18840005.300000004</v>
      </c>
      <c r="M23" s="14">
        <f>AVERAGE(L21:M21)*IRR!$F$4</f>
        <v>11304003.180000005</v>
      </c>
      <c r="N23" s="14">
        <f>AVERAGE(M21:N21)*IRR!$F$4</f>
        <v>3768001.0600000019</v>
      </c>
      <c r="O23" s="14">
        <f>AVERAGE(N21:O21)*IRR!$F$4</f>
        <v>0</v>
      </c>
    </row>
    <row r="24" spans="1:19" x14ac:dyDescent="0.35">
      <c r="A24" s="173">
        <v>2021</v>
      </c>
      <c r="B24" t="s">
        <v>49</v>
      </c>
      <c r="C24" s="180"/>
      <c r="E24" s="180"/>
      <c r="F24" s="14"/>
      <c r="G24" s="180"/>
      <c r="H24" s="14"/>
      <c r="I24" s="180"/>
      <c r="J24" s="14"/>
      <c r="K24" s="14">
        <f>J24-J25</f>
        <v>0</v>
      </c>
      <c r="L24" s="14">
        <f>K24-J25</f>
        <v>0</v>
      </c>
      <c r="M24" s="14">
        <f>L24-J25</f>
        <v>0</v>
      </c>
      <c r="N24" s="14">
        <f>M24-J25</f>
        <v>0</v>
      </c>
      <c r="O24" s="14">
        <f>N24-J25</f>
        <v>0</v>
      </c>
    </row>
    <row r="25" spans="1:19" x14ac:dyDescent="0.35">
      <c r="A25" s="173"/>
      <c r="B25" t="s">
        <v>50</v>
      </c>
      <c r="C25" s="180"/>
      <c r="E25" s="180"/>
      <c r="F25" s="14"/>
      <c r="G25" s="180"/>
      <c r="H25" s="14"/>
      <c r="I25" s="180"/>
      <c r="J25" s="14">
        <f>J24/$B$2</f>
        <v>0</v>
      </c>
      <c r="K25" s="14"/>
      <c r="L25" s="14"/>
      <c r="M25" s="14"/>
      <c r="N25" s="14"/>
      <c r="O25" s="14"/>
    </row>
    <row r="26" spans="1:19" x14ac:dyDescent="0.35">
      <c r="A26" s="173"/>
      <c r="B26" t="s">
        <v>51</v>
      </c>
      <c r="C26" s="180"/>
      <c r="E26" s="180"/>
      <c r="F26" s="14"/>
      <c r="G26" s="180"/>
      <c r="H26" s="14"/>
      <c r="I26" s="180"/>
      <c r="J26" s="180">
        <f>((J24*IRR!$F$4*6)/12)</f>
        <v>0</v>
      </c>
      <c r="K26" s="14">
        <f>AVERAGE(J24:K24)*IRR!$F$4</f>
        <v>0</v>
      </c>
      <c r="L26" s="14">
        <f>AVERAGE(K24:L24)*IRR!$F$4</f>
        <v>0</v>
      </c>
      <c r="M26" s="14">
        <f>AVERAGE(L24:M24)*IRR!$F$4</f>
        <v>0</v>
      </c>
      <c r="N26" s="14">
        <f>AVERAGE(M24:N24)*IRR!$F$4</f>
        <v>0</v>
      </c>
      <c r="O26" s="14">
        <f>AVERAGE(N24:O24)*IRR!$F$4</f>
        <v>0</v>
      </c>
      <c r="P26" s="14">
        <f>AVERAGE(O24:P24)*IRR!$F$4</f>
        <v>0</v>
      </c>
    </row>
    <row r="27" spans="1:19" x14ac:dyDescent="0.35">
      <c r="A27" s="173">
        <v>2023</v>
      </c>
      <c r="B27" t="s">
        <v>49</v>
      </c>
      <c r="C27" s="180"/>
      <c r="E27" s="180"/>
      <c r="F27" s="14"/>
      <c r="G27" s="180"/>
      <c r="H27" s="14"/>
      <c r="I27" s="180"/>
      <c r="J27" s="14"/>
      <c r="K27" s="14"/>
      <c r="L27" s="14"/>
      <c r="M27" s="14">
        <f>L27-L28</f>
        <v>0</v>
      </c>
      <c r="N27" s="14">
        <f>M27-L28</f>
        <v>0</v>
      </c>
      <c r="O27" s="14">
        <f>N27-L28</f>
        <v>0</v>
      </c>
      <c r="P27" s="14">
        <f>O27-L28</f>
        <v>0</v>
      </c>
      <c r="Q27" s="14">
        <f>P27-L28</f>
        <v>0</v>
      </c>
    </row>
    <row r="28" spans="1:19" x14ac:dyDescent="0.35">
      <c r="A28" s="173"/>
      <c r="B28" t="s">
        <v>50</v>
      </c>
      <c r="C28" s="180"/>
      <c r="E28" s="180"/>
      <c r="F28" s="14"/>
      <c r="G28" s="180"/>
      <c r="H28" s="14"/>
      <c r="I28" s="180"/>
      <c r="J28" s="14"/>
      <c r="K28" s="14"/>
      <c r="L28" s="14">
        <f>L27/$B$2</f>
        <v>0</v>
      </c>
      <c r="M28" s="14"/>
      <c r="N28" s="14"/>
      <c r="O28" s="14"/>
      <c r="P28" s="14"/>
      <c r="Q28" s="14"/>
    </row>
    <row r="29" spans="1:19" x14ac:dyDescent="0.35">
      <c r="A29" s="173"/>
      <c r="B29" t="s">
        <v>51</v>
      </c>
      <c r="C29" s="180"/>
      <c r="E29" s="180"/>
      <c r="F29" s="14"/>
      <c r="G29" s="180"/>
      <c r="H29" s="14"/>
      <c r="I29" s="180"/>
      <c r="J29" s="14"/>
      <c r="K29" s="14"/>
      <c r="L29" s="180">
        <f>((L27*IRR!$F$4*6)/12)</f>
        <v>0</v>
      </c>
      <c r="M29" s="14">
        <f>AVERAGE(L27:M27)*IRR!$F$4</f>
        <v>0</v>
      </c>
      <c r="N29" s="14">
        <f>AVERAGE(M27:N27)*IRR!$F$4</f>
        <v>0</v>
      </c>
      <c r="O29" s="14">
        <f>AVERAGE(N27:O27)*IRR!$F$4</f>
        <v>0</v>
      </c>
      <c r="P29" s="14">
        <f>AVERAGE(O27:P27)*IRR!$F$4</f>
        <v>0</v>
      </c>
      <c r="Q29" s="14">
        <f>AVERAGE(P27:Q27)*IRR!$F$4</f>
        <v>0</v>
      </c>
      <c r="R29" s="14">
        <f>AVERAGE(Q27:R27)*IRR!$F$4</f>
        <v>0</v>
      </c>
    </row>
    <row r="30" spans="1:19" x14ac:dyDescent="0.35">
      <c r="A30" s="173">
        <v>2024</v>
      </c>
      <c r="B30" t="s">
        <v>49</v>
      </c>
      <c r="C30" s="180"/>
      <c r="E30" s="180"/>
      <c r="F30" s="14"/>
      <c r="G30" s="180"/>
      <c r="H30" s="14"/>
      <c r="I30" s="180"/>
      <c r="J30" s="14"/>
      <c r="K30" s="14"/>
      <c r="L30" s="14"/>
      <c r="M30" s="14">
        <f>IRR!G10</f>
        <v>0</v>
      </c>
      <c r="N30" s="14">
        <f>M30-M31</f>
        <v>0</v>
      </c>
      <c r="O30" s="14">
        <f>N30-M31</f>
        <v>0</v>
      </c>
      <c r="P30" s="14">
        <f>O30-M31</f>
        <v>0</v>
      </c>
      <c r="Q30" s="14">
        <f>P30-M31</f>
        <v>0</v>
      </c>
      <c r="R30" s="14">
        <f>Q30-M31</f>
        <v>0</v>
      </c>
    </row>
    <row r="31" spans="1:19" x14ac:dyDescent="0.35">
      <c r="A31" s="173"/>
      <c r="B31" t="s">
        <v>50</v>
      </c>
      <c r="C31" s="180"/>
      <c r="E31" s="180"/>
      <c r="F31" s="14"/>
      <c r="G31" s="180"/>
      <c r="H31" s="14"/>
      <c r="I31" s="14"/>
      <c r="J31" s="14"/>
      <c r="K31" s="14"/>
      <c r="L31" s="14"/>
      <c r="M31" s="14">
        <f>M30/$B$2</f>
        <v>0</v>
      </c>
      <c r="N31" s="14"/>
      <c r="O31" s="14"/>
      <c r="P31" s="14"/>
      <c r="Q31" s="14"/>
      <c r="R31" s="14"/>
    </row>
    <row r="32" spans="1:19" x14ac:dyDescent="0.35">
      <c r="A32" s="173"/>
      <c r="B32" t="s">
        <v>51</v>
      </c>
      <c r="C32" s="180"/>
      <c r="E32" s="180"/>
      <c r="F32" s="14"/>
      <c r="G32" s="180"/>
      <c r="H32" s="14"/>
      <c r="I32" s="14"/>
      <c r="J32" s="14"/>
      <c r="K32" s="14"/>
      <c r="L32" s="14"/>
      <c r="M32" s="180">
        <f>((M30*IRR!$F$4*6)/12)</f>
        <v>0</v>
      </c>
      <c r="N32" s="14">
        <f>AVERAGE(M30:N30)*IRR!$F$4</f>
        <v>0</v>
      </c>
      <c r="O32" s="14">
        <f>AVERAGE(N30:O30)*IRR!$F$4</f>
        <v>0</v>
      </c>
      <c r="P32" s="14">
        <f>AVERAGE(O30:P30)*IRR!$F$4</f>
        <v>0</v>
      </c>
      <c r="Q32" s="14">
        <f>AVERAGE(P30:Q30)*IRR!$F$4</f>
        <v>0</v>
      </c>
      <c r="R32" s="14">
        <f>AVERAGE(Q30:R30)*IRR!$F$4</f>
        <v>0</v>
      </c>
      <c r="S32" s="14">
        <f>AVERAGE(R30:S30)*IRR!$F$4</f>
        <v>0</v>
      </c>
    </row>
    <row r="33" spans="1:19" x14ac:dyDescent="0.35">
      <c r="C33" s="180"/>
      <c r="D33" s="14"/>
      <c r="E33" s="14"/>
      <c r="F33" s="14"/>
      <c r="G33" s="14"/>
      <c r="H33" s="14"/>
      <c r="I33" s="14"/>
      <c r="J33" s="14"/>
      <c r="K33" s="14"/>
    </row>
    <row r="34" spans="1:19" x14ac:dyDescent="0.35">
      <c r="A34" s="177"/>
      <c r="B34" s="181" t="s">
        <v>136</v>
      </c>
      <c r="C34" s="182">
        <f>C8+C5+C11+C14+C17+C20+C23+C26+C29</f>
        <v>0</v>
      </c>
      <c r="D34" s="182">
        <f t="shared" ref="D34:L34" si="2">D8+D5+D11+D14+D17+D20+D23+D26+D29</f>
        <v>69747676.350000009</v>
      </c>
      <c r="E34" s="182">
        <f t="shared" si="2"/>
        <v>135486988.63</v>
      </c>
      <c r="F34" s="182">
        <f t="shared" si="2"/>
        <v>115540855.04999998</v>
      </c>
      <c r="G34" s="182">
        <f t="shared" si="2"/>
        <v>83665316.030000001</v>
      </c>
      <c r="H34" s="182">
        <f t="shared" si="2"/>
        <v>54050128.910000004</v>
      </c>
      <c r="I34" s="182">
        <f t="shared" si="2"/>
        <v>42822876.710000001</v>
      </c>
      <c r="J34" s="182">
        <f t="shared" si="2"/>
        <v>39064736.439999998</v>
      </c>
      <c r="K34" s="182">
        <f t="shared" si="2"/>
        <v>28636359.32</v>
      </c>
      <c r="L34" s="182">
        <f t="shared" si="2"/>
        <v>20196216.440000005</v>
      </c>
      <c r="M34" s="182">
        <f>M8+M5+M11+M14+M17+M20+M23+M26+M29+M32</f>
        <v>11756073.560000004</v>
      </c>
      <c r="N34" s="182">
        <f t="shared" ref="N34:S34" si="3">N8+N5+N11+N14+N17+N20+N23+N26+N29+N32</f>
        <v>3768001.0600000019</v>
      </c>
      <c r="O34" s="182">
        <f t="shared" si="3"/>
        <v>0</v>
      </c>
      <c r="P34" s="182">
        <f t="shared" si="3"/>
        <v>0</v>
      </c>
      <c r="Q34" s="182">
        <f t="shared" si="3"/>
        <v>0</v>
      </c>
      <c r="R34" s="182">
        <f t="shared" si="3"/>
        <v>0</v>
      </c>
      <c r="S34" s="182">
        <f t="shared" si="3"/>
        <v>0</v>
      </c>
    </row>
    <row r="35" spans="1:19" x14ac:dyDescent="0.35">
      <c r="B35" s="180"/>
      <c r="C35" s="14"/>
      <c r="D35" s="14"/>
      <c r="E35" s="14"/>
      <c r="F35" s="14"/>
      <c r="G35" s="14"/>
      <c r="H35" s="14"/>
      <c r="I35" s="14"/>
      <c r="J35" s="14"/>
      <c r="K35" s="14"/>
    </row>
    <row r="38" spans="1:19" s="131" customFormat="1" x14ac:dyDescent="0.35"/>
    <row r="40" spans="1:19" x14ac:dyDescent="0.35">
      <c r="A40" t="s">
        <v>1</v>
      </c>
      <c r="B40" s="81">
        <v>50000000</v>
      </c>
      <c r="C40" s="14">
        <f>B40+C41</f>
        <v>51000000</v>
      </c>
      <c r="D40" s="14">
        <f>C40+D42</f>
        <v>52020000</v>
      </c>
      <c r="E40" s="14">
        <f t="shared" ref="E40:K40" si="4">D40+E42</f>
        <v>53060400</v>
      </c>
      <c r="F40" s="14">
        <f t="shared" si="4"/>
        <v>54121608</v>
      </c>
      <c r="G40" s="14">
        <f t="shared" si="4"/>
        <v>55204040.159999996</v>
      </c>
      <c r="H40" s="14">
        <f t="shared" si="4"/>
        <v>56308120.963199995</v>
      </c>
      <c r="I40" s="14">
        <f t="shared" si="4"/>
        <v>57434283.382463992</v>
      </c>
      <c r="J40" s="14">
        <f t="shared" si="4"/>
        <v>58582969.050113268</v>
      </c>
      <c r="K40" s="14">
        <f t="shared" si="4"/>
        <v>59754628.43111553</v>
      </c>
    </row>
    <row r="41" spans="1:19" x14ac:dyDescent="0.35">
      <c r="A41" s="76">
        <v>0.02</v>
      </c>
      <c r="C41" s="14">
        <f>C42</f>
        <v>1000000</v>
      </c>
      <c r="D41" s="14">
        <f>C41+D42</f>
        <v>2020000</v>
      </c>
      <c r="E41" s="14">
        <f t="shared" ref="E41:K41" si="5">D41+E42</f>
        <v>3060400</v>
      </c>
      <c r="F41" s="14">
        <f t="shared" si="5"/>
        <v>4121608</v>
      </c>
      <c r="G41" s="14">
        <f t="shared" si="5"/>
        <v>5204040.16</v>
      </c>
      <c r="H41" s="14">
        <f t="shared" si="5"/>
        <v>6308120.9632000001</v>
      </c>
      <c r="I41" s="14">
        <f t="shared" si="5"/>
        <v>7434283.382464</v>
      </c>
      <c r="J41" s="14">
        <f t="shared" si="5"/>
        <v>8582969.0501132794</v>
      </c>
      <c r="K41" s="14">
        <f t="shared" si="5"/>
        <v>9754628.4311155453</v>
      </c>
    </row>
    <row r="42" spans="1:19" x14ac:dyDescent="0.35">
      <c r="C42" s="14">
        <f>B40*$A$41</f>
        <v>1000000</v>
      </c>
      <c r="D42" s="14">
        <f>C40*$A$41</f>
        <v>1020000</v>
      </c>
      <c r="E42" s="14">
        <f t="shared" ref="E42:K42" si="6">D40*$A$41</f>
        <v>1040400</v>
      </c>
      <c r="F42" s="14">
        <f t="shared" si="6"/>
        <v>1061208</v>
      </c>
      <c r="G42" s="14">
        <f t="shared" si="6"/>
        <v>1082432.1599999999</v>
      </c>
      <c r="H42" s="14">
        <f t="shared" si="6"/>
        <v>1104080.8032</v>
      </c>
      <c r="I42" s="14">
        <f t="shared" si="6"/>
        <v>1126162.4192639999</v>
      </c>
      <c r="J42" s="14">
        <f t="shared" si="6"/>
        <v>1148685.6676492798</v>
      </c>
      <c r="K42" s="14">
        <f t="shared" si="6"/>
        <v>1171659.3810022655</v>
      </c>
    </row>
    <row r="43" spans="1:19" x14ac:dyDescent="0.35">
      <c r="F43" s="81"/>
    </row>
    <row r="45" spans="1:19" s="131" customFormat="1" x14ac:dyDescent="0.35"/>
    <row r="47" spans="1:19" x14ac:dyDescent="0.35">
      <c r="F47" s="118" t="s">
        <v>89</v>
      </c>
      <c r="G47" s="118" t="s">
        <v>90</v>
      </c>
      <c r="H47" s="118" t="s">
        <v>91</v>
      </c>
      <c r="I47" s="119" t="s">
        <v>92</v>
      </c>
      <c r="J47" s="256" t="s">
        <v>93</v>
      </c>
      <c r="K47" s="256" t="s">
        <v>94</v>
      </c>
    </row>
    <row r="48" spans="1:19" x14ac:dyDescent="0.35">
      <c r="E48" s="120" t="s">
        <v>95</v>
      </c>
      <c r="F48" s="121">
        <v>1</v>
      </c>
      <c r="G48" s="122">
        <v>1</v>
      </c>
      <c r="H48" s="122">
        <v>1</v>
      </c>
      <c r="I48" s="123">
        <f>Summary!H8</f>
        <v>203</v>
      </c>
      <c r="J48" s="256"/>
      <c r="K48" s="256"/>
    </row>
    <row r="49" spans="1:11" x14ac:dyDescent="0.35">
      <c r="B49" s="257" t="s">
        <v>96</v>
      </c>
      <c r="C49" s="124" t="s">
        <v>97</v>
      </c>
      <c r="D49" s="125">
        <f>C66</f>
        <v>3500000</v>
      </c>
      <c r="E49" s="124" t="s">
        <v>89</v>
      </c>
      <c r="F49" s="118">
        <f>F48</f>
        <v>1</v>
      </c>
      <c r="G49" s="118"/>
      <c r="H49" s="118"/>
      <c r="I49" s="119"/>
      <c r="J49" s="126">
        <f>F49*D49</f>
        <v>3500000</v>
      </c>
    </row>
    <row r="50" spans="1:11" x14ac:dyDescent="0.35">
      <c r="B50" s="258"/>
      <c r="C50" s="124" t="s">
        <v>98</v>
      </c>
      <c r="D50" s="127">
        <v>600000</v>
      </c>
      <c r="E50" s="124" t="s">
        <v>89</v>
      </c>
      <c r="F50" s="118">
        <f>F48</f>
        <v>1</v>
      </c>
      <c r="G50" s="118"/>
      <c r="H50" s="118"/>
      <c r="I50" s="119">
        <v>2</v>
      </c>
      <c r="J50" s="127">
        <f>D50*F50</f>
        <v>600000</v>
      </c>
    </row>
    <row r="51" spans="1:11" x14ac:dyDescent="0.35">
      <c r="B51" s="259"/>
      <c r="C51" s="124" t="s">
        <v>96</v>
      </c>
      <c r="D51" s="127">
        <v>200000</v>
      </c>
      <c r="E51" s="124" t="s">
        <v>99</v>
      </c>
      <c r="F51" s="118"/>
      <c r="G51" s="118">
        <f>G48</f>
        <v>1</v>
      </c>
      <c r="H51" s="118"/>
      <c r="I51" s="119"/>
      <c r="J51" s="127">
        <f>G51*D51</f>
        <v>200000</v>
      </c>
    </row>
    <row r="52" spans="1:11" x14ac:dyDescent="0.35">
      <c r="B52" s="124" t="s">
        <v>100</v>
      </c>
      <c r="C52" s="124" t="s">
        <v>100</v>
      </c>
      <c r="D52" s="127">
        <v>450000</v>
      </c>
      <c r="E52" s="124" t="s">
        <v>91</v>
      </c>
      <c r="F52" s="118">
        <f>F48</f>
        <v>1</v>
      </c>
      <c r="G52" s="118"/>
      <c r="H52" s="118">
        <f>H48</f>
        <v>1</v>
      </c>
      <c r="I52" s="119">
        <v>4</v>
      </c>
      <c r="J52" s="127">
        <f>H52*D52*I52</f>
        <v>1800000</v>
      </c>
    </row>
    <row r="53" spans="1:11" x14ac:dyDescent="0.35">
      <c r="B53" s="124" t="s">
        <v>101</v>
      </c>
      <c r="C53" s="124" t="s">
        <v>101</v>
      </c>
      <c r="D53" s="127">
        <v>120000</v>
      </c>
      <c r="E53" s="124" t="s">
        <v>89</v>
      </c>
      <c r="F53" s="118">
        <f>F48</f>
        <v>1</v>
      </c>
      <c r="G53" s="118"/>
      <c r="H53" s="118"/>
      <c r="I53" s="119">
        <v>4</v>
      </c>
      <c r="J53" s="127">
        <f>D53*F53*I53</f>
        <v>480000</v>
      </c>
    </row>
    <row r="54" spans="1:11" x14ac:dyDescent="0.35">
      <c r="J54" s="128">
        <f>SUM(J49:J53)</f>
        <v>6580000</v>
      </c>
      <c r="K54" s="129">
        <f>J54*4</f>
        <v>26320000</v>
      </c>
    </row>
    <row r="56" spans="1:11" s="131" customFormat="1" x14ac:dyDescent="0.35"/>
    <row r="57" spans="1:11" x14ac:dyDescent="0.35">
      <c r="K57" s="14"/>
    </row>
    <row r="58" spans="1:11" x14ac:dyDescent="0.35">
      <c r="B58" s="118" t="s">
        <v>102</v>
      </c>
      <c r="C58" s="118" t="s">
        <v>97</v>
      </c>
      <c r="E58" s="124" t="s">
        <v>103</v>
      </c>
      <c r="K58" s="37"/>
    </row>
    <row r="59" spans="1:11" x14ac:dyDescent="0.35">
      <c r="A59" t="s">
        <v>104</v>
      </c>
      <c r="B59" s="81">
        <v>16800000</v>
      </c>
      <c r="C59" s="81">
        <v>4000000</v>
      </c>
      <c r="D59" s="14"/>
      <c r="E59" t="s">
        <v>105</v>
      </c>
      <c r="K59" s="14"/>
    </row>
    <row r="60" spans="1:11" x14ac:dyDescent="0.35">
      <c r="A60" t="s">
        <v>106</v>
      </c>
      <c r="B60" s="81"/>
      <c r="C60" s="81">
        <v>3000000</v>
      </c>
      <c r="E60" t="s">
        <v>107</v>
      </c>
      <c r="I60" s="81">
        <v>10000000</v>
      </c>
    </row>
    <row r="61" spans="1:11" x14ac:dyDescent="0.35">
      <c r="A61" t="s">
        <v>108</v>
      </c>
      <c r="B61" s="81">
        <v>15600000</v>
      </c>
      <c r="C61" s="81">
        <v>2500000</v>
      </c>
      <c r="D61" s="14"/>
      <c r="E61" t="s">
        <v>107</v>
      </c>
      <c r="H61" t="s">
        <v>109</v>
      </c>
      <c r="I61" s="81">
        <v>12000000</v>
      </c>
    </row>
    <row r="62" spans="1:11" x14ac:dyDescent="0.35">
      <c r="A62" t="s">
        <v>110</v>
      </c>
      <c r="B62" s="81">
        <v>15000000</v>
      </c>
      <c r="C62" s="81">
        <v>2000000</v>
      </c>
      <c r="D62" s="14"/>
      <c r="E62" t="s">
        <v>107</v>
      </c>
      <c r="H62" t="s">
        <v>111</v>
      </c>
      <c r="I62" s="81">
        <v>14000000</v>
      </c>
    </row>
    <row r="63" spans="1:11" x14ac:dyDescent="0.35">
      <c r="A63" t="s">
        <v>112</v>
      </c>
      <c r="B63" s="81">
        <v>15000000</v>
      </c>
      <c r="C63" s="81">
        <v>1850000</v>
      </c>
      <c r="D63" s="14"/>
      <c r="E63" t="s">
        <v>107</v>
      </c>
      <c r="H63" t="s">
        <v>113</v>
      </c>
      <c r="I63" s="81">
        <v>14000000</v>
      </c>
    </row>
    <row r="64" spans="1:11" x14ac:dyDescent="0.35">
      <c r="A64" t="s">
        <v>114</v>
      </c>
      <c r="B64" s="81">
        <v>12000000</v>
      </c>
      <c r="C64" s="81">
        <v>1200000</v>
      </c>
      <c r="D64" s="14"/>
      <c r="E64" t="s">
        <v>107</v>
      </c>
      <c r="H64" t="s">
        <v>104</v>
      </c>
      <c r="I64" s="81">
        <v>17000000</v>
      </c>
    </row>
    <row r="65" spans="1:9" x14ac:dyDescent="0.35">
      <c r="A65" t="s">
        <v>115</v>
      </c>
      <c r="B65" s="81">
        <v>16800000</v>
      </c>
      <c r="C65" s="81">
        <v>2000000</v>
      </c>
      <c r="D65" s="14"/>
      <c r="E65" t="s">
        <v>107</v>
      </c>
      <c r="H65" t="s">
        <v>115</v>
      </c>
      <c r="I65" s="81">
        <v>14000000</v>
      </c>
    </row>
    <row r="66" spans="1:9" x14ac:dyDescent="0.35">
      <c r="A66" t="s">
        <v>116</v>
      </c>
      <c r="B66" s="81">
        <v>15720000</v>
      </c>
      <c r="C66" s="81">
        <v>3500000</v>
      </c>
      <c r="D66" s="14"/>
    </row>
    <row r="67" spans="1:9" x14ac:dyDescent="0.35">
      <c r="A67" t="s">
        <v>117</v>
      </c>
      <c r="C67" s="81">
        <v>2800000</v>
      </c>
      <c r="D67" s="14"/>
    </row>
    <row r="68" spans="1:9" x14ac:dyDescent="0.35">
      <c r="A68" t="s">
        <v>118</v>
      </c>
      <c r="B68">
        <v>0</v>
      </c>
      <c r="C68" s="81">
        <v>0</v>
      </c>
      <c r="D68" t="s">
        <v>119</v>
      </c>
    </row>
    <row r="70" spans="1:9" x14ac:dyDescent="0.35">
      <c r="B70" s="118" t="s">
        <v>120</v>
      </c>
      <c r="C70" s="118"/>
    </row>
    <row r="71" spans="1:9" x14ac:dyDescent="0.35">
      <c r="B71" s="81">
        <v>7000000</v>
      </c>
      <c r="D71" s="14">
        <f>B71/12</f>
        <v>583333.33333333337</v>
      </c>
    </row>
    <row r="72" spans="1:9" x14ac:dyDescent="0.35">
      <c r="B72" s="81"/>
      <c r="D72" s="14"/>
    </row>
    <row r="74" spans="1:9" s="131" customFormat="1" x14ac:dyDescent="0.35"/>
    <row r="76" spans="1:9" x14ac:dyDescent="0.35">
      <c r="A76" s="124" t="s">
        <v>121</v>
      </c>
      <c r="B76" s="14"/>
    </row>
    <row r="77" spans="1:9" x14ac:dyDescent="0.35">
      <c r="A77" t="s">
        <v>122</v>
      </c>
    </row>
    <row r="78" spans="1:9" x14ac:dyDescent="0.35">
      <c r="A78" t="s">
        <v>123</v>
      </c>
      <c r="B78" s="81">
        <v>36000000</v>
      </c>
    </row>
    <row r="79" spans="1:9" x14ac:dyDescent="0.35">
      <c r="A79" t="s">
        <v>124</v>
      </c>
      <c r="B79" s="81">
        <v>42000000</v>
      </c>
    </row>
    <row r="80" spans="1:9" x14ac:dyDescent="0.35">
      <c r="A80" t="s">
        <v>125</v>
      </c>
      <c r="B80" s="81">
        <v>48000000</v>
      </c>
      <c r="C80" s="14">
        <f>B80/12</f>
        <v>4000000</v>
      </c>
    </row>
    <row r="82" spans="1:2" x14ac:dyDescent="0.35">
      <c r="A82" t="s">
        <v>126</v>
      </c>
    </row>
    <row r="83" spans="1:2" x14ac:dyDescent="0.35">
      <c r="A83" t="s">
        <v>127</v>
      </c>
      <c r="B83" s="81">
        <v>75000000</v>
      </c>
    </row>
    <row r="84" spans="1:2" x14ac:dyDescent="0.35">
      <c r="A84" t="s">
        <v>125</v>
      </c>
      <c r="B84" s="81">
        <v>95000000</v>
      </c>
    </row>
  </sheetData>
  <mergeCells count="3">
    <mergeCell ref="J47:J48"/>
    <mergeCell ref="K47:K48"/>
    <mergeCell ref="B49:B51"/>
  </mergeCells>
  <phoneticPr fontId="28" type="noConversion"/>
  <conditionalFormatting sqref="C5:K5 C6:C8 C16:C32 E6:K8 F12:K14 E16:K17 E31:K32 E18:G20 P5:Q5 V5 E21:H30">
    <cfRule type="cellIs" dxfId="37" priority="42" operator="lessThan">
      <formula>0</formula>
    </cfRule>
  </conditionalFormatting>
  <conditionalFormatting sqref="B35:K35 C33:K33 C34">
    <cfRule type="cellIs" dxfId="36" priority="41" operator="lessThan">
      <formula>0</formula>
    </cfRule>
  </conditionalFormatting>
  <conditionalFormatting sqref="T5">
    <cfRule type="cellIs" dxfId="35" priority="40" operator="lessThan">
      <formula>0</formula>
    </cfRule>
  </conditionalFormatting>
  <conditionalFormatting sqref="C9:C11 C15 E9:K11 E15:K15">
    <cfRule type="cellIs" dxfId="34" priority="37" operator="lessThan">
      <formula>0</formula>
    </cfRule>
  </conditionalFormatting>
  <conditionalFormatting sqref="C12:C14">
    <cfRule type="cellIs" dxfId="33" priority="36" operator="lessThan">
      <formula>0</formula>
    </cfRule>
  </conditionalFormatting>
  <conditionalFormatting sqref="L14">
    <cfRule type="cellIs" dxfId="32" priority="35" operator="lessThan">
      <formula>0</formula>
    </cfRule>
  </conditionalFormatting>
  <conditionalFormatting sqref="L15">
    <cfRule type="cellIs" dxfId="31" priority="34" operator="lessThan">
      <formula>0</formula>
    </cfRule>
  </conditionalFormatting>
  <conditionalFormatting sqref="L17 L31:L32">
    <cfRule type="cellIs" dxfId="30" priority="33" operator="lessThan">
      <formula>0</formula>
    </cfRule>
  </conditionalFormatting>
  <conditionalFormatting sqref="M17">
    <cfRule type="cellIs" dxfId="29" priority="32" operator="lessThan">
      <formula>0</formula>
    </cfRule>
  </conditionalFormatting>
  <conditionalFormatting sqref="H19:L20">
    <cfRule type="cellIs" dxfId="28" priority="31" operator="lessThan">
      <formula>0</formula>
    </cfRule>
  </conditionalFormatting>
  <conditionalFormatting sqref="H18:L18">
    <cfRule type="cellIs" dxfId="27" priority="30" operator="lessThan">
      <formula>0</formula>
    </cfRule>
  </conditionalFormatting>
  <conditionalFormatting sqref="K26:N26">
    <cfRule type="cellIs" dxfId="26" priority="17" operator="lessThan">
      <formula>0</formula>
    </cfRule>
  </conditionalFormatting>
  <conditionalFormatting sqref="M20">
    <cfRule type="cellIs" dxfId="25" priority="28" operator="lessThan">
      <formula>0</formula>
    </cfRule>
  </conditionalFormatting>
  <conditionalFormatting sqref="N20">
    <cfRule type="cellIs" dxfId="24" priority="27" operator="lessThan">
      <formula>0</formula>
    </cfRule>
  </conditionalFormatting>
  <conditionalFormatting sqref="M18">
    <cfRule type="cellIs" dxfId="23" priority="26" operator="lessThan">
      <formula>0</formula>
    </cfRule>
  </conditionalFormatting>
  <conditionalFormatting sqref="N18">
    <cfRule type="cellIs" dxfId="22" priority="25" operator="lessThan">
      <formula>0</formula>
    </cfRule>
  </conditionalFormatting>
  <conditionalFormatting sqref="I22:M25 I27:M27 I26:J26 I30:M30 I28:K29">
    <cfRule type="cellIs" dxfId="21" priority="24" operator="lessThan">
      <formula>0</formula>
    </cfRule>
  </conditionalFormatting>
  <conditionalFormatting sqref="I21:M21">
    <cfRule type="cellIs" dxfId="20" priority="23" operator="lessThan">
      <formula>0</formula>
    </cfRule>
  </conditionalFormatting>
  <conditionalFormatting sqref="N23:N25 N27 N30">
    <cfRule type="cellIs" dxfId="19" priority="22" operator="lessThan">
      <formula>0</formula>
    </cfRule>
  </conditionalFormatting>
  <conditionalFormatting sqref="O23:O25 O27 O30">
    <cfRule type="cellIs" dxfId="18" priority="21" operator="lessThan">
      <formula>0</formula>
    </cfRule>
  </conditionalFormatting>
  <conditionalFormatting sqref="O21">
    <cfRule type="cellIs" dxfId="17" priority="19" operator="lessThan">
      <formula>0</formula>
    </cfRule>
  </conditionalFormatting>
  <conditionalFormatting sqref="O26">
    <cfRule type="cellIs" dxfId="16" priority="16" operator="lessThan">
      <formula>0</formula>
    </cfRule>
  </conditionalFormatting>
  <conditionalFormatting sqref="N21">
    <cfRule type="cellIs" dxfId="15" priority="18" operator="lessThan">
      <formula>0</formula>
    </cfRule>
  </conditionalFormatting>
  <conditionalFormatting sqref="R32">
    <cfRule type="cellIs" dxfId="14" priority="3" operator="lessThan">
      <formula>0</formula>
    </cfRule>
  </conditionalFormatting>
  <conditionalFormatting sqref="S32">
    <cfRule type="cellIs" dxfId="13" priority="2" operator="lessThan">
      <formula>0</formula>
    </cfRule>
  </conditionalFormatting>
  <conditionalFormatting sqref="P26">
    <cfRule type="cellIs" dxfId="12" priority="15" operator="lessThan">
      <formula>0</formula>
    </cfRule>
  </conditionalFormatting>
  <conditionalFormatting sqref="M29:P29">
    <cfRule type="cellIs" dxfId="11" priority="11" operator="lessThan">
      <formula>0</formula>
    </cfRule>
  </conditionalFormatting>
  <conditionalFormatting sqref="L28:O28 L29">
    <cfRule type="cellIs" dxfId="10" priority="14" operator="lessThan">
      <formula>0</formula>
    </cfRule>
  </conditionalFormatting>
  <conditionalFormatting sqref="P28">
    <cfRule type="cellIs" dxfId="9" priority="13" operator="lessThan">
      <formula>0</formula>
    </cfRule>
  </conditionalFormatting>
  <conditionalFormatting sqref="Q28">
    <cfRule type="cellIs" dxfId="8" priority="12" operator="lessThan">
      <formula>0</formula>
    </cfRule>
  </conditionalFormatting>
  <conditionalFormatting sqref="Q29">
    <cfRule type="cellIs" dxfId="7" priority="10" operator="lessThan">
      <formula>0</formula>
    </cfRule>
  </conditionalFormatting>
  <conditionalFormatting sqref="R29">
    <cfRule type="cellIs" dxfId="6" priority="9" operator="lessThan">
      <formula>0</formula>
    </cfRule>
  </conditionalFormatting>
  <conditionalFormatting sqref="D34:M34">
    <cfRule type="cellIs" dxfId="5" priority="8" operator="lessThan">
      <formula>0</formula>
    </cfRule>
  </conditionalFormatting>
  <conditionalFormatting sqref="N32:Q32">
    <cfRule type="cellIs" dxfId="4" priority="4" operator="lessThan">
      <formula>0</formula>
    </cfRule>
  </conditionalFormatting>
  <conditionalFormatting sqref="M31:P31 M32">
    <cfRule type="cellIs" dxfId="3" priority="7" operator="lessThan">
      <formula>0</formula>
    </cfRule>
  </conditionalFormatting>
  <conditionalFormatting sqref="Q31">
    <cfRule type="cellIs" dxfId="2" priority="6" operator="lessThan">
      <formula>0</formula>
    </cfRule>
  </conditionalFormatting>
  <conditionalFormatting sqref="R31">
    <cfRule type="cellIs" dxfId="1" priority="5" operator="lessThan">
      <formula>0</formula>
    </cfRule>
  </conditionalFormatting>
  <conditionalFormatting sqref="N34:S34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01FA5-ABB4-45D8-9E76-741BFDE3795B}">
  <sheetPr>
    <pageSetUpPr fitToPage="1"/>
  </sheetPr>
  <dimension ref="A1:E1048576"/>
  <sheetViews>
    <sheetView topLeftCell="A2" workbookViewId="0">
      <selection activeCell="E18" sqref="E18"/>
    </sheetView>
  </sheetViews>
  <sheetFormatPr defaultColWidth="8.83203125" defaultRowHeight="14.5" x14ac:dyDescent="0.35"/>
  <cols>
    <col min="1" max="1" width="4.58203125" style="185" customWidth="1"/>
    <col min="2" max="2" width="21.4140625" style="185" bestFit="1" customWidth="1"/>
    <col min="3" max="3" width="1.6640625" style="185" customWidth="1"/>
    <col min="4" max="4" width="36.08203125" style="185" customWidth="1"/>
    <col min="5" max="5" width="35.08203125" style="185" customWidth="1"/>
    <col min="6" max="6" width="9.5" style="185" bestFit="1" customWidth="1"/>
    <col min="7" max="16384" width="8.83203125" style="185"/>
  </cols>
  <sheetData>
    <row r="1" spans="1:5" ht="21" x14ac:dyDescent="0.5">
      <c r="A1" s="183"/>
      <c r="B1" s="183"/>
      <c r="C1" s="183"/>
      <c r="D1" s="184" t="s">
        <v>137</v>
      </c>
      <c r="E1" s="183"/>
    </row>
    <row r="2" spans="1:5" x14ac:dyDescent="0.35">
      <c r="A2" s="183"/>
      <c r="B2" s="183"/>
      <c r="C2" s="183"/>
      <c r="D2" s="183"/>
      <c r="E2" s="183"/>
    </row>
    <row r="3" spans="1:5" x14ac:dyDescent="0.35">
      <c r="A3" s="186" t="s">
        <v>138</v>
      </c>
      <c r="B3" s="186"/>
      <c r="C3" s="186" t="s">
        <v>185</v>
      </c>
      <c r="D3" s="186" t="str">
        <f>IRR!Q1</f>
        <v>Gudang Garam Office</v>
      </c>
      <c r="E3" s="183"/>
    </row>
    <row r="4" spans="1:5" x14ac:dyDescent="0.35">
      <c r="A4" s="186" t="s">
        <v>139</v>
      </c>
      <c r="B4" s="186"/>
      <c r="C4" s="186" t="s">
        <v>185</v>
      </c>
      <c r="D4" s="186" t="s">
        <v>188</v>
      </c>
      <c r="E4" s="183"/>
    </row>
    <row r="5" spans="1:5" x14ac:dyDescent="0.35">
      <c r="A5" s="186" t="s">
        <v>140</v>
      </c>
      <c r="B5" s="186"/>
      <c r="C5" s="186" t="s">
        <v>185</v>
      </c>
      <c r="D5" s="186" t="s">
        <v>191</v>
      </c>
      <c r="E5" s="183"/>
    </row>
    <row r="6" spans="1:5" x14ac:dyDescent="0.35">
      <c r="A6" s="186" t="s">
        <v>141</v>
      </c>
      <c r="B6" s="186"/>
      <c r="C6" s="186" t="s">
        <v>185</v>
      </c>
      <c r="D6" s="186"/>
      <c r="E6" s="183"/>
    </row>
    <row r="7" spans="1:5" x14ac:dyDescent="0.35">
      <c r="A7" s="186" t="s">
        <v>142</v>
      </c>
      <c r="B7" s="186"/>
      <c r="C7" s="186" t="s">
        <v>185</v>
      </c>
      <c r="D7" s="186" t="s">
        <v>192</v>
      </c>
      <c r="E7" s="183"/>
    </row>
    <row r="8" spans="1:5" x14ac:dyDescent="0.35">
      <c r="A8" s="183"/>
      <c r="B8" s="183"/>
      <c r="C8" s="183"/>
      <c r="D8" s="183"/>
      <c r="E8" s="183"/>
    </row>
    <row r="9" spans="1:5" ht="18.5" x14ac:dyDescent="0.35">
      <c r="A9" s="262" t="s">
        <v>143</v>
      </c>
      <c r="B9" s="263" t="s">
        <v>144</v>
      </c>
      <c r="C9" s="221"/>
      <c r="D9" s="263" t="s">
        <v>145</v>
      </c>
      <c r="E9" s="263" t="s">
        <v>131</v>
      </c>
    </row>
    <row r="10" spans="1:5" ht="18.5" x14ac:dyDescent="0.35">
      <c r="A10" s="262"/>
      <c r="B10" s="264"/>
      <c r="C10" s="222"/>
      <c r="D10" s="264"/>
      <c r="E10" s="264"/>
    </row>
    <row r="11" spans="1:5" x14ac:dyDescent="0.35">
      <c r="A11" s="187" t="s">
        <v>146</v>
      </c>
      <c r="B11" s="188" t="s">
        <v>147</v>
      </c>
      <c r="C11" s="189"/>
      <c r="D11" s="189" t="s">
        <v>66</v>
      </c>
      <c r="E11" s="188" t="s">
        <v>66</v>
      </c>
    </row>
    <row r="12" spans="1:5" x14ac:dyDescent="0.35">
      <c r="A12" s="187" t="s">
        <v>148</v>
      </c>
      <c r="B12" s="188" t="s">
        <v>149</v>
      </c>
      <c r="C12" s="188"/>
      <c r="D12" s="190" t="str">
        <f>D7</f>
        <v>203 omni + 8 pole + RBS 40m2</v>
      </c>
      <c r="E12" s="190" t="str">
        <f>D12</f>
        <v>203 omni + 8 pole + RBS 40m2</v>
      </c>
    </row>
    <row r="13" spans="1:5" x14ac:dyDescent="0.35">
      <c r="A13" s="187" t="s">
        <v>150</v>
      </c>
      <c r="B13" s="188" t="s">
        <v>151</v>
      </c>
      <c r="C13" s="229"/>
      <c r="D13" s="227" t="s">
        <v>193</v>
      </c>
      <c r="E13" s="227" t="s">
        <v>194</v>
      </c>
    </row>
    <row r="14" spans="1:5" x14ac:dyDescent="0.35">
      <c r="A14" s="193"/>
      <c r="B14" s="188"/>
      <c r="C14" s="189"/>
      <c r="D14" s="189"/>
      <c r="E14" s="188"/>
    </row>
    <row r="15" spans="1:5" ht="15.5" x14ac:dyDescent="0.35">
      <c r="A15" s="265">
        <v>4</v>
      </c>
      <c r="B15" s="188" t="s">
        <v>152</v>
      </c>
      <c r="C15" s="189"/>
      <c r="D15" s="191">
        <v>275000000</v>
      </c>
      <c r="E15" s="192">
        <f>D15</f>
        <v>275000000</v>
      </c>
    </row>
    <row r="16" spans="1:5" ht="15.5" x14ac:dyDescent="0.35">
      <c r="A16" s="266"/>
      <c r="B16" s="188" t="s">
        <v>179</v>
      </c>
      <c r="C16" s="189"/>
      <c r="D16" s="191">
        <f>D15/5</f>
        <v>55000000</v>
      </c>
      <c r="E16" s="191">
        <f>E15/5</f>
        <v>55000000</v>
      </c>
    </row>
    <row r="17" spans="1:5" x14ac:dyDescent="0.35">
      <c r="A17" s="193">
        <v>5</v>
      </c>
      <c r="B17" s="194" t="s">
        <v>153</v>
      </c>
      <c r="C17" s="230"/>
      <c r="D17" s="189" t="s">
        <v>195</v>
      </c>
      <c r="E17" s="189" t="s">
        <v>195</v>
      </c>
    </row>
    <row r="18" spans="1:5" x14ac:dyDescent="0.35">
      <c r="A18" s="223"/>
      <c r="B18" s="194"/>
      <c r="C18" s="230"/>
      <c r="D18" s="189"/>
      <c r="E18" s="189"/>
    </row>
    <row r="19" spans="1:5" x14ac:dyDescent="0.35">
      <c r="A19" s="223"/>
      <c r="B19" s="194"/>
      <c r="C19" s="230"/>
      <c r="D19" s="189"/>
      <c r="E19" s="189"/>
    </row>
    <row r="20" spans="1:5" x14ac:dyDescent="0.35">
      <c r="A20" s="223"/>
      <c r="B20" s="194"/>
      <c r="C20" s="230"/>
      <c r="D20" s="189"/>
      <c r="E20" s="228"/>
    </row>
    <row r="21" spans="1:5" x14ac:dyDescent="0.35">
      <c r="A21" s="187" t="s">
        <v>154</v>
      </c>
      <c r="B21" s="188" t="s">
        <v>155</v>
      </c>
      <c r="C21" s="189"/>
      <c r="D21" s="260" t="s">
        <v>181</v>
      </c>
      <c r="E21" s="261"/>
    </row>
    <row r="1048576" spans="3:3" x14ac:dyDescent="0.35">
      <c r="C1048576" s="186"/>
    </row>
  </sheetData>
  <mergeCells count="6">
    <mergeCell ref="D21:E21"/>
    <mergeCell ref="A9:A10"/>
    <mergeCell ref="B9:B10"/>
    <mergeCell ref="D9:D10"/>
    <mergeCell ref="E9:E10"/>
    <mergeCell ref="A15:A16"/>
  </mergeCells>
  <pageMargins left="0.16" right="0.21" top="0.75" bottom="0.75" header="0.3" footer="0.3"/>
  <pageSetup paperSize="9" scale="9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877A0-ECD6-4B8E-925F-44CB46183EAB}">
  <sheetPr>
    <pageSetUpPr fitToPage="1"/>
  </sheetPr>
  <dimension ref="A2:M24"/>
  <sheetViews>
    <sheetView workbookViewId="0">
      <selection activeCell="E23" sqref="E23"/>
    </sheetView>
  </sheetViews>
  <sheetFormatPr defaultColWidth="8.83203125" defaultRowHeight="14.5" x14ac:dyDescent="0.35"/>
  <cols>
    <col min="1" max="1" width="24.4140625" style="202" customWidth="1"/>
    <col min="2" max="2" width="11.58203125" style="202" customWidth="1"/>
    <col min="3" max="3" width="12.58203125" style="202" customWidth="1"/>
    <col min="4" max="4" width="8" style="202" customWidth="1"/>
    <col min="5" max="5" width="14.5" style="202" bestFit="1" customWidth="1"/>
    <col min="6" max="6" width="12.9140625" style="202" bestFit="1" customWidth="1"/>
    <col min="7" max="16384" width="8.83203125" style="202"/>
  </cols>
  <sheetData>
    <row r="2" spans="1:13" x14ac:dyDescent="0.35">
      <c r="A2" s="267" t="s">
        <v>183</v>
      </c>
      <c r="B2" s="267"/>
      <c r="C2" s="267"/>
      <c r="D2" s="267"/>
      <c r="E2" s="267"/>
      <c r="F2" s="267"/>
      <c r="G2" s="183"/>
      <c r="H2" s="183"/>
      <c r="I2" s="183"/>
      <c r="J2" s="183"/>
      <c r="K2" s="183"/>
      <c r="L2" s="183"/>
      <c r="M2" s="183"/>
    </row>
    <row r="3" spans="1:13" x14ac:dyDescent="0.35">
      <c r="A3" s="203" t="s">
        <v>166</v>
      </c>
      <c r="B3" s="203" t="s">
        <v>167</v>
      </c>
      <c r="C3" s="203" t="s">
        <v>168</v>
      </c>
      <c r="D3" s="204"/>
      <c r="G3" s="183"/>
      <c r="H3" s="183"/>
      <c r="I3" s="183"/>
      <c r="J3" s="183"/>
      <c r="K3" s="183"/>
      <c r="L3" s="183"/>
      <c r="M3" s="183"/>
    </row>
    <row r="4" spans="1:13" x14ac:dyDescent="0.35">
      <c r="A4" s="188"/>
      <c r="B4" s="205"/>
      <c r="C4" s="205"/>
      <c r="D4" s="206"/>
      <c r="E4" s="207"/>
      <c r="F4" s="207"/>
      <c r="G4" s="183"/>
      <c r="H4" s="183"/>
      <c r="I4" s="183"/>
      <c r="J4" s="183"/>
      <c r="K4" s="183"/>
      <c r="L4" s="183"/>
      <c r="M4" s="183"/>
    </row>
    <row r="5" spans="1:13" x14ac:dyDescent="0.35">
      <c r="A5" s="188" t="s">
        <v>182</v>
      </c>
      <c r="B5" s="205">
        <v>44786</v>
      </c>
      <c r="C5" s="205">
        <v>46611</v>
      </c>
      <c r="D5" s="206"/>
      <c r="E5" s="207"/>
      <c r="F5" s="207"/>
      <c r="G5" s="183"/>
      <c r="H5" s="183"/>
      <c r="I5" s="183"/>
      <c r="J5" s="183"/>
      <c r="K5" s="183"/>
      <c r="L5" s="183"/>
      <c r="M5" s="183"/>
    </row>
    <row r="6" spans="1:13" x14ac:dyDescent="0.35">
      <c r="A6" s="188"/>
      <c r="B6" s="205"/>
      <c r="C6" s="205"/>
      <c r="D6" s="206"/>
      <c r="E6" s="207"/>
      <c r="F6" s="207"/>
      <c r="G6" s="183"/>
      <c r="H6" s="183"/>
      <c r="I6" s="183"/>
      <c r="J6" s="183"/>
      <c r="K6" s="183"/>
      <c r="L6" s="183"/>
      <c r="M6" s="183"/>
    </row>
    <row r="7" spans="1:13" x14ac:dyDescent="0.35">
      <c r="A7" s="188" t="s">
        <v>170</v>
      </c>
      <c r="B7" s="205">
        <v>45364</v>
      </c>
      <c r="C7" s="205">
        <v>47189</v>
      </c>
      <c r="D7" s="206"/>
      <c r="G7" s="183"/>
      <c r="H7" s="183"/>
      <c r="I7" s="183"/>
      <c r="J7" s="183"/>
      <c r="K7" s="183"/>
      <c r="L7" s="183"/>
      <c r="M7" s="183"/>
    </row>
    <row r="8" spans="1:13" x14ac:dyDescent="0.35">
      <c r="A8" s="183"/>
      <c r="G8" s="183"/>
      <c r="H8" s="183"/>
      <c r="I8" s="183"/>
      <c r="J8" s="183"/>
      <c r="K8" s="183"/>
      <c r="L8" s="183"/>
      <c r="M8" s="183"/>
    </row>
    <row r="9" spans="1:13" x14ac:dyDescent="0.35">
      <c r="A9" s="183"/>
      <c r="B9" s="203" t="s">
        <v>167</v>
      </c>
      <c r="C9" s="203" t="s">
        <v>168</v>
      </c>
      <c r="D9" s="203" t="s">
        <v>171</v>
      </c>
      <c r="E9" s="206"/>
      <c r="F9" s="206"/>
      <c r="G9" s="183"/>
      <c r="H9" s="183"/>
      <c r="I9" s="183"/>
      <c r="J9" s="183"/>
      <c r="K9" s="183"/>
      <c r="L9" s="183"/>
      <c r="M9" s="183"/>
    </row>
    <row r="10" spans="1:13" hidden="1" x14ac:dyDescent="0.35">
      <c r="A10" s="183" t="s">
        <v>172</v>
      </c>
      <c r="B10" s="183"/>
      <c r="C10" s="183"/>
      <c r="D10" s="183"/>
      <c r="E10" s="183"/>
      <c r="F10" s="183"/>
      <c r="G10" s="183"/>
      <c r="H10" s="183"/>
      <c r="I10" s="183"/>
      <c r="J10" s="183"/>
      <c r="K10" s="183"/>
      <c r="L10" s="183"/>
      <c r="M10" s="183"/>
    </row>
    <row r="11" spans="1:13" hidden="1" x14ac:dyDescent="0.35">
      <c r="A11" s="183" t="s">
        <v>169</v>
      </c>
      <c r="B11" s="208">
        <v>45346</v>
      </c>
      <c r="C11" s="208">
        <v>45559</v>
      </c>
      <c r="D11" s="209">
        <f t="shared" ref="D11:D13" si="0">C11-B11</f>
        <v>213</v>
      </c>
      <c r="E11" s="210">
        <v>150000000</v>
      </c>
      <c r="F11" s="211">
        <f>E11*D11/365</f>
        <v>87534246.575342461</v>
      </c>
      <c r="G11" s="183"/>
      <c r="H11" s="183"/>
      <c r="I11" s="183"/>
      <c r="J11" s="183"/>
      <c r="K11" s="183"/>
      <c r="L11" s="183"/>
      <c r="M11" s="183"/>
    </row>
    <row r="12" spans="1:13" hidden="1" x14ac:dyDescent="0.35">
      <c r="A12" s="183" t="s">
        <v>173</v>
      </c>
      <c r="B12" s="208">
        <v>45346</v>
      </c>
      <c r="C12" s="208">
        <v>47172</v>
      </c>
      <c r="D12" s="209">
        <f t="shared" si="0"/>
        <v>1826</v>
      </c>
      <c r="E12" s="210">
        <f>275000000/5</f>
        <v>55000000</v>
      </c>
      <c r="F12" s="211">
        <f>-E12/365*D12</f>
        <v>-275150684.93150681</v>
      </c>
      <c r="G12" s="183"/>
      <c r="H12" s="183"/>
      <c r="I12" s="183"/>
      <c r="J12" s="183"/>
      <c r="K12" s="183"/>
      <c r="L12" s="183"/>
      <c r="M12" s="183"/>
    </row>
    <row r="13" spans="1:13" hidden="1" x14ac:dyDescent="0.35">
      <c r="A13" s="183" t="s">
        <v>174</v>
      </c>
      <c r="B13" s="208">
        <v>45346</v>
      </c>
      <c r="C13" s="208">
        <v>45559</v>
      </c>
      <c r="D13" s="209">
        <f t="shared" si="0"/>
        <v>213</v>
      </c>
      <c r="E13" s="210">
        <v>7000000</v>
      </c>
      <c r="F13" s="211">
        <f>-E13/365*D13</f>
        <v>-4084931.506849315</v>
      </c>
      <c r="G13" s="183"/>
      <c r="H13" s="183"/>
      <c r="I13" s="183"/>
      <c r="J13" s="183"/>
      <c r="K13" s="183"/>
      <c r="L13" s="183"/>
      <c r="M13" s="183"/>
    </row>
    <row r="14" spans="1:13" hidden="1" x14ac:dyDescent="0.35">
      <c r="A14" s="183" t="s">
        <v>175</v>
      </c>
      <c r="B14" s="183"/>
      <c r="C14" s="183"/>
      <c r="D14" s="183"/>
      <c r="E14" s="212">
        <v>100000000</v>
      </c>
      <c r="F14" s="213"/>
      <c r="G14" s="183"/>
      <c r="H14" s="183"/>
      <c r="I14" s="183"/>
      <c r="J14" s="183"/>
      <c r="K14" s="183"/>
      <c r="L14" s="183"/>
      <c r="M14" s="183"/>
    </row>
    <row r="15" spans="1:13" hidden="1" x14ac:dyDescent="0.35">
      <c r="A15" s="183" t="s">
        <v>176</v>
      </c>
      <c r="B15" s="183"/>
      <c r="C15" s="183"/>
      <c r="D15" s="183"/>
      <c r="E15" s="183"/>
      <c r="F15" s="211">
        <f>SUM(F11:F14)</f>
        <v>-191701369.86301365</v>
      </c>
      <c r="G15" s="183"/>
      <c r="H15" s="183"/>
      <c r="I15" s="183"/>
      <c r="J15" s="183"/>
      <c r="K15" s="183"/>
      <c r="L15" s="183"/>
      <c r="M15" s="183"/>
    </row>
    <row r="17" spans="1:13" x14ac:dyDescent="0.35">
      <c r="A17" s="183"/>
      <c r="B17" s="183"/>
      <c r="C17" s="183"/>
      <c r="D17" s="183"/>
      <c r="E17" s="183"/>
      <c r="F17" s="183"/>
      <c r="G17" s="183"/>
      <c r="H17" s="183"/>
      <c r="I17" s="183"/>
      <c r="J17" s="183"/>
      <c r="K17" s="183"/>
      <c r="L17" s="183"/>
      <c r="M17" s="183"/>
    </row>
    <row r="18" spans="1:13" x14ac:dyDescent="0.35">
      <c r="A18" s="188"/>
      <c r="B18" s="205"/>
      <c r="C18" s="205"/>
      <c r="D18" s="209">
        <f t="shared" ref="D18:D22" si="1">C18-B18</f>
        <v>0</v>
      </c>
      <c r="E18" s="210">
        <f>IRR!G20</f>
        <v>0</v>
      </c>
      <c r="F18" s="211">
        <f>E18*D18/365</f>
        <v>0</v>
      </c>
      <c r="G18" s="183"/>
      <c r="H18" s="183"/>
      <c r="I18" s="183"/>
      <c r="J18" s="183"/>
      <c r="K18" s="183"/>
      <c r="L18" s="183"/>
      <c r="M18" s="183"/>
    </row>
    <row r="19" spans="1:13" x14ac:dyDescent="0.35">
      <c r="A19" s="188" t="s">
        <v>182</v>
      </c>
      <c r="B19" s="205">
        <v>45517</v>
      </c>
      <c r="C19" s="205">
        <v>45881</v>
      </c>
      <c r="D19" s="209">
        <f t="shared" si="1"/>
        <v>364</v>
      </c>
      <c r="E19" s="210">
        <f>IRR!G19</f>
        <v>228000000</v>
      </c>
      <c r="F19" s="211">
        <f>E19*D19/365</f>
        <v>227375342.46575344</v>
      </c>
      <c r="G19" s="183"/>
      <c r="H19" s="183"/>
      <c r="I19" s="183"/>
      <c r="J19" s="183"/>
      <c r="K19" s="183"/>
      <c r="L19" s="183"/>
      <c r="M19" s="183"/>
    </row>
    <row r="20" spans="1:13" x14ac:dyDescent="0.35">
      <c r="A20" s="188"/>
      <c r="B20" s="205"/>
      <c r="C20" s="205"/>
      <c r="D20" s="209">
        <f t="shared" si="1"/>
        <v>0</v>
      </c>
      <c r="E20" s="210">
        <f>IRR!G21</f>
        <v>0</v>
      </c>
      <c r="F20" s="211">
        <f>E20*D20/365</f>
        <v>0</v>
      </c>
      <c r="G20" s="183"/>
      <c r="H20" s="183"/>
      <c r="I20" s="183"/>
      <c r="J20" s="183"/>
      <c r="K20" s="183"/>
      <c r="L20" s="183"/>
      <c r="M20" s="183"/>
    </row>
    <row r="21" spans="1:13" x14ac:dyDescent="0.35">
      <c r="A21" s="188" t="s">
        <v>170</v>
      </c>
      <c r="B21" s="205">
        <f>B7</f>
        <v>45364</v>
      </c>
      <c r="C21" s="205">
        <v>45728</v>
      </c>
      <c r="D21" s="209">
        <f t="shared" si="1"/>
        <v>364</v>
      </c>
      <c r="E21" s="210">
        <f>SummaryBR!E16</f>
        <v>55000000</v>
      </c>
      <c r="F21" s="211">
        <f>-(E21*D21/365)</f>
        <v>-54849315.06849315</v>
      </c>
      <c r="G21" s="183"/>
      <c r="H21" s="183"/>
      <c r="I21" s="183"/>
      <c r="J21" s="183"/>
      <c r="K21" s="183"/>
      <c r="L21" s="183"/>
      <c r="M21" s="183"/>
    </row>
    <row r="22" spans="1:13" x14ac:dyDescent="0.35">
      <c r="A22" s="183" t="s">
        <v>174</v>
      </c>
      <c r="B22" s="205">
        <v>45292</v>
      </c>
      <c r="C22" s="205">
        <v>45657</v>
      </c>
      <c r="D22" s="209">
        <f t="shared" si="1"/>
        <v>365</v>
      </c>
      <c r="E22" s="210">
        <v>7000000</v>
      </c>
      <c r="F22" s="211">
        <f>-(E22*D22/365)</f>
        <v>-7000000</v>
      </c>
      <c r="G22" s="183"/>
      <c r="H22" s="183"/>
      <c r="I22" s="183"/>
      <c r="J22" s="183"/>
      <c r="K22" s="183"/>
      <c r="L22" s="183"/>
      <c r="M22" s="183"/>
    </row>
    <row r="23" spans="1:13" x14ac:dyDescent="0.35">
      <c r="A23" s="183" t="s">
        <v>175</v>
      </c>
      <c r="B23" s="183"/>
      <c r="C23" s="183"/>
      <c r="D23" s="183"/>
      <c r="E23" s="212">
        <v>100000000</v>
      </c>
      <c r="F23" s="213"/>
      <c r="G23" s="183"/>
      <c r="H23" s="183"/>
      <c r="I23" s="183"/>
      <c r="J23" s="183"/>
      <c r="K23" s="183"/>
      <c r="L23" s="183"/>
      <c r="M23" s="183"/>
    </row>
    <row r="24" spans="1:13" x14ac:dyDescent="0.35">
      <c r="A24" s="183" t="s">
        <v>176</v>
      </c>
      <c r="B24" s="183"/>
      <c r="C24" s="183"/>
      <c r="D24" s="183"/>
      <c r="E24" s="183"/>
      <c r="F24" s="211">
        <f>SUM(F18:F23)</f>
        <v>165526027.39726028</v>
      </c>
      <c r="G24" s="183"/>
      <c r="H24" s="183"/>
      <c r="I24" s="183"/>
      <c r="J24" s="183"/>
      <c r="K24" s="183"/>
      <c r="L24" s="183"/>
      <c r="M24" s="183"/>
    </row>
  </sheetData>
  <mergeCells count="1">
    <mergeCell ref="A2:F2"/>
  </mergeCells>
  <pageMargins left="0.36" right="0.23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</vt:lpstr>
      <vt:lpstr>PARAMETER</vt:lpstr>
      <vt:lpstr>SummaryBR</vt:lpstr>
      <vt:lpstr>Analisa</vt:lpstr>
      <vt:lpstr>Analisa!Print_Area</vt:lpstr>
      <vt:lpstr>IRR!Print_Area</vt:lpstr>
      <vt:lpstr>Summary!Print_Area</vt:lpstr>
      <vt:lpstr>SummaryBR!Print_Area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2024-04-25T04:03:13Z</cp:lastPrinted>
  <dcterms:created xsi:type="dcterms:W3CDTF">2020-06-08T08:40:20Z</dcterms:created>
  <dcterms:modified xsi:type="dcterms:W3CDTF">2024-06-26T07:58:18Z</dcterms:modified>
</cp:coreProperties>
</file>