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8_{AA2091E5-EC54-41FD-BE50-5B78259A209C}" xr6:coauthVersionLast="36" xr6:coauthVersionMax="36" xr10:uidLastSave="{00000000-0000-0000-0000-000000000000}"/>
  <bookViews>
    <workbookView xWindow="0" yWindow="0" windowWidth="19200" windowHeight="6230" xr2:uid="{00000000-000D-0000-FFFF-FFFF00000000}"/>
  </bookViews>
  <sheets>
    <sheet name="Summary" sheetId="8" r:id="rId1"/>
    <sheet name="IRR Approved" sheetId="1" r:id="rId2"/>
    <sheet name="PARAMETER" sheetId="5" r:id="rId3"/>
    <sheet name="Analisa" sheetId="11" r:id="rId4"/>
    <sheet name="Summary BR" sheetId="12" r:id="rId5"/>
  </sheets>
  <externalReferences>
    <externalReference r:id="rId6"/>
  </externalReferences>
  <definedNames>
    <definedName name="jk" localSheetId="3">#REF!</definedName>
    <definedName name="jk" localSheetId="4">#REF!</definedName>
    <definedName name="jk">#REF!</definedName>
    <definedName name="_xlnm.Print_Area" localSheetId="1">'IRR Approved'!$A$1:$R$69</definedName>
    <definedName name="_xlnm.Print_Area" localSheetId="0">Summary!$B$2:$N$33</definedName>
    <definedName name="_xlnm.Print_Area" localSheetId="4">'Summary BR'!$A$1:$D$17</definedName>
    <definedName name="years_contract">[1]Kerlink!$D$5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6" i="8" l="1"/>
  <c r="D9" i="11" l="1"/>
  <c r="F9" i="11" s="1"/>
  <c r="D12" i="12"/>
  <c r="C12" i="12"/>
  <c r="D11" i="11"/>
  <c r="F11" i="11" s="1"/>
  <c r="D10" i="11"/>
  <c r="F10" i="11" l="1"/>
  <c r="F13" i="11" s="1"/>
  <c r="I23" i="1" l="1"/>
  <c r="J23" i="1" s="1"/>
  <c r="C7" i="5"/>
  <c r="C6" i="5"/>
  <c r="D5" i="5" s="1"/>
  <c r="E5" i="5" s="1"/>
  <c r="C3" i="5"/>
  <c r="F5" i="5" l="1"/>
  <c r="F7" i="5"/>
  <c r="D7" i="5"/>
  <c r="E7" i="5"/>
  <c r="C4" i="5"/>
  <c r="G5" i="5" l="1"/>
  <c r="G7" i="5"/>
  <c r="H58" i="1"/>
  <c r="L45" i="1"/>
  <c r="H45" i="1"/>
  <c r="O40" i="1"/>
  <c r="P40" i="1"/>
  <c r="Q40" i="1"/>
  <c r="D6" i="8"/>
  <c r="A5" i="5"/>
  <c r="A8" i="5" s="1"/>
  <c r="A11" i="5" s="1"/>
  <c r="A14" i="5" s="1"/>
  <c r="A17" i="5" s="1"/>
  <c r="A20" i="5" s="1"/>
  <c r="H32" i="1"/>
  <c r="I17" i="1"/>
  <c r="J17" i="1" s="1"/>
  <c r="K17" i="1" s="1"/>
  <c r="H5" i="5" l="1"/>
  <c r="I7" i="5" s="1"/>
  <c r="T24" i="5"/>
  <c r="S24" i="5"/>
  <c r="R24" i="5"/>
  <c r="D2" i="5"/>
  <c r="D1" i="5"/>
  <c r="E1" i="5" s="1"/>
  <c r="F1" i="5" s="1"/>
  <c r="G1" i="5" s="1"/>
  <c r="H1" i="5" s="1"/>
  <c r="I1" i="5" s="1"/>
  <c r="J1" i="5" s="1"/>
  <c r="K1" i="5" s="1"/>
  <c r="L1" i="5" s="1"/>
  <c r="M1" i="5" s="1"/>
  <c r="N1" i="5" s="1"/>
  <c r="O1" i="5" s="1"/>
  <c r="P1" i="5" s="1"/>
  <c r="Q1" i="5" s="1"/>
  <c r="R1" i="5" s="1"/>
  <c r="S1" i="5" s="1"/>
  <c r="T1" i="5" s="1"/>
  <c r="U1" i="5" s="1"/>
  <c r="V1" i="5" s="1"/>
  <c r="H7" i="5" l="1"/>
  <c r="D4" i="5"/>
  <c r="C24" i="5"/>
  <c r="E2" i="5"/>
  <c r="L24" i="5"/>
  <c r="L40" i="1" s="1"/>
  <c r="E4" i="5" l="1"/>
  <c r="D24" i="5"/>
  <c r="E24" i="5"/>
  <c r="M24" i="5"/>
  <c r="K24" i="5"/>
  <c r="K40" i="1" s="1"/>
  <c r="P24" i="5"/>
  <c r="F2" i="5"/>
  <c r="F4" i="5" l="1"/>
  <c r="F24" i="5"/>
  <c r="G2" i="5"/>
  <c r="O24" i="5"/>
  <c r="N24" i="5"/>
  <c r="Q24" i="5"/>
  <c r="G4" i="5" l="1"/>
  <c r="J24" i="5"/>
  <c r="J40" i="1" s="1"/>
  <c r="H2" i="5"/>
  <c r="I4" i="5" s="1"/>
  <c r="N40" i="1" s="1"/>
  <c r="H4" i="5" l="1"/>
  <c r="G24" i="5"/>
  <c r="H24" i="5"/>
  <c r="H40" i="1" s="1"/>
  <c r="I24" i="5"/>
  <c r="I40" i="1" s="1"/>
  <c r="K5" i="1" l="1"/>
  <c r="K4" i="1"/>
  <c r="K3" i="1"/>
  <c r="I32" i="1"/>
  <c r="J32" i="1" s="1"/>
  <c r="I25" i="1"/>
  <c r="J25" i="1" s="1"/>
  <c r="K25" i="1" s="1"/>
  <c r="L25" i="1" s="1"/>
  <c r="Q31" i="1" l="1"/>
  <c r="P31" i="1"/>
  <c r="O31" i="1"/>
  <c r="N31" i="1"/>
  <c r="M31" i="1"/>
  <c r="O30" i="1"/>
  <c r="N30" i="1"/>
  <c r="M30" i="1"/>
  <c r="Q25" i="1"/>
  <c r="P25" i="1"/>
  <c r="O25" i="1"/>
  <c r="Q23" i="1"/>
  <c r="P23" i="1"/>
  <c r="O23" i="1"/>
  <c r="Q22" i="1"/>
  <c r="P22" i="1"/>
  <c r="O22" i="1"/>
  <c r="N25" i="1"/>
  <c r="N23" i="1"/>
  <c r="N22" i="1"/>
  <c r="M25" i="1"/>
  <c r="M23" i="1"/>
  <c r="M22" i="1"/>
  <c r="F14" i="1"/>
  <c r="K14" i="1"/>
  <c r="K45" i="1" s="1"/>
  <c r="J14" i="1"/>
  <c r="J45" i="1" s="1"/>
  <c r="I14" i="1"/>
  <c r="I45" i="1" s="1"/>
  <c r="R24" i="1" l="1"/>
  <c r="N32" i="1"/>
  <c r="O32" i="1"/>
  <c r="R67" i="1"/>
  <c r="R26" i="1" l="1"/>
  <c r="R25" i="1"/>
  <c r="M8" i="8"/>
  <c r="R22" i="1" l="1"/>
  <c r="R23" i="1"/>
  <c r="Q45" i="1"/>
  <c r="M45" i="1"/>
  <c r="N45" i="1"/>
  <c r="O45" i="1"/>
  <c r="P45" i="1"/>
  <c r="R14" i="1"/>
  <c r="R13" i="1"/>
  <c r="C76" i="5"/>
  <c r="D67" i="5"/>
  <c r="F49" i="5"/>
  <c r="H48" i="5"/>
  <c r="F48" i="5"/>
  <c r="G47" i="5"/>
  <c r="J47" i="5" s="1"/>
  <c r="F46" i="5"/>
  <c r="J46" i="5" s="1"/>
  <c r="F45" i="5"/>
  <c r="D45" i="5"/>
  <c r="M12" i="8" l="1"/>
  <c r="R15" i="1"/>
  <c r="J45" i="5"/>
  <c r="R27" i="1"/>
  <c r="O6" i="8" l="1"/>
  <c r="H57" i="1" l="1"/>
  <c r="K61" i="1"/>
  <c r="J60" i="1"/>
  <c r="I59" i="1"/>
  <c r="C38" i="5" l="1"/>
  <c r="C37" i="5" s="1"/>
  <c r="C36" i="5" s="1"/>
  <c r="P30" i="1"/>
  <c r="Q30" i="1" s="1"/>
  <c r="I57" i="1"/>
  <c r="R30" i="1" l="1"/>
  <c r="M13" i="8" s="1"/>
  <c r="J57" i="1"/>
  <c r="L17" i="1" l="1"/>
  <c r="K57" i="1"/>
  <c r="M17" i="1" l="1"/>
  <c r="L57" i="1"/>
  <c r="D38" i="5"/>
  <c r="D37" i="5" s="1"/>
  <c r="N17" i="1" l="1"/>
  <c r="M57" i="1"/>
  <c r="D36" i="5"/>
  <c r="O17" i="1" l="1"/>
  <c r="N57" i="1"/>
  <c r="E38" i="5"/>
  <c r="E36" i="5" s="1"/>
  <c r="G32" i="1"/>
  <c r="P17" i="1" l="1"/>
  <c r="O57" i="1"/>
  <c r="F38" i="5"/>
  <c r="F36" i="5" s="1"/>
  <c r="E37" i="5"/>
  <c r="Q17" i="1" l="1"/>
  <c r="Q57" i="1" s="1"/>
  <c r="P57" i="1"/>
  <c r="G38" i="5"/>
  <c r="G36" i="5" s="1"/>
  <c r="M33" i="1" s="1"/>
  <c r="F37" i="5"/>
  <c r="G37" i="5" s="1"/>
  <c r="H38" i="5" l="1"/>
  <c r="H68" i="1"/>
  <c r="H38" i="1" s="1"/>
  <c r="K60" i="1"/>
  <c r="L61" i="1"/>
  <c r="L62" i="1"/>
  <c r="M63" i="1"/>
  <c r="N64" i="1"/>
  <c r="O65" i="1"/>
  <c r="P66" i="1"/>
  <c r="R66" i="1" s="1"/>
  <c r="J59" i="1"/>
  <c r="R45" i="1" l="1"/>
  <c r="M62" i="1"/>
  <c r="N62" i="1" s="1"/>
  <c r="O62" i="1" s="1"/>
  <c r="P62" i="1" s="1"/>
  <c r="O64" i="1"/>
  <c r="P64" i="1" s="1"/>
  <c r="N63" i="1"/>
  <c r="O63" i="1" s="1"/>
  <c r="P63" i="1" s="1"/>
  <c r="P65" i="1"/>
  <c r="R65" i="1" s="1"/>
  <c r="M61" i="1"/>
  <c r="N61" i="1" s="1"/>
  <c r="O61" i="1" s="1"/>
  <c r="P61" i="1" s="1"/>
  <c r="Q61" i="1" s="1"/>
  <c r="L60" i="1"/>
  <c r="M60" i="1" s="1"/>
  <c r="N60" i="1" s="1"/>
  <c r="O60" i="1" s="1"/>
  <c r="P60" i="1" s="1"/>
  <c r="Q60" i="1" s="1"/>
  <c r="K59" i="1"/>
  <c r="L59" i="1" s="1"/>
  <c r="M59" i="1" s="1"/>
  <c r="N59" i="1" s="1"/>
  <c r="O59" i="1" s="1"/>
  <c r="P59" i="1" s="1"/>
  <c r="Q59" i="1" s="1"/>
  <c r="H37" i="5"/>
  <c r="H36" i="5"/>
  <c r="N33" i="1" s="1"/>
  <c r="R64" i="1" l="1"/>
  <c r="R62" i="1"/>
  <c r="R59" i="1"/>
  <c r="R63" i="1"/>
  <c r="R60" i="1"/>
  <c r="R61" i="1"/>
  <c r="I38" i="5"/>
  <c r="I37" i="5" s="1"/>
  <c r="M32" i="1"/>
  <c r="I36" i="5" l="1"/>
  <c r="O33" i="1" s="1"/>
  <c r="P32" i="1"/>
  <c r="I49" i="5" l="1"/>
  <c r="J49" i="5" s="1"/>
  <c r="I48" i="5"/>
  <c r="J48" i="5" s="1"/>
  <c r="J50" i="5" s="1"/>
  <c r="K50" i="5" s="1"/>
  <c r="I46" i="5"/>
  <c r="J38" i="5"/>
  <c r="J37" i="5" s="1"/>
  <c r="P27" i="1"/>
  <c r="Q32" i="1"/>
  <c r="R32" i="1" l="1"/>
  <c r="J36" i="5"/>
  <c r="P33" i="1" s="1"/>
  <c r="M10" i="8"/>
  <c r="R31" i="1"/>
  <c r="P34" i="1" l="1"/>
  <c r="P35" i="1" s="1"/>
  <c r="P36" i="1" s="1"/>
  <c r="K38" i="5"/>
  <c r="M27" i="1"/>
  <c r="I27" i="1"/>
  <c r="I33" i="1" s="1"/>
  <c r="J27" i="1"/>
  <c r="J33" i="1" s="1"/>
  <c r="K27" i="1"/>
  <c r="K33" i="1" s="1"/>
  <c r="L27" i="1"/>
  <c r="L33" i="1" s="1"/>
  <c r="H27" i="1"/>
  <c r="H33" i="1" s="1"/>
  <c r="K36" i="5" l="1"/>
  <c r="K37" i="5"/>
  <c r="N27" i="1"/>
  <c r="M34" i="1"/>
  <c r="M35" i="1" s="1"/>
  <c r="O27" i="1"/>
  <c r="Q27" i="1"/>
  <c r="L34" i="1"/>
  <c r="L35" i="1" s="1"/>
  <c r="Q33" i="1" l="1"/>
  <c r="Q34" i="1" s="1"/>
  <c r="Q35" i="1" s="1"/>
  <c r="R40" i="1"/>
  <c r="M36" i="1"/>
  <c r="L36" i="1"/>
  <c r="Q36" i="1" l="1"/>
  <c r="N34" i="1"/>
  <c r="N35" i="1" s="1"/>
  <c r="N36" i="1" s="1"/>
  <c r="O34" i="1"/>
  <c r="O35" i="1" s="1"/>
  <c r="O36" i="1" l="1"/>
  <c r="G27" i="1" l="1"/>
  <c r="S27" i="1" s="1"/>
  <c r="I58" i="1" l="1"/>
  <c r="I68" i="1" l="1"/>
  <c r="I38" i="1" s="1"/>
  <c r="J58" i="1"/>
  <c r="J68" i="1" l="1"/>
  <c r="J38" i="1" s="1"/>
  <c r="K34" i="1"/>
  <c r="K35" i="1" s="1"/>
  <c r="K36" i="1" s="1"/>
  <c r="J34" i="1"/>
  <c r="J35" i="1" s="1"/>
  <c r="J36" i="1" s="1"/>
  <c r="G33" i="1"/>
  <c r="I34" i="1"/>
  <c r="I35" i="1" s="1"/>
  <c r="I36" i="1" s="1"/>
  <c r="H34" i="1"/>
  <c r="H35" i="1" s="1"/>
  <c r="H39" i="1" s="1"/>
  <c r="H41" i="1" s="1"/>
  <c r="R33" i="1" l="1"/>
  <c r="M14" i="8" s="1"/>
  <c r="K68" i="1"/>
  <c r="I39" i="1"/>
  <c r="G34" i="1"/>
  <c r="R34" i="1" l="1"/>
  <c r="R35" i="1" s="1"/>
  <c r="R36" i="1" s="1"/>
  <c r="F53" i="1" s="1"/>
  <c r="M17" i="8" s="1"/>
  <c r="G35" i="1"/>
  <c r="L68" i="1"/>
  <c r="L39" i="1" s="1"/>
  <c r="H42" i="1"/>
  <c r="H43" i="1" s="1"/>
  <c r="H36" i="1"/>
  <c r="J39" i="1"/>
  <c r="I41" i="1"/>
  <c r="H46" i="1" l="1"/>
  <c r="H47" i="1" s="1"/>
  <c r="S34" i="1"/>
  <c r="S35" i="1"/>
  <c r="I42" i="1"/>
  <c r="I43" i="1" s="1"/>
  <c r="I46" i="1" s="1"/>
  <c r="M68" i="1"/>
  <c r="M38" i="1" s="1"/>
  <c r="J41" i="1"/>
  <c r="J42" i="1" l="1"/>
  <c r="J43" i="1" s="1"/>
  <c r="J46" i="1" s="1"/>
  <c r="N68" i="1"/>
  <c r="N38" i="1" s="1"/>
  <c r="L41" i="1"/>
  <c r="L42" i="1" l="1"/>
  <c r="L43" i="1" s="1"/>
  <c r="L46" i="1" s="1"/>
  <c r="R58" i="1"/>
  <c r="R68" i="1" s="1"/>
  <c r="O68" i="1"/>
  <c r="O38" i="1" s="1"/>
  <c r="M39" i="1"/>
  <c r="M41" i="1" s="1"/>
  <c r="K39" i="1"/>
  <c r="M42" i="1" l="1"/>
  <c r="M43" i="1" s="1"/>
  <c r="Q68" i="1"/>
  <c r="Q38" i="1" s="1"/>
  <c r="P68" i="1"/>
  <c r="N39" i="1"/>
  <c r="K41" i="1"/>
  <c r="P38" i="1" l="1"/>
  <c r="P39" i="1" s="1"/>
  <c r="P41" i="1" s="1"/>
  <c r="M46" i="1"/>
  <c r="G48" i="1"/>
  <c r="I47" i="1"/>
  <c r="J47" i="1" s="1"/>
  <c r="K42" i="1"/>
  <c r="K43" i="1" s="1"/>
  <c r="K46" i="1" s="1"/>
  <c r="Q39" i="1"/>
  <c r="Q41" i="1" s="1"/>
  <c r="O39" i="1"/>
  <c r="N41" i="1"/>
  <c r="R38" i="1" l="1"/>
  <c r="R39" i="1" s="1"/>
  <c r="S39" i="1" s="1"/>
  <c r="H48" i="1"/>
  <c r="P42" i="1"/>
  <c r="P43" i="1" s="1"/>
  <c r="P46" i="1" s="1"/>
  <c r="Q42" i="1"/>
  <c r="Q43" i="1" s="1"/>
  <c r="N42" i="1"/>
  <c r="N43" i="1" s="1"/>
  <c r="O41" i="1"/>
  <c r="I48" i="1" l="1"/>
  <c r="N46" i="1"/>
  <c r="R41" i="1"/>
  <c r="S41" i="1" s="1"/>
  <c r="Q46" i="1"/>
  <c r="O42" i="1"/>
  <c r="R42" i="1" s="1"/>
  <c r="J48" i="1" l="1"/>
  <c r="O43" i="1"/>
  <c r="R43" i="1"/>
  <c r="S43" i="1" l="1"/>
  <c r="K48" i="1"/>
  <c r="O46" i="1"/>
  <c r="M47" i="1"/>
  <c r="R46" i="1" l="1"/>
  <c r="F51" i="1"/>
  <c r="M15" i="8" s="1"/>
  <c r="F52" i="1"/>
  <c r="M16" i="8" s="1"/>
  <c r="L48" i="1"/>
  <c r="M48" i="1"/>
  <c r="N47" i="1"/>
  <c r="O47" i="1" l="1"/>
  <c r="O48" i="1" s="1"/>
  <c r="N48" i="1"/>
  <c r="P47" i="1" l="1"/>
  <c r="Q47" i="1" s="1"/>
  <c r="Q48" i="1" s="1"/>
  <c r="F54" i="1" s="1"/>
  <c r="M18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44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<sst xmlns="http://schemas.openxmlformats.org/spreadsheetml/2006/main" count="259" uniqueCount="208">
  <si>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</si>
  <si>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</si>
  <si>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</si>
  <si>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</si>
  <si>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</si>
  <si>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</si>
  <si>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</si>
  <si>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</si>
  <si>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</si>
  <si>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</si>
  <si>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</si>
  <si>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</si>
  <si>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</si>
  <si>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</si>
  <si>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</si>
  <si>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</si>
  <si>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</si>
  <si>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</si>
  <si>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</si>
  <si>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</si>
  <si>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</si>
  <si>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</si>
  <si>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</si>
  <si>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</si>
  <si>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</si>
  <si>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</si>
  <si>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</si>
  <si>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</si>
  <si>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</si>
  <si>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</si>
  <si>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</si>
  <si>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</si>
  <si>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</si>
  <si>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</si>
  <si>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</si>
  <si>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</si>
  <si>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</si>
  <si>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</si>
  <si>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</si>
  <si>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</si>
  <si>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</si>
  <si>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</si>
  <si>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</si>
  <si>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</si>
  <si>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</si>
  <si>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</si>
  <si>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</si>
  <si>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</si>
  <si>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</si>
  <si>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</si>
  <si>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</si>
  <si>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</si>
  <si>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</si>
  <si>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</si>
  <si>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</si>
  <si>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</si>
  <si>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</si>
  <si>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</si>
  <si>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</si>
  <si>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</si>
  <si>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</si>
  <si>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</si>
  <si>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</si>
  <si>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</si>
  <si>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</si>
  <si>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</si>
  <si>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</si>
  <si>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</si>
  <si>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</si>
  <si>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</si>
  <si>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</si>
  <si>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</si>
  <si>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</si>
  <si>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</si>
  <si>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</si>
  <si>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</si>
  <si>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</si>
  <si>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</si>
  <si>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</si>
  <si>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</si>
  <si>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</si>
  <si>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</si>
  <si>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</si>
  <si>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</si>
  <si>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</si>
  <si>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</si>
  <si>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</si>
  <si>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</si>
  <si>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</si>
  <si>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</si>
  <si>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</si>
  <si>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</si>
  <si>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</si>
  <si>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</si>
  <si>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</si>
  <si>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</si>
  <si>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</si>
  <si>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</si>
  <si>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</si>
  <si>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</si>
  <si>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Y0</t>
  </si>
  <si>
    <t>Year 0</t>
  </si>
  <si>
    <t>Total COGS Rent</t>
  </si>
  <si>
    <t>Total COGS Other</t>
  </si>
  <si>
    <t>Total Capex DAS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</si>
  <si>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</si>
  <si>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</si>
  <si>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</si>
  <si>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</si>
  <si>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</si>
  <si>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</si>
  <si>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</si>
  <si>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</si>
  <si>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</si>
  <si>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</si>
  <si>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</si>
  <si>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</si>
  <si>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</si>
  <si>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</si>
  <si>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</si>
  <si>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</si>
  <si>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</si>
  <si>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</si>
  <si>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</si>
  <si>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</si>
  <si>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</si>
  <si>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</si>
  <si>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</si>
  <si>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</si>
  <si>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</si>
  <si>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</si>
  <si>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</si>
  <si>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</si>
  <si>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</si>
  <si>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</si>
  <si>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</si>
  <si>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</si>
  <si>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</si>
  <si>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</si>
  <si>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</si>
  <si>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</si>
  <si>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</si>
  <si>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</si>
  <si>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</si>
  <si>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</si>
  <si>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</si>
  <si>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BTS migrasi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</si>
  <si>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</si>
  <si>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</si>
  <si>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</si>
  <si>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</si>
  <si>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</si>
  <si>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</si>
  <si>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</si>
  <si>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Join year</t>
  </si>
  <si>
    <t>% inc (dec)</t>
  </si>
  <si>
    <t>Increase every year</t>
  </si>
  <si>
    <t>IOH-Makro</t>
  </si>
  <si>
    <t>No.</t>
  </si>
  <si>
    <t>No</t>
  </si>
  <si>
    <t>BV 31 Jul 2024</t>
  </si>
  <si>
    <t>Apartmen</t>
  </si>
  <si>
    <t>The Belleuve Bestwestern Pondok Indah</t>
  </si>
  <si>
    <t>0016/IRR/IBC/VI/2024</t>
  </si>
  <si>
    <t>SUMMARY REVIEW</t>
  </si>
  <si>
    <t xml:space="preserve">No. </t>
  </si>
  <si>
    <t>Keterangan</t>
  </si>
  <si>
    <t>Existing</t>
  </si>
  <si>
    <t>Renewal</t>
  </si>
  <si>
    <t>Scope Of Lease</t>
  </si>
  <si>
    <t>Obyek Sewa</t>
  </si>
  <si>
    <t>Periode Sewa</t>
  </si>
  <si>
    <t>Operator Join</t>
  </si>
  <si>
    <t xml:space="preserve">Periode </t>
  </si>
  <si>
    <t>Start</t>
  </si>
  <si>
    <t>End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</si>
  <si>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</si>
  <si>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</si>
  <si>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</si>
  <si>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</si>
  <si>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</si>
  <si>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</si>
  <si>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</si>
  <si>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</si>
  <si>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>SITE Best Western Bellevue Pondok Indah</t>
  </si>
  <si>
    <t xml:space="preserve">Nama Site                          </t>
  </si>
  <si>
    <t>: The Bellevue Best Western Pondok Indah (Aston Bellevue)</t>
  </si>
  <si>
    <t xml:space="preserve">Nama Pemilik      </t>
  </si>
  <si>
    <t>: PT.Bina Usaha Nusantara</t>
  </si>
  <si>
    <t xml:space="preserve">Alamat Pemilik      </t>
  </si>
  <si>
    <t>:  JL. H.Nawi No.1 Jakarta Selatan</t>
  </si>
  <si>
    <t xml:space="preserve">Telp                                            </t>
  </si>
  <si>
    <t xml:space="preserve">: </t>
  </si>
  <si>
    <t xml:space="preserve">Obyek Sewa            </t>
  </si>
  <si>
    <t>: 75  Omni +  Unit Pole Antenna + RBS  m²</t>
  </si>
  <si>
    <t>28 Juli 2021 s/d 27 Juli 2024 (3 tahun)</t>
  </si>
  <si>
    <t>28 Juli 2024 s/d 27 Juli 2027 (3 tahun)</t>
  </si>
  <si>
    <t xml:space="preserve">Harga Sewa </t>
  </si>
  <si>
    <t>Rp.83.333.333/ Tahun atau Rp.250.000.000/ 3 Tahun</t>
  </si>
  <si>
    <t>Rp.100.000.000/ Tahun atau Rp.300.000.000/ 3 Tahun</t>
  </si>
  <si>
    <t>XL (03 Juli 2019 s/d 02 Juli 2024)</t>
  </si>
  <si>
    <t>XL (03 Juli 2024 s/d 02 Juli 2027)</t>
  </si>
  <si>
    <t xml:space="preserve"> Harga Sewa</t>
  </si>
  <si>
    <t>Mengalami kenaikan sebesar 20%</t>
  </si>
  <si>
    <t>Note :</t>
  </si>
  <si>
    <t>Total Capex BV 31Jul24</t>
  </si>
  <si>
    <t>Th Bellevue Pondok Indah</t>
  </si>
  <si>
    <t>Perpanjangan sewa hanya 3 tahun IRR Negatif karena BV masih besar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</si>
</sst>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166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5" fillId="0" borderId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6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2" fillId="0" borderId="0"/>
    <xf numFmtId="166" fontId="32" fillId="0" borderId="0" applyFont="0" applyFill="0" applyBorder="0" applyAlignment="0" applyProtection="0"/>
    <xf numFmtId="0" fontId="4" fillId="0" borderId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2" fillId="0" borderId="0"/>
    <xf numFmtId="165" fontId="4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5" fillId="0" borderId="0"/>
    <xf numFmtId="0" fontId="1" fillId="0" borderId="0"/>
    <xf numFmtId="164" fontId="25" fillId="0" borderId="0" applyFont="0" applyFill="0" applyBorder="0" applyAlignment="0" applyProtection="0"/>
    <xf numFmtId="0" fontId="25" fillId="0" borderId="0"/>
    <xf numFmtId="165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5" fillId="0" borderId="0"/>
    <xf numFmtId="165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5" fillId="0" borderId="0"/>
  </cellStyleXfs>
  <cellXfs count="265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6" fillId="0" borderId="0" xfId="0" applyNumberFormat="1" applyFont="1" applyBorder="1"/>
    <xf numFmtId="41" fontId="13" fillId="0" borderId="0" xfId="0" applyNumberFormat="1" applyFont="1" applyBorder="1"/>
    <xf numFmtId="0" fontId="12" fillId="0" borderId="1" xfId="0" applyFont="1" applyBorder="1"/>
    <xf numFmtId="41" fontId="0" fillId="0" borderId="0" xfId="0" applyNumberFormat="1" applyAlignment="1">
      <alignment vertical="center"/>
    </xf>
    <xf numFmtId="41" fontId="0" fillId="0" borderId="0" xfId="0" applyNumberFormat="1"/>
    <xf numFmtId="0" fontId="14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66" fontId="20" fillId="0" borderId="0" xfId="1" applyFont="1"/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9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8" fillId="0" borderId="0" xfId="0" applyNumberFormat="1" applyFont="1" applyBorder="1"/>
    <xf numFmtId="41" fontId="17" fillId="0" borderId="0" xfId="0" applyNumberFormat="1" applyFont="1" applyBorder="1"/>
    <xf numFmtId="167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0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168" fontId="24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167" fontId="11" fillId="0" borderId="0" xfId="17" applyNumberFormat="1" applyFont="1"/>
    <xf numFmtId="41" fontId="0" fillId="0" borderId="0" xfId="2" applyFont="1" applyAlignment="1">
      <alignment vertical="center"/>
    </xf>
    <xf numFmtId="41" fontId="11" fillId="0" borderId="0" xfId="2" applyFont="1" applyFill="1"/>
    <xf numFmtId="167" fontId="0" fillId="4" borderId="0" xfId="0" applyNumberFormat="1" applyFill="1" applyAlignment="1">
      <alignment vertical="center"/>
    </xf>
    <xf numFmtId="0" fontId="15" fillId="0" borderId="0" xfId="0" applyFont="1"/>
    <xf numFmtId="41" fontId="24" fillId="0" borderId="0" xfId="0" applyNumberFormat="1" applyFont="1" applyBorder="1"/>
    <xf numFmtId="41" fontId="26" fillId="0" borderId="0" xfId="0" applyNumberFormat="1" applyFont="1" applyBorder="1"/>
    <xf numFmtId="0" fontId="24" fillId="0" borderId="0" xfId="0" applyFont="1"/>
    <xf numFmtId="41" fontId="0" fillId="0" borderId="0" xfId="0" applyNumberFormat="1" applyAlignment="1">
      <alignment horizontal="right" vertical="center"/>
    </xf>
    <xf numFmtId="168" fontId="19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7" fillId="0" borderId="0" xfId="0" applyFont="1"/>
    <xf numFmtId="38" fontId="27" fillId="0" borderId="0" xfId="0" applyNumberFormat="1" applyFont="1"/>
    <xf numFmtId="167" fontId="29" fillId="0" borderId="0" xfId="1" applyNumberFormat="1" applyFont="1"/>
    <xf numFmtId="168" fontId="29" fillId="0" borderId="0" xfId="1" applyNumberFormat="1" applyFont="1"/>
    <xf numFmtId="0" fontId="27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41" fontId="27" fillId="0" borderId="0" xfId="0" applyNumberFormat="1" applyFont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0" fillId="0" borderId="0" xfId="0" applyFont="1" applyBorder="1"/>
    <xf numFmtId="0" fontId="31" fillId="0" borderId="0" xfId="0" applyFont="1"/>
    <xf numFmtId="0" fontId="30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9" xfId="2" applyNumberFormat="1" applyFont="1" applyBorder="1"/>
    <xf numFmtId="9" fontId="12" fillId="0" borderId="18" xfId="2" applyNumberFormat="1" applyFont="1" applyBorder="1"/>
    <xf numFmtId="169" fontId="12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0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12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4" fillId="0" borderId="9" xfId="0" applyNumberFormat="1" applyFont="1" applyBorder="1"/>
    <xf numFmtId="38" fontId="12" fillId="0" borderId="18" xfId="2" applyNumberFormat="1" applyFont="1" applyBorder="1"/>
    <xf numFmtId="9" fontId="24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2" fillId="0" borderId="12" xfId="0" applyFont="1" applyBorder="1" applyAlignment="1">
      <alignment horizontal="center"/>
    </xf>
    <xf numFmtId="0" fontId="0" fillId="9" borderId="0" xfId="0" applyFill="1"/>
    <xf numFmtId="41" fontId="35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8" fillId="9" borderId="15" xfId="0" applyFont="1" applyFill="1" applyBorder="1" applyAlignment="1">
      <alignment horizontal="right" vertical="top"/>
    </xf>
    <xf numFmtId="41" fontId="24" fillId="9" borderId="0" xfId="0" applyNumberFormat="1" applyFont="1" applyFill="1"/>
    <xf numFmtId="41" fontId="13" fillId="9" borderId="0" xfId="0" applyNumberFormat="1" applyFont="1" applyFill="1" applyBorder="1"/>
    <xf numFmtId="0" fontId="0" fillId="0" borderId="0" xfId="0" quotePrefix="1"/>
    <xf numFmtId="9" fontId="27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3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8" fillId="0" borderId="23" xfId="0" applyNumberFormat="1" applyFont="1" applyFill="1" applyBorder="1"/>
    <xf numFmtId="167" fontId="12" fillId="0" borderId="33" xfId="0" applyNumberFormat="1" applyFont="1" applyBorder="1" applyAlignment="1">
      <alignment vertical="center"/>
    </xf>
    <xf numFmtId="0" fontId="24" fillId="0" borderId="29" xfId="0" applyFont="1" applyFill="1" applyBorder="1" applyAlignment="1">
      <alignment horizontal="center"/>
    </xf>
    <xf numFmtId="41" fontId="24" fillId="0" borderId="30" xfId="0" applyNumberFormat="1" applyFont="1" applyFill="1" applyBorder="1" applyAlignment="1">
      <alignment vertical="center"/>
    </xf>
    <xf numFmtId="41" fontId="12" fillId="0" borderId="30" xfId="0" applyNumberFormat="1" applyFont="1" applyFill="1" applyBorder="1" applyAlignment="1">
      <alignment vertical="center"/>
    </xf>
    <xf numFmtId="41" fontId="12" fillId="0" borderId="23" xfId="0" applyNumberFormat="1" applyFont="1" applyFill="1" applyBorder="1" applyAlignment="1">
      <alignment vertical="center"/>
    </xf>
    <xf numFmtId="9" fontId="21" fillId="0" borderId="23" xfId="3" applyFont="1" applyFill="1" applyBorder="1" applyAlignment="1">
      <alignment vertical="center"/>
    </xf>
    <xf numFmtId="0" fontId="12" fillId="0" borderId="25" xfId="0" applyFont="1" applyBorder="1" applyAlignment="1">
      <alignment horizontal="center"/>
    </xf>
    <xf numFmtId="41" fontId="24" fillId="0" borderId="3" xfId="0" applyNumberFormat="1" applyFont="1" applyBorder="1"/>
    <xf numFmtId="41" fontId="24" fillId="0" borderId="34" xfId="0" applyNumberFormat="1" applyFont="1" applyBorder="1"/>
    <xf numFmtId="41" fontId="24" fillId="0" borderId="2" xfId="0" applyNumberFormat="1" applyFont="1" applyBorder="1"/>
    <xf numFmtId="41" fontId="24" fillId="0" borderId="36" xfId="0" applyNumberFormat="1" applyFont="1" applyBorder="1"/>
    <xf numFmtId="0" fontId="24" fillId="0" borderId="37" xfId="0" applyFont="1" applyFill="1" applyBorder="1" applyAlignment="1">
      <alignment horizontal="center"/>
    </xf>
    <xf numFmtId="0" fontId="12" fillId="3" borderId="0" xfId="0" applyFont="1" applyFill="1"/>
    <xf numFmtId="0" fontId="12" fillId="0" borderId="23" xfId="0" applyFont="1" applyFill="1" applyBorder="1"/>
    <xf numFmtId="41" fontId="24" fillId="0" borderId="35" xfId="0" applyNumberFormat="1" applyFont="1" applyFill="1" applyBorder="1" applyAlignment="1">
      <alignment vertical="center"/>
    </xf>
    <xf numFmtId="41" fontId="24" fillId="0" borderId="31" xfId="0" applyNumberFormat="1" applyFont="1" applyFill="1" applyBorder="1" applyAlignment="1">
      <alignment vertical="center"/>
    </xf>
    <xf numFmtId="0" fontId="24" fillId="0" borderId="23" xfId="0" applyFont="1" applyFill="1" applyBorder="1"/>
    <xf numFmtId="41" fontId="24" fillId="0" borderId="23" xfId="0" applyNumberFormat="1" applyFont="1" applyFill="1" applyBorder="1" applyAlignment="1">
      <alignment vertical="center"/>
    </xf>
    <xf numFmtId="166" fontId="36" fillId="0" borderId="23" xfId="1" applyFont="1" applyFill="1" applyBorder="1"/>
    <xf numFmtId="38" fontId="12" fillId="0" borderId="23" xfId="0" applyNumberFormat="1" applyFont="1" applyFill="1" applyBorder="1" applyAlignment="1">
      <alignment vertical="center"/>
    </xf>
    <xf numFmtId="38" fontId="12" fillId="0" borderId="32" xfId="0" applyNumberFormat="1" applyFont="1" applyFill="1" applyBorder="1" applyAlignment="1">
      <alignment vertical="center"/>
    </xf>
    <xf numFmtId="165" fontId="12" fillId="0" borderId="31" xfId="1" applyNumberFormat="1" applyFont="1" applyFill="1" applyBorder="1"/>
    <xf numFmtId="38" fontId="12" fillId="0" borderId="23" xfId="0" applyNumberFormat="1" applyFont="1" applyFill="1" applyBorder="1"/>
    <xf numFmtId="167" fontId="37" fillId="0" borderId="23" xfId="1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2" fillId="0" borderId="23" xfId="0" applyFont="1" applyBorder="1"/>
    <xf numFmtId="0" fontId="12" fillId="0" borderId="29" xfId="0" applyFont="1" applyBorder="1"/>
    <xf numFmtId="0" fontId="12" fillId="0" borderId="0" xfId="0" applyFont="1" applyAlignment="1">
      <alignment vertical="center"/>
    </xf>
    <xf numFmtId="0" fontId="12" fillId="9" borderId="13" xfId="0" applyFont="1" applyFill="1" applyBorder="1"/>
    <xf numFmtId="14" fontId="12" fillId="9" borderId="0" xfId="0" applyNumberFormat="1" applyFont="1" applyFill="1" applyBorder="1" applyAlignment="1"/>
    <xf numFmtId="41" fontId="15" fillId="0" borderId="0" xfId="2" applyFont="1" applyAlignment="1">
      <alignment vertical="center"/>
    </xf>
    <xf numFmtId="41" fontId="0" fillId="0" borderId="24" xfId="2" applyFont="1" applyBorder="1" applyAlignment="1">
      <alignment horizontal="center"/>
    </xf>
    <xf numFmtId="41" fontId="0" fillId="0" borderId="0" xfId="2" applyNumberFormat="1" applyFont="1"/>
    <xf numFmtId="41" fontId="0" fillId="0" borderId="24" xfId="2" applyFont="1" applyBorder="1"/>
    <xf numFmtId="0" fontId="15" fillId="0" borderId="6" xfId="0" applyFont="1" applyBorder="1"/>
    <xf numFmtId="0" fontId="15" fillId="0" borderId="10" xfId="0" applyFont="1" applyBorder="1"/>
    <xf numFmtId="0" fontId="11" fillId="0" borderId="0" xfId="17"/>
    <xf numFmtId="0" fontId="0" fillId="0" borderId="0" xfId="0" applyFont="1" applyFill="1" applyBorder="1"/>
    <xf numFmtId="0" fontId="15" fillId="0" borderId="0" xfId="0" applyFont="1" applyFill="1" applyBorder="1"/>
    <xf numFmtId="0" fontId="25" fillId="0" borderId="0" xfId="33"/>
    <xf numFmtId="0" fontId="1" fillId="0" borderId="0" xfId="34"/>
    <xf numFmtId="0" fontId="25" fillId="0" borderId="24" xfId="33" applyBorder="1"/>
    <xf numFmtId="164" fontId="0" fillId="0" borderId="24" xfId="35" applyFont="1" applyBorder="1"/>
    <xf numFmtId="0" fontId="25" fillId="0" borderId="24" xfId="33" applyBorder="1" applyAlignment="1">
      <alignment horizontal="center"/>
    </xf>
    <xf numFmtId="0" fontId="25" fillId="0" borderId="0" xfId="33" applyAlignment="1">
      <alignment horizontal="center"/>
    </xf>
    <xf numFmtId="171" fontId="25" fillId="0" borderId="24" xfId="33" applyNumberFormat="1" applyBorder="1" applyAlignment="1">
      <alignment horizontal="center"/>
    </xf>
    <xf numFmtId="171" fontId="25" fillId="0" borderId="0" xfId="33" applyNumberFormat="1"/>
    <xf numFmtId="0" fontId="40" fillId="0" borderId="0" xfId="36" applyFont="1" applyAlignment="1">
      <alignment horizontal="center"/>
    </xf>
    <xf numFmtId="171" fontId="25" fillId="0" borderId="0" xfId="33" applyNumberFormat="1" applyAlignment="1">
      <alignment horizontal="center"/>
    </xf>
    <xf numFmtId="165" fontId="25" fillId="0" borderId="0" xfId="37" applyFont="1" applyBorder="1"/>
    <xf numFmtId="172" fontId="25" fillId="0" borderId="0" xfId="38" applyNumberFormat="1" applyFont="1"/>
    <xf numFmtId="165" fontId="25" fillId="0" borderId="0" xfId="33" applyNumberFormat="1"/>
    <xf numFmtId="173" fontId="25" fillId="0" borderId="0" xfId="39" applyNumberFormat="1" applyFont="1"/>
    <xf numFmtId="41" fontId="25" fillId="0" borderId="2" xfId="38" applyFont="1" applyBorder="1"/>
    <xf numFmtId="0" fontId="25" fillId="0" borderId="0" xfId="41"/>
    <xf numFmtId="0" fontId="41" fillId="0" borderId="0" xfId="41" applyFont="1" applyAlignment="1">
      <alignment horizontal="center"/>
    </xf>
    <xf numFmtId="0" fontId="42" fillId="0" borderId="0" xfId="41" applyFont="1" applyAlignment="1">
      <alignment horizontal="left" vertical="top"/>
    </xf>
    <xf numFmtId="0" fontId="42" fillId="0" borderId="0" xfId="41" applyFont="1"/>
    <xf numFmtId="0" fontId="25" fillId="0" borderId="24" xfId="41" applyBorder="1" applyAlignment="1">
      <alignment horizontal="center" vertical="center"/>
    </xf>
    <xf numFmtId="0" fontId="25" fillId="0" borderId="24" xfId="41" applyBorder="1"/>
    <xf numFmtId="0" fontId="1" fillId="0" borderId="0" xfId="41" applyFont="1"/>
    <xf numFmtId="0" fontId="1" fillId="0" borderId="24" xfId="41" applyFont="1" applyBorder="1"/>
    <xf numFmtId="0" fontId="25" fillId="0" borderId="24" xfId="41" applyBorder="1" applyAlignment="1">
      <alignment wrapText="1"/>
    </xf>
    <xf numFmtId="165" fontId="25" fillId="0" borderId="0" xfId="42" applyFont="1"/>
    <xf numFmtId="0" fontId="25" fillId="0" borderId="26" xfId="41" applyBorder="1" applyAlignment="1">
      <alignment horizontal="center" vertical="center"/>
    </xf>
    <xf numFmtId="0" fontId="25" fillId="0" borderId="28" xfId="41" applyBorder="1" applyAlignment="1">
      <alignment horizontal="center" vertical="center"/>
    </xf>
    <xf numFmtId="0" fontId="25" fillId="0" borderId="25" xfId="41" applyBorder="1"/>
    <xf numFmtId="0" fontId="45" fillId="0" borderId="24" xfId="34" applyFont="1" applyBorder="1"/>
    <xf numFmtId="41" fontId="25" fillId="0" borderId="0" xfId="43" applyFont="1"/>
    <xf numFmtId="0" fontId="12" fillId="0" borderId="0" xfId="44" applyFont="1"/>
    <xf numFmtId="41" fontId="12" fillId="0" borderId="0" xfId="44" applyNumberFormat="1" applyFont="1"/>
    <xf numFmtId="0" fontId="0" fillId="0" borderId="0" xfId="0" applyFont="1" applyBorder="1" applyAlignment="1">
      <alignment horizontal="right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2" fillId="0" borderId="17" xfId="0" applyFont="1" applyBorder="1" applyAlignment="1">
      <alignment horizontal="center"/>
    </xf>
    <xf numFmtId="0" fontId="30" fillId="0" borderId="13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167" fontId="0" fillId="0" borderId="0" xfId="19" applyNumberFormat="1" applyFont="1" applyFill="1" applyBorder="1" applyAlignment="1" applyProtection="1">
      <alignment horizontal="center" wrapText="1"/>
      <protection locked="0"/>
    </xf>
    <xf numFmtId="167" fontId="0" fillId="0" borderId="18" xfId="19" applyNumberFormat="1" applyFont="1" applyFill="1" applyBorder="1" applyAlignment="1" applyProtection="1">
      <alignment horizontal="center" wrapText="1"/>
      <protection locked="0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5" fillId="0" borderId="24" xfId="33" applyBorder="1" applyAlignment="1">
      <alignment horizontal="center"/>
    </xf>
    <xf numFmtId="0" fontId="43" fillId="10" borderId="24" xfId="41" applyFont="1" applyFill="1" applyBorder="1" applyAlignment="1">
      <alignment horizontal="center" vertical="center"/>
    </xf>
    <xf numFmtId="0" fontId="44" fillId="10" borderId="26" xfId="41" applyFont="1" applyFill="1" applyBorder="1" applyAlignment="1">
      <alignment horizontal="center" vertical="center"/>
    </xf>
    <xf numFmtId="0" fontId="44" fillId="10" borderId="28" xfId="41" applyFont="1" applyFill="1" applyBorder="1" applyAlignment="1">
      <alignment horizontal="center" vertical="center"/>
    </xf>
    <xf numFmtId="0" fontId="25" fillId="0" borderId="25" xfId="41" applyBorder="1" applyAlignment="1">
      <alignment horizontal="center" wrapText="1"/>
    </xf>
    <xf numFmtId="0" fontId="25" fillId="0" borderId="38" xfId="41" applyBorder="1" applyAlignment="1">
      <alignment horizontal="center" wrapText="1"/>
    </xf>
  </cellXfs>
  <cellStyles count="45">
    <cellStyle name="Comma" xfId="1" builtinId="3"/>
    <cellStyle name="Comma [0]" xfId="2" builtinId="6"/>
    <cellStyle name="Comma [0] 2" xfId="9" xr:uid="{00000000-0005-0000-0000-000002000000}"/>
    <cellStyle name="Comma [0] 2 2" xfId="42" xr:uid="{876A7C3C-6010-4434-8F2D-E02880AF2060}"/>
    <cellStyle name="Comma [0] 3" xfId="27" xr:uid="{00000000-0005-0000-0000-000003000000}"/>
    <cellStyle name="Comma [0] 3 2" xfId="38" xr:uid="{1B6999E4-115E-45BE-AD3B-C41AB1A6BCB1}"/>
    <cellStyle name="Comma [0] 3 2 2" xfId="43" xr:uid="{2D0A065B-FAAC-435C-865E-9B93CE1329F7}"/>
    <cellStyle name="Comma [0] 3 3" xfId="39" xr:uid="{F844D4E9-31FE-4008-A989-F14AAF5CB8E3}"/>
    <cellStyle name="Comma [0] 4" xfId="31" xr:uid="{00000000-0005-0000-0000-000004000000}"/>
    <cellStyle name="Comma [0] 5" xfId="37" xr:uid="{B6C1FE4C-5206-4471-AA95-E6B648FE9F6E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2 2" xfId="35" xr:uid="{F081B1D1-3340-4008-B2C2-B8CCF88C2C47}"/>
    <cellStyle name="Currency [0] 3" xfId="30" xr:uid="{00000000-0005-0000-0000-00000F000000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4 2" xfId="44" xr:uid="{1E95FE0F-1C46-4601-AF2B-43C201AE2DFF}"/>
    <cellStyle name="Normal 5" xfId="28" xr:uid="{00000000-0005-0000-0000-00001B000000}"/>
    <cellStyle name="Normal 6" xfId="34" xr:uid="{1022230C-CE3E-495E-9EC9-4A2B6F4F8B6D}"/>
    <cellStyle name="Normal 7" xfId="33" xr:uid="{552CC9D2-19AB-46D5-932F-17BF26A1ED73}"/>
    <cellStyle name="Normal 7 2" xfId="41" xr:uid="{539887D4-31E5-43E9-8078-BBC12C807251}"/>
    <cellStyle name="Normal 7 3" xfId="36" xr:uid="{C3A46B92-EE34-4351-BAA2-0EECEAD5BAC9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  <cellStyle name="Percent 4" xfId="40" xr:uid="{C1D6CBA8-F1DA-4AD0-912C-905EFB0E48AF}"/>
  </cellStyles>
  <dxfs count="2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3FD5A45D-51EB-49D0-886C-B2C17171A8E3}"/>
            </a:ext>
          </a:extLst>
        </xdr:cNvPr>
        <xdr:cNvGrpSpPr/>
      </xdr:nvGrpSpPr>
      <xdr:grpSpPr>
        <a:xfrm>
          <a:off x="622078" y="5044367"/>
          <a:ext cx="8830096" cy="164988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5106D177-852D-45E8-9E4F-2AA85593B21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5CC107FA-F2BF-4E49-8EF9-C33C53263F4A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54D6F7B4-EA1C-4FB6-8CC6-9D9755FC864F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8574E46A-5D92-4C74-99B8-D046E7B312F0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90B99005-ADDF-42D6-9182-27BACAD9802A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86A8FF65-D3AA-47AC-98B7-B8D67C74BB57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32</xdr:row>
      <xdr:rowOff>104251</xdr:rowOff>
    </xdr:from>
    <xdr:to>
      <xdr:col>13</xdr:col>
      <xdr:colOff>156845</xdr:colOff>
      <xdr:row>33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EEF36844-F3CE-49D4-AFDB-42E63961C3B1}"/>
            </a:ext>
          </a:extLst>
        </xdr:cNvPr>
        <xdr:cNvGrpSpPr/>
      </xdr:nvGrpSpPr>
      <xdr:grpSpPr>
        <a:xfrm>
          <a:off x="633824" y="6298286"/>
          <a:ext cx="9025740" cy="170079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3A6DB1F4-96DB-418F-B1C2-F7209432BCE5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512B113-0C91-429E-9DFF-F00EA773AB7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4F0C680C-305D-465F-955A-23964E605C84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48D18D32-4301-4079-99C4-5721711CF6F6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0E1F3F2F-B5C6-4A93-A028-8953F78B262A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6788A244-BAF0-47DF-95BD-FEEF8549A3D2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R33"/>
  <sheetViews>
    <sheetView showGridLines="0" tabSelected="1" topLeftCell="A14" zoomScale="114" zoomScaleNormal="114" workbookViewId="0">
      <selection activeCell="D21" sqref="D21"/>
    </sheetView>
  </sheetViews>
  <sheetFormatPr defaultColWidth="8.6640625" defaultRowHeight="15.5" x14ac:dyDescent="0.35"/>
  <cols>
    <col min="1" max="1" width="4.1640625" style="87" customWidth="1"/>
    <col min="2" max="2" width="3" style="87" customWidth="1"/>
    <col min="3" max="3" width="17.33203125" style="87" customWidth="1"/>
    <col min="4" max="4" width="20.1640625" style="87" customWidth="1"/>
    <col min="5" max="5" width="4.1640625" style="87" customWidth="1"/>
    <col min="6" max="6" width="4.83203125" style="87" customWidth="1"/>
    <col min="7" max="7" width="17" style="87" bestFit="1" customWidth="1"/>
    <col min="8" max="8" width="8.33203125" style="87" customWidth="1"/>
    <col min="9" max="9" width="3.58203125" style="87" customWidth="1"/>
    <col min="10" max="10" width="2.08203125" style="87" customWidth="1"/>
    <col min="11" max="11" width="5.08203125" style="87" customWidth="1"/>
    <col min="12" max="12" width="18.33203125" style="87" bestFit="1" customWidth="1"/>
    <col min="13" max="13" width="16.5" style="87" customWidth="1"/>
    <col min="14" max="14" width="2.08203125" style="87" customWidth="1"/>
    <col min="15" max="15" width="3.6640625" style="87" customWidth="1"/>
    <col min="16" max="16384" width="8.6640625" style="87"/>
  </cols>
  <sheetData>
    <row r="1" spans="2:16" x14ac:dyDescent="0.35">
      <c r="B1" s="89"/>
      <c r="C1" s="1" t="s">
        <v>158</v>
      </c>
      <c r="D1" t="s">
        <v>163</v>
      </c>
      <c r="E1" s="89"/>
      <c r="F1" s="89"/>
      <c r="G1" s="89"/>
      <c r="H1" s="89"/>
      <c r="I1" s="89"/>
      <c r="J1" s="89"/>
      <c r="K1" s="89"/>
      <c r="L1" s="89"/>
      <c r="M1" s="228" t="s">
        <v>206</v>
      </c>
      <c r="N1" s="89"/>
    </row>
    <row r="2" spans="2:16" ht="18.5" x14ac:dyDescent="0.45">
      <c r="B2" s="89"/>
      <c r="C2" s="91" t="s">
        <v>86</v>
      </c>
      <c r="D2" s="88" t="s">
        <v>95</v>
      </c>
      <c r="E2" s="89"/>
      <c r="F2" s="89"/>
      <c r="G2" s="89"/>
      <c r="H2" s="89"/>
      <c r="J2" s="109" t="s">
        <v>91</v>
      </c>
      <c r="K2" s="109"/>
      <c r="L2" s="109"/>
      <c r="M2" s="186">
        <v>45254</v>
      </c>
      <c r="N2" s="89"/>
    </row>
    <row r="3" spans="2:16" ht="19" thickBot="1" x14ac:dyDescent="0.5">
      <c r="B3" s="89"/>
      <c r="C3" s="91" t="s">
        <v>87</v>
      </c>
      <c r="D3" s="88" t="s">
        <v>88</v>
      </c>
      <c r="E3" s="89"/>
      <c r="F3" s="89"/>
      <c r="G3" s="89"/>
      <c r="H3" s="89"/>
      <c r="M3" s="89"/>
      <c r="N3" s="89"/>
    </row>
    <row r="4" spans="2:16" ht="16" hidden="1" thickBot="1" x14ac:dyDescent="0.4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6" s="90" customFormat="1" ht="19" thickBot="1" x14ac:dyDescent="0.5">
      <c r="B5" s="241" t="s">
        <v>70</v>
      </c>
      <c r="C5" s="242"/>
      <c r="D5" s="243"/>
      <c r="E5" s="241" t="s">
        <v>76</v>
      </c>
      <c r="F5" s="242"/>
      <c r="G5" s="242"/>
      <c r="H5" s="242"/>
      <c r="I5" s="242"/>
      <c r="J5" s="241" t="s">
        <v>71</v>
      </c>
      <c r="K5" s="242"/>
      <c r="L5" s="242"/>
      <c r="M5" s="242"/>
      <c r="N5" s="243"/>
    </row>
    <row r="6" spans="2:16" x14ac:dyDescent="0.35">
      <c r="B6" s="244" t="s">
        <v>68</v>
      </c>
      <c r="C6" s="245"/>
      <c r="D6" s="142" t="str">
        <f>'IRR Approved'!R1</f>
        <v>The Belleuve Bestwestern Pondok Indah</v>
      </c>
      <c r="E6" s="246" t="s">
        <v>78</v>
      </c>
      <c r="F6" s="246"/>
      <c r="G6" s="246"/>
      <c r="H6" s="246"/>
      <c r="I6" s="246"/>
      <c r="J6" s="104"/>
      <c r="K6" s="245" t="s">
        <v>74</v>
      </c>
      <c r="L6" s="245"/>
      <c r="M6" s="110">
        <f>M11/H7</f>
        <v>5417771.3733333331</v>
      </c>
      <c r="N6" s="111"/>
      <c r="O6" s="85">
        <f>M6-'IRR Approved'!F8</f>
        <v>-1582228.6266666669</v>
      </c>
      <c r="P6" s="87">
        <v>5417771.3733333303</v>
      </c>
    </row>
    <row r="7" spans="2:16" x14ac:dyDescent="0.35">
      <c r="B7" s="249" t="s">
        <v>69</v>
      </c>
      <c r="C7" s="250"/>
      <c r="D7" s="143"/>
      <c r="E7" s="232" t="s">
        <v>65</v>
      </c>
      <c r="F7" s="232"/>
      <c r="G7" s="232"/>
      <c r="H7" s="112">
        <v>75</v>
      </c>
      <c r="I7" s="89"/>
      <c r="J7" s="94"/>
      <c r="K7" s="232" t="s">
        <v>73</v>
      </c>
      <c r="L7" s="232"/>
      <c r="M7" s="113">
        <v>3</v>
      </c>
      <c r="N7" s="92"/>
      <c r="P7" s="87">
        <v>3</v>
      </c>
    </row>
    <row r="8" spans="2:16" x14ac:dyDescent="0.35">
      <c r="B8" s="249" t="s">
        <v>80</v>
      </c>
      <c r="C8" s="250"/>
      <c r="D8" s="144"/>
      <c r="E8" s="232" t="s">
        <v>66</v>
      </c>
      <c r="F8" s="232"/>
      <c r="G8" s="232"/>
      <c r="H8" s="112"/>
      <c r="I8" s="89"/>
      <c r="J8" s="94"/>
      <c r="K8" s="232" t="s">
        <v>89</v>
      </c>
      <c r="L8" s="232"/>
      <c r="M8" s="114">
        <f>'IRR Approved'!$F$4</f>
        <v>0.1</v>
      </c>
      <c r="N8" s="92"/>
      <c r="P8" s="87">
        <v>0.1</v>
      </c>
    </row>
    <row r="9" spans="2:16" x14ac:dyDescent="0.35">
      <c r="B9" s="231" t="s">
        <v>81</v>
      </c>
      <c r="C9" s="232"/>
      <c r="D9" s="144" t="s">
        <v>161</v>
      </c>
      <c r="E9" s="232" t="s">
        <v>67</v>
      </c>
      <c r="F9" s="232"/>
      <c r="G9" s="232"/>
      <c r="H9" s="251"/>
      <c r="I9" s="252"/>
      <c r="J9" s="94"/>
      <c r="K9" s="232" t="s">
        <v>63</v>
      </c>
      <c r="L9" s="232"/>
      <c r="M9" s="110">
        <v>0</v>
      </c>
      <c r="N9" s="92"/>
      <c r="P9" s="87">
        <v>0</v>
      </c>
    </row>
    <row r="10" spans="2:16" x14ac:dyDescent="0.35">
      <c r="B10" s="106" t="s">
        <v>64</v>
      </c>
      <c r="C10" s="107"/>
      <c r="D10" s="144"/>
      <c r="H10" s="251"/>
      <c r="I10" s="252"/>
      <c r="J10" s="101"/>
      <c r="K10" s="239" t="s">
        <v>72</v>
      </c>
      <c r="L10" s="239"/>
      <c r="M10" s="110">
        <f>'IRR Approved'!$R$27</f>
        <v>420000000</v>
      </c>
      <c r="N10" s="92"/>
      <c r="P10" s="87">
        <v>420000000</v>
      </c>
    </row>
    <row r="11" spans="2:16" x14ac:dyDescent="0.35">
      <c r="B11" s="102" t="s">
        <v>82</v>
      </c>
      <c r="C11" s="108"/>
      <c r="D11" s="93">
        <v>3</v>
      </c>
      <c r="J11" s="94"/>
      <c r="K11" s="239" t="s">
        <v>104</v>
      </c>
      <c r="L11" s="239"/>
      <c r="M11" s="86">
        <v>406332853</v>
      </c>
      <c r="N11" s="92"/>
      <c r="P11" s="87">
        <v>406332853</v>
      </c>
    </row>
    <row r="12" spans="2:16" x14ac:dyDescent="0.35">
      <c r="B12" s="102" t="s">
        <v>83</v>
      </c>
      <c r="C12" s="108"/>
      <c r="D12" s="93">
        <v>1</v>
      </c>
      <c r="E12" s="234" t="s">
        <v>77</v>
      </c>
      <c r="F12" s="234"/>
      <c r="G12" s="234"/>
      <c r="H12" s="234"/>
      <c r="I12" s="234"/>
      <c r="J12" s="94"/>
      <c r="K12" s="239" t="s">
        <v>205</v>
      </c>
      <c r="L12" s="239"/>
      <c r="M12" s="110">
        <f>'IRR Approved'!$R$13</f>
        <v>273897107</v>
      </c>
      <c r="N12" s="92"/>
      <c r="P12" s="87">
        <v>273897107</v>
      </c>
    </row>
    <row r="13" spans="2:16" x14ac:dyDescent="0.35">
      <c r="B13" s="102"/>
      <c r="C13" s="122"/>
      <c r="D13" s="93"/>
      <c r="E13" s="233" t="s">
        <v>75</v>
      </c>
      <c r="F13" s="233"/>
      <c r="G13" s="233"/>
      <c r="H13" s="115">
        <v>0</v>
      </c>
      <c r="I13" s="89"/>
      <c r="J13" s="94"/>
      <c r="K13" s="239" t="s">
        <v>102</v>
      </c>
      <c r="L13" s="239"/>
      <c r="M13" s="86">
        <f>'IRR Approved'!$R$30</f>
        <v>300000000</v>
      </c>
      <c r="N13" s="92"/>
      <c r="P13" s="87">
        <v>300000000</v>
      </c>
    </row>
    <row r="14" spans="2:16" ht="16" thickBot="1" x14ac:dyDescent="0.4">
      <c r="B14" s="94"/>
      <c r="C14" s="89"/>
      <c r="D14" s="92"/>
      <c r="E14" s="233" t="s">
        <v>85</v>
      </c>
      <c r="F14" s="233"/>
      <c r="G14" s="233"/>
      <c r="H14" s="115">
        <v>0</v>
      </c>
      <c r="I14" s="89"/>
      <c r="J14" s="94"/>
      <c r="K14" s="239" t="s">
        <v>103</v>
      </c>
      <c r="L14" s="239"/>
      <c r="M14" s="110">
        <f>'IRR Approved'!$R$31+'IRR Approved'!$R$32+'IRR Approved'!$R$33</f>
        <v>42000000</v>
      </c>
      <c r="N14" s="92"/>
      <c r="P14" s="87">
        <v>42000000</v>
      </c>
    </row>
    <row r="15" spans="2:16" x14ac:dyDescent="0.35">
      <c r="B15" s="94"/>
      <c r="C15" s="89"/>
      <c r="D15" s="92"/>
      <c r="E15" s="121"/>
      <c r="F15" s="121"/>
      <c r="G15" s="121"/>
      <c r="H15" s="115"/>
      <c r="I15" s="89"/>
      <c r="J15" s="116"/>
      <c r="K15" s="235" t="s">
        <v>26</v>
      </c>
      <c r="L15" s="236"/>
      <c r="M15" s="95">
        <f>'IRR Approved'!$F$51</f>
        <v>-0.31937010320486348</v>
      </c>
      <c r="N15" s="92"/>
      <c r="P15" s="32">
        <v>-0.31937010320486348</v>
      </c>
    </row>
    <row r="16" spans="2:16" x14ac:dyDescent="0.35">
      <c r="B16" s="94"/>
      <c r="C16" s="89"/>
      <c r="D16" s="92"/>
      <c r="E16" s="233" t="s">
        <v>84</v>
      </c>
      <c r="F16" s="233"/>
      <c r="G16" s="233"/>
      <c r="H16" s="115">
        <v>0</v>
      </c>
      <c r="I16" s="89"/>
      <c r="J16" s="117"/>
      <c r="K16" s="237" t="s">
        <v>27</v>
      </c>
      <c r="L16" s="238"/>
      <c r="M16" s="124">
        <f>'IRR Approved'!$F$52</f>
        <v>-237118865.69223139</v>
      </c>
      <c r="N16" s="92"/>
      <c r="P16" s="87">
        <v>-237118865.69223139</v>
      </c>
    </row>
    <row r="17" spans="2:18" x14ac:dyDescent="0.35">
      <c r="B17" s="94"/>
      <c r="C17" s="89"/>
      <c r="D17" s="92"/>
      <c r="E17" s="234" t="s">
        <v>79</v>
      </c>
      <c r="F17" s="234"/>
      <c r="G17" s="234"/>
      <c r="H17" s="234"/>
      <c r="I17" s="234"/>
      <c r="J17" s="117"/>
      <c r="K17" s="237" t="s">
        <v>28</v>
      </c>
      <c r="L17" s="238"/>
      <c r="M17" s="96">
        <f>'IRR Approved'!$F$53</f>
        <v>0.18571428571428572</v>
      </c>
      <c r="N17" s="92"/>
      <c r="P17" s="32">
        <v>0.18571428571428572</v>
      </c>
      <c r="R17" s="87" t="s">
        <v>59</v>
      </c>
    </row>
    <row r="18" spans="2:18" ht="16" thickBot="1" x14ac:dyDescent="0.4">
      <c r="B18" s="94"/>
      <c r="C18" s="89"/>
      <c r="D18" s="92"/>
      <c r="E18" s="89"/>
      <c r="F18" s="89"/>
      <c r="G18" s="89"/>
      <c r="H18" s="89"/>
      <c r="I18" s="89"/>
      <c r="J18" s="117"/>
      <c r="K18" s="247" t="s">
        <v>90</v>
      </c>
      <c r="L18" s="248"/>
      <c r="M18" s="97">
        <f>'IRR Approved'!$F$54</f>
        <v>0</v>
      </c>
      <c r="N18" s="92"/>
      <c r="P18" s="87">
        <v>0</v>
      </c>
      <c r="Q18" s="87" t="s">
        <v>59</v>
      </c>
    </row>
    <row r="19" spans="2:18" ht="16" thickBot="1" x14ac:dyDescent="0.4">
      <c r="B19" s="98"/>
      <c r="C19" s="99"/>
      <c r="D19" s="100"/>
      <c r="E19" s="99"/>
      <c r="F19" s="99" t="s">
        <v>59</v>
      </c>
      <c r="G19" s="99"/>
      <c r="H19" s="99"/>
      <c r="I19" s="99"/>
      <c r="J19" s="94"/>
      <c r="K19" s="120"/>
      <c r="L19" s="103"/>
      <c r="M19" s="103"/>
      <c r="N19" s="92"/>
    </row>
    <row r="20" spans="2:18" x14ac:dyDescent="0.35">
      <c r="B20" s="118" t="s">
        <v>96</v>
      </c>
      <c r="C20" s="119"/>
      <c r="D20" s="119"/>
      <c r="E20" s="119"/>
      <c r="F20" s="119"/>
      <c r="G20" s="119"/>
      <c r="H20" s="119"/>
      <c r="I20" s="119"/>
      <c r="J20" s="119"/>
      <c r="K20" s="119"/>
      <c r="L20" s="240" t="s">
        <v>92</v>
      </c>
      <c r="M20" s="240"/>
      <c r="N20" s="111"/>
    </row>
    <row r="21" spans="2:18" x14ac:dyDescent="0.35">
      <c r="B21" s="94" t="s">
        <v>93</v>
      </c>
      <c r="C21" s="89"/>
      <c r="D21" s="194" t="s">
        <v>207</v>
      </c>
      <c r="E21" s="194"/>
      <c r="F21" s="194"/>
      <c r="G21" s="194"/>
      <c r="H21" s="89"/>
      <c r="I21" s="89"/>
      <c r="J21" s="89"/>
      <c r="K21" s="89"/>
      <c r="L21" s="229" t="s">
        <v>99</v>
      </c>
      <c r="M21" s="230"/>
      <c r="N21" s="92"/>
    </row>
    <row r="22" spans="2:18" x14ac:dyDescent="0.35">
      <c r="B22" s="94"/>
      <c r="C22" s="89"/>
      <c r="D22" s="194"/>
      <c r="E22" s="194"/>
      <c r="F22" s="194"/>
      <c r="G22" s="194"/>
      <c r="H22" s="89"/>
      <c r="I22" s="89"/>
      <c r="J22" s="89"/>
      <c r="K22" s="89"/>
      <c r="L22" s="89"/>
      <c r="M22" s="89"/>
      <c r="N22" s="92"/>
    </row>
    <row r="23" spans="2:18" x14ac:dyDescent="0.35">
      <c r="B23" s="94"/>
      <c r="C23" s="89"/>
      <c r="D23" s="195"/>
      <c r="E23" s="194"/>
      <c r="F23" s="194"/>
      <c r="G23" s="194"/>
      <c r="H23" s="89"/>
      <c r="I23" s="89"/>
      <c r="J23" s="89"/>
      <c r="K23" s="89"/>
      <c r="L23" s="89"/>
      <c r="M23" s="89"/>
      <c r="N23" s="92"/>
    </row>
    <row r="24" spans="2:18" x14ac:dyDescent="0.35">
      <c r="B24" s="94"/>
      <c r="C24" s="89"/>
      <c r="E24" s="89"/>
      <c r="F24" s="89"/>
      <c r="G24" s="89"/>
      <c r="H24" s="89"/>
      <c r="I24" s="89"/>
      <c r="J24" s="89"/>
      <c r="K24" s="89"/>
      <c r="L24" s="89"/>
      <c r="M24" s="89"/>
      <c r="N24" s="92"/>
    </row>
    <row r="25" spans="2:18" ht="16" thickBot="1" x14ac:dyDescent="0.4">
      <c r="B25" s="98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100"/>
    </row>
    <row r="26" spans="2:18" x14ac:dyDescent="0.35">
      <c r="B26" s="1" t="s">
        <v>94</v>
      </c>
    </row>
    <row r="27" spans="2:18" x14ac:dyDescent="0.35">
      <c r="B27" s="193"/>
      <c r="C27" s="193"/>
      <c r="D27" s="193"/>
      <c r="E27" s="193"/>
      <c r="F27" s="193"/>
      <c r="G27" s="193"/>
      <c r="H27" s="193"/>
      <c r="I27" s="193"/>
      <c r="J27" s="193"/>
      <c r="K27" s="193"/>
      <c r="L27" s="193"/>
      <c r="M27" s="193"/>
      <c r="N27" s="193"/>
    </row>
    <row r="28" spans="2:18" x14ac:dyDescent="0.35">
      <c r="B28" s="193"/>
      <c r="C28" s="193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193"/>
    </row>
    <row r="29" spans="2:18" x14ac:dyDescent="0.35">
      <c r="B29" s="193"/>
      <c r="C29" s="193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</row>
    <row r="30" spans="2:18" x14ac:dyDescent="0.35">
      <c r="B30" s="193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</row>
    <row r="31" spans="2:18" x14ac:dyDescent="0.35">
      <c r="B31" s="193"/>
      <c r="C31" s="193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</row>
    <row r="32" spans="2:18" x14ac:dyDescent="0.35">
      <c r="B32" s="193"/>
      <c r="C32" s="193"/>
      <c r="D32" s="193"/>
      <c r="E32" s="193"/>
      <c r="F32" s="193"/>
      <c r="G32" s="193"/>
      <c r="H32" s="193"/>
      <c r="I32" s="193"/>
      <c r="J32" s="193"/>
      <c r="K32" s="193"/>
      <c r="L32" s="193"/>
      <c r="M32" s="193"/>
      <c r="N32" s="193"/>
    </row>
    <row r="33" spans="2:14" x14ac:dyDescent="0.35">
      <c r="B33" s="193"/>
      <c r="C33" s="193"/>
      <c r="D33" s="193"/>
      <c r="E33" s="193"/>
      <c r="F33" s="193"/>
      <c r="G33" s="193"/>
      <c r="H33" s="193"/>
      <c r="I33" s="193"/>
      <c r="J33" s="193"/>
      <c r="K33" s="193"/>
      <c r="L33" s="193"/>
      <c r="M33" s="193"/>
      <c r="N33" s="193"/>
    </row>
  </sheetData>
  <mergeCells count="32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H9:I10"/>
    <mergeCell ref="B5:D5"/>
    <mergeCell ref="E5:I5"/>
    <mergeCell ref="J5:N5"/>
    <mergeCell ref="B6:C6"/>
    <mergeCell ref="E6:I6"/>
    <mergeCell ref="K6:L6"/>
    <mergeCell ref="L21:M21"/>
    <mergeCell ref="B9:C9"/>
    <mergeCell ref="E16:G16"/>
    <mergeCell ref="E17:I17"/>
    <mergeCell ref="K15:L15"/>
    <mergeCell ref="K16:L16"/>
    <mergeCell ref="K17:L17"/>
    <mergeCell ref="E9:G9"/>
    <mergeCell ref="K9:L9"/>
    <mergeCell ref="E12:I12"/>
    <mergeCell ref="K11:L11"/>
    <mergeCell ref="E13:G13"/>
    <mergeCell ref="K14:L14"/>
    <mergeCell ref="L20:M20"/>
    <mergeCell ref="E14:G14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AB89"/>
  <sheetViews>
    <sheetView showGridLines="0" topLeftCell="A13" zoomScale="70" zoomScaleNormal="70" workbookViewId="0">
      <selection activeCell="D48" sqref="D48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6640625" customWidth="1"/>
    <col min="7" max="7" width="17.58203125" style="2" customWidth="1"/>
    <col min="8" max="8" width="17.6640625" customWidth="1"/>
    <col min="9" max="9" width="15.58203125" bestFit="1" customWidth="1"/>
    <col min="10" max="10" width="15.83203125" bestFit="1" customWidth="1"/>
    <col min="11" max="12" width="12" hidden="1" customWidth="1"/>
    <col min="13" max="17" width="6.6640625" hidden="1" customWidth="1"/>
    <col min="18" max="18" width="21.6640625" style="1" customWidth="1"/>
    <col min="19" max="19" width="12.66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7" s="1" customFormat="1" ht="26.5" thickBot="1" x14ac:dyDescent="0.4">
      <c r="B1" s="1" t="s">
        <v>159</v>
      </c>
      <c r="C1" t="s">
        <v>163</v>
      </c>
      <c r="G1" s="184"/>
      <c r="Q1" s="185"/>
      <c r="R1" s="145" t="s">
        <v>162</v>
      </c>
    </row>
    <row r="2" spans="2:27" x14ac:dyDescent="0.35">
      <c r="B2" s="34" t="s">
        <v>97</v>
      </c>
      <c r="I2" s="152" t="s">
        <v>154</v>
      </c>
      <c r="L2" s="153" t="s">
        <v>155</v>
      </c>
    </row>
    <row r="3" spans="2:27" x14ac:dyDescent="0.35">
      <c r="C3" t="s">
        <v>0</v>
      </c>
      <c r="F3" s="4">
        <v>0.02</v>
      </c>
      <c r="I3" t="s">
        <v>150</v>
      </c>
      <c r="K3" s="150">
        <f>H22/12</f>
        <v>0</v>
      </c>
      <c r="L3" s="154">
        <v>0.15</v>
      </c>
      <c r="R3" s="168"/>
      <c r="S3" s="3"/>
      <c r="T3" s="3"/>
    </row>
    <row r="4" spans="2:27" x14ac:dyDescent="0.35">
      <c r="C4" t="s">
        <v>44</v>
      </c>
      <c r="F4" s="4">
        <v>0.1</v>
      </c>
      <c r="I4" t="s">
        <v>151</v>
      </c>
      <c r="K4" s="151">
        <f>H23/12</f>
        <v>11666666.666666666</v>
      </c>
      <c r="L4" s="154">
        <v>0.15</v>
      </c>
      <c r="R4" s="168"/>
      <c r="S4" s="3"/>
      <c r="T4" s="3"/>
    </row>
    <row r="5" spans="2:27" x14ac:dyDescent="0.35">
      <c r="C5" t="s">
        <v>1</v>
      </c>
      <c r="F5" s="4">
        <v>0.05</v>
      </c>
      <c r="G5" s="2" t="s">
        <v>156</v>
      </c>
      <c r="I5" t="s">
        <v>152</v>
      </c>
      <c r="K5" s="150">
        <f>(H25+H24)/12</f>
        <v>0</v>
      </c>
      <c r="L5" s="154">
        <v>0.15</v>
      </c>
    </row>
    <row r="6" spans="2:27" x14ac:dyDescent="0.35">
      <c r="C6" t="s">
        <v>3</v>
      </c>
      <c r="F6" s="5">
        <v>0</v>
      </c>
      <c r="G6" s="2" t="s">
        <v>2</v>
      </c>
      <c r="I6" t="s">
        <v>153</v>
      </c>
      <c r="K6" s="151"/>
    </row>
    <row r="7" spans="2:27" x14ac:dyDescent="0.35">
      <c r="C7" t="s">
        <v>98</v>
      </c>
      <c r="F7" s="4">
        <v>0.15</v>
      </c>
    </row>
    <row r="8" spans="2:27" x14ac:dyDescent="0.35">
      <c r="C8" t="s">
        <v>147</v>
      </c>
      <c r="F8" s="147">
        <v>7000000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7" x14ac:dyDescent="0.35">
      <c r="C9" t="s">
        <v>148</v>
      </c>
      <c r="F9" s="147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7" ht="4.7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7" s="1" customFormat="1" x14ac:dyDescent="0.35">
      <c r="G11" s="162" t="s">
        <v>100</v>
      </c>
      <c r="H11" s="139" t="s">
        <v>39</v>
      </c>
      <c r="I11" s="139" t="s">
        <v>40</v>
      </c>
      <c r="J11" s="139" t="s">
        <v>41</v>
      </c>
      <c r="K11" s="139" t="s">
        <v>42</v>
      </c>
      <c r="L11" s="139" t="s">
        <v>43</v>
      </c>
      <c r="M11" s="139" t="s">
        <v>46</v>
      </c>
      <c r="N11" s="139" t="s">
        <v>47</v>
      </c>
      <c r="O11" s="139" t="s">
        <v>48</v>
      </c>
      <c r="P11" s="139" t="s">
        <v>49</v>
      </c>
      <c r="Q11" s="139" t="s">
        <v>50</v>
      </c>
      <c r="R11" s="167" t="s">
        <v>11</v>
      </c>
      <c r="S11" s="42"/>
      <c r="T11" s="42"/>
      <c r="U11" s="141"/>
      <c r="V11" s="42"/>
      <c r="W11" s="42"/>
      <c r="X11" s="42"/>
      <c r="Y11" s="42"/>
      <c r="Z11" s="42"/>
    </row>
    <row r="12" spans="2:27" x14ac:dyDescent="0.35">
      <c r="B12" s="1" t="s">
        <v>56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7" s="71" customFormat="1" x14ac:dyDescent="0.35">
      <c r="B13" s="74" t="s">
        <v>57</v>
      </c>
      <c r="E13" s="71" t="s">
        <v>160</v>
      </c>
      <c r="F13" s="146">
        <v>75</v>
      </c>
      <c r="G13" s="191"/>
      <c r="H13" s="163">
        <v>273897107</v>
      </c>
      <c r="I13" s="163">
        <v>0</v>
      </c>
      <c r="J13" s="163">
        <v>0</v>
      </c>
      <c r="K13" s="163"/>
      <c r="L13" s="163"/>
      <c r="M13" s="163"/>
      <c r="N13" s="163"/>
      <c r="O13" s="163"/>
      <c r="P13" s="163"/>
      <c r="Q13" s="164"/>
      <c r="R13" s="170">
        <f>SUM(H13:Q13)</f>
        <v>273897107</v>
      </c>
      <c r="S13" s="72"/>
      <c r="T13" s="72"/>
      <c r="U13" s="73"/>
      <c r="V13" s="72"/>
      <c r="W13" s="72"/>
      <c r="X13" s="72"/>
      <c r="Y13" s="72"/>
      <c r="Z13" s="72"/>
    </row>
    <row r="14" spans="2:27" s="71" customFormat="1" x14ac:dyDescent="0.35">
      <c r="B14" s="74"/>
      <c r="E14" s="71" t="s">
        <v>146</v>
      </c>
      <c r="F14" s="146">
        <f>3*0</f>
        <v>0</v>
      </c>
      <c r="G14" s="192"/>
      <c r="H14" s="165"/>
      <c r="I14" s="165">
        <f>$F$9*0</f>
        <v>0</v>
      </c>
      <c r="J14" s="165">
        <f>$F$9*0</f>
        <v>0</v>
      </c>
      <c r="K14" s="165">
        <f>$F$9*0</f>
        <v>0</v>
      </c>
      <c r="L14" s="165"/>
      <c r="M14" s="165"/>
      <c r="N14" s="165"/>
      <c r="O14" s="165"/>
      <c r="P14" s="165"/>
      <c r="Q14" s="166"/>
      <c r="R14" s="171">
        <f>SUM(H14:Q14)</f>
        <v>0</v>
      </c>
      <c r="S14" s="72"/>
      <c r="T14" s="72"/>
      <c r="U14" s="73"/>
      <c r="V14" s="72"/>
      <c r="W14" s="72"/>
      <c r="X14" s="72"/>
      <c r="Y14" s="72"/>
      <c r="Z14" s="72"/>
    </row>
    <row r="15" spans="2:27" x14ac:dyDescent="0.35">
      <c r="F15" s="42"/>
      <c r="G15" s="72"/>
      <c r="H15" s="86"/>
      <c r="I15" s="42"/>
      <c r="J15" s="42"/>
      <c r="K15" s="42"/>
      <c r="L15" s="42"/>
      <c r="M15" s="42"/>
      <c r="N15" s="42"/>
      <c r="O15" s="42"/>
      <c r="P15" s="42"/>
      <c r="Q15" s="42"/>
      <c r="R15" s="155">
        <f>SUM(R13:R14)</f>
        <v>273897107</v>
      </c>
      <c r="S15" s="42"/>
      <c r="T15" s="42"/>
      <c r="U15" s="43"/>
      <c r="V15" s="42"/>
      <c r="W15" s="42"/>
      <c r="X15" s="42"/>
      <c r="Y15" s="42"/>
      <c r="Z15" s="42"/>
    </row>
    <row r="16" spans="2:27" ht="6" customHeight="1" x14ac:dyDescent="0.35">
      <c r="F16" s="10"/>
      <c r="R16" s="169"/>
      <c r="U16" s="41"/>
      <c r="V16" s="41"/>
      <c r="W16" s="41"/>
      <c r="X16" s="41"/>
      <c r="Y16" s="41"/>
      <c r="Z16" s="41"/>
      <c r="AA16" s="41"/>
    </row>
    <row r="17" spans="2:27" ht="16" thickBot="1" x14ac:dyDescent="0.4">
      <c r="B17" s="11" t="s">
        <v>10</v>
      </c>
      <c r="C17" s="6"/>
      <c r="D17" s="6"/>
      <c r="E17" s="6"/>
      <c r="F17" s="6"/>
      <c r="G17" s="7" t="s">
        <v>101</v>
      </c>
      <c r="H17" s="7">
        <v>2025</v>
      </c>
      <c r="I17" s="7">
        <f t="shared" ref="I17" si="0">H17+1</f>
        <v>2026</v>
      </c>
      <c r="J17" s="7">
        <f t="shared" ref="J17" si="1">I17+1</f>
        <v>2027</v>
      </c>
      <c r="K17" s="7">
        <f t="shared" ref="K17" si="2">J17+1</f>
        <v>2028</v>
      </c>
      <c r="L17" s="7">
        <f t="shared" ref="L17:Q17" si="3">K17+1</f>
        <v>2029</v>
      </c>
      <c r="M17" s="7">
        <f t="shared" si="3"/>
        <v>2030</v>
      </c>
      <c r="N17" s="7">
        <f t="shared" si="3"/>
        <v>2031</v>
      </c>
      <c r="O17" s="7">
        <f t="shared" si="3"/>
        <v>2032</v>
      </c>
      <c r="P17" s="7">
        <f t="shared" si="3"/>
        <v>2033</v>
      </c>
      <c r="Q17" s="7">
        <f t="shared" si="3"/>
        <v>2034</v>
      </c>
      <c r="R17" s="157" t="s">
        <v>11</v>
      </c>
      <c r="S17" s="56"/>
      <c r="T17" s="56"/>
      <c r="U17" s="56"/>
      <c r="V17" s="56"/>
      <c r="W17" s="56"/>
      <c r="X17" s="56"/>
      <c r="Y17" s="41"/>
      <c r="Z17" s="41"/>
      <c r="AA17" s="41"/>
    </row>
    <row r="18" spans="2:27" x14ac:dyDescent="0.3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2"/>
    </row>
    <row r="19" spans="2:27" x14ac:dyDescent="0.35">
      <c r="B19" s="148" t="s">
        <v>149</v>
      </c>
      <c r="M19" s="149">
        <v>0.1</v>
      </c>
      <c r="R19" s="172"/>
    </row>
    <row r="20" spans="2:27" x14ac:dyDescent="0.35">
      <c r="R20" s="172"/>
    </row>
    <row r="21" spans="2:27" x14ac:dyDescent="0.35">
      <c r="B21" s="1" t="s">
        <v>4</v>
      </c>
      <c r="E21" s="17"/>
      <c r="G21" s="18"/>
      <c r="H21" s="17"/>
      <c r="I21" s="19"/>
      <c r="J21" s="19"/>
      <c r="K21" s="19"/>
      <c r="L21" s="19"/>
      <c r="M21" s="19"/>
      <c r="N21" s="19"/>
      <c r="O21" s="19"/>
      <c r="P21" s="19"/>
      <c r="Q21" s="19"/>
      <c r="R21" s="172"/>
    </row>
    <row r="22" spans="2:27" x14ac:dyDescent="0.35">
      <c r="C22" t="s">
        <v>35</v>
      </c>
      <c r="E22" s="14"/>
      <c r="G22" s="68"/>
      <c r="H22" s="187"/>
      <c r="I22" s="187"/>
      <c r="J22" s="187"/>
      <c r="K22" s="187"/>
      <c r="L22" s="187"/>
      <c r="M22" s="68">
        <f>$K$3*0</f>
        <v>0</v>
      </c>
      <c r="N22" s="68">
        <f>$K$3*(1-$L$3)*0</f>
        <v>0</v>
      </c>
      <c r="O22" s="68">
        <f>$K$3*(1-$L$3)*0</f>
        <v>0</v>
      </c>
      <c r="P22" s="68">
        <f>$K$3*(1-$L$3)*0</f>
        <v>0</v>
      </c>
      <c r="Q22" s="68">
        <f>$K$3*(1-$L$3)*0</f>
        <v>0</v>
      </c>
      <c r="R22" s="173">
        <f>SUM($G22:Q22)</f>
        <v>0</v>
      </c>
      <c r="S22" s="12"/>
      <c r="T22" s="12"/>
      <c r="U22" s="12"/>
      <c r="V22" s="12"/>
      <c r="W22" s="12"/>
      <c r="X22" s="13"/>
    </row>
    <row r="23" spans="2:27" x14ac:dyDescent="0.35">
      <c r="C23" t="s">
        <v>36</v>
      </c>
      <c r="G23" s="12"/>
      <c r="H23" s="68">
        <v>140000000</v>
      </c>
      <c r="I23" s="187">
        <f>H23</f>
        <v>140000000</v>
      </c>
      <c r="J23" s="187">
        <f>I23</f>
        <v>140000000</v>
      </c>
      <c r="K23" s="187"/>
      <c r="L23" s="187"/>
      <c r="M23" s="68">
        <f>$K$4*0</f>
        <v>0</v>
      </c>
      <c r="N23" s="68">
        <f>$K$4*0</f>
        <v>0</v>
      </c>
      <c r="O23" s="68">
        <f>$K$4*0</f>
        <v>0</v>
      </c>
      <c r="P23" s="68">
        <f>$K$4*(1-$L$4)*0</f>
        <v>0</v>
      </c>
      <c r="Q23" s="68">
        <f>$K$4*(1-$L$4)*0</f>
        <v>0</v>
      </c>
      <c r="R23" s="173">
        <f>SUM($G23:Q23)</f>
        <v>420000000</v>
      </c>
      <c r="S23" s="12"/>
      <c r="T23" s="12"/>
      <c r="U23" s="12"/>
      <c r="V23" s="12"/>
      <c r="W23" s="12"/>
      <c r="X23" s="13"/>
    </row>
    <row r="24" spans="2:27" x14ac:dyDescent="0.35">
      <c r="C24" t="s">
        <v>157</v>
      </c>
      <c r="G24" s="12"/>
      <c r="H24" s="68"/>
      <c r="I24" s="187"/>
      <c r="J24" s="187"/>
      <c r="K24" s="187"/>
      <c r="L24" s="187"/>
      <c r="M24" s="68"/>
      <c r="N24" s="68"/>
      <c r="O24" s="68"/>
      <c r="P24" s="68"/>
      <c r="Q24" s="68"/>
      <c r="R24" s="173">
        <f>SUM($G24:Q24)</f>
        <v>0</v>
      </c>
      <c r="S24" s="12"/>
      <c r="T24" s="12"/>
      <c r="U24" s="12"/>
      <c r="V24" s="12"/>
      <c r="W24" s="12"/>
      <c r="X24" s="13"/>
    </row>
    <row r="25" spans="2:27" x14ac:dyDescent="0.35">
      <c r="C25" t="s">
        <v>38</v>
      </c>
      <c r="G25" s="12"/>
      <c r="H25" s="187"/>
      <c r="I25" s="187">
        <f t="shared" ref="I25:L25" si="4">H25</f>
        <v>0</v>
      </c>
      <c r="J25" s="187">
        <f t="shared" si="4"/>
        <v>0</v>
      </c>
      <c r="K25" s="187">
        <f t="shared" si="4"/>
        <v>0</v>
      </c>
      <c r="L25" s="187">
        <f t="shared" si="4"/>
        <v>0</v>
      </c>
      <c r="M25" s="68">
        <f>$K$5*0</f>
        <v>0</v>
      </c>
      <c r="N25" s="68">
        <f>$K$5*0</f>
        <v>0</v>
      </c>
      <c r="O25" s="68">
        <f>$K$5*(1-$L$5)*0</f>
        <v>0</v>
      </c>
      <c r="P25" s="68">
        <f>$K$5*(1-$L$5)*0</f>
        <v>0</v>
      </c>
      <c r="Q25" s="68">
        <f>$K$5*(1-$L$5)*0</f>
        <v>0</v>
      </c>
      <c r="R25" s="173">
        <f>SUM($G25:Q25)</f>
        <v>0</v>
      </c>
      <c r="S25" s="12"/>
      <c r="T25" s="12"/>
      <c r="U25" s="12"/>
      <c r="V25" s="12"/>
      <c r="W25" s="12"/>
      <c r="X25" s="13"/>
    </row>
    <row r="26" spans="2:27" x14ac:dyDescent="0.35">
      <c r="C26" t="s">
        <v>37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73">
        <f>SUM($G26:Q26)</f>
        <v>0</v>
      </c>
      <c r="S26" s="45"/>
      <c r="T26" s="45"/>
      <c r="U26" s="45"/>
      <c r="V26" s="45"/>
      <c r="W26" s="45"/>
      <c r="X26" s="46"/>
      <c r="Y26" s="47"/>
    </row>
    <row r="27" spans="2:27" x14ac:dyDescent="0.35">
      <c r="B27" s="65" t="s">
        <v>13</v>
      </c>
      <c r="C27" s="65"/>
      <c r="D27" s="65"/>
      <c r="E27" s="253"/>
      <c r="F27" s="254"/>
      <c r="G27" s="66">
        <f>SUM(G22:G26)</f>
        <v>0</v>
      </c>
      <c r="H27" s="66">
        <f>SUM(H22:H26)</f>
        <v>140000000</v>
      </c>
      <c r="I27" s="66">
        <f t="shared" ref="I27:L27" si="5">SUM(I22:I26)</f>
        <v>140000000</v>
      </c>
      <c r="J27" s="66">
        <f t="shared" si="5"/>
        <v>140000000</v>
      </c>
      <c r="K27" s="66">
        <f t="shared" si="5"/>
        <v>0</v>
      </c>
      <c r="L27" s="66">
        <f t="shared" si="5"/>
        <v>0</v>
      </c>
      <c r="M27" s="66">
        <f>SUM(M22:M26)</f>
        <v>0</v>
      </c>
      <c r="N27" s="66">
        <f>SUM(N22:N26)</f>
        <v>0</v>
      </c>
      <c r="O27" s="66">
        <f t="shared" ref="O27:P27" si="6">SUM(O22:O26)</f>
        <v>0</v>
      </c>
      <c r="P27" s="66">
        <f t="shared" si="6"/>
        <v>0</v>
      </c>
      <c r="Q27" s="66">
        <f t="shared" ref="Q27" si="7">SUM(Q22:Q26)</f>
        <v>0</v>
      </c>
      <c r="R27" s="158">
        <f>SUM(R22:R26)</f>
        <v>420000000</v>
      </c>
      <c r="S27" s="45">
        <f>SUM(G27:Q27)-R27</f>
        <v>0</v>
      </c>
      <c r="T27" s="45"/>
      <c r="U27" s="45"/>
      <c r="V27" s="45"/>
      <c r="W27" s="45"/>
      <c r="X27" s="45"/>
      <c r="Y27" s="47"/>
    </row>
    <row r="28" spans="2:27" ht="6" customHeight="1" x14ac:dyDescent="0.35">
      <c r="R28" s="172"/>
      <c r="S28" s="47"/>
      <c r="T28" s="47"/>
      <c r="U28" s="47"/>
      <c r="V28" s="47"/>
      <c r="W28" s="47"/>
      <c r="X28" s="47"/>
      <c r="Y28" s="47"/>
    </row>
    <row r="29" spans="2:27" x14ac:dyDescent="0.35">
      <c r="B29" s="1" t="s">
        <v>14</v>
      </c>
      <c r="E29" s="17"/>
      <c r="F29" s="17"/>
      <c r="G29" s="18"/>
      <c r="H29" s="17"/>
      <c r="I29" s="19"/>
      <c r="J29" s="19"/>
      <c r="K29" s="19"/>
      <c r="L29" s="19"/>
      <c r="M29" s="19"/>
      <c r="N29" s="19"/>
      <c r="O29" s="19"/>
      <c r="P29" s="19"/>
      <c r="Q29" s="19"/>
      <c r="R29" s="174"/>
      <c r="S29" s="48"/>
      <c r="T29" s="48"/>
      <c r="U29" s="48"/>
      <c r="V29" s="48"/>
      <c r="W29" s="48"/>
      <c r="X29" s="47"/>
      <c r="Y29" s="47"/>
    </row>
    <row r="30" spans="2:27" x14ac:dyDescent="0.35">
      <c r="C30" t="s">
        <v>45</v>
      </c>
      <c r="H30" s="12">
        <v>300000000</v>
      </c>
      <c r="I30" s="12"/>
      <c r="J30" s="12"/>
      <c r="K30" s="12"/>
      <c r="L30" s="12"/>
      <c r="M30" s="12">
        <f>800000000*10%*0</f>
        <v>0</v>
      </c>
      <c r="N30" s="12">
        <f>800000000*30%*0</f>
        <v>0</v>
      </c>
      <c r="O30" s="12">
        <f>800000000*20%*0</f>
        <v>0</v>
      </c>
      <c r="P30" s="12">
        <f t="shared" ref="P30" si="8">O30</f>
        <v>0</v>
      </c>
      <c r="Q30" s="12">
        <f t="shared" ref="Q30" si="9">P30</f>
        <v>0</v>
      </c>
      <c r="R30" s="173">
        <f>SUM($H30:Q30)</f>
        <v>300000000</v>
      </c>
      <c r="S30" s="45"/>
      <c r="T30" s="45"/>
      <c r="U30" s="45"/>
      <c r="V30" s="45"/>
      <c r="W30" s="45"/>
      <c r="X30" s="46"/>
      <c r="Y30" s="47"/>
    </row>
    <row r="31" spans="2:27" x14ac:dyDescent="0.35">
      <c r="C31" t="s">
        <v>15</v>
      </c>
      <c r="G31" s="12"/>
      <c r="H31" s="12"/>
      <c r="I31" s="12"/>
      <c r="J31" s="12"/>
      <c r="K31" s="12"/>
      <c r="L31" s="12"/>
      <c r="M31" s="12">
        <f>200000000*0.5*0</f>
        <v>0</v>
      </c>
      <c r="N31" s="12">
        <f>200000000*0.5*0</f>
        <v>0</v>
      </c>
      <c r="O31" s="12">
        <f>200000000*0.5*0</f>
        <v>0</v>
      </c>
      <c r="P31" s="12">
        <f>200000000*0.5*0</f>
        <v>0</v>
      </c>
      <c r="Q31" s="12">
        <f>200000000*0.5*0</f>
        <v>0</v>
      </c>
      <c r="R31" s="173">
        <f>SUM($G31:Q31)</f>
        <v>0</v>
      </c>
      <c r="S31" s="45"/>
      <c r="T31" s="45"/>
      <c r="U31" s="45"/>
      <c r="V31" s="45"/>
      <c r="W31" s="45"/>
      <c r="X31" s="46"/>
      <c r="Y31" s="47"/>
    </row>
    <row r="32" spans="2:27" x14ac:dyDescent="0.35">
      <c r="C32" t="s">
        <v>144</v>
      </c>
      <c r="G32" s="105">
        <f>IF(G22&gt;0,COUNTIF(G22:G26,"&gt;0")*7000000,
IF(G23&gt;0,COUNTIF(G22:G26,"&gt;0")*7000000,
IF(G25&gt;0,COUNTIF(G22:G26,"&gt;0")*7000000,
IF(G26&gt;0,COUNTIF(G22:G26,"&gt;0")*7000000,0))))</f>
        <v>0</v>
      </c>
      <c r="H32" s="105">
        <f>7000000</f>
        <v>7000000</v>
      </c>
      <c r="I32" s="105">
        <f>H32</f>
        <v>7000000</v>
      </c>
      <c r="J32" s="105">
        <f t="shared" ref="J32" si="10">I32</f>
        <v>7000000</v>
      </c>
      <c r="K32" s="105"/>
      <c r="L32" s="105"/>
      <c r="M32" s="105">
        <f>IF(N22&gt;0,COUNTIF(M22:M26,"&gt;0")*7000000,
IF(M23&gt;0,COUNTIF(M22:M26,"&gt;0")*7000000,
IF(O25&gt;0,COUNTIF(M22:M26,"&gt;0")*7000000,
IF(M26&gt;0,COUNTIF(M22:M26,"&gt;0")*7000000,0))))</f>
        <v>0</v>
      </c>
      <c r="N32" s="105">
        <f>IF(O22&gt;0,COUNTIF(N22:N26,"&gt;0")*7000000,
IF(N23&gt;0,COUNTIF(N22:N26,"&gt;0")*7000000,
IF(P25&gt;0,COUNTIF(N22:N26,"&gt;0")*7000000,
IF(N26&gt;0,COUNTIF(N22:N26,"&gt;0")*7000000,0))))</f>
        <v>0</v>
      </c>
      <c r="O32" s="105">
        <f>IF(P22&gt;0,COUNTIF(O22:O26,"&gt;0")*7000000,
IF(O23&gt;0,COUNTIF(O22:O26,"&gt;0")*7000000,
IF(Q25&gt;0,COUNTIF(O22:O26,"&gt;0")*7000000,
IF(O26&gt;0,COUNTIF(O22:O26,"&gt;0")*7000000,0))))</f>
        <v>0</v>
      </c>
      <c r="P32" s="105">
        <f t="shared" ref="P32:Q32" si="11">IF(P22&gt;0,COUNTIF(P22:P26,"&gt;0")*7000000,
IF(P23&gt;0,COUNTIF(P22:P26,"&gt;0")*7000000,
IF(P25&gt;0,COUNTIF(P22:P26,"&gt;0")*7000000,
IF(P26&gt;0,COUNTIF(P22:P26,"&gt;0")*7000000,0))))</f>
        <v>0</v>
      </c>
      <c r="Q32" s="105">
        <f t="shared" si="11"/>
        <v>0</v>
      </c>
      <c r="R32" s="173">
        <f>SUM($G32:Q32)</f>
        <v>21000000</v>
      </c>
      <c r="S32" s="45"/>
      <c r="T32" s="45"/>
      <c r="U32" s="45"/>
      <c r="V32" s="45"/>
      <c r="W32" s="45"/>
      <c r="X32" s="46"/>
      <c r="Y32" s="47"/>
    </row>
    <row r="33" spans="2:25" x14ac:dyDescent="0.35">
      <c r="B33" s="15"/>
      <c r="C33" s="15" t="s">
        <v>145</v>
      </c>
      <c r="D33" s="15"/>
      <c r="E33" s="15"/>
      <c r="F33" s="138"/>
      <c r="G33" s="20">
        <f t="shared" ref="G33" si="12">$F$5*G27</f>
        <v>0</v>
      </c>
      <c r="H33" s="20">
        <f>H27*$F$5</f>
        <v>7000000</v>
      </c>
      <c r="I33" s="20">
        <f>I27*$F$5</f>
        <v>7000000</v>
      </c>
      <c r="J33" s="20">
        <f>J27*$F$5</f>
        <v>7000000</v>
      </c>
      <c r="K33" s="20">
        <f>K27*$F$5</f>
        <v>0</v>
      </c>
      <c r="L33" s="20">
        <f>L27*$F$5</f>
        <v>0</v>
      </c>
      <c r="M33" s="20">
        <f>PARAMETER!G36*0</f>
        <v>0</v>
      </c>
      <c r="N33" s="20">
        <f>PARAMETER!H36*0</f>
        <v>0</v>
      </c>
      <c r="O33" s="20">
        <f>PARAMETER!I36*0</f>
        <v>0</v>
      </c>
      <c r="P33" s="20">
        <f>PARAMETER!J36*0</f>
        <v>0</v>
      </c>
      <c r="Q33" s="20">
        <f>PARAMETER!K36*0</f>
        <v>0</v>
      </c>
      <c r="R33" s="173">
        <f>SUM($G33:Q33)</f>
        <v>21000000</v>
      </c>
      <c r="S33" s="49"/>
      <c r="T33" s="49"/>
      <c r="U33" s="49"/>
      <c r="V33" s="49"/>
      <c r="W33" s="49"/>
      <c r="X33" s="46"/>
      <c r="Y33" s="47"/>
    </row>
    <row r="34" spans="2:25" s="1" customFormat="1" x14ac:dyDescent="0.35">
      <c r="B34" s="65" t="s">
        <v>16</v>
      </c>
      <c r="C34" s="65"/>
      <c r="D34" s="65"/>
      <c r="E34" s="65"/>
      <c r="F34" s="65"/>
      <c r="G34" s="66">
        <f>SUM(G30:G33)</f>
        <v>0</v>
      </c>
      <c r="H34" s="66">
        <f>SUM(H30:H33)</f>
        <v>314000000</v>
      </c>
      <c r="I34" s="66">
        <f t="shared" ref="I34:Q34" si="13">SUM(I30:I33)</f>
        <v>14000000</v>
      </c>
      <c r="J34" s="66">
        <f t="shared" si="13"/>
        <v>14000000</v>
      </c>
      <c r="K34" s="66">
        <f t="shared" si="13"/>
        <v>0</v>
      </c>
      <c r="L34" s="66">
        <f t="shared" si="13"/>
        <v>0</v>
      </c>
      <c r="M34" s="66">
        <f t="shared" si="13"/>
        <v>0</v>
      </c>
      <c r="N34" s="66">
        <f t="shared" si="13"/>
        <v>0</v>
      </c>
      <c r="O34" s="66">
        <f t="shared" si="13"/>
        <v>0</v>
      </c>
      <c r="P34" s="66">
        <f t="shared" si="13"/>
        <v>0</v>
      </c>
      <c r="Q34" s="66">
        <f t="shared" si="13"/>
        <v>0</v>
      </c>
      <c r="R34" s="159">
        <f>SUM(R30:R33)</f>
        <v>342000000</v>
      </c>
      <c r="S34" s="45">
        <f>SUM(G34:Q34)-R34</f>
        <v>0</v>
      </c>
      <c r="T34" s="50"/>
      <c r="U34" s="50"/>
      <c r="V34" s="50"/>
      <c r="W34" s="50"/>
      <c r="X34" s="50"/>
      <c r="Y34" s="51"/>
    </row>
    <row r="35" spans="2:25" s="1" customFormat="1" x14ac:dyDescent="0.35">
      <c r="B35" s="1" t="s">
        <v>17</v>
      </c>
      <c r="G35" s="21">
        <f>G27-G34</f>
        <v>0</v>
      </c>
      <c r="H35" s="21">
        <f>H27-H34</f>
        <v>-174000000</v>
      </c>
      <c r="I35" s="21">
        <f t="shared" ref="I35:Q35" si="14">I27-I34</f>
        <v>126000000</v>
      </c>
      <c r="J35" s="21">
        <f t="shared" si="14"/>
        <v>126000000</v>
      </c>
      <c r="K35" s="21">
        <f t="shared" si="14"/>
        <v>0</v>
      </c>
      <c r="L35" s="21">
        <f t="shared" si="14"/>
        <v>0</v>
      </c>
      <c r="M35" s="21">
        <f>M27-M34</f>
        <v>0</v>
      </c>
      <c r="N35" s="21">
        <f t="shared" si="14"/>
        <v>0</v>
      </c>
      <c r="O35" s="21">
        <f t="shared" si="14"/>
        <v>0</v>
      </c>
      <c r="P35" s="21">
        <f t="shared" si="14"/>
        <v>0</v>
      </c>
      <c r="Q35" s="21">
        <f t="shared" si="14"/>
        <v>0</v>
      </c>
      <c r="R35" s="160">
        <f>R27-R34</f>
        <v>78000000</v>
      </c>
      <c r="S35" s="45">
        <f>SUM(G35:Q35)-R35</f>
        <v>0</v>
      </c>
      <c r="T35" s="50"/>
      <c r="U35" s="50"/>
      <c r="V35" s="50"/>
      <c r="W35" s="50"/>
      <c r="X35" s="50"/>
      <c r="Y35" s="51"/>
    </row>
    <row r="36" spans="2:25" s="1" customFormat="1" x14ac:dyDescent="0.35">
      <c r="B36" s="22" t="s">
        <v>18</v>
      </c>
      <c r="C36" s="23"/>
      <c r="D36" s="23"/>
      <c r="E36" s="23"/>
      <c r="F36" s="23"/>
      <c r="G36" s="24"/>
      <c r="H36" s="24">
        <f>H35/H27</f>
        <v>-1.2428571428571429</v>
      </c>
      <c r="I36" s="24">
        <f t="shared" ref="I36:Q36" si="15">I35/I27</f>
        <v>0.9</v>
      </c>
      <c r="J36" s="24">
        <f t="shared" si="15"/>
        <v>0.9</v>
      </c>
      <c r="K36" s="24" t="e">
        <f t="shared" si="15"/>
        <v>#DIV/0!</v>
      </c>
      <c r="L36" s="24" t="e">
        <f t="shared" si="15"/>
        <v>#DIV/0!</v>
      </c>
      <c r="M36" s="24" t="e">
        <f t="shared" si="15"/>
        <v>#DIV/0!</v>
      </c>
      <c r="N36" s="24" t="e">
        <f t="shared" si="15"/>
        <v>#DIV/0!</v>
      </c>
      <c r="O36" s="24" t="e">
        <f t="shared" si="15"/>
        <v>#DIV/0!</v>
      </c>
      <c r="P36" s="24" t="e">
        <f t="shared" si="15"/>
        <v>#DIV/0!</v>
      </c>
      <c r="Q36" s="24" t="e">
        <f t="shared" si="15"/>
        <v>#DIV/0!</v>
      </c>
      <c r="R36" s="161">
        <f>R35/R27</f>
        <v>0.18571428571428572</v>
      </c>
      <c r="S36" s="52"/>
      <c r="T36" s="52"/>
      <c r="U36" s="52"/>
      <c r="V36" s="52"/>
      <c r="W36" s="52"/>
      <c r="X36" s="52"/>
      <c r="Y36" s="51"/>
    </row>
    <row r="37" spans="2:25" x14ac:dyDescent="0.35">
      <c r="R37" s="172"/>
      <c r="S37" s="47"/>
      <c r="T37" s="47"/>
      <c r="U37" s="47"/>
      <c r="V37" s="47"/>
      <c r="W37" s="47"/>
      <c r="X37" s="47"/>
      <c r="Y37" s="47"/>
    </row>
    <row r="38" spans="2:25" x14ac:dyDescent="0.35">
      <c r="B38" s="15" t="s">
        <v>19</v>
      </c>
      <c r="C38" s="15"/>
      <c r="D38" s="15"/>
      <c r="E38" s="15"/>
      <c r="F38" s="15"/>
      <c r="G38" s="16"/>
      <c r="H38" s="16">
        <f>H68</f>
        <v>91299035.666666672</v>
      </c>
      <c r="I38" s="16">
        <f t="shared" ref="I38:J38" si="16">I68</f>
        <v>91299035.666666672</v>
      </c>
      <c r="J38" s="16">
        <f t="shared" si="16"/>
        <v>91299035.666666672</v>
      </c>
      <c r="K38" s="16"/>
      <c r="L38" s="16"/>
      <c r="M38" s="16">
        <f>M68*0</f>
        <v>0</v>
      </c>
      <c r="N38" s="16">
        <f>N68*0</f>
        <v>0</v>
      </c>
      <c r="O38" s="16">
        <f>O68*0</f>
        <v>0</v>
      </c>
      <c r="P38" s="16">
        <f>P68*0</f>
        <v>0</v>
      </c>
      <c r="Q38" s="16">
        <f>Q68*0</f>
        <v>0</v>
      </c>
      <c r="R38" s="171">
        <f>SUM($G38:Q38)</f>
        <v>273897107</v>
      </c>
      <c r="S38" s="45"/>
      <c r="T38" s="45"/>
      <c r="U38" s="45"/>
      <c r="V38" s="45"/>
      <c r="W38" s="45"/>
      <c r="X38" s="45"/>
      <c r="Y38" s="47"/>
    </row>
    <row r="39" spans="2:25" x14ac:dyDescent="0.35">
      <c r="B39" s="25" t="s">
        <v>20</v>
      </c>
      <c r="G39" s="26"/>
      <c r="H39" s="26">
        <f>H35-H38</f>
        <v>-265299035.66666669</v>
      </c>
      <c r="I39" s="26">
        <f t="shared" ref="I39:P39" si="17">I35-I38</f>
        <v>34700964.333333328</v>
      </c>
      <c r="J39" s="26">
        <f t="shared" si="17"/>
        <v>34700964.333333328</v>
      </c>
      <c r="K39" s="26">
        <f t="shared" si="17"/>
        <v>0</v>
      </c>
      <c r="L39" s="26">
        <f>L35-L38</f>
        <v>0</v>
      </c>
      <c r="M39" s="26">
        <f t="shared" si="17"/>
        <v>0</v>
      </c>
      <c r="N39" s="26">
        <f t="shared" si="17"/>
        <v>0</v>
      </c>
      <c r="O39" s="26">
        <f t="shared" si="17"/>
        <v>0</v>
      </c>
      <c r="P39" s="26">
        <f t="shared" si="17"/>
        <v>0</v>
      </c>
      <c r="Q39" s="26">
        <f>Q35-Q38</f>
        <v>0</v>
      </c>
      <c r="R39" s="175">
        <f>R35-R38</f>
        <v>-195897107</v>
      </c>
      <c r="S39" s="45">
        <f>SUM(G39:Q39)-R39</f>
        <v>0</v>
      </c>
      <c r="T39" s="53"/>
      <c r="U39" s="53"/>
      <c r="V39" s="53"/>
      <c r="W39" s="53"/>
      <c r="X39" s="53"/>
      <c r="Y39" s="47"/>
    </row>
    <row r="40" spans="2:25" x14ac:dyDescent="0.35">
      <c r="B40" s="15" t="s">
        <v>33</v>
      </c>
      <c r="C40" s="15"/>
      <c r="D40" s="15"/>
      <c r="E40" s="15"/>
      <c r="F40" s="15"/>
      <c r="G40" s="16"/>
      <c r="H40" s="16">
        <f>PARAMETER!H24</f>
        <v>6694948.3599999975</v>
      </c>
      <c r="I40" s="16">
        <f>PARAMETER!I24</f>
        <v>0</v>
      </c>
      <c r="J40" s="16">
        <f>PARAMETER!J24</f>
        <v>0</v>
      </c>
      <c r="K40" s="16">
        <f>PARAMETER!K24</f>
        <v>0</v>
      </c>
      <c r="L40" s="16">
        <f>PARAMETER!L24</f>
        <v>0</v>
      </c>
      <c r="M40" s="16"/>
      <c r="N40" s="16">
        <f>PARAMETER!I4</f>
        <v>0</v>
      </c>
      <c r="O40" s="16">
        <f>PARAMETER!J4</f>
        <v>0</v>
      </c>
      <c r="P40" s="16">
        <f>PARAMETER!K4</f>
        <v>0</v>
      </c>
      <c r="Q40" s="16">
        <f>PARAMETER!L4</f>
        <v>0</v>
      </c>
      <c r="R40" s="171">
        <f>SUM($G40:Q40)</f>
        <v>6694948.3599999975</v>
      </c>
      <c r="S40" s="45"/>
      <c r="T40" s="45"/>
      <c r="U40" s="45"/>
      <c r="V40" s="45"/>
      <c r="W40" s="45"/>
      <c r="X40" s="45"/>
      <c r="Y40" s="47"/>
    </row>
    <row r="41" spans="2:25" x14ac:dyDescent="0.35">
      <c r="B41" s="25" t="s">
        <v>34</v>
      </c>
      <c r="G41" s="69"/>
      <c r="H41" s="69">
        <f t="shared" ref="H41:Q41" si="18">H39-H40</f>
        <v>-271993984.0266667</v>
      </c>
      <c r="I41" s="69">
        <f t="shared" si="18"/>
        <v>34700964.333333328</v>
      </c>
      <c r="J41" s="69">
        <f t="shared" si="18"/>
        <v>34700964.333333328</v>
      </c>
      <c r="K41" s="69">
        <f t="shared" si="18"/>
        <v>0</v>
      </c>
      <c r="L41" s="69">
        <f t="shared" si="18"/>
        <v>0</v>
      </c>
      <c r="M41" s="69">
        <f t="shared" si="18"/>
        <v>0</v>
      </c>
      <c r="N41" s="69">
        <f t="shared" si="18"/>
        <v>0</v>
      </c>
      <c r="O41" s="69">
        <f t="shared" si="18"/>
        <v>0</v>
      </c>
      <c r="P41" s="69">
        <f t="shared" si="18"/>
        <v>0</v>
      </c>
      <c r="Q41" s="69">
        <f t="shared" si="18"/>
        <v>0</v>
      </c>
      <c r="R41" s="173">
        <f>SUM($G41:Q41)</f>
        <v>-202592055.36000007</v>
      </c>
      <c r="S41" s="45">
        <f>SUM(G41:Q41)-R41</f>
        <v>0</v>
      </c>
      <c r="T41" s="53"/>
      <c r="U41" s="53"/>
      <c r="V41" s="53"/>
      <c r="W41" s="53"/>
      <c r="X41" s="53"/>
      <c r="Y41" s="47"/>
    </row>
    <row r="42" spans="2:25" x14ac:dyDescent="0.35">
      <c r="B42" s="15" t="s">
        <v>21</v>
      </c>
      <c r="C42" s="15"/>
      <c r="D42" s="15"/>
      <c r="E42" s="15"/>
      <c r="F42" s="15"/>
      <c r="G42" s="67"/>
      <c r="H42" s="67">
        <f t="shared" ref="H42:Q42" si="19">IF(H41&lt;0,0,H41*$F$3)</f>
        <v>0</v>
      </c>
      <c r="I42" s="67">
        <f>IF(I41&lt;0,0,I41*$F$3)</f>
        <v>694019.28666666662</v>
      </c>
      <c r="J42" s="67">
        <f t="shared" si="19"/>
        <v>694019.28666666662</v>
      </c>
      <c r="K42" s="67">
        <f t="shared" si="19"/>
        <v>0</v>
      </c>
      <c r="L42" s="67">
        <f t="shared" si="19"/>
        <v>0</v>
      </c>
      <c r="M42" s="67">
        <f t="shared" si="19"/>
        <v>0</v>
      </c>
      <c r="N42" s="67">
        <f t="shared" si="19"/>
        <v>0</v>
      </c>
      <c r="O42" s="67">
        <f t="shared" si="19"/>
        <v>0</v>
      </c>
      <c r="P42" s="67">
        <f t="shared" si="19"/>
        <v>0</v>
      </c>
      <c r="Q42" s="67">
        <f t="shared" si="19"/>
        <v>0</v>
      </c>
      <c r="R42" s="173">
        <f>SUM($G42:Q42)</f>
        <v>1388038.5733333332</v>
      </c>
      <c r="S42" s="55"/>
      <c r="T42" s="55"/>
      <c r="U42" s="55"/>
      <c r="V42" s="55"/>
      <c r="W42" s="55"/>
      <c r="X42" s="54"/>
      <c r="Y42" s="47"/>
    </row>
    <row r="43" spans="2:25" ht="16" thickBot="1" x14ac:dyDescent="0.4">
      <c r="B43" s="28" t="s">
        <v>58</v>
      </c>
      <c r="C43" s="28"/>
      <c r="D43" s="28"/>
      <c r="E43" s="28"/>
      <c r="F43" s="28"/>
      <c r="G43" s="29"/>
      <c r="H43" s="29">
        <f t="shared" ref="H43:Q43" si="20">H41-H42</f>
        <v>-271993984.0266667</v>
      </c>
      <c r="I43" s="29">
        <f t="shared" si="20"/>
        <v>34006945.046666659</v>
      </c>
      <c r="J43" s="29">
        <f t="shared" si="20"/>
        <v>34006945.046666659</v>
      </c>
      <c r="K43" s="29">
        <f t="shared" si="20"/>
        <v>0</v>
      </c>
      <c r="L43" s="29">
        <f t="shared" si="20"/>
        <v>0</v>
      </c>
      <c r="M43" s="29">
        <f t="shared" si="20"/>
        <v>0</v>
      </c>
      <c r="N43" s="29">
        <f t="shared" si="20"/>
        <v>0</v>
      </c>
      <c r="O43" s="29">
        <f t="shared" si="20"/>
        <v>0</v>
      </c>
      <c r="P43" s="29">
        <f t="shared" si="20"/>
        <v>0</v>
      </c>
      <c r="Q43" s="29">
        <f t="shared" si="20"/>
        <v>0</v>
      </c>
      <c r="R43" s="176">
        <f>R41-R42</f>
        <v>-203980093.9333334</v>
      </c>
      <c r="S43" s="45">
        <f>SUM(G43:Q43)-R43</f>
        <v>0</v>
      </c>
      <c r="T43" s="53"/>
      <c r="U43" s="53"/>
      <c r="V43" s="53"/>
      <c r="W43" s="53"/>
      <c r="X43" s="53"/>
      <c r="Y43" s="47"/>
    </row>
    <row r="44" spans="2:25" x14ac:dyDescent="0.35">
      <c r="R44" s="172"/>
      <c r="S44" s="47"/>
      <c r="T44" s="47"/>
      <c r="U44" s="47"/>
      <c r="V44" s="47"/>
      <c r="W44" s="47"/>
      <c r="X44" s="47"/>
      <c r="Y44" s="47"/>
    </row>
    <row r="45" spans="2:25" x14ac:dyDescent="0.35">
      <c r="B45" s="15" t="s">
        <v>22</v>
      </c>
      <c r="C45" s="15"/>
      <c r="D45" s="15"/>
      <c r="E45" s="15"/>
      <c r="F45" s="30"/>
      <c r="G45" s="30"/>
      <c r="H45" s="30">
        <f>-H13+-H14</f>
        <v>-273897107</v>
      </c>
      <c r="I45" s="30">
        <f t="shared" ref="I45:L45" si="21">-I13+-I14</f>
        <v>0</v>
      </c>
      <c r="J45" s="30">
        <f t="shared" si="21"/>
        <v>0</v>
      </c>
      <c r="K45" s="30">
        <f t="shared" si="21"/>
        <v>0</v>
      </c>
      <c r="L45" s="30">
        <f t="shared" si="21"/>
        <v>0</v>
      </c>
      <c r="M45" s="30">
        <f t="shared" ref="M45:P45" si="22">-M14</f>
        <v>0</v>
      </c>
      <c r="N45" s="30">
        <f t="shared" si="22"/>
        <v>0</v>
      </c>
      <c r="O45" s="30">
        <f t="shared" si="22"/>
        <v>0</v>
      </c>
      <c r="P45" s="30">
        <f t="shared" si="22"/>
        <v>0</v>
      </c>
      <c r="Q45" s="30">
        <f>-Q14</f>
        <v>0</v>
      </c>
      <c r="R45" s="177">
        <f>SUM($G$45:Q45)</f>
        <v>-273897107</v>
      </c>
      <c r="S45" s="54"/>
      <c r="T45" s="54"/>
      <c r="U45" s="54"/>
      <c r="V45" s="54"/>
      <c r="W45" s="54"/>
      <c r="X45" s="54"/>
      <c r="Y45" s="47"/>
    </row>
    <row r="46" spans="2:25" x14ac:dyDescent="0.35">
      <c r="B46" t="s">
        <v>23</v>
      </c>
      <c r="F46" s="27"/>
      <c r="G46" s="27"/>
      <c r="H46" s="27">
        <f>H45+H43+H38</f>
        <v>-454592055.35999995</v>
      </c>
      <c r="I46" s="27">
        <f t="shared" ref="I46:Q46" si="23">I45+I43+I38</f>
        <v>125305980.71333334</v>
      </c>
      <c r="J46" s="27">
        <f t="shared" si="23"/>
        <v>125305980.71333334</v>
      </c>
      <c r="K46" s="27">
        <f t="shared" si="23"/>
        <v>0</v>
      </c>
      <c r="L46" s="27">
        <f t="shared" si="23"/>
        <v>0</v>
      </c>
      <c r="M46" s="27">
        <f t="shared" si="23"/>
        <v>0</v>
      </c>
      <c r="N46" s="27">
        <f t="shared" si="23"/>
        <v>0</v>
      </c>
      <c r="O46" s="27">
        <f t="shared" si="23"/>
        <v>0</v>
      </c>
      <c r="P46" s="27">
        <f t="shared" si="23"/>
        <v>0</v>
      </c>
      <c r="Q46" s="27">
        <f t="shared" si="23"/>
        <v>0</v>
      </c>
      <c r="R46" s="178">
        <f>SUM($H$46:Q46)</f>
        <v>-203980093.93333331</v>
      </c>
      <c r="S46" s="54"/>
      <c r="T46" s="54"/>
      <c r="U46" s="54"/>
      <c r="V46" s="54"/>
      <c r="W46" s="54"/>
      <c r="X46" s="54"/>
      <c r="Y46" s="47"/>
    </row>
    <row r="47" spans="2:25" x14ac:dyDescent="0.35">
      <c r="B47" t="s">
        <v>24</v>
      </c>
      <c r="F47" s="27"/>
      <c r="G47" s="27"/>
      <c r="H47" s="27">
        <f>H46</f>
        <v>-454592055.35999995</v>
      </c>
      <c r="I47" s="27">
        <f>H47+I46</f>
        <v>-329286074.64666665</v>
      </c>
      <c r="J47" s="27">
        <f>I47+J46</f>
        <v>-203980093.93333331</v>
      </c>
      <c r="K47" s="27"/>
      <c r="L47" s="27"/>
      <c r="M47" s="27">
        <f>(L47+M46)*0</f>
        <v>0</v>
      </c>
      <c r="N47" s="27">
        <f t="shared" ref="N47:O47" si="24">M47+N46</f>
        <v>0</v>
      </c>
      <c r="O47" s="27">
        <f t="shared" si="24"/>
        <v>0</v>
      </c>
      <c r="P47" s="27">
        <f t="shared" ref="P47" si="25">O47+P46</f>
        <v>0</v>
      </c>
      <c r="Q47" s="27">
        <f t="shared" ref="Q47" si="26">P47+Q46</f>
        <v>0</v>
      </c>
      <c r="R47" s="178"/>
      <c r="S47" s="54"/>
      <c r="T47" s="54"/>
      <c r="U47" s="54"/>
      <c r="V47" s="54"/>
      <c r="W47" s="54"/>
      <c r="X47" s="54"/>
      <c r="Y47" s="47"/>
    </row>
    <row r="48" spans="2:25" x14ac:dyDescent="0.35">
      <c r="B48" t="s">
        <v>25</v>
      </c>
      <c r="F48" s="27"/>
      <c r="G48" s="31">
        <f t="shared" ref="G48:O48" si="27">IF(AND(F47&lt;0,G47&gt;0),H56-(G47/G46),0)</f>
        <v>0</v>
      </c>
      <c r="H48" s="31">
        <f>IF(AND(G47&lt;0,H47&gt;0),H56-(H47/H46),0)</f>
        <v>0</v>
      </c>
      <c r="I48" s="31">
        <f>IF(AND(H47&lt;0,I47&gt;0),I56-(I47/I46),0)</f>
        <v>0</v>
      </c>
      <c r="J48" s="31">
        <f>IF(AND(I47&lt;0,J47&gt;0),J56-(J47/J46),0)</f>
        <v>0</v>
      </c>
      <c r="K48" s="76">
        <f>IF(AND(J47&lt;0,K47&gt;0),K56-(K47/K46),0)</f>
        <v>0</v>
      </c>
      <c r="L48" s="31">
        <f>IF(AND(K47&lt;0,L47&gt;0),L56-(L47/L46),0)</f>
        <v>0</v>
      </c>
      <c r="M48" s="31">
        <f t="shared" si="27"/>
        <v>0</v>
      </c>
      <c r="N48" s="31">
        <f t="shared" si="27"/>
        <v>0</v>
      </c>
      <c r="O48" s="31">
        <f t="shared" si="27"/>
        <v>0</v>
      </c>
      <c r="P48" s="31"/>
      <c r="Q48" s="31">
        <f>IF(AND(O47&lt;0,Q47&gt;0),R56-(Q47/Q46),0)</f>
        <v>0</v>
      </c>
      <c r="R48" s="179"/>
      <c r="S48" s="31"/>
      <c r="T48" s="31"/>
      <c r="U48" s="31"/>
      <c r="V48" s="31"/>
      <c r="W48" s="31"/>
      <c r="X48" s="31"/>
    </row>
    <row r="49" spans="2:25" s="79" customFormat="1" hidden="1" x14ac:dyDescent="0.35">
      <c r="F49" s="80"/>
      <c r="G49" s="81"/>
      <c r="H49" s="81"/>
      <c r="I49" s="81"/>
      <c r="J49" s="81"/>
      <c r="K49" s="82"/>
      <c r="L49" s="81"/>
      <c r="M49" s="81"/>
      <c r="N49" s="81"/>
      <c r="O49" s="81"/>
      <c r="P49" s="81"/>
      <c r="Q49" s="81"/>
      <c r="R49" s="180"/>
      <c r="S49" s="81"/>
      <c r="T49" s="81"/>
      <c r="U49" s="81"/>
      <c r="V49" s="81"/>
      <c r="W49" s="81"/>
      <c r="X49" s="81"/>
    </row>
    <row r="50" spans="2:25" s="79" customFormat="1" x14ac:dyDescent="0.35">
      <c r="G50" s="83"/>
      <c r="R50" s="181"/>
    </row>
    <row r="51" spans="2:25" x14ac:dyDescent="0.35">
      <c r="B51" s="57" t="s">
        <v>26</v>
      </c>
      <c r="C51" s="58"/>
      <c r="D51" s="58"/>
      <c r="E51" s="58"/>
      <c r="F51" s="125">
        <f>IRR(H46:Q46)</f>
        <v>-0.31937010320486348</v>
      </c>
      <c r="R51" s="169"/>
    </row>
    <row r="52" spans="2:25" x14ac:dyDescent="0.35">
      <c r="B52" s="59" t="s">
        <v>27</v>
      </c>
      <c r="C52" s="60"/>
      <c r="D52" s="60"/>
      <c r="E52" s="60"/>
      <c r="F52" s="123">
        <f>NPV(F4,I46:Q46)+H46</f>
        <v>-237118865.69223139</v>
      </c>
      <c r="H52" s="75"/>
      <c r="I52" s="13"/>
      <c r="R52" s="182"/>
    </row>
    <row r="53" spans="2:25" x14ac:dyDescent="0.35">
      <c r="B53" s="59" t="s">
        <v>28</v>
      </c>
      <c r="C53" s="60"/>
      <c r="D53" s="60"/>
      <c r="E53" s="60"/>
      <c r="F53" s="61">
        <f>R36</f>
        <v>0.18571428571428572</v>
      </c>
      <c r="H53" s="68"/>
      <c r="R53" s="182"/>
    </row>
    <row r="54" spans="2:25" x14ac:dyDescent="0.35">
      <c r="B54" s="62" t="s">
        <v>29</v>
      </c>
      <c r="C54" s="63"/>
      <c r="D54" s="63"/>
      <c r="E54" s="63"/>
      <c r="F54" s="64">
        <f>SUM(G48:Q48)</f>
        <v>0</v>
      </c>
      <c r="R54" s="182"/>
    </row>
    <row r="55" spans="2:25" ht="10.25" customHeight="1" x14ac:dyDescent="0.35">
      <c r="F55" s="32"/>
      <c r="G55" s="32"/>
      <c r="H55" s="2"/>
      <c r="R55" s="182"/>
    </row>
    <row r="56" spans="2:25" x14ac:dyDescent="0.35">
      <c r="G56"/>
      <c r="H56" s="8">
        <v>1</v>
      </c>
      <c r="I56" s="33">
        <v>2</v>
      </c>
      <c r="J56" s="8">
        <v>3</v>
      </c>
      <c r="K56" s="33">
        <v>4</v>
      </c>
      <c r="L56" s="8">
        <v>5</v>
      </c>
      <c r="M56" s="33">
        <v>6</v>
      </c>
      <c r="N56" s="8">
        <v>7</v>
      </c>
      <c r="O56" s="33">
        <v>8</v>
      </c>
      <c r="P56" s="8">
        <v>9</v>
      </c>
      <c r="Q56" s="8">
        <v>10</v>
      </c>
      <c r="R56" s="169"/>
      <c r="S56" s="33"/>
      <c r="T56" s="8"/>
      <c r="U56" s="33"/>
      <c r="V56" s="8"/>
      <c r="W56" s="33"/>
      <c r="X56" s="8"/>
    </row>
    <row r="57" spans="2:25" ht="16" thickBot="1" x14ac:dyDescent="0.4">
      <c r="B57" s="34" t="s">
        <v>30</v>
      </c>
      <c r="E57" s="35" t="s">
        <v>31</v>
      </c>
      <c r="G57"/>
      <c r="H57" s="35">
        <f t="shared" ref="H57:Q57" si="28">H17</f>
        <v>2025</v>
      </c>
      <c r="I57" s="35">
        <f t="shared" si="28"/>
        <v>2026</v>
      </c>
      <c r="J57" s="35">
        <f t="shared" si="28"/>
        <v>2027</v>
      </c>
      <c r="K57" s="35">
        <f t="shared" si="28"/>
        <v>2028</v>
      </c>
      <c r="L57" s="35">
        <f t="shared" si="28"/>
        <v>2029</v>
      </c>
      <c r="M57" s="35">
        <f t="shared" si="28"/>
        <v>2030</v>
      </c>
      <c r="N57" s="35">
        <f t="shared" si="28"/>
        <v>2031</v>
      </c>
      <c r="O57" s="35">
        <f t="shared" si="28"/>
        <v>2032</v>
      </c>
      <c r="P57" s="35">
        <f t="shared" si="28"/>
        <v>2033</v>
      </c>
      <c r="Q57" s="35">
        <f t="shared" si="28"/>
        <v>2034</v>
      </c>
      <c r="R57" s="157" t="s">
        <v>11</v>
      </c>
      <c r="S57" s="35"/>
      <c r="T57" s="35"/>
      <c r="U57" s="35"/>
      <c r="V57" s="35"/>
      <c r="W57" s="35"/>
      <c r="X57" s="35"/>
      <c r="Y57" s="35"/>
    </row>
    <row r="58" spans="2:25" x14ac:dyDescent="0.35">
      <c r="D58" t="s">
        <v>5</v>
      </c>
      <c r="E58">
        <v>3</v>
      </c>
      <c r="G58"/>
      <c r="H58" s="70">
        <f>(H$13+H14)/$E58</f>
        <v>91299035.666666672</v>
      </c>
      <c r="I58" s="36">
        <f>H58</f>
        <v>91299035.666666672</v>
      </c>
      <c r="J58" s="36">
        <f t="shared" ref="J58" si="29">I58</f>
        <v>91299035.666666672</v>
      </c>
      <c r="K58" s="36"/>
      <c r="L58" s="36"/>
      <c r="M58" s="36"/>
      <c r="N58" s="36"/>
      <c r="O58" s="36"/>
      <c r="P58" s="36"/>
      <c r="Q58" s="36"/>
      <c r="R58" s="173">
        <f>SUM($G58:Q58)</f>
        <v>273897107</v>
      </c>
      <c r="S58" s="36"/>
      <c r="T58" s="36"/>
      <c r="U58" s="36"/>
      <c r="V58" s="36"/>
      <c r="W58" s="36"/>
      <c r="X58" s="36"/>
      <c r="Y58" s="37"/>
    </row>
    <row r="59" spans="2:25" hidden="1" x14ac:dyDescent="0.35">
      <c r="D59" t="s">
        <v>6</v>
      </c>
      <c r="E59">
        <v>2</v>
      </c>
      <c r="G59"/>
      <c r="H59" s="2"/>
      <c r="I59" s="70">
        <f>I14/E59</f>
        <v>0</v>
      </c>
      <c r="J59" s="36">
        <f>I59</f>
        <v>0</v>
      </c>
      <c r="K59" s="36">
        <f t="shared" ref="K59:Q60" si="30">J59</f>
        <v>0</v>
      </c>
      <c r="L59" s="36">
        <f t="shared" si="30"/>
        <v>0</v>
      </c>
      <c r="M59" s="36">
        <f t="shared" si="30"/>
        <v>0</v>
      </c>
      <c r="N59" s="36">
        <f t="shared" si="30"/>
        <v>0</v>
      </c>
      <c r="O59" s="36">
        <f t="shared" si="30"/>
        <v>0</v>
      </c>
      <c r="P59" s="36">
        <f t="shared" si="30"/>
        <v>0</v>
      </c>
      <c r="Q59" s="36">
        <f t="shared" si="30"/>
        <v>0</v>
      </c>
      <c r="R59" s="173">
        <f>SUM($G59:Q59)</f>
        <v>0</v>
      </c>
      <c r="S59" s="36"/>
      <c r="T59" s="36"/>
      <c r="U59" s="36"/>
      <c r="V59" s="36"/>
      <c r="W59" s="36"/>
      <c r="X59" s="36"/>
      <c r="Y59" s="37"/>
    </row>
    <row r="60" spans="2:25" hidden="1" x14ac:dyDescent="0.35">
      <c r="D60" t="s">
        <v>7</v>
      </c>
      <c r="E60">
        <v>1</v>
      </c>
      <c r="G60"/>
      <c r="H60" s="2"/>
      <c r="J60" s="70">
        <f>J14/$E60</f>
        <v>0</v>
      </c>
      <c r="K60" s="36">
        <f>J60</f>
        <v>0</v>
      </c>
      <c r="L60" s="36">
        <f t="shared" ref="L60:P60" si="31">K60</f>
        <v>0</v>
      </c>
      <c r="M60" s="36">
        <f t="shared" si="31"/>
        <v>0</v>
      </c>
      <c r="N60" s="36">
        <f t="shared" si="31"/>
        <v>0</v>
      </c>
      <c r="O60" s="36">
        <f t="shared" si="31"/>
        <v>0</v>
      </c>
      <c r="P60" s="36">
        <f t="shared" si="31"/>
        <v>0</v>
      </c>
      <c r="Q60" s="36">
        <f t="shared" si="30"/>
        <v>0</v>
      </c>
      <c r="R60" s="173">
        <f>SUM($G60:Q60)</f>
        <v>0</v>
      </c>
      <c r="S60" s="36"/>
      <c r="T60" s="36"/>
      <c r="U60" s="36"/>
      <c r="V60" s="36"/>
      <c r="W60" s="36"/>
      <c r="X60" s="36"/>
      <c r="Y60" s="37"/>
    </row>
    <row r="61" spans="2:25" hidden="1" x14ac:dyDescent="0.35">
      <c r="D61" t="s">
        <v>8</v>
      </c>
      <c r="E61">
        <v>2</v>
      </c>
      <c r="G61"/>
      <c r="H61" s="2"/>
      <c r="K61" s="70">
        <f>K14/$E61</f>
        <v>0</v>
      </c>
      <c r="L61" s="36">
        <f>K61</f>
        <v>0</v>
      </c>
      <c r="M61" s="36">
        <f t="shared" ref="M61:Q64" si="32">L61</f>
        <v>0</v>
      </c>
      <c r="N61" s="36">
        <f t="shared" si="32"/>
        <v>0</v>
      </c>
      <c r="O61" s="36">
        <f t="shared" si="32"/>
        <v>0</v>
      </c>
      <c r="P61" s="36">
        <f t="shared" si="32"/>
        <v>0</v>
      </c>
      <c r="Q61" s="36">
        <f t="shared" si="32"/>
        <v>0</v>
      </c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9</v>
      </c>
      <c r="E62">
        <v>1</v>
      </c>
      <c r="G62"/>
      <c r="H62" s="2"/>
      <c r="L62" s="70">
        <f>K$13/$E62</f>
        <v>0</v>
      </c>
      <c r="M62" s="36">
        <f>L62</f>
        <v>0</v>
      </c>
      <c r="N62" s="36">
        <f t="shared" si="32"/>
        <v>0</v>
      </c>
      <c r="O62" s="36">
        <f t="shared" si="32"/>
        <v>0</v>
      </c>
      <c r="P62" s="36">
        <f t="shared" si="32"/>
        <v>0</v>
      </c>
      <c r="Q62" s="36"/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51</v>
      </c>
      <c r="E63">
        <v>5</v>
      </c>
      <c r="G63"/>
      <c r="H63" s="2"/>
      <c r="L63" s="36"/>
      <c r="M63" s="70">
        <f>L$13/$E63</f>
        <v>0</v>
      </c>
      <c r="N63" s="36">
        <f>M63</f>
        <v>0</v>
      </c>
      <c r="O63" s="36">
        <f t="shared" si="32"/>
        <v>0</v>
      </c>
      <c r="P63" s="36">
        <f t="shared" si="32"/>
        <v>0</v>
      </c>
      <c r="Q63" s="36"/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52</v>
      </c>
      <c r="E64">
        <v>4</v>
      </c>
      <c r="G64"/>
      <c r="H64" s="2"/>
      <c r="L64" s="36"/>
      <c r="M64" s="36"/>
      <c r="N64" s="70">
        <f>M$13/$E64</f>
        <v>0</v>
      </c>
      <c r="O64" s="36">
        <f>N64</f>
        <v>0</v>
      </c>
      <c r="P64" s="36">
        <f t="shared" si="32"/>
        <v>0</v>
      </c>
      <c r="Q64" s="36"/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53</v>
      </c>
      <c r="E65">
        <v>3</v>
      </c>
      <c r="G65"/>
      <c r="H65" s="2"/>
      <c r="L65" s="36"/>
      <c r="M65" s="36"/>
      <c r="N65" s="36"/>
      <c r="O65" s="70">
        <f>N$13/$E65</f>
        <v>0</v>
      </c>
      <c r="P65" s="36">
        <f>O65</f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54</v>
      </c>
      <c r="E66">
        <v>2</v>
      </c>
      <c r="G66"/>
      <c r="H66" s="2"/>
      <c r="L66" s="36"/>
      <c r="M66" s="36"/>
      <c r="N66" s="36"/>
      <c r="O66" s="36"/>
      <c r="P66" s="70">
        <f>O$13/$E66</f>
        <v>0</v>
      </c>
      <c r="Q66" s="70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55</v>
      </c>
      <c r="E67">
        <v>1</v>
      </c>
      <c r="G67"/>
      <c r="H67" s="2"/>
      <c r="K67" s="36"/>
      <c r="L67" s="77"/>
      <c r="M67" s="77"/>
      <c r="N67" s="77"/>
      <c r="O67" s="77"/>
      <c r="P67" s="77"/>
      <c r="Q67" s="77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t="16" thickBot="1" x14ac:dyDescent="0.4">
      <c r="B68" s="38" t="s">
        <v>32</v>
      </c>
      <c r="C68" s="39"/>
      <c r="D68" s="39"/>
      <c r="E68" s="39"/>
      <c r="F68" s="39"/>
      <c r="G68" s="39"/>
      <c r="H68" s="40">
        <f>SUM(H58:H67)</f>
        <v>91299035.666666672</v>
      </c>
      <c r="I68" s="40">
        <f t="shared" ref="I68:P68" si="33">SUM(I58:I67)</f>
        <v>91299035.666666672</v>
      </c>
      <c r="J68" s="40">
        <f t="shared" si="33"/>
        <v>91299035.666666672</v>
      </c>
      <c r="K68" s="40">
        <f t="shared" si="33"/>
        <v>0</v>
      </c>
      <c r="L68" s="40">
        <f t="shared" si="33"/>
        <v>0</v>
      </c>
      <c r="M68" s="40">
        <f t="shared" si="33"/>
        <v>0</v>
      </c>
      <c r="N68" s="40">
        <f t="shared" si="33"/>
        <v>0</v>
      </c>
      <c r="O68" s="40">
        <f t="shared" si="33"/>
        <v>0</v>
      </c>
      <c r="P68" s="40">
        <f t="shared" si="33"/>
        <v>0</v>
      </c>
      <c r="Q68" s="40">
        <f>SUM(Q58:Q67)</f>
        <v>0</v>
      </c>
      <c r="R68" s="156">
        <f>SUM(R58:R67)</f>
        <v>273897107</v>
      </c>
      <c r="S68" s="44"/>
      <c r="T68" s="44"/>
      <c r="U68" s="44"/>
      <c r="V68" s="44"/>
      <c r="W68" s="44"/>
      <c r="X68" s="44"/>
      <c r="Y68" s="44"/>
      <c r="Z68" s="41"/>
      <c r="AA68" s="41"/>
      <c r="AB68" s="41"/>
    </row>
    <row r="69" spans="2:28" ht="16.5" thickTop="1" thickBot="1" x14ac:dyDescent="0.4">
      <c r="G69"/>
      <c r="H69" s="2"/>
      <c r="M69" s="37"/>
      <c r="N69" s="37"/>
      <c r="O69" s="37"/>
      <c r="P69" s="37"/>
      <c r="Q69" s="37"/>
      <c r="R69" s="183"/>
      <c r="Y69" s="13"/>
    </row>
    <row r="71" spans="2:28" x14ac:dyDescent="0.35">
      <c r="F71" t="s">
        <v>59</v>
      </c>
    </row>
    <row r="80" spans="2:28" x14ac:dyDescent="0.35">
      <c r="G80" s="68"/>
      <c r="H80" s="13"/>
    </row>
    <row r="82" spans="6:12" x14ac:dyDescent="0.35">
      <c r="G82" s="12"/>
    </row>
    <row r="83" spans="6:12" x14ac:dyDescent="0.35">
      <c r="G83" s="12"/>
      <c r="H83" s="13"/>
      <c r="I83" s="13"/>
      <c r="J83" s="13"/>
      <c r="K83" s="13"/>
      <c r="L83" s="13"/>
    </row>
    <row r="84" spans="6:12" x14ac:dyDescent="0.35">
      <c r="F84" s="79"/>
      <c r="G84" s="84"/>
      <c r="H84" s="85"/>
      <c r="I84" s="85"/>
      <c r="J84" s="85"/>
      <c r="K84" s="85"/>
      <c r="L84" s="85"/>
    </row>
    <row r="87" spans="6:12" x14ac:dyDescent="0.35">
      <c r="G87" s="12"/>
      <c r="L87" s="13"/>
    </row>
    <row r="89" spans="6:12" x14ac:dyDescent="0.35">
      <c r="G89" s="68"/>
      <c r="H89" s="68"/>
      <c r="I89" s="68"/>
      <c r="J89" s="68"/>
      <c r="K89" s="68"/>
      <c r="L89" s="68"/>
    </row>
  </sheetData>
  <mergeCells count="1">
    <mergeCell ref="E27:F27"/>
  </mergeCells>
  <phoneticPr fontId="26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V80"/>
  <sheetViews>
    <sheetView workbookViewId="0">
      <selection activeCell="H24" sqref="H24"/>
    </sheetView>
  </sheetViews>
  <sheetFormatPr defaultRowHeight="15.5" x14ac:dyDescent="0.35"/>
  <cols>
    <col min="1" max="1" width="13.5" bestFit="1" customWidth="1"/>
    <col min="2" max="2" width="15.6640625" bestFit="1" customWidth="1"/>
    <col min="3" max="4" width="13.6640625" bestFit="1" customWidth="1"/>
    <col min="5" max="9" width="12.08203125" bestFit="1" customWidth="1"/>
    <col min="10" max="11" width="13.6640625" bestFit="1" customWidth="1"/>
    <col min="12" max="12" width="11.9140625" bestFit="1" customWidth="1"/>
    <col min="13" max="14" width="10.9140625" bestFit="1" customWidth="1"/>
    <col min="15" max="15" width="9.9140625" bestFit="1" customWidth="1"/>
    <col min="16" max="16" width="8.4140625" bestFit="1" customWidth="1"/>
    <col min="17" max="17" width="7.4140625" bestFit="1" customWidth="1"/>
    <col min="18" max="20" width="4.6640625" bestFit="1" customWidth="1"/>
  </cols>
  <sheetData>
    <row r="1" spans="1:22" x14ac:dyDescent="0.35">
      <c r="B1" s="8">
        <v>5</v>
      </c>
      <c r="C1" s="126">
        <v>2019</v>
      </c>
      <c r="D1" s="126">
        <f>C1+1</f>
        <v>2020</v>
      </c>
      <c r="E1" s="188">
        <f t="shared" ref="E1:V1" si="0">D1+1</f>
        <v>2021</v>
      </c>
      <c r="F1" s="188">
        <f t="shared" si="0"/>
        <v>2022</v>
      </c>
      <c r="G1" s="188">
        <f t="shared" si="0"/>
        <v>2023</v>
      </c>
      <c r="H1" s="188">
        <f t="shared" si="0"/>
        <v>2024</v>
      </c>
      <c r="I1" s="188">
        <f t="shared" si="0"/>
        <v>2025</v>
      </c>
      <c r="J1" s="188">
        <f t="shared" si="0"/>
        <v>2026</v>
      </c>
      <c r="K1" s="126">
        <f t="shared" si="0"/>
        <v>2027</v>
      </c>
      <c r="L1" s="126">
        <f t="shared" si="0"/>
        <v>2028</v>
      </c>
      <c r="M1" s="126">
        <f t="shared" si="0"/>
        <v>2029</v>
      </c>
      <c r="N1" s="126">
        <f t="shared" si="0"/>
        <v>2030</v>
      </c>
      <c r="O1" s="126">
        <f t="shared" si="0"/>
        <v>2031</v>
      </c>
      <c r="P1" s="126">
        <f t="shared" si="0"/>
        <v>2032</v>
      </c>
      <c r="Q1" s="126">
        <f t="shared" si="0"/>
        <v>2033</v>
      </c>
      <c r="R1" s="126">
        <f t="shared" si="0"/>
        <v>2034</v>
      </c>
      <c r="S1" s="126">
        <f t="shared" si="0"/>
        <v>2035</v>
      </c>
      <c r="T1" s="126">
        <f t="shared" si="0"/>
        <v>2036</v>
      </c>
      <c r="U1" s="126">
        <f t="shared" si="0"/>
        <v>2037</v>
      </c>
      <c r="V1" s="126">
        <f t="shared" si="0"/>
        <v>2038</v>
      </c>
    </row>
    <row r="2" spans="1:22" x14ac:dyDescent="0.35">
      <c r="A2">
        <v>2019</v>
      </c>
      <c r="B2" t="s">
        <v>60</v>
      </c>
      <c r="C2" s="86">
        <v>546640824</v>
      </c>
      <c r="D2" s="86">
        <f>C2-C3</f>
        <v>437312659.19999999</v>
      </c>
      <c r="E2" s="86">
        <f>D2-C3</f>
        <v>327984494.39999998</v>
      </c>
      <c r="F2" s="86">
        <f>E2-C3</f>
        <v>218656329.59999996</v>
      </c>
      <c r="G2" s="86">
        <f>F2-C3</f>
        <v>109328164.79999997</v>
      </c>
      <c r="H2" s="86">
        <f>G2-C3</f>
        <v>0</v>
      </c>
      <c r="I2" s="86"/>
      <c r="J2" s="86"/>
    </row>
    <row r="3" spans="1:22" x14ac:dyDescent="0.35">
      <c r="B3" t="s">
        <v>61</v>
      </c>
      <c r="C3" s="86">
        <f>C2/$B$1</f>
        <v>109328164.8</v>
      </c>
      <c r="D3" s="86"/>
      <c r="E3" s="86"/>
      <c r="F3" s="86"/>
      <c r="G3" s="86"/>
      <c r="H3" s="86"/>
      <c r="I3" s="86"/>
      <c r="J3" s="86"/>
    </row>
    <row r="4" spans="1:22" x14ac:dyDescent="0.35">
      <c r="B4" t="s">
        <v>62</v>
      </c>
      <c r="C4" s="86">
        <f>(C2*'IRR Approved'!$F$4*6/12)</f>
        <v>27332041.200000003</v>
      </c>
      <c r="D4" s="189">
        <f>AVERAGE(C2:D2)*'IRR Approved'!$F$4</f>
        <v>49197674.160000004</v>
      </c>
      <c r="E4" s="189">
        <f>AVERAGE(D2:E2)*'IRR Approved'!$F$4</f>
        <v>38264857.68</v>
      </c>
      <c r="F4" s="189">
        <f>AVERAGE(E2:F2)*'IRR Approved'!$F$4</f>
        <v>27332041.200000003</v>
      </c>
      <c r="G4" s="189">
        <f>AVERAGE(F2:G2)*'IRR Approved'!$F$4</f>
        <v>16399224.719999997</v>
      </c>
      <c r="H4" s="189">
        <f>AVERAGE(G2:H2)*'IRR Approved'!$F$4</f>
        <v>5466408.2399999984</v>
      </c>
      <c r="I4" s="189">
        <f>AVERAGE(H2:I2)*'IRR Approved'!$F$4</f>
        <v>0</v>
      </c>
      <c r="J4" s="86"/>
    </row>
    <row r="5" spans="1:22" x14ac:dyDescent="0.35">
      <c r="A5">
        <f>A2+1</f>
        <v>2020</v>
      </c>
      <c r="B5" t="s">
        <v>60</v>
      </c>
      <c r="C5" s="86">
        <v>122854012</v>
      </c>
      <c r="D5" s="86">
        <f>C5-$C$6</f>
        <v>98283209.599999994</v>
      </c>
      <c r="E5" s="86">
        <f>D5-$C$6</f>
        <v>73712407.199999988</v>
      </c>
      <c r="F5" s="86">
        <f>E5-$C$6</f>
        <v>49141604.79999999</v>
      </c>
      <c r="G5" s="86">
        <f>F5-$C$6</f>
        <v>24570802.399999991</v>
      </c>
      <c r="H5" s="86">
        <f>G5-$C$6</f>
        <v>0</v>
      </c>
      <c r="I5" s="86"/>
      <c r="J5" s="86"/>
      <c r="K5" s="86"/>
    </row>
    <row r="6" spans="1:22" x14ac:dyDescent="0.35">
      <c r="B6" t="s">
        <v>61</v>
      </c>
      <c r="C6" s="86">
        <f>C5/$B$1</f>
        <v>24570802.399999999</v>
      </c>
      <c r="D6" s="86"/>
      <c r="E6" s="86"/>
      <c r="F6" s="86"/>
      <c r="G6" s="86"/>
      <c r="H6" s="86"/>
      <c r="I6" s="86"/>
      <c r="J6" s="86"/>
    </row>
    <row r="7" spans="1:22" x14ac:dyDescent="0.35">
      <c r="B7" t="s">
        <v>62</v>
      </c>
      <c r="C7" s="86">
        <f>(C5*'IRR Approved'!$F$4*6/12)</f>
        <v>6142700.6000000006</v>
      </c>
      <c r="D7" s="189">
        <f>AVERAGE(C5:D5)*'IRR Approved'!$F$4</f>
        <v>11056861.08</v>
      </c>
      <c r="E7" s="189">
        <f>AVERAGE(D5:E5)*'IRR Approved'!$F$4</f>
        <v>8599780.8399999999</v>
      </c>
      <c r="F7" s="189">
        <f>AVERAGE(E5:F5)*'IRR Approved'!$F$4</f>
        <v>6142700.5999999987</v>
      </c>
      <c r="G7" s="189">
        <f>AVERAGE(F5:G5)*'IRR Approved'!$F$4</f>
        <v>3685620.3599999994</v>
      </c>
      <c r="H7" s="189">
        <f>AVERAGE(G5:H5)*'IRR Approved'!$F$4</f>
        <v>1228540.1199999996</v>
      </c>
      <c r="I7" s="189">
        <f>AVERAGE(H5:I5)*'IRR Approved'!$F$4</f>
        <v>0</v>
      </c>
      <c r="J7" s="86"/>
    </row>
    <row r="8" spans="1:22" x14ac:dyDescent="0.35">
      <c r="A8">
        <f>A5+1</f>
        <v>2021</v>
      </c>
      <c r="B8" t="s">
        <v>60</v>
      </c>
      <c r="C8" s="86"/>
      <c r="D8" s="13"/>
      <c r="E8" s="86"/>
      <c r="F8" s="86"/>
      <c r="G8" s="86"/>
      <c r="H8" s="86"/>
      <c r="I8" s="86"/>
      <c r="J8" s="86"/>
      <c r="K8" s="86"/>
      <c r="L8" s="86"/>
      <c r="M8" s="86"/>
      <c r="N8" s="86"/>
    </row>
    <row r="9" spans="1:22" x14ac:dyDescent="0.35">
      <c r="B9" t="s">
        <v>61</v>
      </c>
      <c r="C9" s="86"/>
      <c r="D9" s="13"/>
      <c r="E9" s="86"/>
      <c r="F9" s="86"/>
      <c r="G9" s="86"/>
      <c r="H9" s="86"/>
      <c r="I9" s="86"/>
      <c r="J9" s="86"/>
      <c r="K9" s="86"/>
      <c r="L9" s="86"/>
    </row>
    <row r="10" spans="1:22" x14ac:dyDescent="0.35">
      <c r="B10" t="s">
        <v>62</v>
      </c>
      <c r="C10" s="86"/>
      <c r="D10" s="13"/>
      <c r="E10" s="86"/>
      <c r="F10" s="189"/>
      <c r="G10" s="189"/>
      <c r="H10" s="189"/>
      <c r="I10" s="189"/>
      <c r="J10" s="189"/>
      <c r="K10" s="86"/>
      <c r="L10" s="86"/>
    </row>
    <row r="11" spans="1:22" x14ac:dyDescent="0.35">
      <c r="A11">
        <f>A8+1</f>
        <v>2022</v>
      </c>
      <c r="B11" t="s">
        <v>60</v>
      </c>
      <c r="C11" s="86"/>
      <c r="D11" s="13"/>
      <c r="E11" s="86"/>
      <c r="F11" s="86"/>
      <c r="G11" s="86"/>
      <c r="H11" s="86"/>
      <c r="I11" s="86"/>
      <c r="J11" s="86"/>
      <c r="K11" s="86"/>
      <c r="L11" s="86"/>
      <c r="M11" s="86"/>
      <c r="N11" s="86"/>
    </row>
    <row r="12" spans="1:22" x14ac:dyDescent="0.35">
      <c r="B12" t="s">
        <v>61</v>
      </c>
      <c r="C12" s="86"/>
      <c r="D12" s="13"/>
      <c r="E12" s="86"/>
      <c r="F12" s="86"/>
      <c r="G12" s="86"/>
      <c r="H12" s="86"/>
      <c r="I12" s="86"/>
      <c r="J12" s="86"/>
      <c r="K12" s="86"/>
      <c r="L12" s="86"/>
      <c r="M12" s="86"/>
    </row>
    <row r="13" spans="1:22" x14ac:dyDescent="0.35">
      <c r="B13" t="s">
        <v>62</v>
      </c>
      <c r="C13" s="86"/>
      <c r="D13" s="86"/>
      <c r="E13" s="86"/>
      <c r="F13" s="86"/>
      <c r="G13" s="189"/>
      <c r="H13" s="189"/>
      <c r="I13" s="189"/>
      <c r="J13" s="189"/>
      <c r="K13" s="189"/>
      <c r="L13" s="86"/>
      <c r="M13" s="86"/>
    </row>
    <row r="14" spans="1:22" x14ac:dyDescent="0.35">
      <c r="A14">
        <f>A11+1</f>
        <v>2023</v>
      </c>
      <c r="B14" t="s">
        <v>60</v>
      </c>
      <c r="C14" s="86"/>
      <c r="D14" s="13"/>
      <c r="E14" s="86"/>
      <c r="F14" s="86"/>
      <c r="G14" s="86"/>
      <c r="H14" s="86"/>
      <c r="I14" s="86"/>
      <c r="J14" s="86"/>
      <c r="K14" s="86"/>
      <c r="L14" s="86"/>
      <c r="M14" s="86"/>
      <c r="N14" s="86"/>
    </row>
    <row r="15" spans="1:22" x14ac:dyDescent="0.35">
      <c r="B15" t="s">
        <v>61</v>
      </c>
      <c r="C15" s="86"/>
      <c r="D15" s="13"/>
      <c r="E15" s="86"/>
      <c r="F15" s="86"/>
      <c r="G15" s="86"/>
      <c r="H15" s="86"/>
      <c r="I15" s="86"/>
      <c r="J15" s="86"/>
      <c r="K15" s="86"/>
      <c r="L15" s="86"/>
      <c r="M15" s="86"/>
      <c r="N15" s="86"/>
    </row>
    <row r="16" spans="1:22" x14ac:dyDescent="0.35">
      <c r="B16" t="s">
        <v>62</v>
      </c>
      <c r="C16" s="86"/>
      <c r="D16" s="86"/>
      <c r="E16" s="86"/>
      <c r="F16" s="86"/>
      <c r="G16" s="86"/>
      <c r="H16" s="86"/>
      <c r="I16" s="86"/>
      <c r="J16" s="189"/>
      <c r="K16" s="189"/>
      <c r="L16" s="189"/>
      <c r="M16" s="189"/>
      <c r="N16" s="189"/>
    </row>
    <row r="17" spans="1:20" x14ac:dyDescent="0.35">
      <c r="A17">
        <f>A14+1</f>
        <v>2024</v>
      </c>
      <c r="B17" t="s">
        <v>60</v>
      </c>
      <c r="C17" s="86"/>
      <c r="D17" s="13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</row>
    <row r="18" spans="1:20" x14ac:dyDescent="0.35">
      <c r="B18" t="s">
        <v>61</v>
      </c>
      <c r="C18" s="86"/>
      <c r="D18" s="13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</row>
    <row r="19" spans="1:20" x14ac:dyDescent="0.35">
      <c r="B19" t="s">
        <v>62</v>
      </c>
      <c r="C19" s="86"/>
      <c r="D19" s="86"/>
      <c r="E19" s="86"/>
      <c r="F19" s="86"/>
      <c r="G19" s="86"/>
      <c r="H19" s="86"/>
      <c r="I19" s="86"/>
      <c r="J19" s="86"/>
      <c r="K19" s="189"/>
      <c r="L19" s="189"/>
      <c r="M19" s="189"/>
      <c r="N19" s="189"/>
      <c r="O19" s="189"/>
    </row>
    <row r="20" spans="1:20" x14ac:dyDescent="0.35">
      <c r="A20">
        <f>A17+1</f>
        <v>2025</v>
      </c>
      <c r="B20" t="s">
        <v>60</v>
      </c>
      <c r="C20" s="86"/>
      <c r="D20" s="13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</row>
    <row r="21" spans="1:20" x14ac:dyDescent="0.35">
      <c r="B21" t="s">
        <v>61</v>
      </c>
      <c r="C21" s="86"/>
      <c r="D21" s="13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</row>
    <row r="22" spans="1:20" x14ac:dyDescent="0.35">
      <c r="B22" t="s">
        <v>62</v>
      </c>
      <c r="C22" s="86"/>
      <c r="D22" s="13"/>
      <c r="E22" s="86"/>
      <c r="F22" s="86"/>
      <c r="G22" s="86"/>
      <c r="H22" s="86"/>
      <c r="I22" s="86"/>
      <c r="J22" s="86"/>
      <c r="K22" s="86"/>
      <c r="L22" s="86"/>
      <c r="M22" s="189"/>
      <c r="N22" s="189"/>
      <c r="O22" s="189"/>
      <c r="P22" s="189"/>
      <c r="Q22" s="189"/>
      <c r="R22" s="86"/>
      <c r="S22" s="86"/>
      <c r="T22" s="86"/>
    </row>
    <row r="23" spans="1:20" x14ac:dyDescent="0.35">
      <c r="C23" s="86"/>
      <c r="D23" s="13"/>
      <c r="E23" s="86"/>
      <c r="F23" s="86"/>
      <c r="G23" s="86"/>
      <c r="H23" s="86"/>
      <c r="I23" s="86"/>
      <c r="J23" s="86"/>
    </row>
    <row r="24" spans="1:20" x14ac:dyDescent="0.35">
      <c r="C24" s="190">
        <f>C22+C19+C16+C13+C10+C7+C4</f>
        <v>33474741.800000004</v>
      </c>
      <c r="D24" s="190">
        <f t="shared" ref="D24:Q24" si="1">D22+D19+D16+D13+D10+D7+D4</f>
        <v>60254535.240000002</v>
      </c>
      <c r="E24" s="190">
        <f t="shared" si="1"/>
        <v>46864638.519999996</v>
      </c>
      <c r="F24" s="190">
        <f t="shared" si="1"/>
        <v>33474741.800000001</v>
      </c>
      <c r="G24" s="190">
        <f t="shared" si="1"/>
        <v>20084845.079999998</v>
      </c>
      <c r="H24" s="190">
        <f t="shared" si="1"/>
        <v>6694948.3599999975</v>
      </c>
      <c r="I24" s="190">
        <f t="shared" si="1"/>
        <v>0</v>
      </c>
      <c r="J24" s="190">
        <f t="shared" si="1"/>
        <v>0</v>
      </c>
      <c r="K24" s="190">
        <f t="shared" si="1"/>
        <v>0</v>
      </c>
      <c r="L24" s="190">
        <f t="shared" si="1"/>
        <v>0</v>
      </c>
      <c r="M24" s="190">
        <f t="shared" si="1"/>
        <v>0</v>
      </c>
      <c r="N24" s="190">
        <f t="shared" si="1"/>
        <v>0</v>
      </c>
      <c r="O24" s="190">
        <f t="shared" si="1"/>
        <v>0</v>
      </c>
      <c r="P24" s="190">
        <f t="shared" si="1"/>
        <v>0</v>
      </c>
      <c r="Q24" s="190">
        <f t="shared" si="1"/>
        <v>0</v>
      </c>
      <c r="R24" s="190">
        <f>R22+R19+R16+R13+R10+R7+R4</f>
        <v>0</v>
      </c>
      <c r="S24" s="190">
        <f t="shared" ref="S24:T24" si="2">S22+S19+S16+S13+S10+S7+S4</f>
        <v>0</v>
      </c>
      <c r="T24" s="190">
        <f t="shared" si="2"/>
        <v>0</v>
      </c>
    </row>
    <row r="25" spans="1:20" x14ac:dyDescent="0.35">
      <c r="B25" s="86"/>
      <c r="C25" s="13"/>
      <c r="D25" s="13"/>
      <c r="E25" s="13"/>
      <c r="F25" s="13"/>
      <c r="G25" s="13"/>
      <c r="H25" s="13"/>
      <c r="I25" s="13"/>
      <c r="J25" s="13"/>
      <c r="K25" s="13"/>
    </row>
    <row r="26" spans="1:20" x14ac:dyDescent="0.35">
      <c r="B26" s="86"/>
      <c r="C26" s="13"/>
      <c r="D26" s="13"/>
      <c r="E26" s="13"/>
      <c r="F26" s="13"/>
      <c r="G26" s="13"/>
      <c r="H26" s="13"/>
      <c r="I26" s="13"/>
      <c r="J26" s="13"/>
      <c r="K26" s="13"/>
    </row>
    <row r="27" spans="1:20" x14ac:dyDescent="0.35">
      <c r="B27" s="86"/>
      <c r="C27" s="13"/>
      <c r="D27" s="13"/>
      <c r="E27" s="13"/>
      <c r="F27" s="13"/>
      <c r="G27" s="13"/>
      <c r="H27" s="13"/>
      <c r="I27" s="13"/>
      <c r="J27" s="13"/>
      <c r="K27" s="13"/>
    </row>
    <row r="28" spans="1:20" x14ac:dyDescent="0.35">
      <c r="B28" s="86"/>
      <c r="C28" s="13"/>
      <c r="D28" s="13"/>
      <c r="E28" s="13"/>
      <c r="F28" s="13"/>
      <c r="G28" s="13"/>
      <c r="H28" s="13"/>
      <c r="I28" s="13"/>
      <c r="J28" s="13"/>
      <c r="K28" s="13"/>
    </row>
    <row r="29" spans="1:20" x14ac:dyDescent="0.35">
      <c r="B29" s="86"/>
      <c r="C29" s="13"/>
      <c r="D29" s="13"/>
      <c r="E29" s="13"/>
      <c r="F29" s="13"/>
      <c r="G29" s="13"/>
      <c r="H29" s="13"/>
      <c r="I29" s="13"/>
      <c r="J29" s="13"/>
      <c r="K29" s="13"/>
    </row>
    <row r="30" spans="1:20" x14ac:dyDescent="0.35">
      <c r="B30" s="86"/>
      <c r="C30" s="13"/>
      <c r="D30" s="13"/>
      <c r="E30" s="13"/>
      <c r="F30" s="13"/>
      <c r="G30" s="13"/>
      <c r="H30" s="13"/>
      <c r="I30" s="13"/>
      <c r="J30" s="13"/>
      <c r="K30" s="13"/>
    </row>
    <row r="31" spans="1:20" x14ac:dyDescent="0.35">
      <c r="B31" s="86"/>
      <c r="C31" s="13"/>
      <c r="D31" s="13"/>
      <c r="E31" s="13"/>
      <c r="F31" s="13"/>
      <c r="G31" s="13"/>
      <c r="H31" s="13"/>
      <c r="I31" s="13"/>
      <c r="J31" s="13"/>
      <c r="K31" s="13"/>
    </row>
    <row r="34" spans="1:11" s="140" customFormat="1" x14ac:dyDescent="0.35"/>
    <row r="36" spans="1:11" x14ac:dyDescent="0.35">
      <c r="A36" t="s">
        <v>1</v>
      </c>
      <c r="B36" s="86">
        <v>50000000</v>
      </c>
      <c r="C36" s="13">
        <f>B36+C37</f>
        <v>51000000</v>
      </c>
      <c r="D36" s="13">
        <f>C36+D38</f>
        <v>52020000</v>
      </c>
      <c r="E36" s="13">
        <f t="shared" ref="E36:K36" si="3">D36+E38</f>
        <v>53060400</v>
      </c>
      <c r="F36" s="13">
        <f t="shared" si="3"/>
        <v>54121608</v>
      </c>
      <c r="G36" s="13">
        <f t="shared" si="3"/>
        <v>55204040.159999996</v>
      </c>
      <c r="H36" s="13">
        <f t="shared" si="3"/>
        <v>56308120.963199995</v>
      </c>
      <c r="I36" s="13">
        <f t="shared" si="3"/>
        <v>57434283.382463992</v>
      </c>
      <c r="J36" s="13">
        <f t="shared" si="3"/>
        <v>58582969.050113268</v>
      </c>
      <c r="K36" s="13">
        <f t="shared" si="3"/>
        <v>59754628.43111553</v>
      </c>
    </row>
    <row r="37" spans="1:11" x14ac:dyDescent="0.35">
      <c r="A37" s="78">
        <v>0.02</v>
      </c>
      <c r="C37" s="13">
        <f>C38</f>
        <v>1000000</v>
      </c>
      <c r="D37" s="13">
        <f>C37+D38</f>
        <v>2020000</v>
      </c>
      <c r="E37" s="13">
        <f t="shared" ref="E37:K37" si="4">D37+E38</f>
        <v>3060400</v>
      </c>
      <c r="F37" s="13">
        <f t="shared" si="4"/>
        <v>4121608</v>
      </c>
      <c r="G37" s="13">
        <f t="shared" si="4"/>
        <v>5204040.16</v>
      </c>
      <c r="H37" s="13">
        <f t="shared" si="4"/>
        <v>6308120.9632000001</v>
      </c>
      <c r="I37" s="13">
        <f t="shared" si="4"/>
        <v>7434283.382464</v>
      </c>
      <c r="J37" s="13">
        <f t="shared" si="4"/>
        <v>8582969.0501132794</v>
      </c>
      <c r="K37" s="13">
        <f t="shared" si="4"/>
        <v>9754628.4311155453</v>
      </c>
    </row>
    <row r="38" spans="1:11" x14ac:dyDescent="0.35">
      <c r="C38" s="13">
        <f>B36*$A$37</f>
        <v>1000000</v>
      </c>
      <c r="D38" s="13">
        <f>C36*$A$37</f>
        <v>1020000</v>
      </c>
      <c r="E38" s="13">
        <f t="shared" ref="E38:K38" si="5">D36*$A$37</f>
        <v>1040400</v>
      </c>
      <c r="F38" s="13">
        <f t="shared" si="5"/>
        <v>1061208</v>
      </c>
      <c r="G38" s="13">
        <f t="shared" si="5"/>
        <v>1082432.1599999999</v>
      </c>
      <c r="H38" s="13">
        <f t="shared" si="5"/>
        <v>1104080.8032</v>
      </c>
      <c r="I38" s="13">
        <f t="shared" si="5"/>
        <v>1126162.4192639999</v>
      </c>
      <c r="J38" s="13">
        <f t="shared" si="5"/>
        <v>1148685.6676492798</v>
      </c>
      <c r="K38" s="13">
        <f t="shared" si="5"/>
        <v>1171659.3810022655</v>
      </c>
    </row>
    <row r="39" spans="1:11" x14ac:dyDescent="0.35">
      <c r="F39" s="86"/>
    </row>
    <row r="41" spans="1:11" s="140" customFormat="1" x14ac:dyDescent="0.35"/>
    <row r="43" spans="1:11" x14ac:dyDescent="0.35">
      <c r="F43" s="126" t="s">
        <v>105</v>
      </c>
      <c r="G43" s="126" t="s">
        <v>106</v>
      </c>
      <c r="H43" s="126" t="s">
        <v>107</v>
      </c>
      <c r="I43" s="127" t="s">
        <v>108</v>
      </c>
      <c r="J43" s="255" t="s">
        <v>109</v>
      </c>
      <c r="K43" s="255" t="s">
        <v>110</v>
      </c>
    </row>
    <row r="44" spans="1:11" x14ac:dyDescent="0.35">
      <c r="E44" s="128" t="s">
        <v>111</v>
      </c>
      <c r="F44" s="129">
        <v>1</v>
      </c>
      <c r="G44" s="130">
        <v>1</v>
      </c>
      <c r="H44" s="130">
        <v>1</v>
      </c>
      <c r="I44" s="131">
        <v>266</v>
      </c>
      <c r="J44" s="255"/>
      <c r="K44" s="255"/>
    </row>
    <row r="45" spans="1:11" x14ac:dyDescent="0.35">
      <c r="B45" s="256" t="s">
        <v>112</v>
      </c>
      <c r="C45" s="132" t="s">
        <v>113</v>
      </c>
      <c r="D45" s="133">
        <f>C56</f>
        <v>3000000</v>
      </c>
      <c r="E45" s="132" t="s">
        <v>105</v>
      </c>
      <c r="F45" s="126">
        <f>F44</f>
        <v>1</v>
      </c>
      <c r="G45" s="126"/>
      <c r="H45" s="126"/>
      <c r="I45" s="127"/>
      <c r="J45" s="134">
        <f>F45*D45</f>
        <v>3000000</v>
      </c>
    </row>
    <row r="46" spans="1:11" x14ac:dyDescent="0.35">
      <c r="B46" s="257"/>
      <c r="C46" s="132" t="s">
        <v>114</v>
      </c>
      <c r="D46" s="135">
        <v>600000</v>
      </c>
      <c r="E46" s="132" t="s">
        <v>105</v>
      </c>
      <c r="F46" s="126">
        <f>F44</f>
        <v>1</v>
      </c>
      <c r="G46" s="126"/>
      <c r="H46" s="126"/>
      <c r="I46" s="127">
        <f>IF($I$36&lt;=120,2,IF($I$36&gt;220,4,3))</f>
        <v>4</v>
      </c>
      <c r="J46" s="135">
        <f>D46*F46</f>
        <v>600000</v>
      </c>
    </row>
    <row r="47" spans="1:11" x14ac:dyDescent="0.35">
      <c r="B47" s="258"/>
      <c r="C47" s="132" t="s">
        <v>112</v>
      </c>
      <c r="D47" s="135">
        <v>200000</v>
      </c>
      <c r="E47" s="132" t="s">
        <v>115</v>
      </c>
      <c r="F47" s="126"/>
      <c r="G47" s="126">
        <f>G44</f>
        <v>1</v>
      </c>
      <c r="H47" s="126"/>
      <c r="I47" s="127"/>
      <c r="J47" s="135">
        <f>G47*D47</f>
        <v>200000</v>
      </c>
    </row>
    <row r="48" spans="1:11" x14ac:dyDescent="0.35">
      <c r="B48" s="132" t="s">
        <v>116</v>
      </c>
      <c r="C48" s="132" t="s">
        <v>116</v>
      </c>
      <c r="D48" s="135">
        <v>450000</v>
      </c>
      <c r="E48" s="132" t="s">
        <v>107</v>
      </c>
      <c r="F48" s="126">
        <f>F44</f>
        <v>1</v>
      </c>
      <c r="G48" s="126"/>
      <c r="H48" s="126">
        <f>H44</f>
        <v>1</v>
      </c>
      <c r="I48" s="127">
        <f t="shared" ref="I48:I49" si="6">IF($I$36&lt;=120,2,IF($I$36&gt;220,4,3))</f>
        <v>4</v>
      </c>
      <c r="J48" s="135">
        <f>H48*D48*I48</f>
        <v>1800000</v>
      </c>
    </row>
    <row r="49" spans="1:11" x14ac:dyDescent="0.35">
      <c r="B49" s="132" t="s">
        <v>117</v>
      </c>
      <c r="C49" s="132" t="s">
        <v>117</v>
      </c>
      <c r="D49" s="135">
        <v>120000</v>
      </c>
      <c r="E49" s="132" t="s">
        <v>105</v>
      </c>
      <c r="F49" s="126">
        <f>F44</f>
        <v>1</v>
      </c>
      <c r="G49" s="126"/>
      <c r="H49" s="126"/>
      <c r="I49" s="127">
        <f t="shared" si="6"/>
        <v>4</v>
      </c>
      <c r="J49" s="135">
        <f>I49*D49*F49</f>
        <v>480000</v>
      </c>
    </row>
    <row r="50" spans="1:11" x14ac:dyDescent="0.35">
      <c r="J50" s="136">
        <f>SUM(J45:J49)</f>
        <v>6080000</v>
      </c>
      <c r="K50" s="137">
        <f>J50*2</f>
        <v>12160000</v>
      </c>
    </row>
    <row r="52" spans="1:11" s="140" customFormat="1" x14ac:dyDescent="0.35"/>
    <row r="53" spans="1:11" x14ac:dyDescent="0.35">
      <c r="K53" s="13"/>
    </row>
    <row r="54" spans="1:11" x14ac:dyDescent="0.35">
      <c r="B54" s="126" t="s">
        <v>118</v>
      </c>
      <c r="C54" s="126" t="s">
        <v>113</v>
      </c>
      <c r="E54" s="132" t="s">
        <v>119</v>
      </c>
      <c r="K54" s="37"/>
    </row>
    <row r="55" spans="1:11" x14ac:dyDescent="0.35">
      <c r="A55" t="s">
        <v>120</v>
      </c>
      <c r="B55" s="86">
        <v>16800000</v>
      </c>
      <c r="C55" s="86">
        <v>4000000</v>
      </c>
      <c r="D55" s="13"/>
      <c r="E55" t="s">
        <v>121</v>
      </c>
      <c r="K55" s="13"/>
    </row>
    <row r="56" spans="1:11" x14ac:dyDescent="0.35">
      <c r="A56" t="s">
        <v>122</v>
      </c>
      <c r="B56" s="86"/>
      <c r="C56" s="86">
        <v>3000000</v>
      </c>
      <c r="E56" t="s">
        <v>123</v>
      </c>
      <c r="I56" s="86">
        <v>10000000</v>
      </c>
    </row>
    <row r="57" spans="1:11" x14ac:dyDescent="0.35">
      <c r="A57" t="s">
        <v>124</v>
      </c>
      <c r="B57" s="86">
        <v>15600000</v>
      </c>
      <c r="C57" s="86">
        <v>2500000</v>
      </c>
      <c r="D57" s="13"/>
      <c r="E57" t="s">
        <v>123</v>
      </c>
      <c r="H57" t="s">
        <v>125</v>
      </c>
      <c r="I57" s="86">
        <v>12000000</v>
      </c>
    </row>
    <row r="58" spans="1:11" x14ac:dyDescent="0.35">
      <c r="A58" t="s">
        <v>126</v>
      </c>
      <c r="B58" s="86">
        <v>15000000</v>
      </c>
      <c r="C58" s="86">
        <v>2000000</v>
      </c>
      <c r="D58" s="13"/>
      <c r="E58" t="s">
        <v>123</v>
      </c>
      <c r="H58" t="s">
        <v>127</v>
      </c>
      <c r="I58" s="86">
        <v>14000000</v>
      </c>
    </row>
    <row r="59" spans="1:11" x14ac:dyDescent="0.35">
      <c r="A59" t="s">
        <v>128</v>
      </c>
      <c r="B59" s="86">
        <v>15000000</v>
      </c>
      <c r="C59" s="86">
        <v>1850000</v>
      </c>
      <c r="D59" s="13"/>
      <c r="E59" t="s">
        <v>123</v>
      </c>
      <c r="H59" t="s">
        <v>129</v>
      </c>
      <c r="I59" s="86">
        <v>14000000</v>
      </c>
    </row>
    <row r="60" spans="1:11" x14ac:dyDescent="0.35">
      <c r="A60" t="s">
        <v>130</v>
      </c>
      <c r="B60" s="86">
        <v>12000000</v>
      </c>
      <c r="C60" s="86">
        <v>1200000</v>
      </c>
      <c r="D60" s="13"/>
      <c r="E60" t="s">
        <v>123</v>
      </c>
      <c r="H60" t="s">
        <v>120</v>
      </c>
      <c r="I60" s="86">
        <v>17000000</v>
      </c>
    </row>
    <row r="61" spans="1:11" x14ac:dyDescent="0.35">
      <c r="A61" t="s">
        <v>131</v>
      </c>
      <c r="B61" s="86">
        <v>16800000</v>
      </c>
      <c r="C61" s="86">
        <v>2000000</v>
      </c>
      <c r="D61" s="13"/>
      <c r="E61" t="s">
        <v>123</v>
      </c>
      <c r="H61" t="s">
        <v>131</v>
      </c>
      <c r="I61" s="86">
        <v>14000000</v>
      </c>
    </row>
    <row r="62" spans="1:11" x14ac:dyDescent="0.35">
      <c r="A62" t="s">
        <v>132</v>
      </c>
      <c r="B62" s="86">
        <v>15720000</v>
      </c>
      <c r="C62" s="86">
        <v>3500000</v>
      </c>
      <c r="D62" s="13"/>
    </row>
    <row r="63" spans="1:11" x14ac:dyDescent="0.35">
      <c r="A63" t="s">
        <v>133</v>
      </c>
      <c r="C63" s="86">
        <v>2800000</v>
      </c>
      <c r="D63" s="13"/>
    </row>
    <row r="64" spans="1:11" x14ac:dyDescent="0.35">
      <c r="A64" t="s">
        <v>134</v>
      </c>
      <c r="B64">
        <v>0</v>
      </c>
      <c r="C64" s="86">
        <v>0</v>
      </c>
      <c r="D64" t="s">
        <v>135</v>
      </c>
    </row>
    <row r="66" spans="1:4" x14ac:dyDescent="0.35">
      <c r="B66" s="126" t="s">
        <v>136</v>
      </c>
      <c r="C66" s="126"/>
    </row>
    <row r="67" spans="1:4" x14ac:dyDescent="0.35">
      <c r="B67" s="86">
        <v>7000000</v>
      </c>
      <c r="D67" s="13">
        <f>B67/12</f>
        <v>583333.33333333337</v>
      </c>
    </row>
    <row r="68" spans="1:4" x14ac:dyDescent="0.35">
      <c r="B68" s="86"/>
      <c r="D68" s="13"/>
    </row>
    <row r="70" spans="1:4" s="140" customFormat="1" x14ac:dyDescent="0.35"/>
    <row r="72" spans="1:4" x14ac:dyDescent="0.35">
      <c r="A72" s="132" t="s">
        <v>137</v>
      </c>
      <c r="B72" s="13"/>
    </row>
    <row r="73" spans="1:4" x14ac:dyDescent="0.35">
      <c r="A73" t="s">
        <v>138</v>
      </c>
    </row>
    <row r="74" spans="1:4" x14ac:dyDescent="0.35">
      <c r="A74" t="s">
        <v>139</v>
      </c>
      <c r="B74" s="86">
        <v>36000000</v>
      </c>
    </row>
    <row r="75" spans="1:4" x14ac:dyDescent="0.35">
      <c r="A75" t="s">
        <v>140</v>
      </c>
      <c r="B75" s="86">
        <v>42000000</v>
      </c>
    </row>
    <row r="76" spans="1:4" x14ac:dyDescent="0.35">
      <c r="A76" t="s">
        <v>141</v>
      </c>
      <c r="B76" s="86">
        <v>48000000</v>
      </c>
      <c r="C76" s="13">
        <f>B76/12</f>
        <v>4000000</v>
      </c>
    </row>
    <row r="78" spans="1:4" x14ac:dyDescent="0.35">
      <c r="A78" t="s">
        <v>142</v>
      </c>
    </row>
    <row r="79" spans="1:4" x14ac:dyDescent="0.35">
      <c r="A79" t="s">
        <v>143</v>
      </c>
      <c r="B79" s="86">
        <v>75000000</v>
      </c>
    </row>
    <row r="80" spans="1:4" x14ac:dyDescent="0.35">
      <c r="A80" t="s">
        <v>141</v>
      </c>
      <c r="B80" s="86">
        <v>95000000</v>
      </c>
    </row>
  </sheetData>
  <mergeCells count="3">
    <mergeCell ref="J43:J44"/>
    <mergeCell ref="K43:K44"/>
    <mergeCell ref="B45:B47"/>
  </mergeCells>
  <phoneticPr fontId="26" type="noConversion"/>
  <conditionalFormatting sqref="B25:K31">
    <cfRule type="cellIs" dxfId="28" priority="30" operator="lessThan">
      <formula>0</formula>
    </cfRule>
  </conditionalFormatting>
  <conditionalFormatting sqref="C23:J23 C8:D10 C5 C24:T24 C4:J4 C7">
    <cfRule type="cellIs" dxfId="27" priority="29" operator="lessThan">
      <formula>0</formula>
    </cfRule>
  </conditionalFormatting>
  <conditionalFormatting sqref="C20:H22 C11:E13">
    <cfRule type="cellIs" dxfId="26" priority="28" operator="lessThan">
      <formula>0</formula>
    </cfRule>
  </conditionalFormatting>
  <conditionalFormatting sqref="J7">
    <cfRule type="cellIs" dxfId="25" priority="27" operator="lessThan">
      <formula>0</formula>
    </cfRule>
  </conditionalFormatting>
  <conditionalFormatting sqref="K10:L10">
    <cfRule type="cellIs" dxfId="24" priority="26" operator="lessThan">
      <formula>0</formula>
    </cfRule>
  </conditionalFormatting>
  <conditionalFormatting sqref="M13">
    <cfRule type="cellIs" dxfId="23" priority="25" operator="lessThan">
      <formula>0</formula>
    </cfRule>
  </conditionalFormatting>
  <conditionalFormatting sqref="I22">
    <cfRule type="cellIs" dxfId="22" priority="24" operator="lessThan">
      <formula>0</formula>
    </cfRule>
  </conditionalFormatting>
  <conditionalFormatting sqref="J22:K22">
    <cfRule type="cellIs" dxfId="21" priority="23" operator="lessThan">
      <formula>0</formula>
    </cfRule>
  </conditionalFormatting>
  <conditionalFormatting sqref="L13">
    <cfRule type="cellIs" dxfId="20" priority="22" operator="lessThan">
      <formula>0</formula>
    </cfRule>
  </conditionalFormatting>
  <conditionalFormatting sqref="C14:E16">
    <cfRule type="cellIs" dxfId="19" priority="21" operator="lessThan">
      <formula>0</formula>
    </cfRule>
  </conditionalFormatting>
  <conditionalFormatting sqref="F16">
    <cfRule type="cellIs" dxfId="18" priority="20" operator="lessThan">
      <formula>0</formula>
    </cfRule>
  </conditionalFormatting>
  <conditionalFormatting sqref="H16">
    <cfRule type="cellIs" dxfId="17" priority="15" operator="lessThan">
      <formula>0</formula>
    </cfRule>
  </conditionalFormatting>
  <conditionalFormatting sqref="C17:E19">
    <cfRule type="cellIs" dxfId="16" priority="19" operator="lessThan">
      <formula>0</formula>
    </cfRule>
  </conditionalFormatting>
  <conditionalFormatting sqref="F19">
    <cfRule type="cellIs" dxfId="15" priority="18" operator="lessThan">
      <formula>0</formula>
    </cfRule>
  </conditionalFormatting>
  <conditionalFormatting sqref="G19:H19">
    <cfRule type="cellIs" dxfId="14" priority="17" operator="lessThan">
      <formula>0</formula>
    </cfRule>
  </conditionalFormatting>
  <conditionalFormatting sqref="G16">
    <cfRule type="cellIs" dxfId="13" priority="16" operator="lessThan">
      <formula>0</formula>
    </cfRule>
  </conditionalFormatting>
  <conditionalFormatting sqref="I19">
    <cfRule type="cellIs" dxfId="12" priority="14" operator="lessThan">
      <formula>0</formula>
    </cfRule>
  </conditionalFormatting>
  <conditionalFormatting sqref="R22:T22">
    <cfRule type="cellIs" dxfId="11" priority="13" operator="lessThan">
      <formula>0</formula>
    </cfRule>
  </conditionalFormatting>
  <conditionalFormatting sqref="E10:J10">
    <cfRule type="cellIs" dxfId="10" priority="11" operator="lessThan">
      <formula>0</formula>
    </cfRule>
  </conditionalFormatting>
  <conditionalFormatting sqref="F13:K13">
    <cfRule type="cellIs" dxfId="9" priority="10" operator="lessThan">
      <formula>0</formula>
    </cfRule>
  </conditionalFormatting>
  <conditionalFormatting sqref="I16:N16">
    <cfRule type="cellIs" dxfId="8" priority="9" operator="lessThan">
      <formula>0</formula>
    </cfRule>
  </conditionalFormatting>
  <conditionalFormatting sqref="J19:O19">
    <cfRule type="cellIs" dxfId="7" priority="8" operator="lessThan">
      <formula>0</formula>
    </cfRule>
  </conditionalFormatting>
  <conditionalFormatting sqref="L22:Q22">
    <cfRule type="cellIs" dxfId="6" priority="7" operator="lessThan">
      <formula>0</formula>
    </cfRule>
  </conditionalFormatting>
  <conditionalFormatting sqref="D7">
    <cfRule type="cellIs" dxfId="5" priority="6" operator="lessThan">
      <formula>0</formula>
    </cfRule>
  </conditionalFormatting>
  <conditionalFormatting sqref="E7">
    <cfRule type="cellIs" dxfId="4" priority="5" operator="lessThan">
      <formula>0</formula>
    </cfRule>
  </conditionalFormatting>
  <conditionalFormatting sqref="F7">
    <cfRule type="cellIs" dxfId="3" priority="4" operator="lessThan">
      <formula>0</formula>
    </cfRule>
  </conditionalFormatting>
  <conditionalFormatting sqref="G7">
    <cfRule type="cellIs" dxfId="2" priority="3" operator="lessThan">
      <formula>0</formula>
    </cfRule>
  </conditionalFormatting>
  <conditionalFormatting sqref="H7">
    <cfRule type="cellIs" dxfId="1" priority="2" operator="lessThan">
      <formula>0</formula>
    </cfRule>
  </conditionalFormatting>
  <conditionalFormatting sqref="I7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FA2D9-1015-4B94-9B31-959CB1B8F99A}">
  <dimension ref="A2:M15"/>
  <sheetViews>
    <sheetView topLeftCell="A3" workbookViewId="0">
      <selection activeCell="F13" sqref="F13"/>
    </sheetView>
  </sheetViews>
  <sheetFormatPr defaultColWidth="8.83203125" defaultRowHeight="14.5" x14ac:dyDescent="0.35"/>
  <cols>
    <col min="1" max="1" width="24.4140625" style="197" customWidth="1"/>
    <col min="2" max="2" width="11.58203125" style="197" customWidth="1"/>
    <col min="3" max="3" width="12.58203125" style="197" customWidth="1"/>
    <col min="4" max="4" width="8" style="197" customWidth="1"/>
    <col min="5" max="5" width="14.5" style="197" bestFit="1" customWidth="1"/>
    <col min="6" max="6" width="12.9140625" style="197" bestFit="1" customWidth="1"/>
    <col min="7" max="16384" width="8.83203125" style="197"/>
  </cols>
  <sheetData>
    <row r="2" spans="1:13" x14ac:dyDescent="0.35">
      <c r="A2" s="259" t="s">
        <v>184</v>
      </c>
      <c r="B2" s="259"/>
      <c r="C2" s="259"/>
      <c r="D2" s="259"/>
      <c r="E2" s="259"/>
      <c r="F2" s="259"/>
      <c r="G2" s="196"/>
      <c r="H2" s="196"/>
      <c r="I2" s="196"/>
      <c r="J2" s="196"/>
      <c r="K2" s="196"/>
      <c r="L2" s="196"/>
      <c r="M2" s="196"/>
    </row>
    <row r="3" spans="1:13" x14ac:dyDescent="0.35">
      <c r="A3" s="200" t="s">
        <v>173</v>
      </c>
      <c r="B3" s="200" t="s">
        <v>174</v>
      </c>
      <c r="C3" s="200" t="s">
        <v>175</v>
      </c>
      <c r="D3" s="201"/>
      <c r="G3" s="196"/>
      <c r="H3" s="196"/>
      <c r="I3" s="196"/>
      <c r="J3" s="196"/>
      <c r="K3" s="196"/>
      <c r="L3" s="196"/>
      <c r="M3" s="196"/>
    </row>
    <row r="4" spans="1:13" x14ac:dyDescent="0.35">
      <c r="A4" s="198" t="s">
        <v>176</v>
      </c>
      <c r="B4" s="202">
        <v>45476</v>
      </c>
      <c r="C4" s="202">
        <v>46570</v>
      </c>
      <c r="D4" s="203"/>
      <c r="E4" s="204"/>
      <c r="F4" s="204"/>
      <c r="G4" s="196"/>
      <c r="H4" s="196"/>
      <c r="I4" s="196"/>
      <c r="J4" s="196"/>
      <c r="K4" s="196"/>
      <c r="L4" s="196"/>
      <c r="M4" s="196"/>
    </row>
    <row r="5" spans="1:13" x14ac:dyDescent="0.35">
      <c r="A5" s="198" t="s">
        <v>177</v>
      </c>
      <c r="B5" s="202">
        <v>45501</v>
      </c>
      <c r="C5" s="202">
        <v>46595</v>
      </c>
      <c r="D5" s="203"/>
      <c r="G5" s="196"/>
      <c r="H5" s="196"/>
      <c r="I5" s="196"/>
      <c r="J5" s="196"/>
      <c r="K5" s="196"/>
      <c r="L5" s="196"/>
      <c r="M5" s="196"/>
    </row>
    <row r="6" spans="1:13" x14ac:dyDescent="0.35">
      <c r="A6" s="196"/>
      <c r="G6" s="196"/>
      <c r="H6" s="196"/>
      <c r="I6" s="196"/>
      <c r="J6" s="196"/>
      <c r="K6" s="196"/>
      <c r="L6" s="196"/>
      <c r="M6" s="196"/>
    </row>
    <row r="7" spans="1:13" x14ac:dyDescent="0.35">
      <c r="A7" s="196"/>
      <c r="B7" s="200" t="s">
        <v>174</v>
      </c>
      <c r="C7" s="200" t="s">
        <v>175</v>
      </c>
      <c r="D7" s="200" t="s">
        <v>178</v>
      </c>
      <c r="E7" s="203"/>
      <c r="F7" s="203"/>
      <c r="G7" s="196"/>
      <c r="H7" s="196"/>
      <c r="I7" s="196"/>
      <c r="J7" s="196"/>
      <c r="K7" s="196"/>
      <c r="L7" s="196"/>
      <c r="M7" s="196"/>
    </row>
    <row r="8" spans="1:13" x14ac:dyDescent="0.35">
      <c r="A8" s="196" t="s">
        <v>179</v>
      </c>
      <c r="B8" s="196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</row>
    <row r="9" spans="1:13" x14ac:dyDescent="0.35">
      <c r="A9" s="196" t="s">
        <v>176</v>
      </c>
      <c r="B9" s="205">
        <v>45501</v>
      </c>
      <c r="C9" s="205">
        <v>46570</v>
      </c>
      <c r="D9" s="206">
        <f t="shared" ref="D9:D11" si="0">C9-B9</f>
        <v>1069</v>
      </c>
      <c r="E9" s="207">
        <v>140000000</v>
      </c>
      <c r="F9" s="208">
        <f>E9/365*D9</f>
        <v>410027397.26027393</v>
      </c>
      <c r="G9" s="196"/>
      <c r="H9" s="196"/>
      <c r="I9" s="196"/>
      <c r="J9" s="196"/>
      <c r="K9" s="196"/>
      <c r="L9" s="196"/>
      <c r="M9" s="196"/>
    </row>
    <row r="10" spans="1:13" x14ac:dyDescent="0.35">
      <c r="A10" s="196" t="s">
        <v>180</v>
      </c>
      <c r="B10" s="205">
        <v>45501</v>
      </c>
      <c r="C10" s="205">
        <v>46595</v>
      </c>
      <c r="D10" s="206">
        <f t="shared" si="0"/>
        <v>1094</v>
      </c>
      <c r="E10" s="207">
        <v>100000000</v>
      </c>
      <c r="F10" s="208">
        <f>-E10/365*D10</f>
        <v>-299726027.39726025</v>
      </c>
      <c r="G10" s="196"/>
      <c r="H10" s="196"/>
      <c r="I10" s="196"/>
      <c r="J10" s="196"/>
      <c r="K10" s="196"/>
      <c r="L10" s="196"/>
      <c r="M10" s="196"/>
    </row>
    <row r="11" spans="1:13" x14ac:dyDescent="0.35">
      <c r="A11" s="196" t="s">
        <v>181</v>
      </c>
      <c r="B11" s="205">
        <v>45501</v>
      </c>
      <c r="C11" s="205">
        <v>46570</v>
      </c>
      <c r="D11" s="206">
        <f t="shared" si="0"/>
        <v>1069</v>
      </c>
      <c r="E11" s="207">
        <v>7000000</v>
      </c>
      <c r="F11" s="208">
        <f>-E11/365*D11</f>
        <v>-20501369.863013696</v>
      </c>
      <c r="G11" s="196"/>
      <c r="H11" s="196"/>
      <c r="I11" s="196"/>
      <c r="J11" s="196"/>
      <c r="K11" s="196"/>
      <c r="L11" s="196"/>
      <c r="M11" s="196"/>
    </row>
    <row r="12" spans="1:13" x14ac:dyDescent="0.35">
      <c r="A12" s="196" t="s">
        <v>182</v>
      </c>
      <c r="B12" s="196"/>
      <c r="C12" s="196"/>
      <c r="D12" s="196"/>
      <c r="E12" s="209">
        <v>100000000</v>
      </c>
      <c r="F12" s="210"/>
      <c r="G12" s="196"/>
      <c r="H12" s="196"/>
      <c r="I12" s="196"/>
      <c r="J12" s="196"/>
      <c r="K12" s="196"/>
      <c r="L12" s="196"/>
      <c r="M12" s="196"/>
    </row>
    <row r="13" spans="1:13" x14ac:dyDescent="0.35">
      <c r="A13" s="196" t="s">
        <v>183</v>
      </c>
      <c r="B13" s="196"/>
      <c r="C13" s="196"/>
      <c r="D13" s="196"/>
      <c r="E13" s="196"/>
      <c r="F13" s="208">
        <f>SUM(F9:F12)</f>
        <v>89799999.999999985</v>
      </c>
      <c r="G13" s="196"/>
      <c r="H13" s="196"/>
      <c r="I13" s="196"/>
      <c r="J13" s="196"/>
      <c r="K13" s="196"/>
      <c r="L13" s="196"/>
      <c r="M13" s="196"/>
    </row>
    <row r="14" spans="1:13" x14ac:dyDescent="0.35">
      <c r="A14" s="196"/>
      <c r="B14" s="196"/>
      <c r="C14" s="196"/>
      <c r="D14" s="196"/>
      <c r="E14" s="196"/>
      <c r="F14" s="196"/>
      <c r="G14" s="196"/>
      <c r="H14" s="196"/>
      <c r="I14" s="196"/>
      <c r="J14" s="196"/>
      <c r="K14" s="196"/>
      <c r="L14" s="196"/>
      <c r="M14" s="196"/>
    </row>
    <row r="15" spans="1:13" x14ac:dyDescent="0.35">
      <c r="A15" s="196"/>
      <c r="B15" s="196"/>
      <c r="C15" s="196"/>
      <c r="D15" s="196"/>
      <c r="E15" s="196"/>
      <c r="F15" s="196"/>
      <c r="G15" s="196"/>
      <c r="H15" s="196"/>
      <c r="I15" s="196"/>
      <c r="J15" s="196"/>
      <c r="K15" s="196"/>
      <c r="L15" s="196"/>
      <c r="M15" s="196"/>
    </row>
  </sheetData>
  <mergeCells count="1">
    <mergeCell ref="A2:F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D7A27-CC66-410F-9B95-70006D491A5F}">
  <dimension ref="A1:H29"/>
  <sheetViews>
    <sheetView zoomScaleNormal="100" workbookViewId="0">
      <selection activeCell="D22" sqref="D22:D31"/>
    </sheetView>
  </sheetViews>
  <sheetFormatPr defaultColWidth="8.1640625" defaultRowHeight="14.5" x14ac:dyDescent="0.35"/>
  <cols>
    <col min="1" max="1" width="5" style="211" customWidth="1"/>
    <col min="2" max="2" width="26.4140625" style="211" customWidth="1"/>
    <col min="3" max="3" width="44" style="211" customWidth="1"/>
    <col min="4" max="4" width="45.08203125" style="211" customWidth="1"/>
    <col min="5" max="7" width="8.1640625" style="211"/>
    <col min="8" max="8" width="10.4140625" style="211" bestFit="1" customWidth="1"/>
    <col min="9" max="16384" width="8.1640625" style="211"/>
  </cols>
  <sheetData>
    <row r="1" spans="1:8" ht="21" x14ac:dyDescent="0.5">
      <c r="C1" s="212" t="s">
        <v>164</v>
      </c>
    </row>
    <row r="3" spans="1:8" x14ac:dyDescent="0.35">
      <c r="A3" s="213" t="s">
        <v>185</v>
      </c>
      <c r="B3" s="213"/>
      <c r="C3" s="214" t="s">
        <v>186</v>
      </c>
    </row>
    <row r="4" spans="1:8" x14ac:dyDescent="0.35">
      <c r="A4" s="213" t="s">
        <v>187</v>
      </c>
      <c r="B4" s="213"/>
      <c r="C4" s="214" t="s">
        <v>188</v>
      </c>
    </row>
    <row r="5" spans="1:8" x14ac:dyDescent="0.35">
      <c r="A5" s="213" t="s">
        <v>189</v>
      </c>
      <c r="B5" s="213"/>
      <c r="C5" s="214" t="s">
        <v>190</v>
      </c>
    </row>
    <row r="6" spans="1:8" x14ac:dyDescent="0.35">
      <c r="A6" s="213" t="s">
        <v>191</v>
      </c>
      <c r="B6" s="213"/>
      <c r="C6" s="214" t="s">
        <v>192</v>
      </c>
    </row>
    <row r="7" spans="1:8" x14ac:dyDescent="0.35">
      <c r="A7" s="213" t="s">
        <v>193</v>
      </c>
      <c r="B7" s="213"/>
      <c r="C7" s="214" t="s">
        <v>194</v>
      </c>
    </row>
    <row r="9" spans="1:8" x14ac:dyDescent="0.35">
      <c r="A9" s="260" t="s">
        <v>165</v>
      </c>
      <c r="B9" s="261" t="s">
        <v>166</v>
      </c>
      <c r="C9" s="261" t="s">
        <v>167</v>
      </c>
      <c r="D9" s="261" t="s">
        <v>168</v>
      </c>
    </row>
    <row r="10" spans="1:8" x14ac:dyDescent="0.35">
      <c r="A10" s="260"/>
      <c r="B10" s="262"/>
      <c r="C10" s="262"/>
      <c r="D10" s="262"/>
    </row>
    <row r="11" spans="1:8" x14ac:dyDescent="0.35">
      <c r="A11" s="215">
        <v>1</v>
      </c>
      <c r="B11" s="216" t="s">
        <v>169</v>
      </c>
      <c r="C11" s="216" t="s">
        <v>78</v>
      </c>
      <c r="D11" s="216" t="s">
        <v>78</v>
      </c>
    </row>
    <row r="12" spans="1:8" x14ac:dyDescent="0.35">
      <c r="A12" s="215">
        <v>2</v>
      </c>
      <c r="B12" s="216" t="s">
        <v>170</v>
      </c>
      <c r="C12" s="217" t="str">
        <f>C7</f>
        <v>: 75  Omni +  Unit Pole Antenna + RBS  m²</v>
      </c>
      <c r="D12" s="218" t="str">
        <f>C7</f>
        <v>: 75  Omni +  Unit Pole Antenna + RBS  m²</v>
      </c>
    </row>
    <row r="13" spans="1:8" x14ac:dyDescent="0.35">
      <c r="A13" s="215">
        <v>3</v>
      </c>
      <c r="B13" s="216" t="s">
        <v>171</v>
      </c>
      <c r="C13" s="216" t="s">
        <v>195</v>
      </c>
      <c r="D13" s="216" t="s">
        <v>196</v>
      </c>
    </row>
    <row r="14" spans="1:8" ht="15.5" x14ac:dyDescent="0.35">
      <c r="A14" s="215">
        <v>4</v>
      </c>
      <c r="B14" s="219" t="s">
        <v>197</v>
      </c>
      <c r="C14" s="199" t="s">
        <v>198</v>
      </c>
      <c r="D14" s="199" t="s">
        <v>199</v>
      </c>
      <c r="H14" s="220"/>
    </row>
    <row r="15" spans="1:8" x14ac:dyDescent="0.35">
      <c r="A15" s="221">
        <v>6</v>
      </c>
      <c r="B15" s="216" t="s">
        <v>172</v>
      </c>
      <c r="C15" s="216" t="s">
        <v>37</v>
      </c>
      <c r="D15" s="216" t="s">
        <v>37</v>
      </c>
    </row>
    <row r="16" spans="1:8" x14ac:dyDescent="0.35">
      <c r="A16" s="222"/>
      <c r="B16" s="216"/>
      <c r="C16" s="223" t="s">
        <v>200</v>
      </c>
      <c r="D16" s="216" t="s">
        <v>201</v>
      </c>
    </row>
    <row r="17" spans="1:4" x14ac:dyDescent="0.35">
      <c r="A17" s="215">
        <v>7</v>
      </c>
      <c r="B17" s="224" t="s">
        <v>202</v>
      </c>
      <c r="C17" s="263" t="s">
        <v>203</v>
      </c>
      <c r="D17" s="264"/>
    </row>
    <row r="19" spans="1:4" x14ac:dyDescent="0.35">
      <c r="B19" s="211" t="s">
        <v>204</v>
      </c>
    </row>
    <row r="24" spans="1:4" x14ac:dyDescent="0.35">
      <c r="C24" s="225"/>
    </row>
    <row r="25" spans="1:4" ht="15.5" x14ac:dyDescent="0.35">
      <c r="B25" s="226"/>
      <c r="C25" s="227"/>
    </row>
    <row r="26" spans="1:4" ht="15.5" x14ac:dyDescent="0.35">
      <c r="B26" s="226"/>
      <c r="C26" s="226"/>
    </row>
    <row r="27" spans="1:4" ht="15.5" x14ac:dyDescent="0.35">
      <c r="B27" s="226"/>
      <c r="C27" s="226"/>
    </row>
    <row r="28" spans="1:4" ht="15.5" x14ac:dyDescent="0.35">
      <c r="B28" s="226"/>
      <c r="C28" s="226"/>
    </row>
    <row r="29" spans="1:4" ht="15.5" x14ac:dyDescent="0.35">
      <c r="B29" s="226"/>
      <c r="C29" s="226"/>
    </row>
  </sheetData>
  <mergeCells count="5">
    <mergeCell ref="A9:A10"/>
    <mergeCell ref="B9:B10"/>
    <mergeCell ref="C9:C10"/>
    <mergeCell ref="D9:D10"/>
    <mergeCell ref="C17:D17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 Approved</vt:lpstr>
      <vt:lpstr>PARAMETER</vt:lpstr>
      <vt:lpstr>Analisa</vt:lpstr>
      <vt:lpstr>Summary BR</vt:lpstr>
      <vt:lpstr>'IRR Approved'!Print_Area</vt:lpstr>
      <vt:lpstr>Summary!Print_Area</vt:lpstr>
      <vt:lpstr>'Summary BR'!Print_Area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2024-07-10T00:45:59Z</dcterms:modified>
</cp:coreProperties>
</file>