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13_ncr:1_{45BE4105-6668-4F63-885B-1CCF37C172BF}" xr6:coauthVersionLast="36" xr6:coauthVersionMax="36" xr10:uidLastSave="{00000000-0000-0000-0000-000000000000}"/>
  <bookViews>
    <workbookView xWindow="-110" yWindow="-110" windowWidth="19430" windowHeight="10430" tabRatio="919" xr2:uid="{00000000-000D-0000-FFFF-FFFF00000000}"/>
  </bookViews>
  <sheets>
    <sheet name="Summary" sheetId="6" r:id="rId1"/>
    <sheet name="IRR" sheetId="1" r:id="rId2"/>
    <sheet name="Summary review" sheetId="8" r:id="rId3"/>
    <sheet name="PARAMETER" sheetId="2" r:id="rId4"/>
    <sheet name="Book Value" sheetId="7" r:id="rId5"/>
    <sheet name="Sharing cost" sheetId="9" r:id="rId6"/>
  </sheets>
  <externalReferences>
    <externalReference r:id="rId7"/>
  </externalReferences>
  <definedNames>
    <definedName name="jk">#REF!</definedName>
    <definedName name="_xlnm.Print_Area" localSheetId="1">IRR!$A$1:$L$51</definedName>
    <definedName name="_xlnm.Print_Area" localSheetId="0">Summary!$A$2:$N$35</definedName>
    <definedName name="_xlnm.Print_Area" localSheetId="2">'Summary review'!$A$2:$F$25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9" i="1" l="1"/>
  <c r="J39" i="1"/>
  <c r="K39" i="1"/>
  <c r="E9" i="9" l="1"/>
  <c r="B9" i="9"/>
  <c r="E12" i="8" l="1"/>
  <c r="G38" i="1" l="1"/>
  <c r="G37" i="1"/>
  <c r="L34" i="1"/>
  <c r="L37" i="1"/>
  <c r="L36" i="1"/>
  <c r="K36" i="1" l="1"/>
  <c r="J36" i="1"/>
  <c r="I36" i="1"/>
  <c r="K31" i="1"/>
  <c r="J31" i="1"/>
  <c r="I31" i="1"/>
  <c r="K29" i="1"/>
  <c r="J29" i="1"/>
  <c r="I29" i="1"/>
  <c r="L46" i="1"/>
  <c r="I26" i="1"/>
  <c r="I27" i="1" s="1"/>
  <c r="I28" i="1" s="1"/>
  <c r="K26" i="1"/>
  <c r="K27" i="1" s="1"/>
  <c r="J26" i="1"/>
  <c r="J27" i="1" s="1"/>
  <c r="I24" i="1"/>
  <c r="J24" i="1" s="1"/>
  <c r="K24" i="1" s="1"/>
  <c r="K23" i="1"/>
  <c r="J23" i="1"/>
  <c r="I23" i="1"/>
  <c r="K15" i="1"/>
  <c r="J15" i="1"/>
  <c r="I15" i="1"/>
  <c r="J28" i="1" l="1"/>
  <c r="J30" i="1"/>
  <c r="J32" i="1" s="1"/>
  <c r="K30" i="1"/>
  <c r="K32" i="1" s="1"/>
  <c r="K28" i="1"/>
  <c r="I30" i="1"/>
  <c r="I32" i="1" s="1"/>
  <c r="H31" i="1"/>
  <c r="G31" i="1"/>
  <c r="L15" i="2"/>
  <c r="K15" i="2"/>
  <c r="M13" i="2"/>
  <c r="L13" i="2"/>
  <c r="K13" i="2"/>
  <c r="J13" i="2"/>
  <c r="I13" i="2"/>
  <c r="H13" i="2"/>
  <c r="E9" i="2"/>
  <c r="G13" i="2"/>
  <c r="D9" i="2"/>
  <c r="L10" i="2"/>
  <c r="K10" i="2"/>
  <c r="J10" i="2"/>
  <c r="I10" i="2"/>
  <c r="H10" i="2"/>
  <c r="H5" i="2"/>
  <c r="J9" i="2"/>
  <c r="I9" i="2"/>
  <c r="H9" i="2"/>
  <c r="G9" i="2"/>
  <c r="F9" i="2"/>
  <c r="C5" i="2"/>
  <c r="I6" i="2"/>
  <c r="H6" i="2"/>
  <c r="G6" i="2"/>
  <c r="F6" i="2"/>
  <c r="E6" i="2"/>
  <c r="B5" i="2"/>
  <c r="G12" i="2"/>
  <c r="D8" i="2"/>
  <c r="K27" i="2"/>
  <c r="G36" i="1"/>
  <c r="I25" i="2"/>
  <c r="I24" i="2"/>
  <c r="I22" i="2"/>
  <c r="M6" i="6"/>
  <c r="D21" i="2"/>
  <c r="G23" i="1"/>
  <c r="I33" i="1" l="1"/>
  <c r="I34" i="1" s="1"/>
  <c r="I37" i="1" s="1"/>
  <c r="K33" i="1"/>
  <c r="K34" i="1" s="1"/>
  <c r="K37" i="1" s="1"/>
  <c r="J33" i="1"/>
  <c r="J34" i="1" s="1"/>
  <c r="J37" i="1" s="1"/>
  <c r="H23" i="1"/>
  <c r="J6" i="7" l="1"/>
  <c r="J9" i="7" s="1"/>
  <c r="J5" i="7"/>
  <c r="J8" i="7"/>
  <c r="I6" i="7"/>
  <c r="I9" i="7" s="1"/>
  <c r="H6" i="7"/>
  <c r="G6" i="7"/>
  <c r="G9" i="7" s="1"/>
  <c r="F6" i="7"/>
  <c r="H9" i="7"/>
  <c r="I5" i="7"/>
  <c r="I8" i="7" s="1"/>
  <c r="H5" i="7"/>
  <c r="H8" i="7" s="1"/>
  <c r="G5" i="7"/>
  <c r="G8" i="7" s="1"/>
  <c r="H16" i="1" l="1"/>
  <c r="D6" i="7"/>
  <c r="C6" i="7"/>
  <c r="C5" i="7"/>
  <c r="B5" i="7"/>
  <c r="I16" i="1"/>
  <c r="J16" i="1" s="1"/>
  <c r="K16" i="1" s="1"/>
  <c r="H15" i="1"/>
  <c r="F9" i="7" l="1"/>
  <c r="D9" i="7"/>
  <c r="E6" i="7"/>
  <c r="E9" i="7" s="1"/>
  <c r="C9" i="7"/>
  <c r="F5" i="7"/>
  <c r="F8" i="7" s="1"/>
  <c r="E5" i="7"/>
  <c r="E8" i="7" s="1"/>
  <c r="D5" i="7"/>
  <c r="D8" i="7" s="1"/>
  <c r="C8" i="7"/>
  <c r="B8" i="7"/>
  <c r="L17" i="1" l="1"/>
  <c r="M11" i="6"/>
  <c r="L16" i="1"/>
  <c r="L15" i="1"/>
  <c r="G46" i="1" l="1"/>
  <c r="L23" i="1"/>
  <c r="G19" i="1"/>
  <c r="H19" i="1" l="1"/>
  <c r="I19" i="1"/>
  <c r="J19" i="1"/>
  <c r="K19" i="1"/>
  <c r="L19" i="1" l="1"/>
  <c r="M10" i="6" s="1"/>
  <c r="L22" i="1" l="1"/>
  <c r="M12" i="6" s="1"/>
  <c r="L25" i="1" l="1"/>
  <c r="G51" i="1"/>
  <c r="H47" i="1"/>
  <c r="J25" i="2" l="1"/>
  <c r="F25" i="2"/>
  <c r="H24" i="2"/>
  <c r="F24" i="2"/>
  <c r="G23" i="2"/>
  <c r="J23" i="2" s="1"/>
  <c r="F22" i="2"/>
  <c r="J22" i="2" s="1"/>
  <c r="F21" i="2"/>
  <c r="J24" i="2" l="1"/>
  <c r="J21" i="2"/>
  <c r="J26" i="2" l="1"/>
  <c r="K26" i="2" s="1"/>
  <c r="G24" i="1" s="1"/>
  <c r="H24" i="1" s="1"/>
  <c r="H36" i="1"/>
  <c r="G26" i="1" l="1"/>
  <c r="H26" i="1"/>
  <c r="B4" i="2" l="1"/>
  <c r="C2" i="2" s="1"/>
  <c r="D2" i="2" l="1"/>
  <c r="L24" i="1" l="1"/>
  <c r="D5" i="2"/>
  <c r="E2" i="2"/>
  <c r="L26" i="1" l="1"/>
  <c r="M13" i="6"/>
  <c r="E5" i="2"/>
  <c r="F2" i="2"/>
  <c r="F5" i="2" l="1"/>
  <c r="G2" i="2"/>
  <c r="G5" i="2" s="1"/>
  <c r="J47" i="1" l="1"/>
  <c r="K47" i="1" s="1"/>
  <c r="G29" i="1"/>
  <c r="H46" i="1" l="1"/>
  <c r="I48" i="1"/>
  <c r="H51" i="1" l="1"/>
  <c r="I46" i="1"/>
  <c r="I51" i="1" s="1"/>
  <c r="J46" i="1" l="1"/>
  <c r="J51" i="1" s="1"/>
  <c r="K46" i="1" l="1"/>
  <c r="F37" i="1" l="1"/>
  <c r="K48" i="1"/>
  <c r="K51" i="1" l="1"/>
  <c r="H29" i="1"/>
  <c r="I45" i="1"/>
  <c r="J45" i="1"/>
  <c r="K45" i="1"/>
  <c r="H27" i="1" l="1"/>
  <c r="H28" i="1" s="1"/>
  <c r="F38" i="1"/>
  <c r="H30" i="1" l="1"/>
  <c r="H32" i="1" s="1"/>
  <c r="G27" i="1"/>
  <c r="H33" i="1" l="1"/>
  <c r="H34" i="1" s="1"/>
  <c r="H37" i="1" s="1"/>
  <c r="L27" i="1"/>
  <c r="L28" i="1" s="1"/>
  <c r="F42" i="1" s="1"/>
  <c r="M17" i="6" s="1"/>
  <c r="G30" i="1"/>
  <c r="G32" i="1" s="1"/>
  <c r="G33" i="1" s="1"/>
  <c r="G34" i="1" s="1"/>
  <c r="H45" i="1"/>
  <c r="G45" i="1"/>
  <c r="F40" i="1" l="1"/>
  <c r="L29" i="1" l="1"/>
  <c r="G39" i="1" l="1"/>
  <c r="H38" i="1"/>
  <c r="L31" i="1"/>
  <c r="H39" i="1" l="1"/>
  <c r="I38" i="1"/>
  <c r="J38" i="1" s="1"/>
  <c r="K38" i="1" s="1"/>
  <c r="L30" i="1"/>
  <c r="L32" i="1" l="1"/>
  <c r="F41" i="1" l="1"/>
  <c r="M16" i="6" s="1"/>
  <c r="M15" i="6"/>
  <c r="L33" i="1"/>
  <c r="F43" i="1" l="1"/>
  <c r="M18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20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<sst xmlns="http://schemas.openxmlformats.org/spreadsheetml/2006/main" count="221" uniqueCount="175">
  <si>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</si>
  <si>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</si>
  <si>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</si>
  <si>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</si>
  <si>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</si>
  <si>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</si>
  <si>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</si>
  <si>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</si>
  <si>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</si>
  <si>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</si>
  <si>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</si>
  <si>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</si>
  <si>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</si>
  <si>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</si>
  <si>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</si>
  <si>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</si>
  <si>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</si>
  <si>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</si>
  <si>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</si>
  <si>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</si>
  <si>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</si>
  <si>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</si>
  <si>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</si>
  <si>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</si>
  <si>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</si>
  <si>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</si>
  <si>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</si>
  <si>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</si>
  <si>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</si>
  <si>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</si>
  <si>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</si>
  <si>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</si>
  <si>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</si>
  <si>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</si>
  <si>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</si>
  <si>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</si>
  <si>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</si>
  <si>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</si>
  <si>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</si>
  <si>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</si>
  <si>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</si>
  <si>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Maintenance</t>
  </si>
  <si>
    <t>Year 6</t>
  </si>
  <si>
    <t>Total CAPEX</t>
  </si>
  <si>
    <t>Net Income</t>
  </si>
  <si>
    <t xml:space="preserve"> 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</si>
  <si>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</si>
  <si>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</si>
  <si>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</si>
  <si>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</si>
  <si>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</si>
  <si>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</si>
  <si>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</si>
  <si>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</si>
  <si>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</si>
  <si>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</si>
  <si>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</si>
  <si>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</si>
  <si>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</si>
  <si>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</si>
  <si>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</si>
  <si>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</si>
  <si>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</si>
  <si>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</si>
  <si>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Capex</t>
  </si>
  <si>
    <t>Total floor</t>
  </si>
  <si>
    <t>Cable FO (Core)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</si>
  <si>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</si>
  <si>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</si>
  <si>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</si>
  <si>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</si>
  <si>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</si>
  <si>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</si>
  <si>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</si>
  <si>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DAS</t>
  </si>
  <si>
    <t>BTS</t>
  </si>
  <si>
    <t>Revenue</t>
  </si>
  <si>
    <t>Target Achieved by Commercial:</t>
  </si>
  <si>
    <t xml:space="preserve">Tanggal P&amp;L:  </t>
  </si>
  <si>
    <t>IBS / DAS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</si>
  <si>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</si>
  <si>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</si>
  <si>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</si>
  <si>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</si>
  <si>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</si>
  <si>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</si>
  <si>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</si>
  <si>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</si>
  <si>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</si>
  <si>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</si>
  <si>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</si>
  <si>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</si>
  <si>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</si>
  <si>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</si>
  <si>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</si>
  <si>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</si>
  <si>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</si>
  <si>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</si>
  <si>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</si>
  <si>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</si>
  <si>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</si>
  <si>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</si>
  <si>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</si>
  <si>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</si>
  <si>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</si>
  <si>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</si>
  <si>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</si>
  <si>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</si>
  <si>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</si>
  <si>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</si>
  <si>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</si>
  <si>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</si>
  <si>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</si>
  <si>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</si>
  <si>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</si>
  <si>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</si>
  <si>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</si>
  <si>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</si>
  <si>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</si>
  <si>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</si>
  <si>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</si>
  <si>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Total Revenues (SF)</t>
  </si>
  <si>
    <t xml:space="preserve">: </t>
  </si>
  <si>
    <t>Renewal</t>
  </si>
  <si>
    <t>Lease to BM</t>
  </si>
  <si>
    <t>TSEL</t>
  </si>
  <si>
    <t>IOH</t>
  </si>
  <si>
    <t>Erosion</t>
  </si>
  <si>
    <t>Citra Kartika</t>
  </si>
  <si>
    <t>Total COGS Rent</t>
  </si>
  <si>
    <t>Total COGS Other</t>
  </si>
  <si>
    <t>XL</t>
  </si>
  <si>
    <t>Hotel Swissbell Watu Jimbar</t>
  </si>
  <si>
    <t>BV 30 Jun 24</t>
  </si>
  <si>
    <t>SUMMARY REVIEW</t>
  </si>
  <si>
    <t xml:space="preserve">Nama Site                   </t>
  </si>
  <si>
    <t>: Hotel Watu Jimbar bali</t>
  </si>
  <si>
    <t xml:space="preserve">Nama Pemilik           </t>
  </si>
  <si>
    <t>PT Binakarya Citra Lestari</t>
  </si>
  <si>
    <t xml:space="preserve">Alamat Pemilik       </t>
  </si>
  <si>
    <t xml:space="preserve">:  Jl. Outer Ring Road, Mall taman Palem lt.3  </t>
  </si>
  <si>
    <t>Object Sewa</t>
  </si>
  <si>
    <t>:  123 omni</t>
  </si>
  <si>
    <t xml:space="preserve">No. </t>
  </si>
  <si>
    <t>Keterangan</t>
  </si>
  <si>
    <t>Existing</t>
  </si>
  <si>
    <t>Scope Of Lease</t>
  </si>
  <si>
    <t>Obyek</t>
  </si>
  <si>
    <t>123 Omni + Pole Antenna + RBS M2</t>
  </si>
  <si>
    <t>Periode Sewa</t>
  </si>
  <si>
    <t>08 November 2013 s/d d 07 November 2023</t>
  </si>
  <si>
    <t>07 November 2023 s/d d 08 November 2028</t>
  </si>
  <si>
    <t xml:space="preserve">Masa sewa </t>
  </si>
  <si>
    <t>14/01/21 s/d 22/7/24 (3 thn, 6bulan,9hari)</t>
  </si>
  <si>
    <t>23/07/24 s/d 21/9/26 (2 tahun, 2 bulan)</t>
  </si>
  <si>
    <t>Harga Sewa</t>
  </si>
  <si>
    <t>Harga sewa / tahun</t>
  </si>
  <si>
    <t>Operator Joint</t>
  </si>
  <si>
    <t>Telkomsel</t>
  </si>
  <si>
    <t>Kenaikan/Penurunan Harga</t>
  </si>
  <si>
    <t xml:space="preserve">Mengalami penurunan </t>
  </si>
  <si>
    <t>Noted :</t>
  </si>
  <si>
    <t>Operator hanya Telkomsel</t>
  </si>
  <si>
    <t>TOP : 50% setelah addendum di sign</t>
  </si>
  <si>
    <t>50% setelah pembayaran pertama</t>
  </si>
  <si>
    <t>Hotel Swisbell Watu Jimbar</t>
  </si>
  <si>
    <t>Hotel Alila Seminyak</t>
  </si>
  <si>
    <t>Hotel Fave Bypass</t>
  </si>
  <si>
    <t>Hotel Episode ex Ibis Kuta Circle</t>
  </si>
  <si>
    <t>Hotel Smasta Movenpic</t>
  </si>
  <si>
    <t xml:space="preserve">Tsel </t>
  </si>
  <si>
    <t>Start</t>
  </si>
  <si>
    <t>End</t>
  </si>
  <si>
    <t xml:space="preserve">Amount </t>
  </si>
  <si>
    <t>LIWO Denpasar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</si>
</sst>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6" formatCode="&quot;Rp&quot;#,##0;[Red]\-&quot;Rp&quot;#,##0"/>
    <numFmt numFmtId="41" formatCode="_-* #,##0_-;\-* #,##0_-;_-* &quot;-&quot;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  <numFmt numFmtId="167" formatCode="_(* #,##0.0_);_(* \(#,##0.0\);_(* &quot;-&quot;??_);_(@_)"/>
    <numFmt numFmtId="168" formatCode="_-* #,##0.0_-;\-* #,##0.0_-;_-* &quot;-&quot;_-;_-@_-"/>
    <numFmt numFmtId="169" formatCode="_(&quot;Rp&quot;* #,##0_);_(&quot;Rp&quot;* \(#,##0\);_(&quot;Rp&quot;* &quot;-&quot;_);_(@_)"/>
    <numFmt numFmtId="170" formatCode="_ * #,##0_ ;_ * \-#,##0_ ;_ * &quot;-&quot;_ ;_ @_ "/>
    <numFmt numFmtId="171" formatCode="_(&quot;$&quot;* #,##0.00_);_(&quot;$&quot;* \(#,##0.00\);_(&quot;$&quot;* &quot;-&quot;??_);_(@_)"/>
    <numFmt numFmtId="172" formatCode="_([$Rp-421]* #,##0_);_([$Rp-421]* \(#,##0\);_([$Rp-421]* &quot;-&quot;??_);_(@_)"/>
    <numFmt numFmtId="173" formatCode="[$-409]d\-mmm\-yy;@"/>
    <numFmt numFmtId="174" formatCode="[$-409]dd\-mmm\-yy;@"/>
  </numFmts>
  <fonts count="4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2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</font>
    <font>
      <sz val="10"/>
      <color theme="1"/>
      <name val="Times New Roman"/>
      <family val="1"/>
    </font>
    <font>
      <b/>
      <sz val="12"/>
      <color rgb="FF000000"/>
      <name val="Calibri"/>
      <family val="2"/>
    </font>
    <font>
      <b/>
      <i/>
      <sz val="11"/>
      <color rgb="FF000000"/>
      <name val="Calibri"/>
      <family val="2"/>
    </font>
    <font>
      <b/>
      <i/>
      <sz val="14"/>
      <color rgb="FF000000"/>
      <name val="Calibri"/>
      <family val="2"/>
    </font>
    <font>
      <sz val="11"/>
      <color rgb="FF000000"/>
      <name val="Calibri"/>
      <family val="2"/>
    </font>
    <font>
      <sz val="12"/>
      <color rgb="FF1F3864"/>
      <name val="Calibri"/>
      <family val="2"/>
      <scheme val="minor"/>
    </font>
    <font>
      <b/>
      <sz val="11"/>
      <color rgb="FF000000"/>
      <name val="Calibri"/>
      <family val="2"/>
    </font>
    <font>
      <b/>
      <sz val="12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/>
    <xf numFmtId="165" fontId="10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9" fillId="0" borderId="0"/>
    <xf numFmtId="0" fontId="24" fillId="0" borderId="0"/>
    <xf numFmtId="165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1" fillId="0" borderId="0"/>
    <xf numFmtId="165" fontId="7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29" fillId="0" borderId="0"/>
    <xf numFmtId="0" fontId="29" fillId="0" borderId="0"/>
    <xf numFmtId="165" fontId="29" fillId="0" borderId="0" applyFont="0" applyFill="0" applyBorder="0" applyAlignment="0" applyProtection="0"/>
    <xf numFmtId="169" fontId="5" fillId="0" borderId="0" applyFont="0" applyFill="0" applyBorder="0" applyAlignment="0" applyProtection="0"/>
    <xf numFmtId="0" fontId="5" fillId="0" borderId="0"/>
    <xf numFmtId="0" fontId="30" fillId="0" borderId="0">
      <alignment vertical="center"/>
    </xf>
    <xf numFmtId="170" fontId="29" fillId="0" borderId="0" applyFont="0" applyFill="0" applyBorder="0" applyAlignment="0" applyProtection="0">
      <alignment vertical="center"/>
    </xf>
    <xf numFmtId="171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0" fontId="4" fillId="0" borderId="0"/>
    <xf numFmtId="0" fontId="29" fillId="0" borderId="0"/>
    <xf numFmtId="172" fontId="29" fillId="0" borderId="0"/>
    <xf numFmtId="171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0" fontId="3" fillId="0" borderId="0"/>
    <xf numFmtId="165" fontId="2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</cellStyleXfs>
  <cellXfs count="242">
    <xf numFmtId="0" fontId="0" fillId="0" borderId="0" xfId="0"/>
    <xf numFmtId="0" fontId="12" fillId="0" borderId="0" xfId="0" applyFont="1"/>
    <xf numFmtId="0" fontId="0" fillId="0" borderId="0" xfId="0" applyAlignment="1">
      <alignment vertical="center"/>
    </xf>
    <xf numFmtId="0" fontId="13" fillId="0" borderId="0" xfId="0" applyFont="1"/>
    <xf numFmtId="0" fontId="0" fillId="3" borderId="0" xfId="0" applyFill="1"/>
    <xf numFmtId="9" fontId="14" fillId="0" borderId="0" xfId="2" applyNumberFormat="1" applyFont="1"/>
    <xf numFmtId="10" fontId="14" fillId="0" borderId="0" xfId="2" applyNumberFormat="1" applyFont="1"/>
    <xf numFmtId="0" fontId="0" fillId="0" borderId="1" xfId="0" applyBorder="1"/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4" fillId="0" borderId="0" xfId="0" applyNumberFormat="1" applyFont="1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8" fillId="0" borderId="0" xfId="0" applyFont="1"/>
    <xf numFmtId="0" fontId="18" fillId="0" borderId="0" xfId="0" applyFont="1" applyAlignment="1">
      <alignment vertical="center"/>
    </xf>
    <xf numFmtId="165" fontId="18" fillId="0" borderId="0" xfId="1" applyFont="1"/>
    <xf numFmtId="41" fontId="0" fillId="0" borderId="2" xfId="2" applyFont="1" applyBorder="1" applyAlignment="1">
      <alignment vertical="center"/>
    </xf>
    <xf numFmtId="41" fontId="12" fillId="0" borderId="0" xfId="0" applyNumberFormat="1" applyFont="1" applyAlignment="1">
      <alignment vertical="center"/>
    </xf>
    <xf numFmtId="0" fontId="19" fillId="0" borderId="0" xfId="0" applyFont="1"/>
    <xf numFmtId="0" fontId="20" fillId="0" borderId="0" xfId="0" applyFont="1"/>
    <xf numFmtId="9" fontId="19" fillId="0" borderId="0" xfId="3" applyFont="1" applyAlignment="1">
      <alignment vertical="center"/>
    </xf>
    <xf numFmtId="0" fontId="0" fillId="0" borderId="0" xfId="0" applyFill="1" applyBorder="1"/>
    <xf numFmtId="38" fontId="15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166" fontId="17" fillId="0" borderId="0" xfId="1" applyNumberFormat="1" applyFont="1"/>
    <xf numFmtId="0" fontId="0" fillId="0" borderId="0" xfId="0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166" fontId="0" fillId="0" borderId="0" xfId="0" applyNumberFormat="1"/>
    <xf numFmtId="0" fontId="12" fillId="0" borderId="4" xfId="0" applyFont="1" applyBorder="1"/>
    <xf numFmtId="0" fontId="0" fillId="0" borderId="4" xfId="0" applyBorder="1"/>
    <xf numFmtId="166" fontId="12" fillId="0" borderId="4" xfId="0" applyNumberFormat="1" applyFont="1" applyBorder="1" applyAlignment="1">
      <alignment vertical="center"/>
    </xf>
    <xf numFmtId="0" fontId="0" fillId="0" borderId="0" xfId="0" applyBorder="1"/>
    <xf numFmtId="41" fontId="16" fillId="0" borderId="0" xfId="0" applyNumberFormat="1" applyFont="1" applyBorder="1"/>
    <xf numFmtId="166" fontId="12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5" fontId="18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2" fillId="3" borderId="0" xfId="0" applyNumberFormat="1" applyFont="1" applyFill="1" applyBorder="1" applyAlignment="1">
      <alignment vertical="center"/>
    </xf>
    <xf numFmtId="0" fontId="12" fillId="3" borderId="0" xfId="0" applyFont="1" applyFill="1" applyBorder="1"/>
    <xf numFmtId="9" fontId="19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2" fillId="0" borderId="0" xfId="0" applyFont="1" applyBorder="1" applyAlignment="1">
      <alignment horizontal="center"/>
    </xf>
    <xf numFmtId="0" fontId="22" fillId="0" borderId="6" xfId="0" applyFont="1" applyBorder="1"/>
    <xf numFmtId="0" fontId="22" fillId="0" borderId="3" xfId="0" applyFont="1" applyBorder="1"/>
    <xf numFmtId="0" fontId="22" fillId="0" borderId="8" xfId="0" applyFont="1" applyBorder="1"/>
    <xf numFmtId="0" fontId="22" fillId="0" borderId="0" xfId="0" applyFont="1" applyBorder="1"/>
    <xf numFmtId="41" fontId="22" fillId="0" borderId="9" xfId="0" applyNumberFormat="1" applyFont="1" applyBorder="1"/>
    <xf numFmtId="9" fontId="22" fillId="0" borderId="9" xfId="3" applyFont="1" applyBorder="1"/>
    <xf numFmtId="0" fontId="22" fillId="0" borderId="10" xfId="0" applyFont="1" applyBorder="1"/>
    <xf numFmtId="0" fontId="22" fillId="0" borderId="2" xfId="0" applyFont="1" applyBorder="1"/>
    <xf numFmtId="167" fontId="22" fillId="0" borderId="11" xfId="1" applyNumberFormat="1" applyFont="1" applyBorder="1"/>
    <xf numFmtId="0" fontId="12" fillId="0" borderId="12" xfId="0" applyFont="1" applyBorder="1"/>
    <xf numFmtId="41" fontId="12" fillId="0" borderId="12" xfId="0" applyNumberFormat="1" applyFont="1" applyBorder="1" applyAlignment="1">
      <alignment vertical="center"/>
    </xf>
    <xf numFmtId="41" fontId="0" fillId="0" borderId="0" xfId="2" applyFont="1" applyAlignment="1">
      <alignment vertical="center"/>
    </xf>
    <xf numFmtId="41" fontId="11" fillId="0" borderId="0" xfId="2" applyFont="1" applyFill="1"/>
    <xf numFmtId="166" fontId="0" fillId="4" borderId="0" xfId="0" applyNumberFormat="1" applyFill="1" applyAlignment="1">
      <alignment vertical="center"/>
    </xf>
    <xf numFmtId="0" fontId="22" fillId="5" borderId="1" xfId="0" applyFont="1" applyFill="1" applyBorder="1" applyAlignment="1">
      <alignment horizontal="center"/>
    </xf>
    <xf numFmtId="0" fontId="15" fillId="5" borderId="0" xfId="0" applyFont="1" applyFill="1"/>
    <xf numFmtId="41" fontId="22" fillId="5" borderId="12" xfId="0" applyNumberFormat="1" applyFont="1" applyFill="1" applyBorder="1" applyAlignment="1">
      <alignment vertical="center"/>
    </xf>
    <xf numFmtId="165" fontId="23" fillId="5" borderId="0" xfId="1" applyFont="1" applyFill="1"/>
    <xf numFmtId="41" fontId="15" fillId="5" borderId="0" xfId="0" applyNumberFormat="1" applyFont="1" applyFill="1" applyBorder="1" applyAlignment="1">
      <alignment vertical="center"/>
    </xf>
    <xf numFmtId="41" fontId="12" fillId="5" borderId="0" xfId="0" applyNumberFormat="1" applyFont="1" applyFill="1" applyAlignment="1">
      <alignment vertical="center"/>
    </xf>
    <xf numFmtId="9" fontId="19" fillId="5" borderId="0" xfId="3" applyFont="1" applyFill="1" applyAlignment="1">
      <alignment vertical="center"/>
    </xf>
    <xf numFmtId="41" fontId="15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41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165" fontId="0" fillId="5" borderId="2" xfId="1" applyFont="1" applyFill="1" applyBorder="1"/>
    <xf numFmtId="38" fontId="0" fillId="5" borderId="0" xfId="0" applyNumberFormat="1" applyFill="1"/>
    <xf numFmtId="166" fontId="17" fillId="5" borderId="0" xfId="1" applyNumberFormat="1" applyFont="1" applyFill="1"/>
    <xf numFmtId="0" fontId="15" fillId="0" borderId="0" xfId="0" applyFont="1"/>
    <xf numFmtId="41" fontId="22" fillId="0" borderId="4" xfId="0" applyNumberFormat="1" applyFont="1" applyBorder="1"/>
    <xf numFmtId="41" fontId="22" fillId="0" borderId="0" xfId="0" applyNumberFormat="1" applyFont="1" applyBorder="1"/>
    <xf numFmtId="41" fontId="12" fillId="5" borderId="12" xfId="0" applyNumberFormat="1" applyFont="1" applyFill="1" applyBorder="1" applyAlignment="1">
      <alignment vertical="center"/>
    </xf>
    <xf numFmtId="41" fontId="22" fillId="0" borderId="0" xfId="0" applyNumberFormat="1" applyFont="1" applyFill="1" applyBorder="1"/>
    <xf numFmtId="41" fontId="22" fillId="0" borderId="0" xfId="0" applyNumberFormat="1" applyFont="1"/>
    <xf numFmtId="0" fontId="22" fillId="0" borderId="0" xfId="0" applyFont="1"/>
    <xf numFmtId="41" fontId="0" fillId="0" borderId="0" xfId="0" applyNumberFormat="1" applyAlignment="1">
      <alignment horizontal="right" vertical="center"/>
    </xf>
    <xf numFmtId="41" fontId="0" fillId="5" borderId="0" xfId="2" applyFont="1" applyFill="1" applyBorder="1"/>
    <xf numFmtId="9" fontId="22" fillId="0" borderId="7" xfId="0" applyNumberFormat="1" applyFont="1" applyBorder="1"/>
    <xf numFmtId="41" fontId="0" fillId="0" borderId="0" xfId="2" applyFont="1"/>
    <xf numFmtId="0" fontId="0" fillId="0" borderId="0" xfId="0" applyFont="1"/>
    <xf numFmtId="0" fontId="12" fillId="0" borderId="0" xfId="0" applyFont="1" applyBorder="1"/>
    <xf numFmtId="0" fontId="26" fillId="0" borderId="0" xfId="0" applyFont="1"/>
    <xf numFmtId="0" fontId="0" fillId="0" borderId="0" xfId="0" applyFont="1" applyBorder="1"/>
    <xf numFmtId="0" fontId="25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2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41" fontId="0" fillId="0" borderId="0" xfId="0" quotePrefix="1" applyNumberFormat="1" applyAlignment="1">
      <alignment vertical="center"/>
    </xf>
    <xf numFmtId="0" fontId="12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43" fontId="0" fillId="0" borderId="0" xfId="0" applyNumberFormat="1"/>
    <xf numFmtId="0" fontId="12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2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5" fillId="0" borderId="0" xfId="0" applyFont="1" applyBorder="1" applyAlignment="1"/>
    <xf numFmtId="14" fontId="25" fillId="0" borderId="0" xfId="0" applyNumberFormat="1" applyFont="1" applyBorder="1" applyAlignment="1"/>
    <xf numFmtId="41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166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6" fontId="0" fillId="0" borderId="0" xfId="19" applyNumberFormat="1" applyFont="1" applyBorder="1"/>
    <xf numFmtId="0" fontId="0" fillId="0" borderId="23" xfId="0" applyFont="1" applyBorder="1"/>
    <xf numFmtId="0" fontId="12" fillId="0" borderId="17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6" fontId="0" fillId="7" borderId="24" xfId="0" applyNumberFormat="1" applyFill="1" applyBorder="1"/>
    <xf numFmtId="166" fontId="0" fillId="0" borderId="24" xfId="0" applyNumberFormat="1" applyBorder="1" applyAlignment="1">
      <alignment horizontal="center"/>
    </xf>
    <xf numFmtId="166" fontId="0" fillId="0" borderId="24" xfId="1" applyNumberFormat="1" applyFont="1" applyBorder="1"/>
    <xf numFmtId="166" fontId="0" fillId="0" borderId="24" xfId="0" applyNumberFormat="1" applyBorder="1"/>
    <xf numFmtId="166" fontId="0" fillId="8" borderId="24" xfId="1" applyNumberFormat="1" applyFont="1" applyFill="1" applyBorder="1"/>
    <xf numFmtId="168" fontId="12" fillId="0" borderId="22" xfId="2" applyNumberFormat="1" applyFont="1" applyBorder="1"/>
    <xf numFmtId="41" fontId="15" fillId="0" borderId="0" xfId="2" applyFont="1" applyAlignment="1">
      <alignment vertical="center"/>
    </xf>
    <xf numFmtId="9" fontId="0" fillId="0" borderId="0" xfId="0" applyNumberFormat="1"/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41" fontId="15" fillId="5" borderId="0" xfId="0" applyNumberFormat="1" applyFont="1" applyFill="1"/>
    <xf numFmtId="164" fontId="11" fillId="0" borderId="0" xfId="2" applyNumberFormat="1" applyFont="1" applyFill="1"/>
    <xf numFmtId="164" fontId="11" fillId="0" borderId="0" xfId="17" applyNumberFormat="1" applyFont="1"/>
    <xf numFmtId="164" fontId="0" fillId="2" borderId="5" xfId="0" applyNumberFormat="1" applyFill="1" applyBorder="1" applyAlignment="1">
      <alignment vertical="center"/>
    </xf>
    <xf numFmtId="164" fontId="0" fillId="0" borderId="0" xfId="0" applyNumberFormat="1" applyAlignment="1">
      <alignment vertical="center"/>
    </xf>
    <xf numFmtId="164" fontId="0" fillId="0" borderId="0" xfId="0" applyNumberFormat="1"/>
    <xf numFmtId="164" fontId="0" fillId="0" borderId="2" xfId="0" applyNumberFormat="1" applyBorder="1"/>
    <xf numFmtId="164" fontId="31" fillId="0" borderId="2" xfId="0" applyNumberFormat="1" applyFont="1" applyBorder="1"/>
    <xf numFmtId="164" fontId="31" fillId="0" borderId="0" xfId="0" applyNumberFormat="1" applyFont="1"/>
    <xf numFmtId="166" fontId="32" fillId="0" borderId="0" xfId="1" applyNumberFormat="1" applyFont="1"/>
    <xf numFmtId="0" fontId="35" fillId="0" borderId="0" xfId="36" applyFont="1" applyAlignment="1">
      <alignment vertical="center" wrapText="1"/>
    </xf>
    <xf numFmtId="0" fontId="1" fillId="0" borderId="0" xfId="36"/>
    <xf numFmtId="0" fontId="35" fillId="0" borderId="0" xfId="36" applyFont="1"/>
    <xf numFmtId="0" fontId="36" fillId="0" borderId="0" xfId="36" applyFont="1" applyAlignment="1">
      <alignment vertical="center"/>
    </xf>
    <xf numFmtId="0" fontId="39" fillId="0" borderId="32" xfId="36" applyFont="1" applyBorder="1" applyAlignment="1">
      <alignment horizontal="center" vertical="center"/>
    </xf>
    <xf numFmtId="0" fontId="39" fillId="0" borderId="22" xfId="36" applyFont="1" applyBorder="1" applyAlignment="1">
      <alignment vertical="center"/>
    </xf>
    <xf numFmtId="0" fontId="39" fillId="0" borderId="23" xfId="36" applyFont="1" applyBorder="1" applyAlignment="1">
      <alignment vertical="center"/>
    </xf>
    <xf numFmtId="0" fontId="39" fillId="0" borderId="18" xfId="36" applyFont="1" applyBorder="1" applyAlignment="1">
      <alignment vertical="center"/>
    </xf>
    <xf numFmtId="0" fontId="39" fillId="0" borderId="32" xfId="36" applyFont="1" applyBorder="1" applyAlignment="1">
      <alignment vertical="center"/>
    </xf>
    <xf numFmtId="0" fontId="39" fillId="0" borderId="19" xfId="36" applyFont="1" applyBorder="1" applyAlignment="1">
      <alignment vertical="center"/>
    </xf>
    <xf numFmtId="0" fontId="40" fillId="0" borderId="44" xfId="36" applyFont="1" applyBorder="1" applyAlignment="1">
      <alignment horizontal="center" vertical="center"/>
    </xf>
    <xf numFmtId="0" fontId="1" fillId="0" borderId="44" xfId="36" applyBorder="1" applyAlignment="1">
      <alignment horizontal="center"/>
    </xf>
    <xf numFmtId="0" fontId="40" fillId="0" borderId="0" xfId="36" applyFont="1" applyAlignment="1">
      <alignment vertical="center"/>
    </xf>
    <xf numFmtId="0" fontId="41" fillId="0" borderId="0" xfId="36" applyFont="1" applyFill="1" applyBorder="1" applyAlignment="1">
      <alignment vertical="center"/>
    </xf>
    <xf numFmtId="0" fontId="33" fillId="0" borderId="0" xfId="36" applyFont="1"/>
    <xf numFmtId="0" fontId="1" fillId="0" borderId="0" xfId="36" applyAlignment="1">
      <alignment horizontal="center"/>
    </xf>
    <xf numFmtId="173" fontId="0" fillId="0" borderId="0" xfId="0" applyNumberFormat="1"/>
    <xf numFmtId="173" fontId="0" fillId="0" borderId="24" xfId="0" applyNumberFormat="1" applyBorder="1"/>
    <xf numFmtId="41" fontId="0" fillId="0" borderId="24" xfId="2" applyFont="1" applyBorder="1"/>
    <xf numFmtId="173" fontId="0" fillId="0" borderId="24" xfId="2" applyNumberFormat="1" applyFont="1" applyBorder="1"/>
    <xf numFmtId="174" fontId="0" fillId="0" borderId="24" xfId="0" applyNumberFormat="1" applyBorder="1"/>
    <xf numFmtId="0" fontId="0" fillId="0" borderId="24" xfId="0" applyFill="1" applyBorder="1"/>
    <xf numFmtId="0" fontId="12" fillId="0" borderId="20" xfId="0" applyFont="1" applyFill="1" applyBorder="1" applyAlignment="1" applyProtection="1">
      <alignment horizontal="left" indent="1"/>
    </xf>
    <xf numFmtId="0" fontId="12" fillId="0" borderId="0" xfId="0" applyFont="1" applyFill="1" applyBorder="1" applyAlignment="1" applyProtection="1">
      <alignment horizontal="left" indent="1"/>
    </xf>
    <xf numFmtId="0" fontId="12" fillId="0" borderId="21" xfId="0" applyFont="1" applyFill="1" applyBorder="1" applyAlignment="1" applyProtection="1">
      <alignment horizontal="left" indent="1"/>
    </xf>
    <xf numFmtId="0" fontId="12" fillId="0" borderId="1" xfId="0" applyFont="1" applyFill="1" applyBorder="1" applyAlignment="1" applyProtection="1">
      <alignment horizontal="left" indent="1"/>
    </xf>
    <xf numFmtId="0" fontId="1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 indent="1"/>
    </xf>
    <xf numFmtId="0" fontId="12" fillId="0" borderId="0" xfId="0" applyFont="1" applyBorder="1" applyAlignment="1">
      <alignment horizontal="left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quotePrefix="1" applyFont="1" applyBorder="1" applyAlignment="1">
      <alignment horizontal="left" indent="1"/>
    </xf>
    <xf numFmtId="166" fontId="0" fillId="0" borderId="0" xfId="19" applyNumberFormat="1" applyFont="1" applyFill="1" applyBorder="1" applyAlignment="1" applyProtection="1">
      <alignment horizontal="left" wrapText="1"/>
      <protection locked="0"/>
    </xf>
    <xf numFmtId="166" fontId="0" fillId="0" borderId="18" xfId="19" applyNumberFormat="1" applyFont="1" applyFill="1" applyBorder="1" applyAlignment="1" applyProtection="1">
      <alignment horizontal="left" wrapText="1"/>
      <protection locked="0"/>
    </xf>
    <xf numFmtId="0" fontId="12" fillId="0" borderId="16" xfId="0" applyFont="1" applyFill="1" applyBorder="1" applyAlignment="1" applyProtection="1">
      <alignment horizontal="left" indent="1"/>
    </xf>
    <xf numFmtId="0" fontId="12" fillId="0" borderId="17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2" fillId="0" borderId="17" xfId="0" applyFont="1" applyBorder="1" applyAlignment="1">
      <alignment horizontal="left"/>
    </xf>
    <xf numFmtId="41" fontId="12" fillId="0" borderId="12" xfId="0" applyNumberFormat="1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36" fillId="0" borderId="0" xfId="36" applyFont="1" applyAlignment="1">
      <alignment vertical="center"/>
    </xf>
    <xf numFmtId="0" fontId="34" fillId="0" borderId="0" xfId="36" applyFont="1" applyAlignment="1">
      <alignment horizontal="center" vertical="center"/>
    </xf>
    <xf numFmtId="0" fontId="37" fillId="9" borderId="29" xfId="36" applyFont="1" applyFill="1" applyBorder="1" applyAlignment="1">
      <alignment horizontal="center" vertical="center"/>
    </xf>
    <xf numFmtId="0" fontId="37" fillId="9" borderId="32" xfId="36" applyFont="1" applyFill="1" applyBorder="1" applyAlignment="1">
      <alignment horizontal="center" vertical="center"/>
    </xf>
    <xf numFmtId="0" fontId="38" fillId="9" borderId="29" xfId="36" applyFont="1" applyFill="1" applyBorder="1" applyAlignment="1">
      <alignment horizontal="center" vertical="center"/>
    </xf>
    <xf numFmtId="0" fontId="38" fillId="9" borderId="33" xfId="36" applyFont="1" applyFill="1" applyBorder="1" applyAlignment="1">
      <alignment horizontal="center" vertical="center"/>
    </xf>
    <xf numFmtId="0" fontId="38" fillId="9" borderId="16" xfId="36" applyFont="1" applyFill="1" applyBorder="1" applyAlignment="1">
      <alignment horizontal="center" vertical="center"/>
    </xf>
    <xf numFmtId="0" fontId="38" fillId="9" borderId="30" xfId="36" applyFont="1" applyFill="1" applyBorder="1" applyAlignment="1">
      <alignment horizontal="center" vertical="center"/>
    </xf>
    <xf numFmtId="0" fontId="38" fillId="9" borderId="34" xfId="36" applyFont="1" applyFill="1" applyBorder="1" applyAlignment="1">
      <alignment horizontal="center" vertical="center"/>
    </xf>
    <xf numFmtId="0" fontId="38" fillId="9" borderId="35" xfId="36" applyFont="1" applyFill="1" applyBorder="1" applyAlignment="1">
      <alignment horizontal="center" vertical="center"/>
    </xf>
    <xf numFmtId="0" fontId="38" fillId="9" borderId="31" xfId="36" applyFont="1" applyFill="1" applyBorder="1" applyAlignment="1">
      <alignment horizontal="center" vertical="center"/>
    </xf>
    <xf numFmtId="0" fontId="38" fillId="9" borderId="36" xfId="36" applyFont="1" applyFill="1" applyBorder="1" applyAlignment="1">
      <alignment horizontal="center" vertical="center"/>
    </xf>
    <xf numFmtId="0" fontId="39" fillId="0" borderId="37" xfId="36" applyFont="1" applyBorder="1" applyAlignment="1">
      <alignment horizontal="left" vertical="center"/>
    </xf>
    <xf numFmtId="0" fontId="39" fillId="0" borderId="38" xfId="36" applyFont="1" applyBorder="1" applyAlignment="1">
      <alignment horizontal="left" vertical="center"/>
    </xf>
    <xf numFmtId="0" fontId="39" fillId="0" borderId="39" xfId="36" applyFont="1" applyBorder="1" applyAlignment="1">
      <alignment horizontal="left" vertical="center"/>
    </xf>
    <xf numFmtId="0" fontId="39" fillId="0" borderId="13" xfId="36" applyFont="1" applyBorder="1" applyAlignment="1">
      <alignment vertical="center"/>
    </xf>
    <xf numFmtId="0" fontId="39" fillId="0" borderId="40" xfId="36" applyFont="1" applyBorder="1" applyAlignment="1">
      <alignment vertical="center"/>
    </xf>
    <xf numFmtId="41" fontId="39" fillId="0" borderId="13" xfId="37" applyFont="1" applyBorder="1" applyAlignment="1">
      <alignment vertical="center"/>
    </xf>
    <xf numFmtId="41" fontId="39" fillId="0" borderId="40" xfId="37" applyFont="1" applyBorder="1" applyAlignment="1">
      <alignment vertical="center"/>
    </xf>
    <xf numFmtId="41" fontId="39" fillId="0" borderId="41" xfId="37" applyFont="1" applyBorder="1" applyAlignment="1">
      <alignment vertical="center"/>
    </xf>
    <xf numFmtId="0" fontId="1" fillId="0" borderId="13" xfId="36" applyBorder="1" applyAlignment="1">
      <alignment horizontal="center"/>
    </xf>
    <xf numFmtId="0" fontId="1" fillId="0" borderId="14" xfId="36" applyBorder="1" applyAlignment="1">
      <alignment horizontal="center"/>
    </xf>
    <xf numFmtId="0" fontId="1" fillId="0" borderId="15" xfId="36" applyBorder="1" applyAlignment="1">
      <alignment horizontal="center"/>
    </xf>
    <xf numFmtId="41" fontId="39" fillId="0" borderId="41" xfId="37" applyFont="1" applyBorder="1" applyAlignment="1">
      <alignment horizontal="center" vertical="center"/>
    </xf>
    <xf numFmtId="41" fontId="39" fillId="0" borderId="40" xfId="37" applyFont="1" applyBorder="1" applyAlignment="1">
      <alignment horizontal="center" vertical="center"/>
    </xf>
    <xf numFmtId="41" fontId="39" fillId="0" borderId="16" xfId="36" applyNumberFormat="1" applyFont="1" applyBorder="1" applyAlignment="1">
      <alignment vertical="center"/>
    </xf>
    <xf numFmtId="0" fontId="39" fillId="0" borderId="30" xfId="36" applyFont="1" applyBorder="1" applyAlignment="1">
      <alignment vertical="center"/>
    </xf>
    <xf numFmtId="6" fontId="39" fillId="0" borderId="31" xfId="36" applyNumberFormat="1" applyFont="1" applyBorder="1" applyAlignment="1">
      <alignment vertical="center"/>
    </xf>
    <xf numFmtId="41" fontId="39" fillId="0" borderId="13" xfId="36" applyNumberFormat="1" applyFont="1" applyBorder="1" applyAlignment="1">
      <alignment horizontal="left" vertical="center"/>
    </xf>
    <xf numFmtId="41" fontId="39" fillId="0" borderId="42" xfId="36" applyNumberFormat="1" applyFont="1" applyBorder="1" applyAlignment="1">
      <alignment horizontal="left" vertical="center"/>
    </xf>
    <xf numFmtId="6" fontId="39" fillId="0" borderId="43" xfId="36" applyNumberFormat="1" applyFont="1" applyBorder="1" applyAlignment="1">
      <alignment horizontal="left" vertical="center"/>
    </xf>
    <xf numFmtId="6" fontId="39" fillId="0" borderId="42" xfId="36" applyNumberFormat="1" applyFont="1" applyBorder="1" applyAlignment="1">
      <alignment horizontal="left" vertic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24" xfId="0" applyBorder="1" applyAlignment="1">
      <alignment horizontal="center" vertical="center"/>
    </xf>
    <xf numFmtId="9" fontId="0" fillId="0" borderId="0" xfId="3" applyFont="1"/>
    <xf numFmtId="9" fontId="42" fillId="0" borderId="19" xfId="2" applyNumberFormat="1" applyFont="1" applyBorder="1"/>
    <xf numFmtId="41" fontId="42" fillId="0" borderId="18" xfId="2" applyFont="1" applyBorder="1"/>
  </cellXfs>
  <cellStyles count="38">
    <cellStyle name="=C:\WINNT35\SYSTEM32\COMMAND.COM" xfId="30" xr:uid="{00000000-0005-0000-0000-000000000000}"/>
    <cellStyle name="0,0_x000a__x000a_NA_x000a__x000a_" xfId="31" xr:uid="{00000000-0005-0000-0000-000001000000}"/>
    <cellStyle name="Comma" xfId="1" builtinId="3"/>
    <cellStyle name="Comma [0]" xfId="2" builtinId="6"/>
    <cellStyle name="Comma [0] 2" xfId="9" xr:uid="{00000000-0005-0000-0000-000004000000}"/>
    <cellStyle name="Comma [0] 3" xfId="26" xr:uid="{00000000-0005-0000-0000-000005000000}"/>
    <cellStyle name="Comma [0] 4" xfId="37" xr:uid="{EEFF8289-81A3-4E5D-8764-76D36FB8FDA7}"/>
    <cellStyle name="Comma 2" xfId="7" xr:uid="{00000000-0005-0000-0000-000006000000}"/>
    <cellStyle name="Comma 2 3" xfId="22" xr:uid="{00000000-0005-0000-0000-000007000000}"/>
    <cellStyle name="Comma 3" xfId="10" xr:uid="{00000000-0005-0000-0000-000008000000}"/>
    <cellStyle name="Comma 3 2" xfId="11" xr:uid="{00000000-0005-0000-0000-000009000000}"/>
    <cellStyle name="Comma 4" xfId="12" xr:uid="{00000000-0005-0000-0000-00000A000000}"/>
    <cellStyle name="Comma 4 3 2 5" xfId="35" xr:uid="{00000000-0005-0000-0000-00000B000000}"/>
    <cellStyle name="Comma 5" xfId="18" xr:uid="{00000000-0005-0000-0000-00000C000000}"/>
    <cellStyle name="Comma 5 2" xfId="19" xr:uid="{00000000-0005-0000-0000-00000D000000}"/>
    <cellStyle name="Currency [0] 2" xfId="23" xr:uid="{00000000-0005-0000-0000-00000E000000}"/>
    <cellStyle name="Currency [0] 3" xfId="28" xr:uid="{00000000-0005-0000-0000-00000F000000}"/>
    <cellStyle name="Currency [0] 4" xfId="33" xr:uid="{00000000-0005-0000-0000-000010000000}"/>
    <cellStyle name="Currency 2" xfId="27" xr:uid="{00000000-0005-0000-0000-000011000000}"/>
    <cellStyle name="Currency 3" xfId="32" xr:uid="{00000000-0005-0000-0000-000012000000}"/>
    <cellStyle name="Normal" xfId="0" builtinId="0"/>
    <cellStyle name="Normal 2" xfId="5" xr:uid="{00000000-0005-0000-0000-000014000000}"/>
    <cellStyle name="Normal 2 2" xfId="6" xr:uid="{00000000-0005-0000-0000-000015000000}"/>
    <cellStyle name="Normal 2 2 2 2 3" xfId="17" xr:uid="{00000000-0005-0000-0000-000016000000}"/>
    <cellStyle name="Normal 2 7" xfId="20" xr:uid="{00000000-0005-0000-0000-000017000000}"/>
    <cellStyle name="Normal 3" xfId="13" xr:uid="{00000000-0005-0000-0000-000018000000}"/>
    <cellStyle name="Normal 3 2" xfId="14" xr:uid="{00000000-0005-0000-0000-000019000000}"/>
    <cellStyle name="Normal 3 3" xfId="21" xr:uid="{00000000-0005-0000-0000-00001A000000}"/>
    <cellStyle name="Normal 4" xfId="24" xr:uid="{00000000-0005-0000-0000-00001B000000}"/>
    <cellStyle name="Normal 5" xfId="25" xr:uid="{00000000-0005-0000-0000-00001C000000}"/>
    <cellStyle name="Normal 6" xfId="29" xr:uid="{00000000-0005-0000-0000-00001D000000}"/>
    <cellStyle name="Normal 7" xfId="34" xr:uid="{00000000-0005-0000-0000-00001E000000}"/>
    <cellStyle name="Normal 8" xfId="36" xr:uid="{171BCF9A-75BF-4639-9A96-4422FD55F01C}"/>
    <cellStyle name="Percent" xfId="3" builtinId="5"/>
    <cellStyle name="Percent 2" xfId="8" xr:uid="{00000000-0005-0000-0000-000020000000}"/>
    <cellStyle name="Percent 2 2" xfId="4" xr:uid="{00000000-0005-0000-0000-000021000000}"/>
    <cellStyle name="Percent 3" xfId="15" xr:uid="{00000000-0005-0000-0000-000022000000}"/>
    <cellStyle name="Percent 3 2" xfId="16" xr:uid="{00000000-0005-0000-0000-000023000000}"/>
  </cellStyles>
  <dxfs count="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26700</xdr:colOff>
      <xdr:row>28</xdr:row>
      <xdr:rowOff>30954</xdr:rowOff>
    </xdr:from>
    <xdr:to>
      <xdr:col>12</xdr:col>
      <xdr:colOff>984250</xdr:colOff>
      <xdr:row>29</xdr:row>
      <xdr:rowOff>111126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4DAA910B-6198-46CA-9A30-952F7227332E}"/>
            </a:ext>
          </a:extLst>
        </xdr:cNvPr>
        <xdr:cNvGrpSpPr/>
      </xdr:nvGrpSpPr>
      <xdr:grpSpPr>
        <a:xfrm>
          <a:off x="561914" y="5455668"/>
          <a:ext cx="8659193" cy="279744"/>
          <a:chOff x="570986" y="5042917"/>
          <a:chExt cx="14774690" cy="343744"/>
        </a:xfrm>
      </xdr:grpSpPr>
      <xdr:sp macro="" textlink="">
        <xdr:nvSpPr>
          <xdr:cNvPr id="3" name="TextBox 2">
            <a:extLst>
              <a:ext uri="{FF2B5EF4-FFF2-40B4-BE49-F238E27FC236}">
                <a16:creationId xmlns:a16="http://schemas.microsoft.com/office/drawing/2014/main" id="{E903E39F-A18C-4AF2-9738-3856D73C3B33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Kurniadi</a:t>
            </a:r>
            <a:r>
              <a:rPr lang="en-US" sz="1200" b="1" baseline="0"/>
              <a:t> D</a:t>
            </a:r>
            <a:endParaRPr lang="en-US" sz="1200" b="1"/>
          </a:p>
        </xdr:txBody>
      </xdr: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6AB35D35-9FD6-4CBA-9B17-9A632CD9A718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1E041942-7F20-4076-9993-E79B52EBF34D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Robert P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248189FE-8A6A-4547-9ADA-8CE27706581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931E21B1-9E7C-4DA0-9078-6931B1C6F4D3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47613EEE-6713-4762-B24D-BC4290367B5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F H</a:t>
            </a:r>
          </a:p>
        </xdr:txBody>
      </xdr:sp>
    </xdr:grpSp>
    <xdr:clientData/>
  </xdr:twoCellAnchor>
  <xdr:twoCellAnchor>
    <xdr:from>
      <xdr:col>1</xdr:col>
      <xdr:colOff>87947</xdr:colOff>
      <xdr:row>33</xdr:row>
      <xdr:rowOff>104251</xdr:rowOff>
    </xdr:from>
    <xdr:to>
      <xdr:col>12</xdr:col>
      <xdr:colOff>1063625</xdr:colOff>
      <xdr:row>34</xdr:row>
      <xdr:rowOff>79374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361AC916-26C4-41DB-865F-45B43725DD6F}"/>
            </a:ext>
          </a:extLst>
        </xdr:cNvPr>
        <xdr:cNvGrpSpPr/>
      </xdr:nvGrpSpPr>
      <xdr:grpSpPr>
        <a:xfrm>
          <a:off x="396376" y="6526822"/>
          <a:ext cx="8904106" cy="174695"/>
          <a:chOff x="722947" y="7327377"/>
          <a:chExt cx="10285884" cy="0"/>
        </a:xfrm>
      </xdr:grpSpPr>
      <xdr:cxnSp macro="">
        <xdr:nvCxnSpPr>
          <xdr:cNvPr id="10" name="Straight Connector 9">
            <a:extLst>
              <a:ext uri="{FF2B5EF4-FFF2-40B4-BE49-F238E27FC236}">
                <a16:creationId xmlns:a16="http://schemas.microsoft.com/office/drawing/2014/main" id="{F7793B60-6109-47CA-BE5B-CEA42B255936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91950703-6F63-43D2-B33E-806F2C47E951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AF9F6D0C-6CE4-4EDA-BC55-17EE3E28E45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13BD3E8C-678F-428D-874A-7208714808B3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3FC5317F-00EF-41A4-820C-F30CC60C1EF6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344E174A-4A47-4AFA-9DC0-73FAF16DF8C1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P27"/>
  <sheetViews>
    <sheetView showGridLines="0" tabSelected="1" zoomScale="70" zoomScaleNormal="70" workbookViewId="0">
      <selection activeCell="M3" sqref="M3"/>
    </sheetView>
  </sheetViews>
  <sheetFormatPr defaultColWidth="8.58203125" defaultRowHeight="15.5" x14ac:dyDescent="0.35"/>
  <cols>
    <col min="1" max="1" width="4.08203125" style="92" customWidth="1"/>
    <col min="2" max="2" width="3" style="92" customWidth="1"/>
    <col min="3" max="3" width="16.58203125" style="92" customWidth="1"/>
    <col min="4" max="4" width="25.5" style="92" customWidth="1"/>
    <col min="5" max="5" width="4.25" style="92" customWidth="1"/>
    <col min="6" max="6" width="4.83203125" style="92" customWidth="1"/>
    <col min="7" max="7" width="10.58203125" style="92" customWidth="1"/>
    <col min="8" max="8" width="8.33203125" style="92" customWidth="1"/>
    <col min="9" max="9" width="5.33203125" style="92" customWidth="1"/>
    <col min="10" max="10" width="2.08203125" style="92" customWidth="1"/>
    <col min="11" max="11" width="5.08203125" style="92" customWidth="1"/>
    <col min="12" max="12" width="18.33203125" style="92" bestFit="1" customWidth="1"/>
    <col min="13" max="13" width="16.5" style="92" customWidth="1"/>
    <col min="14" max="14" width="2.08203125" style="92" customWidth="1"/>
    <col min="15" max="15" width="3.58203125" style="92" customWidth="1"/>
    <col min="16" max="16" width="14.75" style="92" bestFit="1" customWidth="1"/>
    <col min="17" max="16384" width="8.58203125" style="92"/>
  </cols>
  <sheetData>
    <row r="1" spans="2:16" ht="8.5" customHeight="1" x14ac:dyDescent="0.35"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</row>
    <row r="2" spans="2:16" ht="18.5" x14ac:dyDescent="0.45">
      <c r="B2" s="95"/>
      <c r="C2" s="96" t="s">
        <v>46</v>
      </c>
      <c r="D2" s="93" t="s">
        <v>79</v>
      </c>
      <c r="E2" s="95"/>
      <c r="F2" s="95"/>
      <c r="G2" s="95"/>
      <c r="H2" s="95"/>
      <c r="J2" s="118" t="s">
        <v>78</v>
      </c>
      <c r="K2" s="118"/>
      <c r="L2" s="118"/>
      <c r="M2" s="119">
        <v>45489</v>
      </c>
      <c r="N2" s="95"/>
    </row>
    <row r="3" spans="2:16" ht="18.5" x14ac:dyDescent="0.45">
      <c r="B3" s="95"/>
      <c r="C3" s="96" t="s">
        <v>47</v>
      </c>
      <c r="D3" s="93" t="s">
        <v>123</v>
      </c>
      <c r="E3" s="95"/>
      <c r="F3" s="95"/>
      <c r="G3" s="95"/>
      <c r="H3" s="95"/>
      <c r="M3" s="95"/>
      <c r="N3" s="95"/>
    </row>
    <row r="4" spans="2:16" ht="1" customHeight="1" thickBot="1" x14ac:dyDescent="0.4">
      <c r="B4" s="95"/>
      <c r="C4" s="93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</row>
    <row r="5" spans="2:16" s="94" customFormat="1" ht="19" thickBot="1" x14ac:dyDescent="0.5">
      <c r="B5" s="193" t="s">
        <v>48</v>
      </c>
      <c r="C5" s="194"/>
      <c r="D5" s="195"/>
      <c r="E5" s="193" t="s">
        <v>49</v>
      </c>
      <c r="F5" s="194"/>
      <c r="G5" s="194"/>
      <c r="H5" s="194"/>
      <c r="I5" s="194"/>
      <c r="J5" s="193" t="s">
        <v>50</v>
      </c>
      <c r="K5" s="194"/>
      <c r="L5" s="194"/>
      <c r="M5" s="194"/>
      <c r="N5" s="195"/>
    </row>
    <row r="6" spans="2:16" x14ac:dyDescent="0.35">
      <c r="B6" s="196" t="s">
        <v>51</v>
      </c>
      <c r="C6" s="197"/>
      <c r="D6" s="108" t="s">
        <v>132</v>
      </c>
      <c r="E6" s="198" t="s">
        <v>52</v>
      </c>
      <c r="F6" s="198"/>
      <c r="G6" s="198"/>
      <c r="H6" s="198"/>
      <c r="I6" s="198"/>
      <c r="J6" s="110"/>
      <c r="K6" s="197" t="s">
        <v>53</v>
      </c>
      <c r="L6" s="197"/>
      <c r="M6" s="120">
        <f>906221447/H8</f>
        <v>7489433.4462809917</v>
      </c>
      <c r="N6" s="108"/>
      <c r="P6" s="91"/>
    </row>
    <row r="7" spans="2:16" x14ac:dyDescent="0.35">
      <c r="B7" s="191" t="s">
        <v>54</v>
      </c>
      <c r="C7" s="192"/>
      <c r="D7" s="121"/>
      <c r="E7" s="183" t="s">
        <v>55</v>
      </c>
      <c r="F7" s="183"/>
      <c r="G7" s="183"/>
      <c r="H7" s="122">
        <v>123</v>
      </c>
      <c r="I7" s="95"/>
      <c r="J7" s="99"/>
      <c r="K7" s="183" t="s">
        <v>56</v>
      </c>
      <c r="L7" s="183"/>
      <c r="M7" s="123">
        <v>5</v>
      </c>
      <c r="N7" s="97"/>
    </row>
    <row r="8" spans="2:16" x14ac:dyDescent="0.35">
      <c r="B8" s="191"/>
      <c r="C8" s="192"/>
      <c r="D8" s="97"/>
      <c r="E8" s="183" t="s">
        <v>58</v>
      </c>
      <c r="F8" s="183"/>
      <c r="G8" s="183"/>
      <c r="H8" s="122">
        <v>121</v>
      </c>
      <c r="I8" s="95"/>
      <c r="J8" s="99"/>
      <c r="K8" s="183" t="s">
        <v>72</v>
      </c>
      <c r="L8" s="183"/>
      <c r="M8" s="124">
        <v>0.1</v>
      </c>
      <c r="N8" s="97"/>
      <c r="P8" s="239"/>
    </row>
    <row r="9" spans="2:16" ht="15.75" customHeight="1" x14ac:dyDescent="0.35">
      <c r="B9" s="111" t="s">
        <v>57</v>
      </c>
      <c r="C9" s="112"/>
      <c r="D9" s="97" t="s">
        <v>101</v>
      </c>
      <c r="E9" s="183" t="s">
        <v>60</v>
      </c>
      <c r="F9" s="183"/>
      <c r="G9" s="183"/>
      <c r="H9" s="187"/>
      <c r="I9" s="188"/>
      <c r="J9" s="99"/>
      <c r="K9" s="183" t="s">
        <v>61</v>
      </c>
      <c r="L9" s="183"/>
      <c r="M9" s="120">
        <v>0</v>
      </c>
      <c r="N9" s="97"/>
    </row>
    <row r="10" spans="2:16" x14ac:dyDescent="0.35">
      <c r="B10" s="113" t="s">
        <v>59</v>
      </c>
      <c r="C10" s="114"/>
      <c r="D10" s="97" t="s">
        <v>93</v>
      </c>
      <c r="H10" s="187"/>
      <c r="I10" s="188"/>
      <c r="J10" s="115"/>
      <c r="K10" s="185" t="s">
        <v>69</v>
      </c>
      <c r="L10" s="185"/>
      <c r="M10" s="91">
        <f>IRR!L19</f>
        <v>660000000</v>
      </c>
      <c r="N10" s="97"/>
      <c r="P10" s="91"/>
    </row>
    <row r="11" spans="2:16" x14ac:dyDescent="0.35">
      <c r="B11" s="113" t="s">
        <v>62</v>
      </c>
      <c r="C11" s="114"/>
      <c r="D11" s="97" t="s">
        <v>123</v>
      </c>
      <c r="H11" s="187"/>
      <c r="I11" s="188"/>
      <c r="J11" s="99"/>
      <c r="K11" s="185" t="s">
        <v>64</v>
      </c>
      <c r="L11" s="185"/>
      <c r="M11" s="120">
        <f>IRR!G8</f>
        <v>89433549</v>
      </c>
      <c r="N11" s="97"/>
      <c r="P11" s="91"/>
    </row>
    <row r="12" spans="2:16" x14ac:dyDescent="0.35">
      <c r="B12" s="116" t="s">
        <v>65</v>
      </c>
      <c r="C12" s="117"/>
      <c r="D12" s="98">
        <v>4</v>
      </c>
      <c r="E12" s="184" t="s">
        <v>63</v>
      </c>
      <c r="F12" s="184"/>
      <c r="G12" s="184"/>
      <c r="H12" s="184"/>
      <c r="I12" s="184"/>
      <c r="J12" s="99"/>
      <c r="K12" s="185" t="s">
        <v>129</v>
      </c>
      <c r="L12" s="185"/>
      <c r="M12" s="120">
        <f>IRR!L22</f>
        <v>200000000</v>
      </c>
      <c r="N12" s="97"/>
      <c r="P12" s="91"/>
    </row>
    <row r="13" spans="2:16" x14ac:dyDescent="0.35">
      <c r="B13" s="116" t="s">
        <v>67</v>
      </c>
      <c r="C13" s="117"/>
      <c r="D13" s="98">
        <v>1</v>
      </c>
      <c r="E13" s="186" t="s">
        <v>66</v>
      </c>
      <c r="F13" s="186"/>
      <c r="G13" s="186"/>
      <c r="H13" s="125">
        <v>0</v>
      </c>
      <c r="I13" s="95"/>
      <c r="J13" s="99"/>
      <c r="K13" s="144" t="s">
        <v>130</v>
      </c>
      <c r="L13" s="144"/>
      <c r="M13" s="120">
        <f>SUM(IRR!L23:L25)</f>
        <v>373100000</v>
      </c>
      <c r="N13" s="97"/>
      <c r="P13" s="91"/>
    </row>
    <row r="14" spans="2:16" ht="16" thickBot="1" x14ac:dyDescent="0.4">
      <c r="B14" s="99"/>
      <c r="C14" s="95"/>
      <c r="D14" s="97"/>
      <c r="E14" s="186" t="s">
        <v>68</v>
      </c>
      <c r="F14" s="186"/>
      <c r="G14" s="186"/>
      <c r="H14" s="125">
        <v>0</v>
      </c>
      <c r="I14" s="95"/>
      <c r="J14" s="115"/>
      <c r="K14" s="102"/>
      <c r="N14" s="97"/>
    </row>
    <row r="15" spans="2:16" x14ac:dyDescent="0.35">
      <c r="B15" s="99"/>
      <c r="C15" s="95"/>
      <c r="D15" s="97"/>
      <c r="E15" s="186" t="s">
        <v>70</v>
      </c>
      <c r="F15" s="186"/>
      <c r="G15" s="186"/>
      <c r="H15" s="125">
        <v>0</v>
      </c>
      <c r="I15" s="95"/>
      <c r="J15" s="126"/>
      <c r="K15" s="189" t="s">
        <v>26</v>
      </c>
      <c r="L15" s="190"/>
      <c r="M15" s="240">
        <f>IRR!F40</f>
        <v>-1.5480302156864134E-2</v>
      </c>
      <c r="N15" s="97"/>
      <c r="P15" s="239"/>
    </row>
    <row r="16" spans="2:16" x14ac:dyDescent="0.35">
      <c r="B16" s="99"/>
      <c r="C16" s="95"/>
      <c r="D16" s="97"/>
      <c r="E16" s="184" t="s">
        <v>71</v>
      </c>
      <c r="F16" s="184"/>
      <c r="G16" s="184"/>
      <c r="H16" s="184"/>
      <c r="I16" s="184"/>
      <c r="J16" s="126"/>
      <c r="K16" s="177" t="s">
        <v>27</v>
      </c>
      <c r="L16" s="178"/>
      <c r="M16" s="241">
        <f>IRR!F41</f>
        <v>-28672244.405375201</v>
      </c>
      <c r="N16" s="97"/>
      <c r="P16" s="91"/>
    </row>
    <row r="17" spans="2:16" x14ac:dyDescent="0.35">
      <c r="B17" s="99"/>
      <c r="C17" s="95"/>
      <c r="D17" s="97"/>
      <c r="E17" s="95"/>
      <c r="F17" s="95"/>
      <c r="G17" s="95"/>
      <c r="H17" s="95"/>
      <c r="I17" s="95"/>
      <c r="J17" s="126"/>
      <c r="K17" s="177" t="s">
        <v>28</v>
      </c>
      <c r="L17" s="178"/>
      <c r="M17" s="100">
        <f>IRR!F42</f>
        <v>0.13166666666666665</v>
      </c>
      <c r="N17" s="97"/>
      <c r="P17" s="239"/>
    </row>
    <row r="18" spans="2:16" ht="16" thickBot="1" x14ac:dyDescent="0.4">
      <c r="B18" s="99"/>
      <c r="C18" s="95"/>
      <c r="D18" s="97"/>
      <c r="E18" s="95"/>
      <c r="F18" s="95"/>
      <c r="G18" s="95"/>
      <c r="H18" s="95"/>
      <c r="I18" s="95"/>
      <c r="J18" s="99"/>
      <c r="K18" s="179" t="s">
        <v>73</v>
      </c>
      <c r="L18" s="180"/>
      <c r="M18" s="140">
        <f>IRR!F43</f>
        <v>0</v>
      </c>
      <c r="N18" s="97"/>
    </row>
    <row r="19" spans="2:16" ht="16" thickBot="1" x14ac:dyDescent="0.4">
      <c r="B19" s="101"/>
      <c r="C19" s="102"/>
      <c r="D19" s="103"/>
      <c r="E19" s="102"/>
      <c r="F19" s="102" t="s">
        <v>45</v>
      </c>
      <c r="G19" s="102"/>
      <c r="H19" s="102"/>
      <c r="I19" s="102"/>
      <c r="J19" s="99"/>
      <c r="K19" s="104"/>
      <c r="L19" s="143"/>
      <c r="M19" s="143"/>
      <c r="N19" s="97"/>
    </row>
    <row r="20" spans="2:16" x14ac:dyDescent="0.35">
      <c r="B20" s="106" t="s">
        <v>77</v>
      </c>
      <c r="C20" s="107"/>
      <c r="D20" s="107"/>
      <c r="E20" s="107"/>
      <c r="F20" s="107"/>
      <c r="G20" s="107"/>
      <c r="H20" s="107"/>
      <c r="I20" s="107"/>
      <c r="J20" s="107"/>
      <c r="L20" s="127" t="s">
        <v>80</v>
      </c>
      <c r="M20" s="107"/>
      <c r="N20" s="108"/>
    </row>
    <row r="21" spans="2:16" x14ac:dyDescent="0.35">
      <c r="B21" s="99" t="s">
        <v>76</v>
      </c>
      <c r="C21" s="95"/>
      <c r="D21" s="95" t="s">
        <v>122</v>
      </c>
      <c r="E21" s="95"/>
      <c r="F21" s="95"/>
      <c r="G21" s="95"/>
      <c r="H21" s="95"/>
      <c r="I21" s="95"/>
      <c r="J21" s="95"/>
      <c r="K21" s="95"/>
      <c r="L21" s="181" t="s">
        <v>128</v>
      </c>
      <c r="M21" s="182"/>
      <c r="N21" s="97"/>
    </row>
    <row r="22" spans="2:16" x14ac:dyDescent="0.35">
      <c r="B22" s="99"/>
      <c r="C22" s="95"/>
      <c r="D22" s="95" t="s">
        <v>122</v>
      </c>
      <c r="E22" s="95"/>
      <c r="F22" s="95"/>
      <c r="G22" s="95"/>
      <c r="H22" s="95"/>
      <c r="I22" s="95"/>
      <c r="J22" s="95"/>
      <c r="K22" s="95"/>
      <c r="L22" s="95"/>
      <c r="M22" s="95"/>
      <c r="N22" s="97"/>
    </row>
    <row r="23" spans="2:16" x14ac:dyDescent="0.35">
      <c r="B23" s="99"/>
      <c r="C23" s="95"/>
      <c r="D23" s="95" t="s">
        <v>122</v>
      </c>
      <c r="E23" s="95"/>
      <c r="F23" s="95"/>
      <c r="G23" s="95"/>
      <c r="H23" s="95"/>
      <c r="I23" s="95"/>
      <c r="J23" s="95"/>
      <c r="K23" s="95"/>
      <c r="L23" s="95"/>
      <c r="M23" s="95"/>
      <c r="N23" s="97"/>
    </row>
    <row r="24" spans="2:16" x14ac:dyDescent="0.35">
      <c r="B24" s="99"/>
      <c r="C24" s="95"/>
      <c r="E24" s="95"/>
      <c r="F24" s="95"/>
      <c r="G24" s="95"/>
      <c r="H24" s="95"/>
      <c r="I24" s="95"/>
      <c r="J24" s="95"/>
      <c r="K24" s="95"/>
      <c r="L24" s="95"/>
      <c r="M24" s="95"/>
      <c r="N24" s="97"/>
    </row>
    <row r="25" spans="2:16" ht="16" thickBot="1" x14ac:dyDescent="0.4">
      <c r="B25" s="101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3"/>
    </row>
    <row r="27" spans="2:16" x14ac:dyDescent="0.35">
      <c r="B27" s="1" t="s">
        <v>81</v>
      </c>
    </row>
  </sheetData>
  <mergeCells count="28">
    <mergeCell ref="B5:D5"/>
    <mergeCell ref="E5:I5"/>
    <mergeCell ref="J5:N5"/>
    <mergeCell ref="B6:C6"/>
    <mergeCell ref="E6:I6"/>
    <mergeCell ref="K6:L6"/>
    <mergeCell ref="B7:C7"/>
    <mergeCell ref="E7:G7"/>
    <mergeCell ref="K7:L7"/>
    <mergeCell ref="B8:C8"/>
    <mergeCell ref="E8:G8"/>
    <mergeCell ref="K8:L8"/>
    <mergeCell ref="K17:L17"/>
    <mergeCell ref="K18:L18"/>
    <mergeCell ref="L21:M21"/>
    <mergeCell ref="E9:G9"/>
    <mergeCell ref="K9:L9"/>
    <mergeCell ref="E12:I12"/>
    <mergeCell ref="K11:L11"/>
    <mergeCell ref="E13:G13"/>
    <mergeCell ref="K12:L12"/>
    <mergeCell ref="H9:I11"/>
    <mergeCell ref="K10:L10"/>
    <mergeCell ref="E14:G14"/>
    <mergeCell ref="E15:G15"/>
    <mergeCell ref="E16:I16"/>
    <mergeCell ref="K15:L15"/>
    <mergeCell ref="K16:L16"/>
  </mergeCells>
  <pageMargins left="0.7" right="0.7" top="0.75" bottom="0.75" header="0.3" footer="0.3"/>
  <pageSetup paperSize="9" scale="92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U54"/>
  <sheetViews>
    <sheetView showGridLines="0" topLeftCell="A32" zoomScale="86" zoomScaleNormal="86" workbookViewId="0">
      <selection activeCell="K39" sqref="K39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8.83203125" customWidth="1"/>
    <col min="5" max="5" width="7.25" bestFit="1" customWidth="1"/>
    <col min="6" max="6" width="16.83203125" customWidth="1"/>
    <col min="7" max="7" width="17.58203125" style="2" customWidth="1"/>
    <col min="8" max="8" width="12.75" bestFit="1" customWidth="1"/>
    <col min="9" max="9" width="13.1640625" bestFit="1" customWidth="1"/>
    <col min="10" max="11" width="12.75" bestFit="1" customWidth="1"/>
    <col min="12" max="12" width="14.83203125" bestFit="1" customWidth="1"/>
    <col min="13" max="13" width="15.83203125" customWidth="1"/>
    <col min="14" max="17" width="15" bestFit="1" customWidth="1"/>
    <col min="18" max="18" width="15.58203125" bestFit="1" customWidth="1"/>
    <col min="19" max="19" width="11.75" bestFit="1" customWidth="1"/>
  </cols>
  <sheetData>
    <row r="1" spans="2:21" x14ac:dyDescent="0.35">
      <c r="B1" s="3" t="s">
        <v>0</v>
      </c>
    </row>
    <row r="2" spans="2:21" x14ac:dyDescent="0.35">
      <c r="C2" t="s">
        <v>1</v>
      </c>
      <c r="F2" s="5">
        <v>0.02</v>
      </c>
      <c r="L2" s="4"/>
      <c r="M2" s="4"/>
      <c r="N2" s="4"/>
    </row>
    <row r="3" spans="2:21" x14ac:dyDescent="0.35">
      <c r="C3" t="s">
        <v>40</v>
      </c>
      <c r="F3" s="5">
        <v>0.1</v>
      </c>
      <c r="L3" s="4"/>
      <c r="M3" s="4"/>
      <c r="N3" s="4"/>
    </row>
    <row r="4" spans="2:21" x14ac:dyDescent="0.35">
      <c r="C4" t="s">
        <v>2</v>
      </c>
      <c r="F4" s="5">
        <v>0.05</v>
      </c>
      <c r="G4" s="2" t="s">
        <v>3</v>
      </c>
      <c r="N4" s="52"/>
      <c r="O4" s="52"/>
      <c r="P4" s="52"/>
      <c r="Q4" s="52"/>
    </row>
    <row r="5" spans="2:21" x14ac:dyDescent="0.35">
      <c r="C5" t="s">
        <v>4</v>
      </c>
      <c r="F5" s="6">
        <v>0</v>
      </c>
      <c r="G5" s="2" t="s">
        <v>3</v>
      </c>
    </row>
    <row r="6" spans="2:21" x14ac:dyDescent="0.35">
      <c r="C6" t="s">
        <v>127</v>
      </c>
      <c r="F6" s="5">
        <v>0.15</v>
      </c>
    </row>
    <row r="7" spans="2:21" x14ac:dyDescent="0.35">
      <c r="B7" s="1"/>
      <c r="G7" s="30" t="s">
        <v>35</v>
      </c>
      <c r="H7" s="30" t="s">
        <v>36</v>
      </c>
      <c r="I7" s="30" t="s">
        <v>37</v>
      </c>
      <c r="J7" s="30" t="s">
        <v>38</v>
      </c>
      <c r="K7" s="30" t="s">
        <v>39</v>
      </c>
      <c r="L7" s="25"/>
      <c r="M7" s="39"/>
      <c r="R7" s="39"/>
      <c r="S7" s="39"/>
      <c r="T7" s="39"/>
    </row>
    <row r="8" spans="2:21" s="81" customFormat="1" ht="16" thickBot="1" x14ac:dyDescent="0.4">
      <c r="B8" s="87" t="s">
        <v>43</v>
      </c>
      <c r="E8" s="81" t="s">
        <v>133</v>
      </c>
      <c r="F8" s="86"/>
      <c r="G8" s="82">
        <v>89433549</v>
      </c>
      <c r="H8" s="82">
        <v>0</v>
      </c>
      <c r="I8" s="82">
        <v>0</v>
      </c>
      <c r="J8" s="82">
        <v>0</v>
      </c>
      <c r="K8" s="82"/>
      <c r="L8" s="85"/>
      <c r="M8" s="83"/>
      <c r="N8"/>
      <c r="O8"/>
      <c r="P8"/>
      <c r="Q8"/>
      <c r="R8" s="83"/>
      <c r="S8" s="83"/>
      <c r="T8" s="83"/>
    </row>
    <row r="9" spans="2:21" s="81" customFormat="1" ht="16" thickTop="1" x14ac:dyDescent="0.35">
      <c r="B9" s="87"/>
      <c r="E9" s="81" t="s">
        <v>75</v>
      </c>
      <c r="F9" s="86"/>
      <c r="G9" s="83"/>
      <c r="H9" s="83"/>
      <c r="I9" s="83"/>
      <c r="J9" s="83"/>
      <c r="K9" s="83"/>
      <c r="L9" s="85"/>
      <c r="M9" s="83"/>
      <c r="N9"/>
      <c r="O9"/>
      <c r="P9"/>
      <c r="Q9"/>
      <c r="R9" s="83"/>
      <c r="S9" s="83"/>
      <c r="T9" s="83"/>
    </row>
    <row r="10" spans="2:21" x14ac:dyDescent="0.35">
      <c r="F10" s="10"/>
      <c r="G10" s="9">
        <v>2024</v>
      </c>
      <c r="H10" s="9">
        <v>2025</v>
      </c>
      <c r="I10" s="9">
        <v>2026</v>
      </c>
      <c r="J10" s="9">
        <v>2027</v>
      </c>
      <c r="K10" s="9">
        <v>2028</v>
      </c>
      <c r="L10" s="9"/>
      <c r="R10" s="38"/>
      <c r="S10" s="38"/>
      <c r="T10" s="38"/>
      <c r="U10" s="38"/>
    </row>
    <row r="11" spans="2:21" ht="16" thickBot="1" x14ac:dyDescent="0.4">
      <c r="B11" s="11" t="s">
        <v>11</v>
      </c>
      <c r="C11" s="7"/>
      <c r="D11" s="7"/>
      <c r="E11" s="7"/>
      <c r="F11" s="7"/>
      <c r="G11" s="8" t="s">
        <v>6</v>
      </c>
      <c r="H11" s="12" t="s">
        <v>7</v>
      </c>
      <c r="I11" s="8" t="s">
        <v>8</v>
      </c>
      <c r="J11" s="12" t="s">
        <v>9</v>
      </c>
      <c r="K11" s="8" t="s">
        <v>10</v>
      </c>
      <c r="L11" s="67" t="s">
        <v>12</v>
      </c>
      <c r="M11" s="52"/>
      <c r="N11" s="41"/>
      <c r="O11" s="41"/>
      <c r="P11" s="41"/>
      <c r="Q11" s="41"/>
      <c r="R11" s="52"/>
      <c r="S11" s="38"/>
      <c r="T11" s="38"/>
      <c r="U11" s="38"/>
    </row>
    <row r="12" spans="2:21" x14ac:dyDescent="0.35">
      <c r="B12" t="s">
        <v>13</v>
      </c>
      <c r="G12" s="9">
        <v>12</v>
      </c>
      <c r="H12" s="9">
        <v>12</v>
      </c>
      <c r="I12" s="9">
        <v>12</v>
      </c>
      <c r="J12" s="9">
        <v>12</v>
      </c>
      <c r="K12" s="9">
        <v>12</v>
      </c>
      <c r="L12" s="68"/>
      <c r="N12" s="43"/>
      <c r="O12" s="43"/>
      <c r="P12" s="43"/>
      <c r="Q12" s="43"/>
    </row>
    <row r="13" spans="2:21" x14ac:dyDescent="0.35">
      <c r="L13" s="68"/>
      <c r="N13" s="44"/>
      <c r="O13" s="44"/>
      <c r="P13" s="44"/>
      <c r="Q13" s="44"/>
    </row>
    <row r="14" spans="2:21" x14ac:dyDescent="0.35">
      <c r="B14" s="1" t="s">
        <v>5</v>
      </c>
      <c r="E14" s="17"/>
      <c r="G14" s="18"/>
      <c r="H14" s="141"/>
      <c r="I14" s="19"/>
      <c r="J14" s="19"/>
      <c r="K14" s="19"/>
      <c r="L14" s="68"/>
      <c r="N14" s="41"/>
      <c r="O14" s="41"/>
      <c r="P14" s="41"/>
      <c r="Q14" s="41"/>
    </row>
    <row r="15" spans="2:21" x14ac:dyDescent="0.35">
      <c r="B15" s="1"/>
      <c r="C15" t="s">
        <v>125</v>
      </c>
      <c r="E15" s="17"/>
      <c r="G15" s="141">
        <v>132000000</v>
      </c>
      <c r="H15" s="141">
        <f>G15</f>
        <v>132000000</v>
      </c>
      <c r="I15" s="141">
        <f>H15</f>
        <v>132000000</v>
      </c>
      <c r="J15" s="141">
        <f>I15</f>
        <v>132000000</v>
      </c>
      <c r="K15" s="141">
        <f>J15</f>
        <v>132000000</v>
      </c>
      <c r="L15" s="145">
        <f>SUM(G15:K15)</f>
        <v>660000000</v>
      </c>
      <c r="N15" s="41"/>
      <c r="O15" s="41"/>
      <c r="P15" s="41"/>
      <c r="Q15" s="41"/>
    </row>
    <row r="16" spans="2:21" x14ac:dyDescent="0.35">
      <c r="B16" s="1"/>
      <c r="C16" t="s">
        <v>126</v>
      </c>
      <c r="E16" s="17"/>
      <c r="G16" s="64"/>
      <c r="H16" s="64">
        <f>G16*(1-$F$6)</f>
        <v>0</v>
      </c>
      <c r="I16" s="64">
        <f t="shared" ref="I16:K16" si="0">H16</f>
        <v>0</v>
      </c>
      <c r="J16" s="64">
        <f t="shared" si="0"/>
        <v>0</v>
      </c>
      <c r="K16" s="64">
        <f t="shared" si="0"/>
        <v>0</v>
      </c>
      <c r="L16" s="145">
        <f>SUM(G16:K16)</f>
        <v>0</v>
      </c>
      <c r="N16" s="41"/>
      <c r="O16" s="41"/>
      <c r="P16" s="41"/>
      <c r="Q16" s="41"/>
    </row>
    <row r="17" spans="2:19" x14ac:dyDescent="0.35">
      <c r="B17" s="1"/>
      <c r="C17" t="s">
        <v>131</v>
      </c>
      <c r="E17" s="17"/>
      <c r="G17" s="64"/>
      <c r="H17" s="64"/>
      <c r="I17" s="64"/>
      <c r="J17" s="64"/>
      <c r="K17" s="64"/>
      <c r="L17" s="145">
        <f>SUM(G17:K17)</f>
        <v>0</v>
      </c>
      <c r="N17" s="41"/>
      <c r="O17" s="41"/>
      <c r="P17" s="41"/>
      <c r="Q17" s="41"/>
    </row>
    <row r="18" spans="2:19" x14ac:dyDescent="0.35">
      <c r="B18" s="1"/>
      <c r="E18" s="17"/>
      <c r="G18" s="141"/>
      <c r="H18" s="141"/>
      <c r="I18" s="141"/>
      <c r="J18" s="141"/>
      <c r="K18" s="141"/>
      <c r="L18" s="68"/>
      <c r="N18" s="45"/>
      <c r="O18" s="45"/>
      <c r="P18" s="45"/>
      <c r="Q18" s="45"/>
    </row>
    <row r="19" spans="2:19" x14ac:dyDescent="0.35">
      <c r="B19" s="62" t="s">
        <v>121</v>
      </c>
      <c r="C19" s="62"/>
      <c r="D19" s="62"/>
      <c r="E19" s="199"/>
      <c r="F19" s="200"/>
      <c r="G19" s="63">
        <f>SUM(G15:G18)</f>
        <v>132000000</v>
      </c>
      <c r="H19" s="63">
        <f>SUM(H15:H18)</f>
        <v>132000000</v>
      </c>
      <c r="I19" s="63">
        <f t="shared" ref="I19:K19" si="1">SUM(I15:I18)</f>
        <v>132000000</v>
      </c>
      <c r="J19" s="63">
        <f t="shared" si="1"/>
        <v>132000000</v>
      </c>
      <c r="K19" s="63">
        <f t="shared" si="1"/>
        <v>132000000</v>
      </c>
      <c r="L19" s="69">
        <f>SUM(G19:K19)</f>
        <v>660000000</v>
      </c>
      <c r="M19" s="41"/>
      <c r="N19" s="46"/>
      <c r="O19" s="46"/>
      <c r="P19" s="46"/>
      <c r="Q19" s="46"/>
      <c r="R19" s="41"/>
      <c r="S19" s="43"/>
    </row>
    <row r="20" spans="2:19" x14ac:dyDescent="0.35">
      <c r="L20" s="68"/>
      <c r="M20" s="43"/>
      <c r="N20" s="46"/>
      <c r="O20" s="46"/>
      <c r="P20" s="46"/>
      <c r="Q20" s="46"/>
      <c r="R20" s="43"/>
      <c r="S20" s="43"/>
    </row>
    <row r="21" spans="2:19" x14ac:dyDescent="0.35">
      <c r="B21" s="1" t="s">
        <v>14</v>
      </c>
      <c r="E21" s="17"/>
      <c r="F21" s="17"/>
      <c r="G21" s="18"/>
      <c r="H21" s="17"/>
      <c r="I21" s="19"/>
      <c r="J21" s="19"/>
      <c r="K21" s="19"/>
      <c r="L21" s="70"/>
      <c r="M21" s="44"/>
      <c r="N21" s="48"/>
      <c r="O21" s="48"/>
      <c r="P21" s="48"/>
      <c r="Q21" s="48"/>
      <c r="R21" s="43"/>
      <c r="S21" s="43"/>
    </row>
    <row r="22" spans="2:19" x14ac:dyDescent="0.35">
      <c r="C22" t="s">
        <v>124</v>
      </c>
      <c r="E22" s="142"/>
      <c r="G22" s="13">
        <v>80000000</v>
      </c>
      <c r="H22" s="13"/>
      <c r="I22" s="13">
        <v>120000000</v>
      </c>
      <c r="J22" s="13"/>
      <c r="K22" s="13"/>
      <c r="L22" s="71">
        <f>SUM(G22:K22)</f>
        <v>200000000</v>
      </c>
      <c r="M22" s="41" t="s">
        <v>45</v>
      </c>
      <c r="N22" s="41"/>
      <c r="O22" s="41"/>
      <c r="P22" s="41"/>
      <c r="Q22" s="41"/>
      <c r="R22" s="42"/>
      <c r="S22" s="43"/>
    </row>
    <row r="23" spans="2:19" x14ac:dyDescent="0.35">
      <c r="C23" t="s">
        <v>15</v>
      </c>
      <c r="F23" s="109"/>
      <c r="G23" s="13">
        <f>PARAMETER!B48</f>
        <v>42000000</v>
      </c>
      <c r="H23" s="13">
        <f t="shared" ref="H23:K24" si="2">G23</f>
        <v>42000000</v>
      </c>
      <c r="I23" s="13">
        <f>H23</f>
        <v>42000000</v>
      </c>
      <c r="J23" s="13">
        <f>I23</f>
        <v>42000000</v>
      </c>
      <c r="K23" s="13">
        <f>J23</f>
        <v>42000000</v>
      </c>
      <c r="L23" s="71">
        <f>SUM(G23:K23)</f>
        <v>210000000</v>
      </c>
      <c r="M23" s="41"/>
      <c r="N23" s="49"/>
      <c r="O23" s="49"/>
      <c r="P23" s="49"/>
      <c r="Q23" s="49"/>
      <c r="R23" s="42"/>
      <c r="S23" s="43"/>
    </row>
    <row r="24" spans="2:19" x14ac:dyDescent="0.35">
      <c r="C24" t="s">
        <v>41</v>
      </c>
      <c r="G24" s="105">
        <f>PARAMETER!K27</f>
        <v>32620000</v>
      </c>
      <c r="H24" s="105">
        <f t="shared" si="2"/>
        <v>32620000</v>
      </c>
      <c r="I24" s="13">
        <f t="shared" si="2"/>
        <v>32620000</v>
      </c>
      <c r="J24" s="13">
        <f t="shared" si="2"/>
        <v>32620000</v>
      </c>
      <c r="K24" s="13">
        <f t="shared" si="2"/>
        <v>32620000</v>
      </c>
      <c r="L24" s="71">
        <f t="shared" ref="L24:L25" si="3">SUM(G24:K24)</f>
        <v>163100000</v>
      </c>
      <c r="M24" s="41"/>
      <c r="N24" s="49"/>
      <c r="O24" s="49"/>
      <c r="P24" s="49"/>
      <c r="Q24" s="49"/>
      <c r="R24" s="42"/>
      <c r="S24" s="43"/>
    </row>
    <row r="25" spans="2:19" x14ac:dyDescent="0.35">
      <c r="B25" s="15"/>
      <c r="C25" s="15" t="s">
        <v>2</v>
      </c>
      <c r="D25" s="15"/>
      <c r="E25" s="15"/>
      <c r="F25" s="15"/>
      <c r="G25" s="20"/>
      <c r="H25" s="20"/>
      <c r="I25" s="13"/>
      <c r="J25" s="13"/>
      <c r="K25" s="13"/>
      <c r="L25" s="71">
        <f t="shared" si="3"/>
        <v>0</v>
      </c>
      <c r="M25" s="45"/>
      <c r="N25" s="49"/>
      <c r="O25" s="49"/>
      <c r="P25" s="49"/>
      <c r="Q25" s="49"/>
      <c r="R25" s="42"/>
      <c r="S25" s="43"/>
    </row>
    <row r="26" spans="2:19" s="1" customFormat="1" x14ac:dyDescent="0.35">
      <c r="B26" s="62" t="s">
        <v>16</v>
      </c>
      <c r="C26" s="62"/>
      <c r="D26" s="62"/>
      <c r="E26" s="62"/>
      <c r="F26" s="62"/>
      <c r="G26" s="63">
        <f>SUM(G22:G25)</f>
        <v>154620000</v>
      </c>
      <c r="H26" s="63">
        <f t="shared" ref="H26" si="4">SUM(H22:H25)</f>
        <v>74620000</v>
      </c>
      <c r="I26" s="63">
        <f>SUM(I22:I25)</f>
        <v>194620000</v>
      </c>
      <c r="J26" s="63">
        <f t="shared" ref="J26:K26" si="5">SUM(J22:J25)</f>
        <v>74620000</v>
      </c>
      <c r="K26" s="63">
        <f t="shared" si="5"/>
        <v>74620000</v>
      </c>
      <c r="L26" s="84">
        <f>SUM(L22:L25)</f>
        <v>573100000</v>
      </c>
      <c r="M26" s="46"/>
      <c r="N26" s="51"/>
      <c r="O26" s="51"/>
      <c r="P26" s="51"/>
      <c r="Q26" s="51"/>
      <c r="R26" s="46"/>
      <c r="S26" s="47"/>
    </row>
    <row r="27" spans="2:19" s="1" customFormat="1" x14ac:dyDescent="0.35">
      <c r="B27" s="1" t="s">
        <v>17</v>
      </c>
      <c r="G27" s="21">
        <f>G19-G26</f>
        <v>-22620000</v>
      </c>
      <c r="H27" s="21">
        <f>H19-H26</f>
        <v>57380000</v>
      </c>
      <c r="I27" s="21">
        <f t="shared" ref="I27:K27" si="6">I19-I26</f>
        <v>-62620000</v>
      </c>
      <c r="J27" s="21">
        <f t="shared" si="6"/>
        <v>57380000</v>
      </c>
      <c r="K27" s="21">
        <f t="shared" si="6"/>
        <v>57380000</v>
      </c>
      <c r="L27" s="72">
        <f>L19-L26</f>
        <v>86900000</v>
      </c>
      <c r="M27" s="46"/>
      <c r="N27" s="49"/>
      <c r="O27" s="49"/>
      <c r="P27" s="49"/>
      <c r="Q27" s="49"/>
      <c r="R27" s="46"/>
      <c r="S27" s="47"/>
    </row>
    <row r="28" spans="2:19" s="1" customFormat="1" x14ac:dyDescent="0.35">
      <c r="B28" s="22" t="s">
        <v>18</v>
      </c>
      <c r="C28" s="23"/>
      <c r="D28" s="23"/>
      <c r="E28" s="23"/>
      <c r="F28" s="23"/>
      <c r="G28" s="24">
        <v>0</v>
      </c>
      <c r="H28" s="24">
        <f>H27/H19</f>
        <v>0.43469696969696969</v>
      </c>
      <c r="I28" s="24">
        <f t="shared" ref="I28:K28" si="7">I27/I19</f>
        <v>-0.47439393939393937</v>
      </c>
      <c r="J28" s="24">
        <f t="shared" si="7"/>
        <v>0.43469696969696969</v>
      </c>
      <c r="K28" s="24">
        <f t="shared" si="7"/>
        <v>0.43469696969696969</v>
      </c>
      <c r="L28" s="73">
        <f>L27/L19</f>
        <v>0.13166666666666665</v>
      </c>
      <c r="M28" s="48"/>
      <c r="N28" s="43"/>
      <c r="O28" s="43"/>
      <c r="P28" s="43"/>
      <c r="Q28" s="43"/>
      <c r="R28" s="48"/>
      <c r="S28" s="47"/>
    </row>
    <row r="29" spans="2:19" x14ac:dyDescent="0.35">
      <c r="B29" s="15" t="s">
        <v>19</v>
      </c>
      <c r="C29" s="15"/>
      <c r="D29" s="15"/>
      <c r="E29" s="15"/>
      <c r="F29" s="15"/>
      <c r="G29" s="16">
        <f>G51</f>
        <v>17886709.800000001</v>
      </c>
      <c r="H29" s="16">
        <f>H51</f>
        <v>17886709.800000001</v>
      </c>
      <c r="I29" s="16">
        <f t="shared" ref="I29:K29" si="8">I51</f>
        <v>17886709.800000001</v>
      </c>
      <c r="J29" s="16">
        <f t="shared" si="8"/>
        <v>17886709.800000001</v>
      </c>
      <c r="K29" s="16">
        <f t="shared" si="8"/>
        <v>17886709.800000001</v>
      </c>
      <c r="L29" s="74">
        <f>SUM(G29:K29)</f>
        <v>89433549</v>
      </c>
      <c r="M29" s="41"/>
      <c r="N29" s="50"/>
      <c r="O29" s="50"/>
      <c r="P29" s="50"/>
      <c r="Q29" s="50"/>
      <c r="R29" s="41"/>
      <c r="S29" s="43"/>
    </row>
    <row r="30" spans="2:19" x14ac:dyDescent="0.35">
      <c r="B30" s="25" t="s">
        <v>20</v>
      </c>
      <c r="G30" s="26">
        <f t="shared" ref="G30:L30" si="9">G27-G29</f>
        <v>-40506709.799999997</v>
      </c>
      <c r="H30" s="26">
        <f t="shared" si="9"/>
        <v>39493290.200000003</v>
      </c>
      <c r="I30" s="26">
        <f t="shared" si="9"/>
        <v>-80506709.799999997</v>
      </c>
      <c r="J30" s="26">
        <f t="shared" si="9"/>
        <v>39493290.200000003</v>
      </c>
      <c r="K30" s="26">
        <f t="shared" si="9"/>
        <v>39493290.200000003</v>
      </c>
      <c r="L30" s="75">
        <f t="shared" si="9"/>
        <v>-2533549</v>
      </c>
      <c r="M30" s="49"/>
      <c r="N30" s="50"/>
      <c r="O30" s="50"/>
      <c r="P30" s="50"/>
      <c r="Q30" s="50"/>
      <c r="R30" s="49"/>
      <c r="S30" s="43"/>
    </row>
    <row r="31" spans="2:19" x14ac:dyDescent="0.35">
      <c r="B31" s="25" t="s">
        <v>33</v>
      </c>
      <c r="G31" s="65">
        <f>PARAMETER!K15</f>
        <v>268517.27999999997</v>
      </c>
      <c r="H31" s="65">
        <f>PARAMETER!L15</f>
        <v>89505.75999999998</v>
      </c>
      <c r="I31" s="65">
        <f>PARAMETER!M15</f>
        <v>0</v>
      </c>
      <c r="J31" s="65">
        <f>PARAMETER!N15</f>
        <v>0</v>
      </c>
      <c r="K31" s="65">
        <f>PARAMETER!O15</f>
        <v>0</v>
      </c>
      <c r="L31" s="89">
        <f>SUM(G31:K31)</f>
        <v>358023.03999999992</v>
      </c>
      <c r="M31" s="49"/>
      <c r="N31" s="50"/>
      <c r="O31" s="50"/>
      <c r="P31" s="50"/>
      <c r="Q31" s="50"/>
      <c r="R31" s="49"/>
      <c r="S31" s="43"/>
    </row>
    <row r="32" spans="2:19" x14ac:dyDescent="0.35">
      <c r="B32" s="25" t="s">
        <v>34</v>
      </c>
      <c r="G32" s="146">
        <f t="shared" ref="G32:K32" si="10">G30-G31</f>
        <v>-40775227.079999998</v>
      </c>
      <c r="H32" s="146">
        <f t="shared" si="10"/>
        <v>39403784.440000005</v>
      </c>
      <c r="I32" s="146">
        <f t="shared" si="10"/>
        <v>-80506709.799999997</v>
      </c>
      <c r="J32" s="146">
        <f t="shared" si="10"/>
        <v>39493290.200000003</v>
      </c>
      <c r="K32" s="146">
        <f t="shared" si="10"/>
        <v>39493290.200000003</v>
      </c>
      <c r="L32" s="89">
        <f>SUM(G32:K32)</f>
        <v>-2891572.0399999917</v>
      </c>
      <c r="M32" s="49"/>
      <c r="N32" s="29"/>
      <c r="O32" s="29"/>
      <c r="P32" s="29"/>
      <c r="Q32" s="29"/>
      <c r="R32" s="49"/>
      <c r="S32" s="43"/>
    </row>
    <row r="33" spans="2:19" x14ac:dyDescent="0.35">
      <c r="B33" s="15" t="s">
        <v>21</v>
      </c>
      <c r="C33" s="15"/>
      <c r="D33" s="15"/>
      <c r="E33" s="15"/>
      <c r="F33" s="15"/>
      <c r="G33" s="147">
        <f>IF(G32&lt;0,0,G32*$F$2)</f>
        <v>0</v>
      </c>
      <c r="H33" s="147">
        <f t="shared" ref="H33:K33" si="11">IF(H32&lt;0,0,H32*$F$2)</f>
        <v>788075.68880000012</v>
      </c>
      <c r="I33" s="147">
        <f t="shared" si="11"/>
        <v>0</v>
      </c>
      <c r="J33" s="147">
        <f t="shared" si="11"/>
        <v>789865.80400000012</v>
      </c>
      <c r="K33" s="147">
        <f t="shared" si="11"/>
        <v>789865.80400000012</v>
      </c>
      <c r="L33" s="76">
        <f>SUM(G33:K33)</f>
        <v>2367807.2968000001</v>
      </c>
      <c r="M33" s="51"/>
      <c r="R33" s="50"/>
      <c r="S33" s="43"/>
    </row>
    <row r="34" spans="2:19" ht="16" thickBot="1" x14ac:dyDescent="0.4">
      <c r="B34" s="28" t="s">
        <v>44</v>
      </c>
      <c r="C34" s="28"/>
      <c r="D34" s="28"/>
      <c r="E34" s="28"/>
      <c r="F34" s="28"/>
      <c r="G34" s="148">
        <f>G32-G33</f>
        <v>-40775227.079999998</v>
      </c>
      <c r="H34" s="148">
        <f t="shared" ref="H34:K34" si="12">H32-H33</f>
        <v>38615708.751200005</v>
      </c>
      <c r="I34" s="148">
        <f t="shared" si="12"/>
        <v>-80506709.799999997</v>
      </c>
      <c r="J34" s="148">
        <f t="shared" si="12"/>
        <v>38703424.396000005</v>
      </c>
      <c r="K34" s="148">
        <f t="shared" si="12"/>
        <v>38703424.396000005</v>
      </c>
      <c r="L34" s="77">
        <f>L32-L33</f>
        <v>-5259379.3367999922</v>
      </c>
      <c r="M34" s="49"/>
      <c r="R34" s="49"/>
      <c r="S34" s="43"/>
    </row>
    <row r="35" spans="2:19" x14ac:dyDescent="0.35">
      <c r="G35" s="149"/>
      <c r="H35" s="150"/>
      <c r="I35" s="150"/>
      <c r="J35" s="150"/>
      <c r="K35" s="150"/>
      <c r="L35" s="68"/>
      <c r="M35" s="43"/>
      <c r="R35" s="43"/>
      <c r="S35" s="43"/>
    </row>
    <row r="36" spans="2:19" x14ac:dyDescent="0.35">
      <c r="B36" s="15" t="s">
        <v>22</v>
      </c>
      <c r="C36" s="15"/>
      <c r="D36" s="15"/>
      <c r="E36" s="15"/>
      <c r="F36" s="152"/>
      <c r="G36" s="151">
        <f>-G8+-G9</f>
        <v>-89433549</v>
      </c>
      <c r="H36" s="151">
        <f>-I8+-I9</f>
        <v>0</v>
      </c>
      <c r="I36" s="151">
        <f t="shared" ref="I36:K36" si="13">-J8+-J9</f>
        <v>0</v>
      </c>
      <c r="J36" s="151">
        <f t="shared" si="13"/>
        <v>0</v>
      </c>
      <c r="K36" s="151">
        <f t="shared" si="13"/>
        <v>0</v>
      </c>
      <c r="L36" s="78">
        <f>SUM(G36:K36)</f>
        <v>-89433549</v>
      </c>
      <c r="M36" s="50"/>
      <c r="R36" s="50"/>
      <c r="S36" s="43"/>
    </row>
    <row r="37" spans="2:19" x14ac:dyDescent="0.35">
      <c r="B37" t="s">
        <v>23</v>
      </c>
      <c r="F37" s="153">
        <f>F36</f>
        <v>0</v>
      </c>
      <c r="G37" s="150">
        <f>G36+G34+G29</f>
        <v>-112322066.28</v>
      </c>
      <c r="H37" s="150">
        <f t="shared" ref="H37" si="14">H36+H34+H29</f>
        <v>56502418.551200002</v>
      </c>
      <c r="I37" s="150">
        <f t="shared" ref="I37:K37" si="15">I36+I34+I29</f>
        <v>-62620000</v>
      </c>
      <c r="J37" s="150">
        <f t="shared" si="15"/>
        <v>56590134.19600001</v>
      </c>
      <c r="K37" s="150">
        <f t="shared" si="15"/>
        <v>56590134.19600001</v>
      </c>
      <c r="L37" s="79">
        <f>SUM(G37:K37)</f>
        <v>-5259379.3367999792</v>
      </c>
      <c r="M37" s="50"/>
      <c r="N37" s="30"/>
      <c r="O37" s="9"/>
      <c r="P37" s="30"/>
      <c r="Q37" s="9"/>
      <c r="R37" s="50"/>
      <c r="S37" s="43"/>
    </row>
    <row r="38" spans="2:19" x14ac:dyDescent="0.35">
      <c r="B38" t="s">
        <v>24</v>
      </c>
      <c r="F38" s="153">
        <f>F37</f>
        <v>0</v>
      </c>
      <c r="G38" s="153">
        <f>G37</f>
        <v>-112322066.28</v>
      </c>
      <c r="H38" s="153">
        <f t="shared" ref="H38" si="16">G38+H37</f>
        <v>-55819647.728799999</v>
      </c>
      <c r="I38" s="153">
        <f t="shared" ref="I38" si="17">H38+I37</f>
        <v>-118439647.7288</v>
      </c>
      <c r="J38" s="153">
        <f t="shared" ref="J38" si="18">I38+J37</f>
        <v>-61849513.532799989</v>
      </c>
      <c r="K38" s="153">
        <f t="shared" ref="K38" si="19">J38+K37</f>
        <v>-5259379.3367999792</v>
      </c>
      <c r="L38" s="79"/>
      <c r="M38" s="50"/>
      <c r="N38" s="32"/>
      <c r="O38" s="32"/>
      <c r="P38" s="32"/>
      <c r="Q38" s="32"/>
      <c r="R38" s="50"/>
      <c r="S38" s="43"/>
    </row>
    <row r="39" spans="2:19" x14ac:dyDescent="0.35">
      <c r="B39" t="s">
        <v>25</v>
      </c>
      <c r="F39" s="27"/>
      <c r="G39" s="154">
        <f>IF(AND(F38&lt;0,G38&gt;0),G44-(G38/G37),0)</f>
        <v>0</v>
      </c>
      <c r="H39" s="154">
        <f t="shared" ref="H39" si="20">IF(AND(G38&lt;0,H38&gt;0),H44-(H38/H37),0)</f>
        <v>0</v>
      </c>
      <c r="I39" s="154">
        <f t="shared" ref="I39" si="21">IF(AND(H38&lt;0,I38&gt;0),I44-(I38/I37),0)</f>
        <v>0</v>
      </c>
      <c r="J39" s="154">
        <f t="shared" ref="J39" si="22">IF(AND(I38&lt;0,J38&gt;0),J44-(J38/J37),0)</f>
        <v>0</v>
      </c>
      <c r="K39" s="154">
        <f t="shared" ref="K39" si="23">IF(AND(J38&lt;0,K38&gt;0),K44-(K38/K37),0)</f>
        <v>0</v>
      </c>
      <c r="L39" s="80"/>
      <c r="M39" s="29"/>
      <c r="N39" s="33"/>
      <c r="O39" s="33"/>
      <c r="P39" s="33"/>
      <c r="Q39" s="33"/>
      <c r="R39" s="29"/>
    </row>
    <row r="40" spans="2:19" x14ac:dyDescent="0.35">
      <c r="B40" s="53" t="s">
        <v>26</v>
      </c>
      <c r="C40" s="54"/>
      <c r="D40" s="54"/>
      <c r="E40" s="54"/>
      <c r="F40" s="90">
        <f>IRR(G37:K37)</f>
        <v>-1.5480302156864134E-2</v>
      </c>
      <c r="N40" s="33"/>
      <c r="O40" s="33"/>
      <c r="P40" s="33"/>
      <c r="Q40" s="33"/>
    </row>
    <row r="41" spans="2:19" x14ac:dyDescent="0.35">
      <c r="B41" s="55" t="s">
        <v>27</v>
      </c>
      <c r="C41" s="56"/>
      <c r="D41" s="56"/>
      <c r="E41" s="56"/>
      <c r="F41" s="57">
        <f>NPV(F3,G37:K37)+F37</f>
        <v>-28672244.405375201</v>
      </c>
      <c r="H41" s="88"/>
      <c r="I41" s="14"/>
      <c r="N41" s="33"/>
      <c r="O41" s="33"/>
      <c r="P41" s="33"/>
      <c r="Q41" s="33"/>
    </row>
    <row r="42" spans="2:19" x14ac:dyDescent="0.35">
      <c r="B42" s="55" t="s">
        <v>28</v>
      </c>
      <c r="C42" s="56"/>
      <c r="D42" s="56"/>
      <c r="E42" s="56"/>
      <c r="F42" s="58">
        <f>L28</f>
        <v>0.13166666666666665</v>
      </c>
      <c r="H42" s="64"/>
      <c r="N42" s="33"/>
      <c r="O42" s="33"/>
      <c r="P42" s="33"/>
      <c r="Q42" s="33"/>
    </row>
    <row r="43" spans="2:19" x14ac:dyDescent="0.35">
      <c r="B43" s="59" t="s">
        <v>29</v>
      </c>
      <c r="C43" s="60"/>
      <c r="D43" s="60"/>
      <c r="E43" s="60"/>
      <c r="F43" s="61">
        <f>SUM(F39:K39)</f>
        <v>0</v>
      </c>
      <c r="N43" s="33"/>
      <c r="O43" s="33"/>
      <c r="P43" s="33"/>
      <c r="Q43" s="33"/>
    </row>
    <row r="44" spans="2:19" x14ac:dyDescent="0.35">
      <c r="G44" s="9">
        <v>1</v>
      </c>
      <c r="H44" s="30">
        <v>2</v>
      </c>
      <c r="I44" s="9">
        <v>3</v>
      </c>
      <c r="J44" s="30">
        <v>4</v>
      </c>
      <c r="K44" s="9">
        <v>5</v>
      </c>
      <c r="L44" s="30"/>
      <c r="M44" s="9"/>
      <c r="N44" s="40"/>
      <c r="O44" s="40"/>
      <c r="P44" s="40"/>
      <c r="Q44" s="40"/>
    </row>
    <row r="45" spans="2:19" x14ac:dyDescent="0.35">
      <c r="B45" s="31" t="s">
        <v>30</v>
      </c>
      <c r="E45" s="32" t="s">
        <v>31</v>
      </c>
      <c r="G45" s="32" t="str">
        <f t="shared" ref="G45:K45" si="24">G11</f>
        <v>Year 1</v>
      </c>
      <c r="H45" s="32" t="str">
        <f t="shared" si="24"/>
        <v>Year 2</v>
      </c>
      <c r="I45" s="32" t="str">
        <f t="shared" si="24"/>
        <v>Year 3</v>
      </c>
      <c r="J45" s="32" t="str">
        <f t="shared" si="24"/>
        <v>Year 4</v>
      </c>
      <c r="K45" s="32" t="str">
        <f t="shared" si="24"/>
        <v>Year 5</v>
      </c>
      <c r="L45" s="32"/>
      <c r="M45" s="32"/>
      <c r="R45" s="32"/>
    </row>
    <row r="46" spans="2:19" x14ac:dyDescent="0.35">
      <c r="D46" t="s">
        <v>6</v>
      </c>
      <c r="E46">
        <v>5</v>
      </c>
      <c r="G46" s="66">
        <f>SUM(G8:G9)/$E46</f>
        <v>17886709.800000001</v>
      </c>
      <c r="H46" s="33">
        <f>G46</f>
        <v>17886709.800000001</v>
      </c>
      <c r="I46" s="33">
        <f t="shared" ref="I46:K46" si="25">H46</f>
        <v>17886709.800000001</v>
      </c>
      <c r="J46" s="33">
        <f t="shared" si="25"/>
        <v>17886709.800000001</v>
      </c>
      <c r="K46" s="33">
        <f t="shared" si="25"/>
        <v>17886709.800000001</v>
      </c>
      <c r="L46" s="33">
        <f>SUM(G46:K46)</f>
        <v>89433549</v>
      </c>
      <c r="M46" s="33"/>
      <c r="R46" s="34"/>
    </row>
    <row r="47" spans="2:19" x14ac:dyDescent="0.35">
      <c r="D47" t="s">
        <v>8</v>
      </c>
      <c r="E47">
        <v>4</v>
      </c>
      <c r="H47" s="66">
        <f>I$9/$E47</f>
        <v>0</v>
      </c>
      <c r="J47" s="33">
        <f>H47</f>
        <v>0</v>
      </c>
      <c r="K47" s="33">
        <f t="shared" ref="K47" si="26">J47</f>
        <v>0</v>
      </c>
      <c r="L47" s="33"/>
      <c r="M47" s="33"/>
      <c r="R47" s="34"/>
    </row>
    <row r="48" spans="2:19" x14ac:dyDescent="0.35">
      <c r="D48" t="s">
        <v>9</v>
      </c>
      <c r="E48">
        <v>3</v>
      </c>
      <c r="I48" s="66">
        <f>J$8/$E48</f>
        <v>0</v>
      </c>
      <c r="K48" s="33">
        <f>I48</f>
        <v>0</v>
      </c>
      <c r="L48" s="33"/>
      <c r="M48" s="33"/>
      <c r="R48" s="34"/>
    </row>
    <row r="49" spans="2:21" x14ac:dyDescent="0.35">
      <c r="D49" t="s">
        <v>10</v>
      </c>
      <c r="E49">
        <v>2</v>
      </c>
      <c r="J49" s="66"/>
      <c r="L49" s="33"/>
      <c r="M49" s="33"/>
      <c r="R49" s="34"/>
    </row>
    <row r="50" spans="2:21" x14ac:dyDescent="0.35">
      <c r="D50" t="s">
        <v>42</v>
      </c>
      <c r="E50">
        <v>1</v>
      </c>
      <c r="K50" s="66"/>
      <c r="L50" s="33"/>
      <c r="M50" s="33"/>
      <c r="R50" s="34"/>
    </row>
    <row r="51" spans="2:21" ht="16" thickBot="1" x14ac:dyDescent="0.4">
      <c r="B51" s="35" t="s">
        <v>32</v>
      </c>
      <c r="C51" s="36"/>
      <c r="D51" s="36"/>
      <c r="E51" s="36"/>
      <c r="F51" s="36"/>
      <c r="G51" s="37">
        <f>SUM(G46:G49)</f>
        <v>17886709.800000001</v>
      </c>
      <c r="H51" s="37">
        <f>SUM(H46:H49)</f>
        <v>17886709.800000001</v>
      </c>
      <c r="I51" s="37">
        <f>SUM(I46:I49)</f>
        <v>17886709.800000001</v>
      </c>
      <c r="J51" s="37">
        <f>SUM(J46:J49)</f>
        <v>17886709.800000001</v>
      </c>
      <c r="K51" s="37">
        <f>SUM(K46:K49)</f>
        <v>17886709.800000001</v>
      </c>
      <c r="L51" s="40"/>
      <c r="M51" s="40"/>
      <c r="R51" s="40"/>
      <c r="S51" s="38"/>
      <c r="T51" s="38"/>
      <c r="U51" s="38"/>
    </row>
    <row r="52" spans="2:21" ht="16" thickTop="1" x14ac:dyDescent="0.35">
      <c r="R52" s="14"/>
    </row>
    <row r="54" spans="2:21" x14ac:dyDescent="0.35">
      <c r="F54" t="s">
        <v>45</v>
      </c>
    </row>
  </sheetData>
  <mergeCells count="1">
    <mergeCell ref="E19:F19"/>
  </mergeCells>
  <pageMargins left="0.25" right="0.25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0842F-9202-4229-BC55-C7512CB0610D}">
  <dimension ref="A2:G23"/>
  <sheetViews>
    <sheetView workbookViewId="0">
      <selection activeCell="D5" sqref="D5"/>
    </sheetView>
  </sheetViews>
  <sheetFormatPr defaultRowHeight="14.5" x14ac:dyDescent="0.35"/>
  <cols>
    <col min="1" max="1" width="4.83203125" style="156" customWidth="1"/>
    <col min="2" max="2" width="24.25" style="156" customWidth="1"/>
    <col min="3" max="3" width="8.6640625" style="156"/>
    <col min="4" max="4" width="38.9140625" style="156" customWidth="1"/>
    <col min="5" max="5" width="8.6640625" style="156"/>
    <col min="6" max="6" width="41.6640625" style="156" customWidth="1"/>
    <col min="7" max="16384" width="8.6640625" style="156"/>
  </cols>
  <sheetData>
    <row r="2" spans="1:7" ht="15" customHeight="1" x14ac:dyDescent="0.35">
      <c r="A2" s="202" t="s">
        <v>134</v>
      </c>
      <c r="B2" s="202"/>
      <c r="C2" s="202"/>
      <c r="D2" s="202"/>
      <c r="E2" s="202"/>
      <c r="F2" s="202"/>
      <c r="G2" s="155"/>
    </row>
    <row r="3" spans="1:7" x14ac:dyDescent="0.35">
      <c r="A3" s="157"/>
      <c r="B3" s="157"/>
      <c r="C3" s="157"/>
      <c r="D3" s="157"/>
      <c r="E3" s="157"/>
      <c r="F3" s="157"/>
      <c r="G3" s="155"/>
    </row>
    <row r="4" spans="1:7" ht="15.5" x14ac:dyDescent="0.35">
      <c r="A4" s="201" t="s">
        <v>135</v>
      </c>
      <c r="B4" s="201"/>
      <c r="C4" s="158" t="s">
        <v>136</v>
      </c>
      <c r="D4" s="157"/>
      <c r="E4" s="157"/>
      <c r="F4" s="157"/>
      <c r="G4" s="155"/>
    </row>
    <row r="5" spans="1:7" ht="15.5" x14ac:dyDescent="0.35">
      <c r="A5" s="201" t="s">
        <v>137</v>
      </c>
      <c r="B5" s="201"/>
      <c r="C5" s="158" t="s">
        <v>138</v>
      </c>
      <c r="D5" s="157"/>
      <c r="E5" s="157"/>
      <c r="F5" s="157"/>
      <c r="G5" s="155"/>
    </row>
    <row r="6" spans="1:7" ht="15.5" x14ac:dyDescent="0.35">
      <c r="A6" s="201" t="s">
        <v>139</v>
      </c>
      <c r="B6" s="201"/>
      <c r="C6" s="201" t="s">
        <v>140</v>
      </c>
      <c r="D6" s="201"/>
      <c r="E6" s="201"/>
      <c r="F6" s="157"/>
      <c r="G6" s="155"/>
    </row>
    <row r="7" spans="1:7" ht="15.5" x14ac:dyDescent="0.35">
      <c r="A7" s="201" t="s">
        <v>141</v>
      </c>
      <c r="B7" s="201"/>
      <c r="C7" s="158" t="s">
        <v>142</v>
      </c>
      <c r="D7" s="157"/>
      <c r="E7" s="157"/>
      <c r="F7" s="157"/>
      <c r="G7" s="155"/>
    </row>
    <row r="8" spans="1:7" ht="15" thickBot="1" x14ac:dyDescent="0.4">
      <c r="A8" s="157"/>
      <c r="B8" s="157"/>
      <c r="C8" s="157"/>
      <c r="D8" s="157"/>
      <c r="E8" s="157"/>
      <c r="F8" s="157"/>
      <c r="G8" s="155"/>
    </row>
    <row r="9" spans="1:7" ht="15" customHeight="1" x14ac:dyDescent="0.35">
      <c r="A9" s="203" t="s">
        <v>143</v>
      </c>
      <c r="B9" s="205" t="s">
        <v>144</v>
      </c>
      <c r="C9" s="207" t="s">
        <v>145</v>
      </c>
      <c r="D9" s="208"/>
      <c r="E9" s="211" t="s">
        <v>123</v>
      </c>
      <c r="F9" s="208"/>
      <c r="G9" s="155"/>
    </row>
    <row r="10" spans="1:7" ht="15.75" customHeight="1" thickBot="1" x14ac:dyDescent="0.4">
      <c r="A10" s="204"/>
      <c r="B10" s="206"/>
      <c r="C10" s="209"/>
      <c r="D10" s="210"/>
      <c r="E10" s="212"/>
      <c r="F10" s="210"/>
      <c r="G10" s="155"/>
    </row>
    <row r="11" spans="1:7" ht="15" thickBot="1" x14ac:dyDescent="0.4">
      <c r="A11" s="159">
        <v>1</v>
      </c>
      <c r="B11" s="160" t="s">
        <v>146</v>
      </c>
      <c r="C11" s="213" t="s">
        <v>52</v>
      </c>
      <c r="D11" s="214"/>
      <c r="E11" s="215" t="s">
        <v>52</v>
      </c>
      <c r="F11" s="214"/>
      <c r="G11" s="155"/>
    </row>
    <row r="12" spans="1:7" ht="15" thickBot="1" x14ac:dyDescent="0.4">
      <c r="A12" s="159">
        <v>2</v>
      </c>
      <c r="B12" s="160" t="s">
        <v>147</v>
      </c>
      <c r="C12" s="216" t="s">
        <v>148</v>
      </c>
      <c r="D12" s="217"/>
      <c r="E12" s="216" t="str">
        <f>C12</f>
        <v>123 Omni + Pole Antenna + RBS M2</v>
      </c>
      <c r="F12" s="217"/>
      <c r="G12" s="155"/>
    </row>
    <row r="13" spans="1:7" ht="15.75" hidden="1" customHeight="1" thickBot="1" x14ac:dyDescent="0.4">
      <c r="A13" s="161"/>
      <c r="B13" s="160" t="s">
        <v>149</v>
      </c>
      <c r="C13" s="216" t="s">
        <v>150</v>
      </c>
      <c r="D13" s="217"/>
      <c r="E13" s="216" t="s">
        <v>151</v>
      </c>
      <c r="F13" s="217"/>
      <c r="G13" s="155"/>
    </row>
    <row r="14" spans="1:7" ht="15" thickBot="1" x14ac:dyDescent="0.4">
      <c r="A14" s="161">
        <v>3</v>
      </c>
      <c r="B14" s="162" t="s">
        <v>152</v>
      </c>
      <c r="C14" s="218" t="s">
        <v>153</v>
      </c>
      <c r="D14" s="219"/>
      <c r="E14" s="220" t="s">
        <v>154</v>
      </c>
      <c r="F14" s="219"/>
      <c r="G14" s="155"/>
    </row>
    <row r="15" spans="1:7" ht="15" thickBot="1" x14ac:dyDescent="0.4">
      <c r="A15" s="161"/>
      <c r="B15" s="162" t="s">
        <v>155</v>
      </c>
      <c r="C15" s="218">
        <v>141000000</v>
      </c>
      <c r="D15" s="219"/>
      <c r="E15" s="224">
        <v>86666666</v>
      </c>
      <c r="F15" s="225"/>
      <c r="G15" s="155"/>
    </row>
    <row r="16" spans="1:7" ht="15" thickBot="1" x14ac:dyDescent="0.4">
      <c r="A16" s="163"/>
      <c r="B16" s="164" t="s">
        <v>156</v>
      </c>
      <c r="C16" s="226">
        <v>39166667</v>
      </c>
      <c r="D16" s="227"/>
      <c r="E16" s="228">
        <v>40000000</v>
      </c>
      <c r="F16" s="227"/>
      <c r="G16" s="155"/>
    </row>
    <row r="17" spans="1:7" ht="15" thickBot="1" x14ac:dyDescent="0.4">
      <c r="A17" s="159">
        <v>4</v>
      </c>
      <c r="B17" s="164" t="s">
        <v>157</v>
      </c>
      <c r="C17" s="229" t="s">
        <v>158</v>
      </c>
      <c r="D17" s="230"/>
      <c r="E17" s="231" t="s">
        <v>158</v>
      </c>
      <c r="F17" s="232"/>
      <c r="G17" s="155"/>
    </row>
    <row r="18" spans="1:7" ht="16" thickBot="1" x14ac:dyDescent="0.4">
      <c r="A18" s="165">
        <v>5</v>
      </c>
      <c r="B18" s="166" t="s">
        <v>159</v>
      </c>
      <c r="C18" s="221" t="s">
        <v>160</v>
      </c>
      <c r="D18" s="222"/>
      <c r="E18" s="222"/>
      <c r="F18" s="223"/>
    </row>
    <row r="19" spans="1:7" ht="15.5" x14ac:dyDescent="0.35">
      <c r="A19" s="167"/>
      <c r="B19" s="168"/>
      <c r="C19" s="169"/>
      <c r="D19" s="169"/>
      <c r="E19" s="169"/>
      <c r="F19" s="169"/>
    </row>
    <row r="20" spans="1:7" ht="15.5" x14ac:dyDescent="0.35">
      <c r="A20" s="167"/>
      <c r="B20" s="168" t="s">
        <v>161</v>
      </c>
      <c r="C20" s="169"/>
      <c r="D20" s="169"/>
      <c r="E20" s="169"/>
      <c r="F20" s="169"/>
    </row>
    <row r="21" spans="1:7" x14ac:dyDescent="0.35">
      <c r="A21" s="170"/>
      <c r="B21" s="156" t="s">
        <v>162</v>
      </c>
    </row>
    <row r="22" spans="1:7" x14ac:dyDescent="0.35">
      <c r="A22" s="170"/>
      <c r="B22" s="156" t="s">
        <v>163</v>
      </c>
    </row>
    <row r="23" spans="1:7" x14ac:dyDescent="0.35">
      <c r="A23" s="170"/>
      <c r="B23" s="156" t="s">
        <v>164</v>
      </c>
    </row>
  </sheetData>
  <mergeCells count="25">
    <mergeCell ref="C18:F18"/>
    <mergeCell ref="C15:D15"/>
    <mergeCell ref="E15:F15"/>
    <mergeCell ref="C16:D16"/>
    <mergeCell ref="E16:F16"/>
    <mergeCell ref="C17:D17"/>
    <mergeCell ref="E17:F17"/>
    <mergeCell ref="C12:D12"/>
    <mergeCell ref="E12:F12"/>
    <mergeCell ref="C13:D13"/>
    <mergeCell ref="E13:F13"/>
    <mergeCell ref="C14:D14"/>
    <mergeCell ref="E14:F14"/>
    <mergeCell ref="A9:A10"/>
    <mergeCell ref="B9:B10"/>
    <mergeCell ref="C9:D10"/>
    <mergeCell ref="E9:F10"/>
    <mergeCell ref="C11:D11"/>
    <mergeCell ref="E11:F11"/>
    <mergeCell ref="A7:B7"/>
    <mergeCell ref="A2:F2"/>
    <mergeCell ref="A4:B4"/>
    <mergeCell ref="A5:B5"/>
    <mergeCell ref="A6:B6"/>
    <mergeCell ref="C6:E6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M53"/>
  <sheetViews>
    <sheetView zoomScale="70" zoomScaleNormal="70" workbookViewId="0">
      <selection activeCell="L2" sqref="L2"/>
    </sheetView>
  </sheetViews>
  <sheetFormatPr defaultRowHeight="15.5" x14ac:dyDescent="0.35"/>
  <cols>
    <col min="1" max="1" width="13.5" bestFit="1" customWidth="1"/>
    <col min="2" max="2" width="15.83203125" bestFit="1" customWidth="1"/>
    <col min="3" max="4" width="13.75" bestFit="1" customWidth="1"/>
    <col min="5" max="5" width="14.83203125" customWidth="1"/>
    <col min="6" max="6" width="14" customWidth="1"/>
    <col min="7" max="7" width="12.83203125" bestFit="1" customWidth="1"/>
    <col min="8" max="8" width="16.75" customWidth="1"/>
    <col min="9" max="9" width="15.33203125" customWidth="1"/>
    <col min="10" max="11" width="13.75" bestFit="1" customWidth="1"/>
  </cols>
  <sheetData>
    <row r="1" spans="1:13" x14ac:dyDescent="0.35">
      <c r="B1">
        <v>2015</v>
      </c>
      <c r="C1">
        <v>2016</v>
      </c>
      <c r="D1">
        <v>2017</v>
      </c>
      <c r="E1">
        <v>2018</v>
      </c>
      <c r="F1">
        <v>2019</v>
      </c>
      <c r="G1">
        <v>2020</v>
      </c>
      <c r="H1">
        <v>2021</v>
      </c>
      <c r="I1">
        <v>2022</v>
      </c>
      <c r="J1">
        <v>2023</v>
      </c>
      <c r="K1">
        <v>2024</v>
      </c>
      <c r="L1">
        <v>2025</v>
      </c>
    </row>
    <row r="2" spans="1:13" x14ac:dyDescent="0.35">
      <c r="A2">
        <v>2015</v>
      </c>
      <c r="B2" s="91">
        <v>29035000</v>
      </c>
      <c r="C2" s="14">
        <f>$B$2-$B$4</f>
        <v>23228000</v>
      </c>
      <c r="D2" s="14">
        <f>$C$2-$B$4</f>
        <v>17421000</v>
      </c>
      <c r="E2" s="14">
        <f>$D$2-$B$4</f>
        <v>11614000</v>
      </c>
      <c r="F2" s="14">
        <f>$E$2-$B$4</f>
        <v>5807000</v>
      </c>
      <c r="G2" s="14">
        <f>$F$2-$B$4</f>
        <v>0</v>
      </c>
      <c r="H2" s="14"/>
      <c r="I2" s="14"/>
      <c r="J2" s="14"/>
      <c r="K2" s="14"/>
    </row>
    <row r="3" spans="1:13" x14ac:dyDescent="0.35">
      <c r="B3" s="91">
        <v>5</v>
      </c>
    </row>
    <row r="4" spans="1:13" x14ac:dyDescent="0.35">
      <c r="B4" s="91">
        <f>$B$2/$B$3</f>
        <v>5807000</v>
      </c>
    </row>
    <row r="5" spans="1:13" x14ac:dyDescent="0.35">
      <c r="B5" s="91">
        <f>(($B$2*IRR!$F$3)*6)/12</f>
        <v>1451750</v>
      </c>
      <c r="C5" s="14">
        <f>AVERAGE(B2:C2)*IRR!$F$3</f>
        <v>2613150</v>
      </c>
      <c r="D5" s="14">
        <f>AVERAGE(C2:D2)*IRR!$F$3</f>
        <v>2032450</v>
      </c>
      <c r="E5" s="14">
        <f>AVERAGE(D2:E2)*IRR!$F$3</f>
        <v>1451750</v>
      </c>
      <c r="F5" s="14">
        <f>AVERAGE(E2:F2)*IRR!$F$3</f>
        <v>871050</v>
      </c>
      <c r="G5" s="14">
        <f>AVERAGE(F2:G2)*IRR!$F$3</f>
        <v>290350</v>
      </c>
      <c r="H5" s="14">
        <f>AVERAGE(G2:H2)*IRR!$F$3</f>
        <v>0</v>
      </c>
      <c r="I5" s="14"/>
      <c r="J5" s="14"/>
      <c r="K5" s="14"/>
    </row>
    <row r="6" spans="1:13" x14ac:dyDescent="0.35">
      <c r="A6">
        <v>2017</v>
      </c>
      <c r="B6" s="91"/>
      <c r="C6" s="14"/>
      <c r="D6" s="14">
        <v>906221447</v>
      </c>
      <c r="E6" s="14">
        <f>D6-D8</f>
        <v>724977157.60000002</v>
      </c>
      <c r="F6" s="14">
        <f>E6-$D$8</f>
        <v>543732868.20000005</v>
      </c>
      <c r="G6" s="14">
        <f>F6-$D$8</f>
        <v>362488578.80000007</v>
      </c>
      <c r="H6" s="14">
        <f>G6-$D$8</f>
        <v>181244289.40000007</v>
      </c>
      <c r="I6" s="14">
        <f>H6-$D$8</f>
        <v>0</v>
      </c>
      <c r="J6" s="14"/>
      <c r="K6" s="14"/>
    </row>
    <row r="7" spans="1:13" x14ac:dyDescent="0.35">
      <c r="B7" s="91"/>
      <c r="C7" s="14"/>
      <c r="D7" s="14">
        <v>5</v>
      </c>
      <c r="E7" s="14"/>
      <c r="F7" s="14"/>
      <c r="G7" s="14"/>
      <c r="H7" s="14"/>
      <c r="I7" s="14"/>
      <c r="J7" s="14"/>
      <c r="K7" s="14"/>
    </row>
    <row r="8" spans="1:13" x14ac:dyDescent="0.35">
      <c r="B8" s="91"/>
      <c r="C8" s="14"/>
      <c r="D8" s="14">
        <f>D6/D7</f>
        <v>181244289.40000001</v>
      </c>
      <c r="E8" s="14"/>
      <c r="F8" s="14"/>
      <c r="G8" s="14"/>
      <c r="H8" s="14"/>
      <c r="I8" s="14"/>
      <c r="J8" s="14"/>
      <c r="K8" s="14"/>
    </row>
    <row r="9" spans="1:13" x14ac:dyDescent="0.35">
      <c r="B9" s="91"/>
      <c r="C9" s="14"/>
      <c r="D9" s="14">
        <f>(($D$6*IRR!$F$3)*6)/12</f>
        <v>45311072.350000001</v>
      </c>
      <c r="E9" s="14">
        <f>AVERAGE(D6:E6)*IRR!$F$3</f>
        <v>81559930.230000004</v>
      </c>
      <c r="F9" s="14">
        <f>AVERAGE(E6:F6)*IRR!$F$3</f>
        <v>63435501.290000014</v>
      </c>
      <c r="G9" s="14">
        <f>AVERAGE(F6:G6)*IRR!$F$3</f>
        <v>45311072.350000009</v>
      </c>
      <c r="H9" s="14">
        <f>AVERAGE(G6:H6)*IRR!$F$3</f>
        <v>27186643.410000011</v>
      </c>
      <c r="I9" s="14">
        <f>AVERAGE(H6:I6)*IRR!$F$3</f>
        <v>9062214.4700000044</v>
      </c>
      <c r="J9" s="14">
        <f>AVERAGE(I6:J6)*IRR!$F$3</f>
        <v>0</v>
      </c>
      <c r="K9" s="14"/>
    </row>
    <row r="10" spans="1:13" x14ac:dyDescent="0.35">
      <c r="B10" s="91"/>
      <c r="C10" s="14"/>
      <c r="D10" s="14"/>
      <c r="E10" s="14"/>
      <c r="F10" s="14"/>
      <c r="G10" s="14">
        <v>8950576</v>
      </c>
      <c r="H10" s="14">
        <f>G10-$G$12</f>
        <v>7160460.7999999998</v>
      </c>
      <c r="I10" s="14">
        <f>H10-$G$12</f>
        <v>5370345.5999999996</v>
      </c>
      <c r="J10" s="14">
        <f>I10-$G$12</f>
        <v>3580230.3999999994</v>
      </c>
      <c r="K10" s="14">
        <f>J10-$G$12</f>
        <v>1790115.1999999995</v>
      </c>
      <c r="L10" s="14">
        <f>K10-$G$12</f>
        <v>0</v>
      </c>
    </row>
    <row r="11" spans="1:13" x14ac:dyDescent="0.35">
      <c r="B11" s="91"/>
      <c r="C11" s="14"/>
      <c r="D11" s="14"/>
      <c r="E11" s="14"/>
      <c r="F11" s="14"/>
      <c r="G11" s="14">
        <v>5</v>
      </c>
      <c r="H11" s="14"/>
      <c r="I11" s="14"/>
      <c r="J11" s="14"/>
      <c r="K11" s="14"/>
    </row>
    <row r="12" spans="1:13" x14ac:dyDescent="0.35">
      <c r="B12" s="91"/>
      <c r="C12" s="14"/>
      <c r="D12" s="14"/>
      <c r="E12" s="14"/>
      <c r="F12" s="14"/>
      <c r="G12" s="14">
        <f>G10/G11</f>
        <v>1790115.2</v>
      </c>
      <c r="H12" s="14"/>
      <c r="I12" s="14"/>
      <c r="J12" s="14"/>
      <c r="K12" s="14"/>
    </row>
    <row r="13" spans="1:13" x14ac:dyDescent="0.35">
      <c r="B13" s="91"/>
      <c r="C13" s="14"/>
      <c r="D13" s="14"/>
      <c r="E13" s="14"/>
      <c r="F13" s="14"/>
      <c r="G13" s="14">
        <f>(($G$10*IRR!$F$3)*6)/12</f>
        <v>447528.80000000005</v>
      </c>
      <c r="H13" s="14">
        <f>AVERAGE(G10:H10)*IRR!$F$3</f>
        <v>805551.84000000008</v>
      </c>
      <c r="I13" s="14">
        <f>AVERAGE(H10:I10)*IRR!$F$3</f>
        <v>626540.31999999995</v>
      </c>
      <c r="J13" s="14">
        <f>AVERAGE(I10:J10)*IRR!$F$3</f>
        <v>447528.80000000005</v>
      </c>
      <c r="K13" s="14">
        <f>AVERAGE(J10:K10)*IRR!$F$3</f>
        <v>268517.27999999997</v>
      </c>
      <c r="L13" s="14">
        <f>AVERAGE(K10:L10)*IRR!$F$3</f>
        <v>89505.75999999998</v>
      </c>
      <c r="M13" s="14">
        <f>AVERAGE(L10:M10)*IRR!$F$3</f>
        <v>0</v>
      </c>
    </row>
    <row r="14" spans="1:13" x14ac:dyDescent="0.35">
      <c r="B14" s="91"/>
      <c r="C14" s="14"/>
      <c r="D14" s="14"/>
      <c r="E14" s="14"/>
      <c r="F14" s="14"/>
      <c r="G14" s="14"/>
      <c r="H14" s="14"/>
      <c r="I14" s="14"/>
      <c r="J14" s="14"/>
      <c r="K14" s="14"/>
    </row>
    <row r="15" spans="1:13" x14ac:dyDescent="0.35">
      <c r="K15" s="14">
        <f>K13+K9+K5</f>
        <v>268517.27999999997</v>
      </c>
      <c r="L15" s="14">
        <f>L13+L9+L5</f>
        <v>89505.75999999998</v>
      </c>
    </row>
    <row r="19" spans="1:11" x14ac:dyDescent="0.35">
      <c r="F19" s="128" t="s">
        <v>82</v>
      </c>
      <c r="G19" s="128" t="s">
        <v>83</v>
      </c>
      <c r="H19" s="128" t="s">
        <v>84</v>
      </c>
      <c r="I19" s="129" t="s">
        <v>85</v>
      </c>
      <c r="J19" s="233" t="s">
        <v>86</v>
      </c>
      <c r="K19" s="233" t="s">
        <v>87</v>
      </c>
    </row>
    <row r="20" spans="1:11" x14ac:dyDescent="0.35">
      <c r="E20" s="130" t="s">
        <v>88</v>
      </c>
      <c r="F20" s="131">
        <v>1</v>
      </c>
      <c r="G20" s="132">
        <v>1</v>
      </c>
      <c r="H20" s="132">
        <v>1</v>
      </c>
      <c r="I20" s="133">
        <v>121</v>
      </c>
      <c r="J20" s="233"/>
      <c r="K20" s="233"/>
    </row>
    <row r="21" spans="1:11" x14ac:dyDescent="0.35">
      <c r="B21" s="234" t="s">
        <v>89</v>
      </c>
      <c r="C21" s="134" t="s">
        <v>90</v>
      </c>
      <c r="D21" s="135">
        <f>C33</f>
        <v>2500000</v>
      </c>
      <c r="E21" s="134" t="s">
        <v>82</v>
      </c>
      <c r="F21" s="128">
        <f>F20</f>
        <v>1</v>
      </c>
      <c r="G21" s="128"/>
      <c r="H21" s="128"/>
      <c r="I21" s="129"/>
      <c r="J21" s="136">
        <f>F21*D21</f>
        <v>2500000</v>
      </c>
    </row>
    <row r="22" spans="1:11" x14ac:dyDescent="0.35">
      <c r="B22" s="235"/>
      <c r="C22" s="134" t="s">
        <v>91</v>
      </c>
      <c r="D22" s="137">
        <v>600000</v>
      </c>
      <c r="E22" s="134" t="s">
        <v>82</v>
      </c>
      <c r="F22" s="128">
        <f>F20</f>
        <v>1</v>
      </c>
      <c r="G22" s="128"/>
      <c r="H22" s="128"/>
      <c r="I22" s="129">
        <f>IF($I$20&lt;=120,2,IF($I$20&gt;220,4,3))</f>
        <v>3</v>
      </c>
      <c r="J22" s="137">
        <f>D22*F22</f>
        <v>600000</v>
      </c>
    </row>
    <row r="23" spans="1:11" x14ac:dyDescent="0.35">
      <c r="B23" s="236"/>
      <c r="C23" s="134" t="s">
        <v>89</v>
      </c>
      <c r="D23" s="137">
        <v>200000</v>
      </c>
      <c r="E23" s="134" t="s">
        <v>92</v>
      </c>
      <c r="F23" s="128"/>
      <c r="G23" s="128">
        <f>G20</f>
        <v>1</v>
      </c>
      <c r="H23" s="128"/>
      <c r="I23" s="129"/>
      <c r="J23" s="137">
        <f>G23*D23</f>
        <v>200000</v>
      </c>
    </row>
    <row r="24" spans="1:11" x14ac:dyDescent="0.35">
      <c r="B24" s="134" t="s">
        <v>93</v>
      </c>
      <c r="C24" s="134" t="s">
        <v>93</v>
      </c>
      <c r="D24" s="137">
        <v>450000</v>
      </c>
      <c r="E24" s="134" t="s">
        <v>84</v>
      </c>
      <c r="F24" s="128">
        <f>F20</f>
        <v>1</v>
      </c>
      <c r="G24" s="128"/>
      <c r="H24" s="128">
        <f>H20</f>
        <v>1</v>
      </c>
      <c r="I24" s="129">
        <f>IF($I$20&lt;=120,2,IF($I$20&gt;220,4,3))</f>
        <v>3</v>
      </c>
      <c r="J24" s="137">
        <f>H24*D24*I24</f>
        <v>1350000</v>
      </c>
    </row>
    <row r="25" spans="1:11" x14ac:dyDescent="0.35">
      <c r="B25" s="134" t="s">
        <v>94</v>
      </c>
      <c r="C25" s="134" t="s">
        <v>94</v>
      </c>
      <c r="D25" s="137">
        <v>120000</v>
      </c>
      <c r="E25" s="134" t="s">
        <v>82</v>
      </c>
      <c r="F25" s="128">
        <f>F20</f>
        <v>1</v>
      </c>
      <c r="G25" s="128"/>
      <c r="H25" s="128"/>
      <c r="I25" s="129">
        <f>IF($I$20&lt;=120,2,IF($I$20&gt;220,4,3))</f>
        <v>3</v>
      </c>
      <c r="J25" s="137">
        <f>I25*D25*F25</f>
        <v>360000</v>
      </c>
    </row>
    <row r="26" spans="1:11" x14ac:dyDescent="0.35">
      <c r="J26" s="138">
        <f>SUM(J21:J25)</f>
        <v>5010000</v>
      </c>
      <c r="K26" s="139">
        <f>J26*2</f>
        <v>10020000</v>
      </c>
    </row>
    <row r="27" spans="1:11" x14ac:dyDescent="0.35">
      <c r="K27" s="34">
        <f>K26+B43+B33</f>
        <v>32620000</v>
      </c>
    </row>
    <row r="29" spans="1:11" x14ac:dyDescent="0.35">
      <c r="K29" s="14"/>
    </row>
    <row r="30" spans="1:11" x14ac:dyDescent="0.35">
      <c r="B30" s="128" t="s">
        <v>95</v>
      </c>
      <c r="C30" s="128" t="s">
        <v>90</v>
      </c>
      <c r="E30" s="134" t="s">
        <v>96</v>
      </c>
      <c r="K30" s="34"/>
    </row>
    <row r="31" spans="1:11" x14ac:dyDescent="0.35">
      <c r="A31" t="s">
        <v>97</v>
      </c>
      <c r="B31" s="91">
        <v>16800000</v>
      </c>
      <c r="C31" s="91">
        <v>4000000</v>
      </c>
      <c r="E31" t="s">
        <v>98</v>
      </c>
      <c r="K31" s="14"/>
    </row>
    <row r="32" spans="1:11" x14ac:dyDescent="0.35">
      <c r="A32" t="s">
        <v>99</v>
      </c>
      <c r="B32" s="91"/>
      <c r="C32" s="91">
        <v>3000000</v>
      </c>
      <c r="E32" t="s">
        <v>100</v>
      </c>
      <c r="I32" s="91">
        <v>10000000</v>
      </c>
    </row>
    <row r="33" spans="1:9" x14ac:dyDescent="0.35">
      <c r="A33" t="s">
        <v>101</v>
      </c>
      <c r="B33" s="91">
        <v>15600000</v>
      </c>
      <c r="C33" s="91">
        <v>2500000</v>
      </c>
      <c r="E33" t="s">
        <v>100</v>
      </c>
      <c r="H33" t="s">
        <v>102</v>
      </c>
      <c r="I33" s="91">
        <v>12000000</v>
      </c>
    </row>
    <row r="34" spans="1:9" x14ac:dyDescent="0.35">
      <c r="A34" t="s">
        <v>103</v>
      </c>
      <c r="B34" s="91">
        <v>15000000</v>
      </c>
      <c r="C34" s="91">
        <v>2000000</v>
      </c>
      <c r="E34" t="s">
        <v>100</v>
      </c>
      <c r="H34" t="s">
        <v>104</v>
      </c>
      <c r="I34" s="91">
        <v>14000000</v>
      </c>
    </row>
    <row r="35" spans="1:9" x14ac:dyDescent="0.35">
      <c r="A35" t="s">
        <v>105</v>
      </c>
      <c r="B35" s="91">
        <v>15000000</v>
      </c>
      <c r="C35" s="91">
        <v>1850000</v>
      </c>
      <c r="E35" t="s">
        <v>100</v>
      </c>
      <c r="H35" t="s">
        <v>106</v>
      </c>
      <c r="I35" s="91">
        <v>14000000</v>
      </c>
    </row>
    <row r="36" spans="1:9" x14ac:dyDescent="0.35">
      <c r="A36" t="s">
        <v>107</v>
      </c>
      <c r="B36" s="91">
        <v>12000000</v>
      </c>
      <c r="C36" s="91">
        <v>1200000</v>
      </c>
      <c r="E36" t="s">
        <v>100</v>
      </c>
      <c r="H36" t="s">
        <v>97</v>
      </c>
      <c r="I36" s="91">
        <v>17000000</v>
      </c>
    </row>
    <row r="37" spans="1:9" x14ac:dyDescent="0.35">
      <c r="A37" t="s">
        <v>108</v>
      </c>
      <c r="B37" s="91">
        <v>16800000</v>
      </c>
      <c r="C37" s="91">
        <v>2000000</v>
      </c>
      <c r="E37" t="s">
        <v>100</v>
      </c>
      <c r="H37" t="s">
        <v>108</v>
      </c>
      <c r="I37" s="91">
        <v>14000000</v>
      </c>
    </row>
    <row r="38" spans="1:9" x14ac:dyDescent="0.35">
      <c r="A38" t="s">
        <v>109</v>
      </c>
      <c r="B38" s="91">
        <v>15720000</v>
      </c>
      <c r="C38" s="91">
        <v>3500000</v>
      </c>
    </row>
    <row r="39" spans="1:9" x14ac:dyDescent="0.35">
      <c r="A39" t="s">
        <v>110</v>
      </c>
      <c r="C39" s="91">
        <v>2800000</v>
      </c>
    </row>
    <row r="40" spans="1:9" x14ac:dyDescent="0.35">
      <c r="A40" t="s">
        <v>111</v>
      </c>
      <c r="B40">
        <v>0</v>
      </c>
      <c r="C40" s="91">
        <v>0</v>
      </c>
      <c r="D40" t="s">
        <v>112</v>
      </c>
    </row>
    <row r="42" spans="1:9" x14ac:dyDescent="0.35">
      <c r="B42" s="128" t="s">
        <v>113</v>
      </c>
      <c r="C42" s="128"/>
    </row>
    <row r="43" spans="1:9" x14ac:dyDescent="0.35">
      <c r="B43" s="91">
        <v>7000000</v>
      </c>
    </row>
    <row r="45" spans="1:9" x14ac:dyDescent="0.35">
      <c r="A45" s="134" t="s">
        <v>114</v>
      </c>
      <c r="B45" s="14"/>
    </row>
    <row r="46" spans="1:9" x14ac:dyDescent="0.35">
      <c r="A46" t="s">
        <v>115</v>
      </c>
    </row>
    <row r="47" spans="1:9" x14ac:dyDescent="0.35">
      <c r="A47" t="s">
        <v>116</v>
      </c>
      <c r="B47" s="91">
        <v>36000000</v>
      </c>
    </row>
    <row r="48" spans="1:9" x14ac:dyDescent="0.35">
      <c r="A48" t="s">
        <v>117</v>
      </c>
      <c r="B48" s="91">
        <v>42000000</v>
      </c>
    </row>
    <row r="49" spans="1:2" x14ac:dyDescent="0.35">
      <c r="A49" t="s">
        <v>118</v>
      </c>
      <c r="B49" s="91">
        <v>48000000</v>
      </c>
    </row>
    <row r="51" spans="1:2" x14ac:dyDescent="0.35">
      <c r="A51" t="s">
        <v>119</v>
      </c>
    </row>
    <row r="52" spans="1:2" x14ac:dyDescent="0.35">
      <c r="A52" t="s">
        <v>120</v>
      </c>
      <c r="B52" s="91">
        <v>75000000</v>
      </c>
    </row>
    <row r="53" spans="1:2" x14ac:dyDescent="0.35">
      <c r="A53" t="s">
        <v>118</v>
      </c>
      <c r="B53" s="91">
        <v>95000000</v>
      </c>
    </row>
  </sheetData>
  <mergeCells count="3">
    <mergeCell ref="J19:J20"/>
    <mergeCell ref="K19:K20"/>
    <mergeCell ref="B21:B23"/>
  </mergeCells>
  <conditionalFormatting sqref="B5:K14">
    <cfRule type="cellIs" dxfId="3" priority="4" operator="lessThan">
      <formula>0</formula>
    </cfRule>
  </conditionalFormatting>
  <conditionalFormatting sqref="L10">
    <cfRule type="cellIs" dxfId="2" priority="3" operator="lessThan">
      <formula>0</formula>
    </cfRule>
  </conditionalFormatting>
  <conditionalFormatting sqref="L13">
    <cfRule type="cellIs" dxfId="1" priority="2" operator="lessThan">
      <formula>0</formula>
    </cfRule>
  </conditionalFormatting>
  <conditionalFormatting sqref="M13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9"/>
  <sheetViews>
    <sheetView workbookViewId="0">
      <selection activeCell="C8" sqref="C8:I9"/>
    </sheetView>
  </sheetViews>
  <sheetFormatPr defaultRowHeight="15.5" x14ac:dyDescent="0.35"/>
  <cols>
    <col min="2" max="3" width="13.75" bestFit="1" customWidth="1"/>
    <col min="4" max="5" width="12.08203125" bestFit="1" customWidth="1"/>
    <col min="6" max="6" width="12.25" bestFit="1" customWidth="1"/>
    <col min="7" max="9" width="11.08203125" bestFit="1" customWidth="1"/>
    <col min="10" max="10" width="4.83203125" bestFit="1" customWidth="1"/>
  </cols>
  <sheetData>
    <row r="1" spans="1:13" x14ac:dyDescent="0.35">
      <c r="B1">
        <v>2014</v>
      </c>
      <c r="C1">
        <v>2015</v>
      </c>
      <c r="D1">
        <v>2016</v>
      </c>
      <c r="E1">
        <v>2017</v>
      </c>
      <c r="F1">
        <v>2018</v>
      </c>
      <c r="G1">
        <v>2019</v>
      </c>
      <c r="H1">
        <v>2020</v>
      </c>
      <c r="I1">
        <v>2021</v>
      </c>
      <c r="J1">
        <v>2022</v>
      </c>
      <c r="K1">
        <v>2023</v>
      </c>
      <c r="L1">
        <v>2024</v>
      </c>
      <c r="M1">
        <v>2025</v>
      </c>
    </row>
    <row r="2" spans="1:13" x14ac:dyDescent="0.35">
      <c r="A2" t="s">
        <v>74</v>
      </c>
      <c r="B2" s="91">
        <v>224594454</v>
      </c>
      <c r="C2" s="91">
        <v>40373564</v>
      </c>
      <c r="D2" s="91">
        <v>141300</v>
      </c>
      <c r="E2" s="91">
        <v>797476084</v>
      </c>
      <c r="F2" s="91">
        <v>121348379</v>
      </c>
    </row>
    <row r="3" spans="1:13" x14ac:dyDescent="0.35">
      <c r="A3" t="s">
        <v>75</v>
      </c>
      <c r="B3" s="91"/>
      <c r="C3" s="91"/>
      <c r="D3" s="91"/>
      <c r="F3" s="91">
        <v>107303967</v>
      </c>
      <c r="G3" s="91">
        <v>11175077</v>
      </c>
      <c r="H3">
        <v>40778978</v>
      </c>
      <c r="I3" s="91">
        <v>32146262</v>
      </c>
    </row>
    <row r="5" spans="1:13" x14ac:dyDescent="0.35">
      <c r="A5" t="s">
        <v>74</v>
      </c>
      <c r="B5" s="91">
        <f>(B2/10)*(2024-B1)</f>
        <v>224594454</v>
      </c>
      <c r="C5" s="91">
        <f>(C2/10)*(2024-C1)</f>
        <v>36336207.600000001</v>
      </c>
      <c r="D5" s="91">
        <f t="shared" ref="D5:F5" si="0">(D2/10)*(2023-D1)</f>
        <v>98910</v>
      </c>
      <c r="E5" s="91">
        <f t="shared" si="0"/>
        <v>478485650.40000004</v>
      </c>
      <c r="F5" s="91">
        <f t="shared" si="0"/>
        <v>60674189.5</v>
      </c>
      <c r="G5" s="91">
        <f t="shared" ref="G5:I5" si="1">(G2/10)*(2023-G1)</f>
        <v>0</v>
      </c>
      <c r="H5" s="91">
        <f t="shared" si="1"/>
        <v>0</v>
      </c>
      <c r="I5" s="91">
        <f t="shared" si="1"/>
        <v>0</v>
      </c>
      <c r="J5" s="91">
        <f t="shared" ref="J5" si="2">(J2/10)*(2023-J1)</f>
        <v>0</v>
      </c>
    </row>
    <row r="6" spans="1:13" x14ac:dyDescent="0.35">
      <c r="A6" t="s">
        <v>75</v>
      </c>
      <c r="C6" s="91">
        <f>(C3/10)*(2024-C1)</f>
        <v>0</v>
      </c>
      <c r="D6" s="91">
        <f>(D3/10)*(2024-D1)</f>
        <v>0</v>
      </c>
      <c r="E6" s="91">
        <f t="shared" ref="E6:I6" si="3">(E3/10)*(2023-E1)</f>
        <v>0</v>
      </c>
      <c r="F6" s="91">
        <f t="shared" si="3"/>
        <v>53651983.5</v>
      </c>
      <c r="G6" s="91">
        <f t="shared" si="3"/>
        <v>4470030.8</v>
      </c>
      <c r="H6" s="91">
        <f t="shared" si="3"/>
        <v>12233693.399999999</v>
      </c>
      <c r="I6" s="91">
        <f t="shared" si="3"/>
        <v>6429252.4000000004</v>
      </c>
      <c r="J6" s="91">
        <f t="shared" ref="J6" si="4">(J3/10)*(2023-J1)</f>
        <v>0</v>
      </c>
    </row>
    <row r="8" spans="1:13" x14ac:dyDescent="0.35">
      <c r="A8" t="s">
        <v>74</v>
      </c>
      <c r="B8" s="14">
        <f>B2-B5</f>
        <v>0</v>
      </c>
      <c r="C8" s="14">
        <f>C2-C5</f>
        <v>4037356.3999999985</v>
      </c>
      <c r="D8" s="14">
        <f t="shared" ref="D8:F9" si="5">D2-D5</f>
        <v>42390</v>
      </c>
      <c r="E8" s="14">
        <f t="shared" si="5"/>
        <v>318990433.59999996</v>
      </c>
      <c r="F8" s="14">
        <f>F2-F5</f>
        <v>60674189.5</v>
      </c>
      <c r="G8" s="14">
        <f t="shared" ref="G8:I8" si="6">G2-G5</f>
        <v>0</v>
      </c>
      <c r="H8" s="14">
        <f t="shared" si="6"/>
        <v>0</v>
      </c>
      <c r="I8" s="14">
        <f t="shared" si="6"/>
        <v>0</v>
      </c>
      <c r="J8" s="14">
        <f t="shared" ref="J8" si="7">J2-J5</f>
        <v>0</v>
      </c>
    </row>
    <row r="9" spans="1:13" x14ac:dyDescent="0.35">
      <c r="A9" t="s">
        <v>75</v>
      </c>
      <c r="C9" s="14">
        <f>C3-C6</f>
        <v>0</v>
      </c>
      <c r="D9" s="14">
        <f t="shared" si="5"/>
        <v>0</v>
      </c>
      <c r="E9" s="14">
        <f t="shared" si="5"/>
        <v>0</v>
      </c>
      <c r="F9" s="14">
        <f t="shared" si="5"/>
        <v>53651983.5</v>
      </c>
      <c r="G9" s="14">
        <f t="shared" ref="G9:I9" si="8">G3-G6</f>
        <v>6705046.2000000002</v>
      </c>
      <c r="H9" s="14">
        <f t="shared" si="8"/>
        <v>28545284.600000001</v>
      </c>
      <c r="I9" s="14">
        <f t="shared" si="8"/>
        <v>25717009.600000001</v>
      </c>
      <c r="J9" s="14">
        <f t="shared" ref="J9" si="9">J3-J6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255EC-1FA4-46D0-A42C-09F622FB911E}">
  <dimension ref="A1:G9"/>
  <sheetViews>
    <sheetView workbookViewId="0">
      <selection activeCell="D9" sqref="D9"/>
    </sheetView>
  </sheetViews>
  <sheetFormatPr defaultRowHeight="15.5" x14ac:dyDescent="0.35"/>
  <cols>
    <col min="1" max="1" width="27.1640625" bestFit="1" customWidth="1"/>
    <col min="2" max="2" width="13.5" bestFit="1" customWidth="1"/>
    <col min="3" max="4" width="9.33203125" style="171" bestFit="1" customWidth="1"/>
    <col min="5" max="5" width="11.9140625" bestFit="1" customWidth="1"/>
    <col min="6" max="7" width="8.9140625" bestFit="1" customWidth="1"/>
  </cols>
  <sheetData>
    <row r="1" spans="1:7" x14ac:dyDescent="0.35">
      <c r="A1" s="238" t="s">
        <v>51</v>
      </c>
      <c r="B1" s="237" t="s">
        <v>170</v>
      </c>
      <c r="C1" s="237"/>
      <c r="D1" s="237"/>
      <c r="E1" s="237" t="s">
        <v>131</v>
      </c>
      <c r="F1" s="237"/>
      <c r="G1" s="237"/>
    </row>
    <row r="2" spans="1:7" x14ac:dyDescent="0.35">
      <c r="A2" s="238"/>
      <c r="B2" s="134" t="s">
        <v>173</v>
      </c>
      <c r="C2" s="172" t="s">
        <v>171</v>
      </c>
      <c r="D2" s="172" t="s">
        <v>172</v>
      </c>
      <c r="E2" s="134" t="s">
        <v>173</v>
      </c>
      <c r="F2" s="134" t="s">
        <v>171</v>
      </c>
      <c r="G2" s="134" t="s">
        <v>172</v>
      </c>
    </row>
    <row r="3" spans="1:7" x14ac:dyDescent="0.35">
      <c r="A3" s="134" t="s">
        <v>165</v>
      </c>
      <c r="B3" s="173">
        <v>132000000</v>
      </c>
      <c r="C3" s="174">
        <v>44400</v>
      </c>
      <c r="D3" s="174">
        <v>46225</v>
      </c>
      <c r="E3" s="173"/>
      <c r="F3" s="175"/>
      <c r="G3" s="175"/>
    </row>
    <row r="4" spans="1:7" x14ac:dyDescent="0.35">
      <c r="A4" s="134" t="s">
        <v>166</v>
      </c>
      <c r="B4" s="173">
        <v>222000000</v>
      </c>
      <c r="C4" s="174">
        <v>44283</v>
      </c>
      <c r="D4" s="174">
        <v>46108</v>
      </c>
      <c r="E4" s="173">
        <v>150000000</v>
      </c>
      <c r="F4" s="175">
        <v>45331</v>
      </c>
      <c r="G4" s="175">
        <v>46426</v>
      </c>
    </row>
    <row r="5" spans="1:7" x14ac:dyDescent="0.35">
      <c r="A5" s="134" t="s">
        <v>167</v>
      </c>
      <c r="B5" s="173">
        <v>139680000</v>
      </c>
      <c r="C5" s="174">
        <v>44062</v>
      </c>
      <c r="D5" s="174">
        <v>45887</v>
      </c>
      <c r="E5" s="173"/>
      <c r="F5" s="175"/>
      <c r="G5" s="175"/>
    </row>
    <row r="6" spans="1:7" x14ac:dyDescent="0.35">
      <c r="A6" s="134" t="s">
        <v>168</v>
      </c>
      <c r="B6" s="173">
        <v>153900000</v>
      </c>
      <c r="C6" s="174">
        <v>44177</v>
      </c>
      <c r="D6" s="174">
        <v>46002</v>
      </c>
      <c r="E6" s="173"/>
      <c r="F6" s="175"/>
      <c r="G6" s="175"/>
    </row>
    <row r="7" spans="1:7" x14ac:dyDescent="0.35">
      <c r="A7" s="134" t="s">
        <v>169</v>
      </c>
      <c r="B7" s="173">
        <v>427500000</v>
      </c>
      <c r="C7" s="174">
        <v>44064</v>
      </c>
      <c r="D7" s="174">
        <v>45889</v>
      </c>
      <c r="E7" s="173">
        <v>150000000</v>
      </c>
      <c r="F7" s="175">
        <v>44899</v>
      </c>
      <c r="G7" s="175">
        <v>46724</v>
      </c>
    </row>
    <row r="8" spans="1:7" x14ac:dyDescent="0.35">
      <c r="A8" s="176" t="s">
        <v>174</v>
      </c>
      <c r="B8" s="173">
        <v>240000000</v>
      </c>
      <c r="C8" s="172">
        <v>45308</v>
      </c>
      <c r="D8" s="172">
        <v>47134</v>
      </c>
      <c r="E8" s="134"/>
      <c r="F8" s="134"/>
      <c r="G8" s="134"/>
    </row>
    <row r="9" spans="1:7" x14ac:dyDescent="0.35">
      <c r="B9" s="14">
        <f>SUM(B3:B8)</f>
        <v>1315080000</v>
      </c>
      <c r="E9" s="14">
        <f>SUM(E3:E8)</f>
        <v>300000000</v>
      </c>
    </row>
  </sheetData>
  <mergeCells count="3">
    <mergeCell ref="B1:D1"/>
    <mergeCell ref="E1:G1"/>
    <mergeCell ref="A1:A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Summary</vt:lpstr>
      <vt:lpstr>IRR</vt:lpstr>
      <vt:lpstr>Summary review</vt:lpstr>
      <vt:lpstr>PARAMETER</vt:lpstr>
      <vt:lpstr>Book Value</vt:lpstr>
      <vt:lpstr>Sharing cost</vt:lpstr>
      <vt:lpstr>IRR!Print_Area</vt:lpstr>
      <vt:lpstr>Summary!Print_Area</vt:lpstr>
      <vt:lpstr>'Summary review'!Print_Area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2023-07-06T04:20:42Z</cp:lastPrinted>
  <dcterms:created xsi:type="dcterms:W3CDTF">2020-06-08T08:40:20Z</dcterms:created>
  <dcterms:modified xsi:type="dcterms:W3CDTF">2024-07-16T07:44:44Z</dcterms:modified>
</cp:coreProperties>
</file>