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itra.kartika\Downloads\"/>
    </mc:Choice>
  </mc:AlternateContent>
  <xr:revisionPtr revIDLastSave="0" documentId="13_ncr:1_{4E7CFDE3-D821-43C8-BD10-5D8175ECC9A5}" xr6:coauthVersionLast="36" xr6:coauthVersionMax="47" xr10:uidLastSave="{00000000-0000-0000-0000-000000000000}"/>
  <bookViews>
    <workbookView xWindow="0" yWindow="0" windowWidth="19200" windowHeight="7550" xr2:uid="{A4174494-61B9-4994-8303-9C4639E059BD}"/>
  </bookViews>
  <sheets>
    <sheet name="Summary" sheetId="1" r:id="rId1"/>
    <sheet name="IRR" sheetId="2" r:id="rId2"/>
    <sheet name="SummaryBR" sheetId="3" r:id="rId3"/>
    <sheet name="Analisa" sheetId="5" r:id="rId4"/>
    <sheet name="Parameter" sheetId="4" r:id="rId5"/>
  </sheets>
  <externalReferences>
    <externalReference r:id="rId6"/>
    <externalReference r:id="rId7"/>
    <externalReference r:id="rId8"/>
    <externalReference r:id="rId9"/>
  </externalReferences>
  <definedNames>
    <definedName name="jk" localSheetId="3">#REF!</definedName>
    <definedName name="jk" localSheetId="1">#REF!</definedName>
    <definedName name="jk" localSheetId="0">#REF!</definedName>
    <definedName name="jk">#REF!</definedName>
    <definedName name="_xlnm.Print_Area" localSheetId="1">IRR!$B$1:$Q$49</definedName>
    <definedName name="_xlnm.Print_Area" localSheetId="0">Summary!$B$1:$N$35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2" i="2" l="1"/>
  <c r="F39" i="2" l="1"/>
  <c r="M14" i="1"/>
  <c r="M8" i="1"/>
  <c r="M12" i="1"/>
  <c r="M13" i="1"/>
  <c r="M11" i="1"/>
  <c r="F9" i="5"/>
  <c r="D9" i="5"/>
  <c r="D10" i="5"/>
  <c r="C16" i="4" l="1"/>
  <c r="H8" i="4"/>
  <c r="H16" i="4" s="1"/>
  <c r="G8" i="4"/>
  <c r="E5" i="4"/>
  <c r="E16" i="4" s="1"/>
  <c r="F5" i="4"/>
  <c r="F16" i="4" s="1"/>
  <c r="G5" i="4"/>
  <c r="G16" i="4" s="1"/>
  <c r="H5" i="4"/>
  <c r="D5" i="4"/>
  <c r="D16" i="4" s="1"/>
  <c r="C5" i="4"/>
  <c r="H16" i="2"/>
  <c r="I16" i="2" s="1"/>
  <c r="J16" i="2" s="1"/>
  <c r="K16" i="2" s="1"/>
  <c r="K17" i="2" s="1"/>
  <c r="C4" i="4"/>
  <c r="D3" i="4" s="1"/>
  <c r="H56" i="4"/>
  <c r="I56" i="4" s="1"/>
  <c r="H55" i="4"/>
  <c r="H53" i="4"/>
  <c r="H11" i="2"/>
  <c r="I11" i="2" s="1"/>
  <c r="J11" i="2" s="1"/>
  <c r="K11" i="2" s="1"/>
  <c r="L11" i="2" s="1"/>
  <c r="M11" i="2" s="1"/>
  <c r="N11" i="2" s="1"/>
  <c r="O11" i="2" s="1"/>
  <c r="P11" i="2" s="1"/>
  <c r="D11" i="5"/>
  <c r="F11" i="5" s="1"/>
  <c r="E56" i="4"/>
  <c r="G55" i="4"/>
  <c r="E55" i="4"/>
  <c r="F54" i="4"/>
  <c r="I54" i="4" s="1"/>
  <c r="E53" i="4"/>
  <c r="I53" i="4" s="1"/>
  <c r="E52" i="4"/>
  <c r="I52" i="4" s="1"/>
  <c r="C52" i="4"/>
  <c r="B25" i="4"/>
  <c r="C27" i="4" s="1"/>
  <c r="C26" i="4" s="1"/>
  <c r="M16" i="4"/>
  <c r="G7" i="4"/>
  <c r="H6" i="4" s="1"/>
  <c r="D2" i="4"/>
  <c r="E2" i="4" s="1"/>
  <c r="F2" i="4" s="1"/>
  <c r="G2" i="4" s="1"/>
  <c r="H2" i="4" s="1"/>
  <c r="I2" i="4" s="1"/>
  <c r="J2" i="4" s="1"/>
  <c r="K2" i="4" s="1"/>
  <c r="L2" i="4" s="1"/>
  <c r="M2" i="4" s="1"/>
  <c r="I46" i="2"/>
  <c r="K46" i="2" s="1"/>
  <c r="H45" i="2"/>
  <c r="J45" i="2" s="1"/>
  <c r="K45" i="2" s="1"/>
  <c r="K43" i="2"/>
  <c r="J43" i="2"/>
  <c r="I43" i="2"/>
  <c r="H43" i="2"/>
  <c r="G43" i="2"/>
  <c r="K34" i="2"/>
  <c r="J34" i="2"/>
  <c r="I34" i="2"/>
  <c r="H34" i="2"/>
  <c r="H22" i="2"/>
  <c r="I22" i="2" s="1"/>
  <c r="J22" i="2" s="1"/>
  <c r="K22" i="2" s="1"/>
  <c r="Q20" i="2"/>
  <c r="G17" i="2"/>
  <c r="G34" i="2"/>
  <c r="M10" i="1"/>
  <c r="F10" i="5" l="1"/>
  <c r="F13" i="5" s="1"/>
  <c r="I55" i="4"/>
  <c r="I57" i="4" s="1"/>
  <c r="I17" i="2"/>
  <c r="I23" i="2" s="1"/>
  <c r="J17" i="2"/>
  <c r="J23" i="2" s="1"/>
  <c r="Q16" i="2"/>
  <c r="C25" i="4"/>
  <c r="E3" i="4"/>
  <c r="I6" i="4"/>
  <c r="I8" i="4" s="1"/>
  <c r="K23" i="2"/>
  <c r="G23" i="2"/>
  <c r="G44" i="2"/>
  <c r="Q22" i="2"/>
  <c r="H17" i="2"/>
  <c r="Q17" i="2" l="1"/>
  <c r="J57" i="4"/>
  <c r="J58" i="4"/>
  <c r="D27" i="4"/>
  <c r="D26" i="4" s="1"/>
  <c r="F3" i="4"/>
  <c r="J6" i="4"/>
  <c r="J8" i="4" s="1"/>
  <c r="G24" i="2"/>
  <c r="G25" i="2" s="1"/>
  <c r="I24" i="2"/>
  <c r="I25" i="2" s="1"/>
  <c r="H23" i="2"/>
  <c r="H24" i="2" s="1"/>
  <c r="H25" i="2" s="1"/>
  <c r="G49" i="2"/>
  <c r="G27" i="2" s="1"/>
  <c r="H44" i="2"/>
  <c r="D25" i="4" l="1"/>
  <c r="K6" i="4"/>
  <c r="L8" i="4" s="1"/>
  <c r="L16" i="4" s="1"/>
  <c r="G29" i="2" s="1"/>
  <c r="Q29" i="2" s="1"/>
  <c r="G3" i="4"/>
  <c r="E27" i="4"/>
  <c r="E25" i="4"/>
  <c r="E26" i="4"/>
  <c r="H49" i="2"/>
  <c r="H27" i="2" s="1"/>
  <c r="H28" i="2" s="1"/>
  <c r="H30" i="2" s="1"/>
  <c r="H31" i="2" s="1"/>
  <c r="I44" i="2"/>
  <c r="H26" i="2"/>
  <c r="J24" i="2"/>
  <c r="J25" i="2" s="1"/>
  <c r="K24" i="2"/>
  <c r="K25" i="2" s="1"/>
  <c r="I26" i="2"/>
  <c r="Q23" i="2"/>
  <c r="G28" i="2"/>
  <c r="G30" i="2" s="1"/>
  <c r="G31" i="2" l="1"/>
  <c r="F27" i="4"/>
  <c r="F25" i="4"/>
  <c r="F26" i="4"/>
  <c r="H3" i="4"/>
  <c r="K8" i="4"/>
  <c r="K16" i="4" s="1"/>
  <c r="K26" i="2"/>
  <c r="J26" i="2"/>
  <c r="H32" i="2"/>
  <c r="H35" i="2" s="1"/>
  <c r="I49" i="2"/>
  <c r="I27" i="2" s="1"/>
  <c r="J44" i="2"/>
  <c r="Q21" i="2"/>
  <c r="Q24" i="2" s="1"/>
  <c r="Q25" i="2" s="1"/>
  <c r="I3" i="4" l="1"/>
  <c r="I5" i="4"/>
  <c r="I16" i="4" s="1"/>
  <c r="G27" i="4"/>
  <c r="G26" i="4" s="1"/>
  <c r="G25" i="4"/>
  <c r="Q26" i="2"/>
  <c r="F40" i="2" s="1"/>
  <c r="M18" i="1" s="1"/>
  <c r="J49" i="2"/>
  <c r="J27" i="2" s="1"/>
  <c r="J28" i="2" s="1"/>
  <c r="J30" i="2" s="1"/>
  <c r="K44" i="2"/>
  <c r="K49" i="2" s="1"/>
  <c r="K27" i="2" s="1"/>
  <c r="K28" i="2" s="1"/>
  <c r="K30" i="2" s="1"/>
  <c r="I28" i="2"/>
  <c r="I30" i="2" s="1"/>
  <c r="G32" i="2"/>
  <c r="G35" i="2" s="1"/>
  <c r="Q27" i="2" l="1"/>
  <c r="Q28" i="2" s="1"/>
  <c r="H27" i="4"/>
  <c r="H26" i="4" s="1"/>
  <c r="H25" i="4"/>
  <c r="J3" i="4"/>
  <c r="J5" i="4"/>
  <c r="J16" i="4" s="1"/>
  <c r="G36" i="2"/>
  <c r="K31" i="2"/>
  <c r="K32" i="2" s="1"/>
  <c r="K35" i="2" s="1"/>
  <c r="I31" i="2"/>
  <c r="I32" i="2" s="1"/>
  <c r="I35" i="2" s="1"/>
  <c r="Q30" i="2"/>
  <c r="J31" i="2"/>
  <c r="J32" i="2" s="1"/>
  <c r="J35" i="2" s="1"/>
  <c r="F38" i="2" l="1"/>
  <c r="M17" i="1"/>
  <c r="I27" i="4"/>
  <c r="I26" i="4" s="1"/>
  <c r="I25" i="4"/>
  <c r="Q35" i="2"/>
  <c r="Q31" i="2"/>
  <c r="H36" i="2"/>
  <c r="H37" i="2" s="1"/>
  <c r="G37" i="2"/>
  <c r="J27" i="4" l="1"/>
  <c r="J26" i="4" s="1"/>
  <c r="I36" i="2"/>
  <c r="I37" i="2" s="1"/>
  <c r="J25" i="4" l="1"/>
  <c r="K27" i="4"/>
  <c r="K26" i="4" s="1"/>
  <c r="J36" i="2"/>
  <c r="J37" i="2" s="1"/>
  <c r="K25" i="4" l="1"/>
  <c r="K36" i="2"/>
  <c r="K37" i="2" s="1"/>
  <c r="F41" i="2" s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51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52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<sst xmlns="http://schemas.openxmlformats.org/spreadsheetml/2006/main" count="287" uniqueCount="224">
  <si>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</si>
  <si>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</si>
  <si>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</si>
  <si>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</si>
  <si>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</si>
  <si>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</si>
  <si>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</si>
  <si>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</si>
  <si>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</si>
  <si>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</si>
  <si>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</si>
  <si>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</si>
  <si>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</si>
  <si>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</si>
  <si>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</si>
  <si>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</si>
  <si>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</si>
  <si>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</si>
  <si>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</si>
  <si>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</si>
  <si>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Mall</t>
  </si>
  <si>
    <t>OPENET</t>
  </si>
  <si>
    <t>Total Revenue</t>
  </si>
  <si>
    <t>Status</t>
  </si>
  <si>
    <t>Renewal</t>
  </si>
  <si>
    <t>Cable FO (Core)</t>
  </si>
  <si>
    <t>Total Capex BV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</si>
  <si>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</si>
  <si>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</si>
  <si>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</si>
  <si>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</si>
  <si>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</si>
  <si>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</si>
  <si>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</si>
  <si>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</si>
  <si>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</si>
  <si>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</si>
  <si>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</si>
  <si>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</si>
  <si>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</si>
  <si>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</si>
  <si>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</si>
  <si>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</si>
  <si>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>Citra Kartika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</si>
  <si>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</si>
  <si>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</si>
  <si>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</si>
  <si>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</si>
  <si>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</si>
  <si>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</si>
  <si>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</si>
  <si>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</si>
  <si>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</si>
  <si>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</si>
  <si>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</si>
  <si>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</si>
  <si>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</si>
  <si>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</si>
  <si>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</si>
  <si>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</si>
  <si>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DAS</t>
  </si>
  <si>
    <t>BTS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</si>
  <si>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</si>
  <si>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</si>
  <si>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</si>
  <si>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</si>
  <si>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</si>
  <si>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</si>
  <si>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</si>
  <si>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</si>
  <si>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</si>
  <si>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</si>
  <si>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</si>
  <si>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</si>
  <si>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</si>
  <si>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</si>
  <si>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</si>
  <si>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</si>
  <si>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</si>
  <si>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</si>
  <si>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</si>
  <si>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</si>
  <si>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</si>
  <si>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</si>
  <si>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</si>
  <si>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</si>
  <si>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</si>
  <si>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</si>
  <si>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</si>
  <si>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</si>
  <si>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</si>
  <si>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</si>
  <si>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</si>
  <si>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</si>
  <si>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</si>
  <si>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Nama Site                   </t>
  </si>
  <si>
    <t xml:space="preserve">Nama Pemilik           </t>
  </si>
  <si>
    <t xml:space="preserve">Alamat Pemilik       </t>
  </si>
  <si>
    <t xml:space="preserve">Telp                           </t>
  </si>
  <si>
    <t xml:space="preserve">Obyek Sewa             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</si>
  <si>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</si>
  <si>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</si>
  <si>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</si>
  <si>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</si>
  <si>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</si>
  <si>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</si>
  <si>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</si>
  <si>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</si>
  <si>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</si>
  <si>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Harga Sewa</t>
  </si>
  <si>
    <t>Operator Join</t>
  </si>
  <si>
    <t>6.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</si>
  <si>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</si>
  <si>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</si>
  <si>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</si>
  <si>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</si>
  <si>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</si>
  <si>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</si>
  <si>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2016</t>
  </si>
  <si>
    <t>2017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</si>
  <si>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</si>
  <si>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</si>
  <si>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</si>
  <si>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</si>
  <si>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</si>
  <si>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</si>
  <si>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</si>
  <si>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</si>
  <si>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</si>
  <si>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</si>
  <si>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</si>
  <si>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</si>
  <si>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</si>
  <si>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</si>
  <si>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</si>
  <si>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</si>
  <si>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</si>
  <si>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</si>
  <si>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</si>
  <si>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</si>
  <si>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</si>
  <si>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</si>
  <si>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</si>
  <si>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</si>
  <si>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</si>
  <si>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</si>
  <si>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</si>
  <si>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</si>
  <si>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</si>
  <si>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</si>
  <si>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</si>
  <si>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</si>
  <si>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</si>
  <si>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</si>
  <si>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</si>
  <si>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</si>
  <si>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</si>
  <si>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</si>
  <si>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</si>
  <si>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</si>
  <si>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</si>
  <si>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</si>
  <si>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</si>
  <si>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</si>
  <si>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</si>
  <si>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</si>
  <si>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</si>
  <si>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</si>
  <si>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</si>
  <si>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</si>
  <si>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</si>
  <si>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</si>
  <si>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</si>
  <si>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</si>
  <si>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</si>
  <si>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</si>
  <si>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</si>
  <si>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</si>
  <si>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</si>
  <si>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</si>
  <si>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</si>
  <si>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</si>
  <si>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</si>
  <si>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 xml:space="preserve">Periode </t>
  </si>
  <si>
    <t>Start</t>
  </si>
  <si>
    <t>End</t>
  </si>
  <si>
    <t>Rev XL</t>
  </si>
  <si>
    <t>Sewa BM</t>
  </si>
  <si>
    <t>Days</t>
  </si>
  <si>
    <t>Worse &gt;&gt; Jika Sewa BM diperpanjang 5 tahun dan XL sesuai periodenya XL, maka:</t>
  </si>
  <si>
    <t xml:space="preserve">Sewa BM </t>
  </si>
  <si>
    <t xml:space="preserve">OM </t>
  </si>
  <si>
    <t>Antisipasi Add Capex and Pole</t>
  </si>
  <si>
    <t>Profit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</si>
  <si>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</si>
  <si>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</si>
  <si>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</si>
  <si>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</si>
  <si>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</si>
  <si>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</si>
  <si>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</si>
  <si>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</si>
  <si>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</si>
  <si>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</si>
  <si>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-</t>
  </si>
  <si>
    <t>0021/IRR/IBC/VII/2024</t>
  </si>
  <si>
    <t>PURI KIIC KARAWANG</t>
  </si>
  <si>
    <t>EXTEND</t>
  </si>
  <si>
    <t>Puri KIIC Karawang</t>
  </si>
  <si>
    <t>XL</t>
  </si>
  <si>
    <t>PT Maligi Permata Industrial Estate</t>
  </si>
  <si>
    <t>jl. Permata Raya Lot C-1B</t>
  </si>
  <si>
    <t>021-8901666</t>
  </si>
  <si>
    <t>87 Omni 8 pole RBS 40m2</t>
  </si>
  <si>
    <t>22Jul2019 sd 21Jul2024</t>
  </si>
  <si>
    <t>100,000,000/5thn</t>
  </si>
  <si>
    <t>20.000.000/th</t>
  </si>
  <si>
    <t>22Jul2024 sd 21Jul2029</t>
  </si>
  <si>
    <t xml:space="preserve">XL 2Jul24 sd 1Jul27 </t>
  </si>
  <si>
    <t>Tidak ada Penurunan Harga dan Kenaikan</t>
  </si>
  <si>
    <t>XL 2Jul19 sd 1Jul24</t>
  </si>
  <si>
    <t>SITE Puri KIIC Karawang</t>
  </si>
  <si>
    <t>Positip</t>
  </si>
  <si>
    <t>Harga Sewa dan Rev XL Tetap selama 5 tahun, dengan asumsi XL tidak hanya di perpanjang 3 tahun tapi akan di perpanjang s.d 5 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</si>
</sst>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[$-C09]dd\-mmm\-yy;@"/>
    <numFmt numFmtId="171" formatCode="#,###&quot;/thn&quot;"/>
    <numFmt numFmtId="172" formatCode="#,###&quot;/pole&quot;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34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41" fontId="0" fillId="0" borderId="0" xfId="4" applyFont="1" applyBorder="1"/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41" fontId="0" fillId="0" borderId="0" xfId="4" applyFont="1" applyFill="1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center"/>
      <protection locked="0"/>
    </xf>
    <xf numFmtId="0" fontId="3" fillId="0" borderId="0" xfId="3" applyAlignment="1">
      <alignment horizontal="left" indent="1"/>
    </xf>
    <xf numFmtId="9" fontId="0" fillId="0" borderId="0" xfId="4" applyNumberFormat="1" applyFont="1" applyBorder="1"/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3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0" fillId="0" borderId="15" xfId="4" applyFont="1" applyBorder="1" applyAlignment="1">
      <alignment vertical="center"/>
    </xf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19" fillId="0" borderId="0" xfId="8"/>
    <xf numFmtId="0" fontId="20" fillId="0" borderId="0" xfId="8" applyFont="1" applyAlignment="1">
      <alignment horizontal="center"/>
    </xf>
    <xf numFmtId="0" fontId="21" fillId="0" borderId="0" xfId="8" applyFont="1"/>
    <xf numFmtId="0" fontId="19" fillId="0" borderId="24" xfId="8" applyBorder="1" applyAlignment="1">
      <alignment horizontal="center" vertical="center"/>
    </xf>
    <xf numFmtId="0" fontId="19" fillId="0" borderId="24" xfId="8" applyBorder="1"/>
    <xf numFmtId="0" fontId="19" fillId="0" borderId="27" xfId="8" applyBorder="1"/>
    <xf numFmtId="0" fontId="21" fillId="0" borderId="24" xfId="8" applyFont="1" applyBorder="1"/>
    <xf numFmtId="164" fontId="0" fillId="0" borderId="27" xfId="9" applyFont="1" applyBorder="1"/>
    <xf numFmtId="0" fontId="19" fillId="0" borderId="25" xfId="8" applyBorder="1" applyAlignment="1">
      <alignment horizontal="center" vertical="center"/>
    </xf>
    <xf numFmtId="0" fontId="19" fillId="0" borderId="19" xfId="8" applyBorder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170" fontId="19" fillId="0" borderId="24" xfId="8" applyNumberFormat="1" applyBorder="1" applyAlignment="1">
      <alignment horizontal="center"/>
    </xf>
    <xf numFmtId="170" fontId="19" fillId="0" borderId="0" xfId="8" applyNumberFormat="1"/>
    <xf numFmtId="0" fontId="2" fillId="0" borderId="0" xfId="10" applyFont="1" applyAlignment="1">
      <alignment horizontal="center"/>
    </xf>
    <xf numFmtId="165" fontId="19" fillId="0" borderId="0" xfId="2" applyFont="1" applyBorder="1"/>
    <xf numFmtId="171" fontId="19" fillId="0" borderId="0" xfId="11" applyNumberFormat="1" applyFont="1"/>
    <xf numFmtId="165" fontId="19" fillId="0" borderId="0" xfId="8" applyNumberFormat="1"/>
    <xf numFmtId="172" fontId="19" fillId="0" borderId="0" xfId="12" applyNumberFormat="1" applyFont="1"/>
    <xf numFmtId="41" fontId="19" fillId="0" borderId="15" xfId="11" applyFont="1" applyBorder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38" fontId="11" fillId="0" borderId="0" xfId="3" applyNumberFormat="1" applyFont="1" applyAlignment="1">
      <alignment vertical="center"/>
    </xf>
    <xf numFmtId="38" fontId="12" fillId="0" borderId="0" xfId="4" applyNumberFormat="1" applyFont="1" applyFill="1"/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19" fillId="0" borderId="27" xfId="8" applyBorder="1" applyAlignment="1">
      <alignment horizontal="center" wrapText="1"/>
    </xf>
    <xf numFmtId="0" fontId="19" fillId="0" borderId="29" xfId="8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Border="1" applyAlignment="1">
      <alignment horizontal="center" vertical="center"/>
    </xf>
    <xf numFmtId="0" fontId="19" fillId="0" borderId="26" xfId="8" applyBorder="1" applyAlignment="1">
      <alignment horizontal="center" vertical="center"/>
    </xf>
    <xf numFmtId="0" fontId="19" fillId="0" borderId="24" xfId="8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3" fillId="0" borderId="0" xfId="3" applyAlignment="1">
      <alignment horizontal="left" wrapText="1"/>
    </xf>
  </cellXfs>
  <cellStyles count="13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5 2" xfId="5" xr:uid="{7DB35855-DF1D-41FD-8D1D-57F8E5731502}"/>
    <cellStyle name="Currency [0] 2 2" xfId="9" xr:uid="{31FE3FCA-9591-4575-ADF9-2469AC4B017F}"/>
    <cellStyle name="Normal" xfId="0" builtinId="0"/>
    <cellStyle name="Normal 2 2 2 2 3" xfId="6" xr:uid="{DE498679-5550-451A-81BA-8B6F40AD0748}"/>
    <cellStyle name="Normal 3" xfId="3" xr:uid="{80C6D651-5E36-4AE1-B2AF-24F7035690A9}"/>
    <cellStyle name="Normal 7" xfId="8" xr:uid="{8336AFE8-187C-4DC7-9E05-5CF89FA2A319}"/>
    <cellStyle name="Normal 7 3" xfId="10" xr:uid="{E3956C3F-B4CE-4040-AFD0-AC78C0F19FE7}"/>
    <cellStyle name="Percent 3" xfId="7" xr:uid="{54F020B5-68BB-4710-814E-90969CA1DF9C}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2130" y="5508283"/>
          <a:ext cx="8987970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13876" y="6789894"/>
          <a:ext cx="9203826" cy="174694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fredo.setiadi/Downloads/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LIWO%20CIBUBUR\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AEON\PNL%20AEON%20Deltamas%20v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UDGET\IRR\IBC\IBC%20Confirm\IRR%20Seasons%20City\PnL%20Apt.%20Seasons%20City%2029Ja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PARAMETER"/>
      <sheetName val="Book Value"/>
      <sheetName val="Analisa"/>
      <sheetName val="Summary B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tabSelected="1" zoomScale="70" zoomScaleNormal="70" workbookViewId="0">
      <selection activeCell="D24" sqref="D24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" width="9.54296875" style="1"/>
    <col min="17" max="17" width="14.08984375" style="1" bestFit="1" customWidth="1"/>
    <col min="18" max="16384" width="9.54296875" style="1"/>
  </cols>
  <sheetData>
    <row r="1" spans="2:14" ht="8.4" customHeight="1" x14ac:dyDescent="0.35"/>
    <row r="2" spans="2:14" ht="21.65" customHeight="1" x14ac:dyDescent="0.55000000000000004">
      <c r="B2" s="1" t="s">
        <v>0</v>
      </c>
      <c r="C2" s="2" t="s">
        <v>205</v>
      </c>
      <c r="M2" s="3"/>
      <c r="N2" s="4" t="s">
        <v>206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45496</v>
      </c>
    </row>
    <row r="4" spans="2:14" ht="18.5" x14ac:dyDescent="0.45">
      <c r="C4" s="5" t="s">
        <v>4</v>
      </c>
      <c r="D4" s="2" t="s">
        <v>207</v>
      </c>
    </row>
    <row r="5" spans="2:14" ht="0.9" customHeight="1" thickBot="1" x14ac:dyDescent="0.4">
      <c r="C5" s="2"/>
    </row>
    <row r="6" spans="2:14" s="7" customFormat="1" ht="19" thickBot="1" x14ac:dyDescent="0.5">
      <c r="B6" s="206" t="s">
        <v>5</v>
      </c>
      <c r="C6" s="207"/>
      <c r="D6" s="208"/>
      <c r="E6" s="206" t="s">
        <v>6</v>
      </c>
      <c r="F6" s="207"/>
      <c r="G6" s="207"/>
      <c r="H6" s="207"/>
      <c r="I6" s="207"/>
      <c r="J6" s="206" t="s">
        <v>7</v>
      </c>
      <c r="K6" s="207"/>
      <c r="L6" s="207"/>
      <c r="M6" s="207"/>
      <c r="N6" s="208"/>
    </row>
    <row r="7" spans="2:14" x14ac:dyDescent="0.35">
      <c r="B7" s="209" t="s">
        <v>8</v>
      </c>
      <c r="C7" s="210"/>
      <c r="D7" s="8" t="s">
        <v>208</v>
      </c>
      <c r="E7" s="211" t="s">
        <v>9</v>
      </c>
      <c r="F7" s="211"/>
      <c r="G7" s="211"/>
      <c r="H7" s="211"/>
      <c r="I7" s="211"/>
      <c r="J7" s="9"/>
      <c r="K7" s="210" t="s">
        <v>10</v>
      </c>
      <c r="L7" s="210"/>
      <c r="M7" s="10">
        <v>683396999</v>
      </c>
      <c r="N7" s="8"/>
    </row>
    <row r="8" spans="2:14" x14ac:dyDescent="0.35">
      <c r="B8" s="204" t="s">
        <v>11</v>
      </c>
      <c r="C8" s="205"/>
      <c r="D8" s="11"/>
      <c r="E8" s="197" t="s">
        <v>12</v>
      </c>
      <c r="F8" s="197"/>
      <c r="G8" s="197"/>
      <c r="H8" s="12"/>
      <c r="J8" s="13"/>
      <c r="K8" s="197" t="s">
        <v>13</v>
      </c>
      <c r="L8" s="197"/>
      <c r="M8" s="25">
        <f>M7/H9</f>
        <v>7855137.9195402302</v>
      </c>
      <c r="N8" s="14"/>
    </row>
    <row r="9" spans="2:14" x14ac:dyDescent="0.35">
      <c r="B9" s="204"/>
      <c r="C9" s="205"/>
      <c r="D9" s="14"/>
      <c r="E9" s="197" t="s">
        <v>14</v>
      </c>
      <c r="F9" s="197"/>
      <c r="G9" s="197"/>
      <c r="H9" s="12">
        <v>87</v>
      </c>
      <c r="J9" s="13"/>
      <c r="K9" s="197" t="s">
        <v>15</v>
      </c>
      <c r="L9" s="197"/>
      <c r="M9" s="15">
        <v>5</v>
      </c>
      <c r="N9" s="14"/>
    </row>
    <row r="10" spans="2:14" x14ac:dyDescent="0.35">
      <c r="B10" s="16" t="s">
        <v>16</v>
      </c>
      <c r="C10" s="17"/>
      <c r="D10" s="14"/>
      <c r="E10" s="197" t="s">
        <v>17</v>
      </c>
      <c r="F10" s="197"/>
      <c r="G10" s="197"/>
      <c r="H10" s="18">
        <v>0</v>
      </c>
      <c r="J10" s="13"/>
      <c r="K10" s="19" t="s">
        <v>18</v>
      </c>
      <c r="L10" s="19"/>
      <c r="M10" s="20">
        <f>[2]IRR!F3</f>
        <v>0.1</v>
      </c>
      <c r="N10" s="14"/>
    </row>
    <row r="11" spans="2:14" x14ac:dyDescent="0.35">
      <c r="B11" s="21" t="s">
        <v>19</v>
      </c>
      <c r="C11" s="19"/>
      <c r="D11" s="14" t="s">
        <v>20</v>
      </c>
      <c r="E11" s="198" t="s">
        <v>21</v>
      </c>
      <c r="F11" s="198"/>
      <c r="G11" s="198"/>
      <c r="H11" s="198"/>
      <c r="I11" s="198"/>
      <c r="J11" s="22"/>
      <c r="K11" s="197" t="s">
        <v>22</v>
      </c>
      <c r="L11" s="197"/>
      <c r="M11" s="10">
        <f>IRR!Q17</f>
        <v>700000000</v>
      </c>
      <c r="N11" s="14"/>
    </row>
    <row r="12" spans="2:14" x14ac:dyDescent="0.35">
      <c r="B12" s="21" t="s">
        <v>23</v>
      </c>
      <c r="C12" s="19"/>
      <c r="D12" s="14" t="s">
        <v>24</v>
      </c>
      <c r="E12" s="196" t="s">
        <v>25</v>
      </c>
      <c r="F12" s="196"/>
      <c r="G12" s="196"/>
      <c r="H12" s="23">
        <v>0</v>
      </c>
      <c r="J12" s="13"/>
      <c r="K12" s="197" t="s">
        <v>26</v>
      </c>
      <c r="L12" s="197"/>
      <c r="M12" s="10">
        <f>IRR!G9</f>
        <v>48278724.895833351</v>
      </c>
      <c r="N12" s="14"/>
    </row>
    <row r="13" spans="2:14" x14ac:dyDescent="0.35">
      <c r="B13" s="21" t="s">
        <v>27</v>
      </c>
      <c r="C13" s="19"/>
      <c r="D13" s="24"/>
      <c r="E13" s="196" t="s">
        <v>28</v>
      </c>
      <c r="F13" s="196"/>
      <c r="G13" s="196"/>
      <c r="H13" s="23">
        <v>0</v>
      </c>
      <c r="J13" s="13"/>
      <c r="K13" s="197" t="s">
        <v>29</v>
      </c>
      <c r="L13" s="197"/>
      <c r="M13" s="10">
        <f>IRR!Q20</f>
        <v>100000000</v>
      </c>
      <c r="N13" s="14"/>
    </row>
    <row r="14" spans="2:14" x14ac:dyDescent="0.35">
      <c r="B14" s="21" t="s">
        <v>30</v>
      </c>
      <c r="C14" s="19"/>
      <c r="D14" s="24"/>
      <c r="E14" s="196" t="s">
        <v>31</v>
      </c>
      <c r="F14" s="196"/>
      <c r="G14" s="196"/>
      <c r="H14" s="23">
        <v>0</v>
      </c>
      <c r="J14" s="13"/>
      <c r="K14" s="197" t="s">
        <v>32</v>
      </c>
      <c r="L14" s="197"/>
      <c r="M14" s="25">
        <f>IRR!Q22+IRR!Q23</f>
        <v>70000000</v>
      </c>
      <c r="N14" s="14"/>
    </row>
    <row r="15" spans="2:14" ht="16" thickBot="1" x14ac:dyDescent="0.4">
      <c r="B15" s="21" t="s">
        <v>33</v>
      </c>
      <c r="C15" s="19"/>
      <c r="D15" s="26"/>
      <c r="E15" s="27"/>
      <c r="F15" s="27"/>
      <c r="G15" s="27"/>
      <c r="H15" s="23"/>
      <c r="J15" s="13"/>
      <c r="K15" s="19"/>
      <c r="L15" s="19"/>
      <c r="N15" s="14"/>
    </row>
    <row r="16" spans="2:14" x14ac:dyDescent="0.35">
      <c r="B16" s="13"/>
      <c r="D16" s="14"/>
      <c r="E16" s="198" t="s">
        <v>34</v>
      </c>
      <c r="F16" s="198"/>
      <c r="G16" s="198"/>
      <c r="H16" s="198"/>
      <c r="I16" s="198"/>
      <c r="J16" s="28"/>
      <c r="K16" s="199" t="s">
        <v>35</v>
      </c>
      <c r="L16" s="200"/>
      <c r="M16" s="29" t="s">
        <v>222</v>
      </c>
      <c r="N16" s="14"/>
    </row>
    <row r="17" spans="2:18" x14ac:dyDescent="0.35">
      <c r="B17" s="13"/>
      <c r="D17" s="14"/>
      <c r="J17" s="30"/>
      <c r="K17" s="201" t="s">
        <v>36</v>
      </c>
      <c r="L17" s="202"/>
      <c r="M17" s="31">
        <f>IRR!F39</f>
        <v>367030964.38832504</v>
      </c>
      <c r="N17" s="14"/>
    </row>
    <row r="18" spans="2:18" x14ac:dyDescent="0.35">
      <c r="B18" s="13"/>
      <c r="D18" s="14"/>
      <c r="J18" s="30"/>
      <c r="K18" s="201" t="s">
        <v>37</v>
      </c>
      <c r="L18" s="202"/>
      <c r="M18" s="32">
        <f>IRR!F40</f>
        <v>0.75714285714285712</v>
      </c>
      <c r="N18" s="14"/>
      <c r="R18" s="1" t="s">
        <v>38</v>
      </c>
    </row>
    <row r="19" spans="2:18" ht="16" thickBot="1" x14ac:dyDescent="0.4">
      <c r="B19" s="13"/>
      <c r="D19" s="14"/>
      <c r="J19" s="30"/>
      <c r="K19" s="192" t="s">
        <v>39</v>
      </c>
      <c r="L19" s="193"/>
      <c r="M19" s="33">
        <f>IRR!F41</f>
        <v>1.2021148185241852</v>
      </c>
      <c r="N19" s="14"/>
    </row>
    <row r="20" spans="2:18" ht="16" thickBot="1" x14ac:dyDescent="0.4">
      <c r="B20" s="34"/>
      <c r="C20" s="35"/>
      <c r="D20" s="36"/>
      <c r="E20" s="35"/>
      <c r="F20" s="35" t="s">
        <v>38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5">
      <c r="B21" s="38" t="s">
        <v>40</v>
      </c>
      <c r="C21" s="39"/>
      <c r="D21" s="39"/>
      <c r="E21" s="39"/>
      <c r="F21" s="39"/>
      <c r="G21" s="39"/>
      <c r="H21" s="39"/>
      <c r="I21" s="39"/>
      <c r="J21" s="39"/>
      <c r="L21" s="203" t="s">
        <v>41</v>
      </c>
      <c r="M21" s="203"/>
      <c r="N21" s="8"/>
    </row>
    <row r="22" spans="2:18" ht="15.5" customHeight="1" x14ac:dyDescent="0.35">
      <c r="B22" s="13" t="s">
        <v>42</v>
      </c>
      <c r="D22" s="233" t="s">
        <v>223</v>
      </c>
      <c r="E22" s="233"/>
      <c r="F22" s="233"/>
      <c r="G22" s="233"/>
      <c r="H22" s="233"/>
      <c r="I22" s="233"/>
      <c r="L22" s="194" t="s">
        <v>43</v>
      </c>
      <c r="M22" s="195"/>
      <c r="N22" s="14"/>
    </row>
    <row r="23" spans="2:18" x14ac:dyDescent="0.35">
      <c r="B23" s="13"/>
      <c r="D23" s="233"/>
      <c r="E23" s="233"/>
      <c r="F23" s="233"/>
      <c r="G23" s="233"/>
      <c r="H23" s="233"/>
      <c r="I23" s="233"/>
      <c r="N23" s="14"/>
    </row>
    <row r="24" spans="2:18" x14ac:dyDescent="0.35">
      <c r="B24" s="13"/>
      <c r="N24" s="14"/>
    </row>
    <row r="25" spans="2:18" x14ac:dyDescent="0.35">
      <c r="B25" s="13"/>
      <c r="N25" s="14"/>
    </row>
    <row r="26" spans="2:18" ht="16" thickBot="1" x14ac:dyDescent="0.4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8" spans="2:18" x14ac:dyDescent="0.35">
      <c r="B28" s="2" t="s">
        <v>44</v>
      </c>
    </row>
    <row r="29" spans="2:18" x14ac:dyDescent="0.35"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</row>
    <row r="30" spans="2:18" x14ac:dyDescent="0.35"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</row>
    <row r="31" spans="2:18" x14ac:dyDescent="0.35"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</row>
    <row r="32" spans="2:18" x14ac:dyDescent="0.35"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</row>
    <row r="33" spans="2:15" x14ac:dyDescent="0.35"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</row>
    <row r="34" spans="2:15" x14ac:dyDescent="0.35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</row>
    <row r="35" spans="2:15" x14ac:dyDescent="0.35"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</row>
  </sheetData>
  <mergeCells count="29">
    <mergeCell ref="D22:I23"/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K19:L19"/>
    <mergeCell ref="L22:M22"/>
    <mergeCell ref="E14:G14"/>
    <mergeCell ref="K14:L14"/>
    <mergeCell ref="E16:I16"/>
    <mergeCell ref="K16:L16"/>
    <mergeCell ref="K17:L17"/>
    <mergeCell ref="K18:L18"/>
    <mergeCell ref="L21:M21"/>
  </mergeCells>
  <pageMargins left="0.7" right="0.7" top="0.44" bottom="0.6" header="0.3" footer="0.3"/>
  <pageSetup paperSize="9" scale="95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dimension ref="B1:Y52"/>
  <sheetViews>
    <sheetView showGridLines="0" zoomScale="86" zoomScaleNormal="86" workbookViewId="0">
      <selection activeCell="Q49" sqref="Q49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8.81640625" style="1" customWidth="1"/>
    <col min="7" max="7" width="19.54296875" style="41" customWidth="1"/>
    <col min="8" max="8" width="19.90625" style="1" customWidth="1"/>
    <col min="9" max="10" width="17.36328125" style="1" bestFit="1" customWidth="1"/>
    <col min="11" max="11" width="17.81640625" style="1" bestFit="1" customWidth="1"/>
    <col min="12" max="16" width="17.81640625" style="1" hidden="1" customWidth="1"/>
    <col min="17" max="17" width="19.1796875" style="1" bestFit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45</v>
      </c>
      <c r="C1" s="1" t="s">
        <v>205</v>
      </c>
      <c r="Q1" s="4" t="s">
        <v>206</v>
      </c>
    </row>
    <row r="2" spans="2:25" x14ac:dyDescent="0.35">
      <c r="B2" s="42" t="s">
        <v>46</v>
      </c>
      <c r="H2" s="187" t="s">
        <v>47</v>
      </c>
      <c r="I2" s="188" t="s">
        <v>48</v>
      </c>
    </row>
    <row r="3" spans="2:25" x14ac:dyDescent="0.35">
      <c r="C3" s="1" t="s">
        <v>49</v>
      </c>
      <c r="E3" s="44">
        <v>0.02</v>
      </c>
      <c r="H3" s="189"/>
      <c r="I3" s="45"/>
      <c r="L3" s="45"/>
      <c r="M3" s="45"/>
      <c r="N3" s="45"/>
      <c r="O3" s="45"/>
      <c r="P3" s="45"/>
      <c r="R3" s="46"/>
      <c r="S3" s="46"/>
    </row>
    <row r="4" spans="2:25" x14ac:dyDescent="0.35">
      <c r="C4" s="1" t="s">
        <v>50</v>
      </c>
      <c r="E4" s="44">
        <v>0.1</v>
      </c>
      <c r="H4" s="189"/>
      <c r="I4" s="45"/>
      <c r="L4" s="45"/>
      <c r="M4" s="45"/>
      <c r="N4" s="45"/>
      <c r="O4" s="45"/>
      <c r="P4" s="45"/>
      <c r="R4" s="46"/>
      <c r="S4" s="46"/>
    </row>
    <row r="5" spans="2:25" x14ac:dyDescent="0.35">
      <c r="C5" s="1" t="s">
        <v>51</v>
      </c>
      <c r="E5" s="44">
        <v>0.05</v>
      </c>
      <c r="F5" s="41" t="s">
        <v>52</v>
      </c>
      <c r="H5" s="189"/>
      <c r="I5" s="1" t="s">
        <v>204</v>
      </c>
      <c r="S5" s="47"/>
      <c r="T5" s="47"/>
      <c r="U5" s="47"/>
      <c r="V5" s="47"/>
    </row>
    <row r="6" spans="2:25" x14ac:dyDescent="0.35">
      <c r="C6" s="1" t="s">
        <v>53</v>
      </c>
      <c r="E6" s="48">
        <v>0</v>
      </c>
      <c r="F6" s="41" t="s">
        <v>52</v>
      </c>
      <c r="H6" s="189"/>
      <c r="I6" s="1" t="s">
        <v>204</v>
      </c>
    </row>
    <row r="7" spans="2:25" ht="7.25" customHeight="1" x14ac:dyDescent="0.35">
      <c r="F7" s="44"/>
    </row>
    <row r="8" spans="2:25" ht="14.4" customHeight="1" x14ac:dyDescent="0.35">
      <c r="B8" s="2"/>
      <c r="G8" s="43" t="s">
        <v>54</v>
      </c>
      <c r="H8" s="43" t="s">
        <v>55</v>
      </c>
      <c r="I8" s="43" t="s">
        <v>56</v>
      </c>
      <c r="J8" s="43" t="s">
        <v>57</v>
      </c>
      <c r="K8" s="43" t="s">
        <v>58</v>
      </c>
      <c r="L8" s="43" t="s">
        <v>199</v>
      </c>
      <c r="M8" s="43" t="s">
        <v>200</v>
      </c>
      <c r="N8" s="43" t="s">
        <v>201</v>
      </c>
      <c r="O8" s="43" t="s">
        <v>202</v>
      </c>
      <c r="P8" s="43" t="s">
        <v>203</v>
      </c>
      <c r="R8" s="49"/>
      <c r="W8" s="49"/>
      <c r="X8" s="49"/>
      <c r="Y8" s="49"/>
    </row>
    <row r="9" spans="2:25" s="51" customFormat="1" ht="16" thickBot="1" x14ac:dyDescent="0.4">
      <c r="B9" s="50" t="s">
        <v>59</v>
      </c>
      <c r="E9" s="51" t="s">
        <v>60</v>
      </c>
      <c r="F9" s="52"/>
      <c r="G9" s="53">
        <v>48278724.895833351</v>
      </c>
      <c r="H9" s="53">
        <v>0</v>
      </c>
      <c r="I9" s="53">
        <v>0</v>
      </c>
      <c r="J9" s="53">
        <v>0</v>
      </c>
      <c r="K9" s="53"/>
      <c r="L9" s="53"/>
      <c r="M9" s="53"/>
      <c r="N9" s="53"/>
      <c r="O9" s="53"/>
      <c r="P9" s="53"/>
      <c r="Q9" s="52"/>
      <c r="R9" s="52"/>
      <c r="S9" s="1"/>
      <c r="T9" s="1"/>
      <c r="U9" s="1"/>
      <c r="V9" s="1"/>
      <c r="W9" s="52"/>
      <c r="X9" s="52"/>
      <c r="Y9" s="52"/>
    </row>
    <row r="10" spans="2:25" s="51" customFormat="1" ht="16" thickTop="1" x14ac:dyDescent="0.35">
      <c r="B10" s="50"/>
      <c r="E10" s="51" t="s">
        <v>61</v>
      </c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1"/>
      <c r="T10" s="1"/>
      <c r="U10" s="1"/>
      <c r="V10" s="1"/>
      <c r="W10" s="52"/>
      <c r="X10" s="52"/>
      <c r="Y10" s="52"/>
    </row>
    <row r="11" spans="2:25" x14ac:dyDescent="0.35">
      <c r="F11" s="54"/>
      <c r="G11" s="55">
        <v>2024</v>
      </c>
      <c r="H11" s="55">
        <f>G11+1</f>
        <v>2025</v>
      </c>
      <c r="I11" s="55">
        <f t="shared" ref="I11:P11" si="0">H11+1</f>
        <v>2026</v>
      </c>
      <c r="J11" s="55">
        <f t="shared" si="0"/>
        <v>2027</v>
      </c>
      <c r="K11" s="55">
        <f t="shared" si="0"/>
        <v>2028</v>
      </c>
      <c r="L11" s="55">
        <f t="shared" si="0"/>
        <v>2029</v>
      </c>
      <c r="M11" s="55">
        <f t="shared" si="0"/>
        <v>2030</v>
      </c>
      <c r="N11" s="55">
        <f t="shared" si="0"/>
        <v>2031</v>
      </c>
      <c r="O11" s="55">
        <f t="shared" si="0"/>
        <v>2032</v>
      </c>
      <c r="P11" s="55">
        <f t="shared" si="0"/>
        <v>2033</v>
      </c>
      <c r="Q11" s="55"/>
    </row>
    <row r="12" spans="2:25" ht="16" thickBot="1" x14ac:dyDescent="0.4">
      <c r="B12" s="56" t="s">
        <v>62</v>
      </c>
      <c r="C12" s="35"/>
      <c r="D12" s="35"/>
      <c r="E12" s="35"/>
      <c r="F12" s="57" t="s">
        <v>198</v>
      </c>
      <c r="G12" s="57" t="s">
        <v>63</v>
      </c>
      <c r="H12" s="58" t="s">
        <v>64</v>
      </c>
      <c r="I12" s="57" t="s">
        <v>65</v>
      </c>
      <c r="J12" s="58" t="s">
        <v>66</v>
      </c>
      <c r="K12" s="57" t="s">
        <v>67</v>
      </c>
      <c r="L12" s="57" t="s">
        <v>92</v>
      </c>
      <c r="M12" s="57" t="s">
        <v>194</v>
      </c>
      <c r="N12" s="57" t="s">
        <v>195</v>
      </c>
      <c r="O12" s="57" t="s">
        <v>196</v>
      </c>
      <c r="P12" s="57" t="s">
        <v>197</v>
      </c>
      <c r="Q12" s="59" t="s">
        <v>68</v>
      </c>
      <c r="R12" s="47"/>
      <c r="S12" s="60"/>
      <c r="T12" s="60"/>
      <c r="U12" s="60"/>
      <c r="V12" s="60"/>
      <c r="W12" s="47"/>
    </row>
    <row r="13" spans="2:25" x14ac:dyDescent="0.35">
      <c r="B13" s="1" t="s">
        <v>69</v>
      </c>
      <c r="G13" s="55">
        <v>12</v>
      </c>
      <c r="H13" s="55">
        <v>12</v>
      </c>
      <c r="I13" s="55">
        <v>12</v>
      </c>
      <c r="J13" s="55">
        <v>12</v>
      </c>
      <c r="K13" s="55">
        <v>12</v>
      </c>
      <c r="L13" s="55"/>
      <c r="M13" s="55"/>
      <c r="N13" s="55"/>
      <c r="O13" s="55"/>
      <c r="P13" s="55"/>
      <c r="Q13" s="61"/>
      <c r="S13" s="46"/>
      <c r="T13" s="46"/>
      <c r="U13" s="46"/>
      <c r="V13" s="46"/>
    </row>
    <row r="14" spans="2:25" ht="4.75" customHeight="1" x14ac:dyDescent="0.35">
      <c r="Q14" s="61"/>
      <c r="S14" s="62"/>
      <c r="T14" s="62"/>
      <c r="U14" s="62"/>
      <c r="V14" s="62"/>
    </row>
    <row r="15" spans="2:25" x14ac:dyDescent="0.35">
      <c r="B15" s="2" t="s">
        <v>70</v>
      </c>
      <c r="E15" s="63"/>
      <c r="G15" s="64"/>
      <c r="H15" s="65"/>
      <c r="I15" s="66"/>
      <c r="J15" s="66"/>
      <c r="K15" s="66"/>
      <c r="L15" s="66"/>
      <c r="M15" s="66"/>
      <c r="N15" s="66"/>
      <c r="O15" s="66"/>
      <c r="P15" s="66"/>
      <c r="Q15" s="61"/>
      <c r="S15" s="60"/>
      <c r="T15" s="60"/>
      <c r="U15" s="60"/>
      <c r="V15" s="60"/>
    </row>
    <row r="16" spans="2:25" x14ac:dyDescent="0.35">
      <c r="B16" s="2"/>
      <c r="C16" s="1" t="s">
        <v>209</v>
      </c>
      <c r="E16" s="63"/>
      <c r="G16" s="65">
        <v>140000000</v>
      </c>
      <c r="H16" s="65">
        <f>G16</f>
        <v>140000000</v>
      </c>
      <c r="I16" s="65">
        <f>H16</f>
        <v>140000000</v>
      </c>
      <c r="J16" s="65">
        <f>I16</f>
        <v>140000000</v>
      </c>
      <c r="K16" s="65">
        <f>J16</f>
        <v>140000000</v>
      </c>
      <c r="L16" s="65"/>
      <c r="M16" s="65"/>
      <c r="N16" s="65"/>
      <c r="O16" s="65"/>
      <c r="P16" s="65"/>
      <c r="Q16" s="67">
        <f>SUM(G16:K16)</f>
        <v>700000000</v>
      </c>
      <c r="S16" s="60"/>
      <c r="T16" s="60"/>
      <c r="U16" s="60"/>
      <c r="V16" s="60"/>
    </row>
    <row r="17" spans="2:24" x14ac:dyDescent="0.35">
      <c r="B17" s="70" t="s">
        <v>71</v>
      </c>
      <c r="C17" s="70"/>
      <c r="D17" s="70"/>
      <c r="E17" s="212"/>
      <c r="F17" s="213"/>
      <c r="G17" s="71">
        <f>SUM(G16:G16)</f>
        <v>140000000</v>
      </c>
      <c r="H17" s="71">
        <f>SUM(H16:H16)</f>
        <v>140000000</v>
      </c>
      <c r="I17" s="71">
        <f>SUM(I16:I16)</f>
        <v>140000000</v>
      </c>
      <c r="J17" s="71">
        <f>SUM(J16:J16)</f>
        <v>140000000</v>
      </c>
      <c r="K17" s="71">
        <f>SUM(K16:K16)</f>
        <v>140000000</v>
      </c>
      <c r="L17" s="71"/>
      <c r="M17" s="71"/>
      <c r="N17" s="71"/>
      <c r="O17" s="71"/>
      <c r="P17" s="71"/>
      <c r="Q17" s="72">
        <f>SUM(G17:K17)</f>
        <v>700000000</v>
      </c>
      <c r="R17" s="60"/>
      <c r="S17" s="73"/>
      <c r="T17" s="73"/>
      <c r="U17" s="73"/>
      <c r="V17" s="73"/>
      <c r="W17" s="60"/>
      <c r="X17" s="46"/>
    </row>
    <row r="18" spans="2:24" ht="3" customHeight="1" x14ac:dyDescent="0.35">
      <c r="Q18" s="61"/>
      <c r="R18" s="46"/>
      <c r="S18" s="73"/>
      <c r="T18" s="73"/>
      <c r="U18" s="73"/>
      <c r="V18" s="73"/>
      <c r="W18" s="46"/>
      <c r="X18" s="46"/>
    </row>
    <row r="19" spans="2:24" x14ac:dyDescent="0.35">
      <c r="B19" s="2" t="s">
        <v>72</v>
      </c>
      <c r="E19" s="63"/>
      <c r="F19" s="63"/>
      <c r="G19" s="64"/>
      <c r="H19" s="63"/>
      <c r="I19" s="66"/>
      <c r="J19" s="66"/>
      <c r="K19" s="66"/>
      <c r="L19" s="66"/>
      <c r="M19" s="66"/>
      <c r="N19" s="66"/>
      <c r="O19" s="66"/>
      <c r="P19" s="66"/>
      <c r="Q19" s="74"/>
      <c r="R19" s="62"/>
      <c r="S19" s="75"/>
      <c r="T19" s="75"/>
      <c r="U19" s="75"/>
      <c r="V19" s="75"/>
      <c r="W19" s="46"/>
      <c r="X19" s="46"/>
    </row>
    <row r="20" spans="2:24" x14ac:dyDescent="0.35">
      <c r="C20" s="1" t="s">
        <v>73</v>
      </c>
      <c r="E20" s="76"/>
      <c r="G20" s="77">
        <v>100000000</v>
      </c>
      <c r="H20" s="77"/>
      <c r="I20" s="77"/>
      <c r="J20" s="77"/>
      <c r="K20" s="77"/>
      <c r="L20" s="77"/>
      <c r="M20" s="77"/>
      <c r="N20" s="77"/>
      <c r="O20" s="77"/>
      <c r="P20" s="77"/>
      <c r="Q20" s="78">
        <f>SUM(G20:K20)</f>
        <v>100000000</v>
      </c>
      <c r="R20" s="60" t="s">
        <v>38</v>
      </c>
      <c r="S20" s="60"/>
      <c r="T20" s="60"/>
      <c r="U20" s="60"/>
      <c r="V20" s="60"/>
      <c r="W20" s="79"/>
      <c r="X20" s="46"/>
    </row>
    <row r="21" spans="2:24" x14ac:dyDescent="0.35">
      <c r="C21" s="1" t="s">
        <v>74</v>
      </c>
      <c r="F21" s="80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8">
        <f>SUM(G21:K21)</f>
        <v>0</v>
      </c>
      <c r="R21" s="60"/>
      <c r="S21" s="81"/>
      <c r="T21" s="81"/>
      <c r="U21" s="81"/>
      <c r="V21" s="81"/>
      <c r="W21" s="79"/>
      <c r="X21" s="46"/>
    </row>
    <row r="22" spans="2:24" x14ac:dyDescent="0.35">
      <c r="C22" s="1" t="s">
        <v>75</v>
      </c>
      <c r="G22" s="82">
        <v>7000000</v>
      </c>
      <c r="H22" s="82">
        <f>G22</f>
        <v>7000000</v>
      </c>
      <c r="I22" s="82">
        <f t="shared" ref="I22:K22" si="1">H22</f>
        <v>7000000</v>
      </c>
      <c r="J22" s="82">
        <f t="shared" si="1"/>
        <v>7000000</v>
      </c>
      <c r="K22" s="82">
        <f t="shared" si="1"/>
        <v>7000000</v>
      </c>
      <c r="L22" s="82"/>
      <c r="M22" s="82"/>
      <c r="N22" s="82"/>
      <c r="O22" s="82"/>
      <c r="P22" s="82"/>
      <c r="Q22" s="78">
        <f t="shared" ref="Q22:Q23" si="2">SUM(G22:K22)</f>
        <v>35000000</v>
      </c>
      <c r="R22" s="60"/>
      <c r="S22" s="81"/>
      <c r="T22" s="81"/>
      <c r="U22" s="81"/>
      <c r="V22" s="81"/>
      <c r="W22" s="79"/>
      <c r="X22" s="46"/>
    </row>
    <row r="23" spans="2:24" x14ac:dyDescent="0.35">
      <c r="B23" s="83"/>
      <c r="C23" s="83" t="s">
        <v>51</v>
      </c>
      <c r="D23" s="83"/>
      <c r="E23" s="83"/>
      <c r="F23" s="83"/>
      <c r="G23" s="84">
        <f>G17*$E$5</f>
        <v>7000000</v>
      </c>
      <c r="H23" s="84">
        <f>H17*$E$5</f>
        <v>7000000</v>
      </c>
      <c r="I23" s="84">
        <f>I17*$E$5</f>
        <v>7000000</v>
      </c>
      <c r="J23" s="84">
        <f>J17*$E$5</f>
        <v>7000000</v>
      </c>
      <c r="K23" s="84">
        <f>K17*$E$5</f>
        <v>7000000</v>
      </c>
      <c r="L23" s="185"/>
      <c r="M23" s="185"/>
      <c r="N23" s="185"/>
      <c r="O23" s="185"/>
      <c r="P23" s="185"/>
      <c r="Q23" s="78">
        <f t="shared" si="2"/>
        <v>35000000</v>
      </c>
      <c r="R23" s="69"/>
      <c r="S23" s="81"/>
      <c r="T23" s="81"/>
      <c r="U23" s="81"/>
      <c r="V23" s="81"/>
      <c r="W23" s="79"/>
      <c r="X23" s="46"/>
    </row>
    <row r="24" spans="2:24" s="2" customFormat="1" x14ac:dyDescent="0.35">
      <c r="B24" s="70" t="s">
        <v>76</v>
      </c>
      <c r="C24" s="70"/>
      <c r="D24" s="70"/>
      <c r="E24" s="70"/>
      <c r="F24" s="70"/>
      <c r="G24" s="71">
        <f>SUM(G20:G23)</f>
        <v>114000000</v>
      </c>
      <c r="H24" s="71">
        <f t="shared" ref="H24:K24" si="3">SUM(H20:H23)</f>
        <v>14000000</v>
      </c>
      <c r="I24" s="71">
        <f t="shared" si="3"/>
        <v>14000000</v>
      </c>
      <c r="J24" s="71">
        <f t="shared" si="3"/>
        <v>14000000</v>
      </c>
      <c r="K24" s="71">
        <f t="shared" si="3"/>
        <v>14000000</v>
      </c>
      <c r="L24" s="71"/>
      <c r="M24" s="71"/>
      <c r="N24" s="71"/>
      <c r="O24" s="71"/>
      <c r="P24" s="71"/>
      <c r="Q24" s="85">
        <f>SUM(Q20:Q23)</f>
        <v>170000000</v>
      </c>
      <c r="R24" s="73"/>
      <c r="S24" s="86"/>
      <c r="T24" s="86"/>
      <c r="U24" s="86"/>
      <c r="V24" s="86"/>
      <c r="W24" s="73"/>
      <c r="X24" s="87"/>
    </row>
    <row r="25" spans="2:24" s="2" customFormat="1" x14ac:dyDescent="0.35">
      <c r="B25" s="2" t="s">
        <v>77</v>
      </c>
      <c r="G25" s="190">
        <f>G17-G24</f>
        <v>26000000</v>
      </c>
      <c r="H25" s="88">
        <f>H17-H24</f>
        <v>126000000</v>
      </c>
      <c r="I25" s="88">
        <f t="shared" ref="I25:K25" si="4">I17-I24</f>
        <v>126000000</v>
      </c>
      <c r="J25" s="88">
        <f t="shared" si="4"/>
        <v>126000000</v>
      </c>
      <c r="K25" s="88">
        <f t="shared" si="4"/>
        <v>126000000</v>
      </c>
      <c r="L25" s="88"/>
      <c r="M25" s="88"/>
      <c r="N25" s="88"/>
      <c r="O25" s="88"/>
      <c r="P25" s="88"/>
      <c r="Q25" s="89">
        <f>Q17-Q24</f>
        <v>530000000</v>
      </c>
      <c r="R25" s="73"/>
      <c r="S25" s="81"/>
      <c r="T25" s="81"/>
      <c r="U25" s="81"/>
      <c r="V25" s="81"/>
      <c r="W25" s="73"/>
      <c r="X25" s="87"/>
    </row>
    <row r="26" spans="2:24" s="2" customFormat="1" x14ac:dyDescent="0.35">
      <c r="B26" s="90" t="s">
        <v>78</v>
      </c>
      <c r="C26" s="91"/>
      <c r="D26" s="91"/>
      <c r="E26" s="91"/>
      <c r="F26" s="91"/>
      <c r="G26" s="92">
        <v>0</v>
      </c>
      <c r="H26" s="92">
        <f>H25/H17</f>
        <v>0.9</v>
      </c>
      <c r="I26" s="92">
        <f t="shared" ref="I26:K26" si="5">I25/I17</f>
        <v>0.9</v>
      </c>
      <c r="J26" s="92">
        <f t="shared" si="5"/>
        <v>0.9</v>
      </c>
      <c r="K26" s="92">
        <f t="shared" si="5"/>
        <v>0.9</v>
      </c>
      <c r="L26" s="92"/>
      <c r="M26" s="92"/>
      <c r="N26" s="92"/>
      <c r="O26" s="92"/>
      <c r="P26" s="92"/>
      <c r="Q26" s="93">
        <f>Q25/Q17</f>
        <v>0.75714285714285712</v>
      </c>
      <c r="R26" s="75"/>
      <c r="S26" s="46"/>
      <c r="T26" s="46"/>
      <c r="U26" s="46"/>
      <c r="V26" s="46"/>
      <c r="W26" s="75"/>
      <c r="X26" s="87"/>
    </row>
    <row r="27" spans="2:24" x14ac:dyDescent="0.35">
      <c r="B27" s="83" t="s">
        <v>79</v>
      </c>
      <c r="C27" s="83"/>
      <c r="D27" s="83"/>
      <c r="E27" s="83"/>
      <c r="F27" s="83"/>
      <c r="G27" s="94">
        <f>G49</f>
        <v>9655744.9791666698</v>
      </c>
      <c r="H27" s="94">
        <f>H49</f>
        <v>9655744.9791666698</v>
      </c>
      <c r="I27" s="94">
        <f>I49</f>
        <v>9655744.9791666698</v>
      </c>
      <c r="J27" s="94">
        <f>J49</f>
        <v>9655744.9791666698</v>
      </c>
      <c r="K27" s="94">
        <f>K49</f>
        <v>9655744.9791666698</v>
      </c>
      <c r="L27" s="94"/>
      <c r="M27" s="94"/>
      <c r="N27" s="94"/>
      <c r="O27" s="94"/>
      <c r="P27" s="94"/>
      <c r="Q27" s="95">
        <f>SUM(G27:K27)</f>
        <v>48278724.895833351</v>
      </c>
      <c r="R27" s="60"/>
      <c r="S27" s="96"/>
      <c r="T27" s="96"/>
      <c r="U27" s="96"/>
      <c r="V27" s="96"/>
      <c r="W27" s="60"/>
      <c r="X27" s="46"/>
    </row>
    <row r="28" spans="2:24" x14ac:dyDescent="0.35">
      <c r="B28" s="1" t="s">
        <v>80</v>
      </c>
      <c r="G28" s="97">
        <f t="shared" ref="G28:Q28" si="6">G25-G27</f>
        <v>16344255.02083333</v>
      </c>
      <c r="H28" s="97">
        <f t="shared" si="6"/>
        <v>116344255.02083333</v>
      </c>
      <c r="I28" s="97">
        <f t="shared" si="6"/>
        <v>116344255.02083333</v>
      </c>
      <c r="J28" s="97">
        <f t="shared" si="6"/>
        <v>116344255.02083333</v>
      </c>
      <c r="K28" s="97">
        <f t="shared" si="6"/>
        <v>116344255.02083333</v>
      </c>
      <c r="L28" s="97"/>
      <c r="M28" s="97"/>
      <c r="N28" s="97"/>
      <c r="O28" s="97"/>
      <c r="P28" s="97"/>
      <c r="Q28" s="98">
        <f t="shared" si="6"/>
        <v>481721275.10416663</v>
      </c>
      <c r="R28" s="81"/>
      <c r="S28" s="96"/>
      <c r="T28" s="96"/>
      <c r="U28" s="96"/>
      <c r="V28" s="96"/>
      <c r="W28" s="81"/>
      <c r="X28" s="46"/>
    </row>
    <row r="29" spans="2:24" x14ac:dyDescent="0.35">
      <c r="B29" s="1" t="s">
        <v>81</v>
      </c>
      <c r="G29" s="99">
        <f>Parameter!L16</f>
        <v>2439346.1</v>
      </c>
      <c r="H29" s="99"/>
      <c r="I29" s="99"/>
      <c r="J29" s="99"/>
      <c r="K29" s="99"/>
      <c r="L29" s="99"/>
      <c r="M29" s="99"/>
      <c r="N29" s="99"/>
      <c r="O29" s="99"/>
      <c r="P29" s="99"/>
      <c r="Q29" s="100">
        <f>SUM(G29:K29)</f>
        <v>2439346.1</v>
      </c>
      <c r="R29" s="81"/>
      <c r="S29" s="96"/>
      <c r="T29" s="96"/>
      <c r="U29" s="96"/>
      <c r="V29" s="96"/>
      <c r="W29" s="81"/>
      <c r="X29" s="46"/>
    </row>
    <row r="30" spans="2:24" x14ac:dyDescent="0.35">
      <c r="B30" s="1" t="s">
        <v>82</v>
      </c>
      <c r="G30" s="191">
        <f>G28-G29</f>
        <v>13904908.920833331</v>
      </c>
      <c r="H30" s="99">
        <f t="shared" ref="H30:K30" si="7">H28-H29</f>
        <v>116344255.02083333</v>
      </c>
      <c r="I30" s="99">
        <f t="shared" si="7"/>
        <v>116344255.02083333</v>
      </c>
      <c r="J30" s="99">
        <f t="shared" si="7"/>
        <v>116344255.02083333</v>
      </c>
      <c r="K30" s="99">
        <f t="shared" si="7"/>
        <v>116344255.02083333</v>
      </c>
      <c r="L30" s="99"/>
      <c r="M30" s="99"/>
      <c r="N30" s="99"/>
      <c r="O30" s="99"/>
      <c r="P30" s="99"/>
      <c r="Q30" s="100">
        <f>SUM(G30:K30)</f>
        <v>479281929.0041666</v>
      </c>
      <c r="R30" s="81"/>
      <c r="S30" s="101"/>
      <c r="T30" s="101"/>
      <c r="U30" s="101"/>
      <c r="V30" s="101"/>
      <c r="W30" s="81"/>
      <c r="X30" s="46"/>
    </row>
    <row r="31" spans="2:24" x14ac:dyDescent="0.35">
      <c r="B31" s="83" t="s">
        <v>83</v>
      </c>
      <c r="C31" s="83"/>
      <c r="D31" s="83"/>
      <c r="E31" s="83"/>
      <c r="F31" s="83"/>
      <c r="G31" s="102">
        <f>IF(G30&lt;0,0,G30*$E$3)</f>
        <v>278098.17841666663</v>
      </c>
      <c r="H31" s="102">
        <f>IF(H30&lt;0,0,H30*$E$3)</f>
        <v>2326885.1004166668</v>
      </c>
      <c r="I31" s="102">
        <f>IF(I30&lt;0,0,I30*$E$3)</f>
        <v>2326885.1004166668</v>
      </c>
      <c r="J31" s="102">
        <f>IF(J30&lt;0,0,J30*$E$3)</f>
        <v>2326885.1004166668</v>
      </c>
      <c r="K31" s="102">
        <f>IF(K30&lt;0,0,K30*$E$3)</f>
        <v>2326885.1004166668</v>
      </c>
      <c r="L31" s="102"/>
      <c r="M31" s="102"/>
      <c r="N31" s="102"/>
      <c r="O31" s="102"/>
      <c r="P31" s="102"/>
      <c r="Q31" s="103">
        <f>SUM(G31:K31)</f>
        <v>9585638.580083333</v>
      </c>
      <c r="R31" s="86"/>
      <c r="W31" s="96"/>
      <c r="X31" s="46"/>
    </row>
    <row r="32" spans="2:24" ht="16" thickBot="1" x14ac:dyDescent="0.4">
      <c r="B32" s="104" t="s">
        <v>84</v>
      </c>
      <c r="C32" s="104"/>
      <c r="D32" s="104"/>
      <c r="E32" s="104"/>
      <c r="F32" s="104"/>
      <c r="G32" s="105">
        <f>G30-G31</f>
        <v>13626810.742416663</v>
      </c>
      <c r="H32" s="105">
        <f t="shared" ref="H32:K32" si="8">H30-H31</f>
        <v>114017369.92041667</v>
      </c>
      <c r="I32" s="105">
        <f t="shared" si="8"/>
        <v>114017369.92041667</v>
      </c>
      <c r="J32" s="105">
        <f t="shared" si="8"/>
        <v>114017369.92041667</v>
      </c>
      <c r="K32" s="105">
        <f t="shared" si="8"/>
        <v>114017369.92041667</v>
      </c>
      <c r="L32" s="105"/>
      <c r="M32" s="105"/>
      <c r="N32" s="105"/>
      <c r="O32" s="105"/>
      <c r="P32" s="105"/>
      <c r="Q32" s="106">
        <f>SUM(G32:K32)</f>
        <v>469696290.42408329</v>
      </c>
      <c r="R32" s="81"/>
      <c r="W32" s="81"/>
      <c r="X32" s="46"/>
    </row>
    <row r="33" spans="2:24" x14ac:dyDescent="0.35">
      <c r="Q33" s="61"/>
      <c r="R33" s="46"/>
      <c r="W33" s="46"/>
      <c r="X33" s="46"/>
    </row>
    <row r="34" spans="2:24" x14ac:dyDescent="0.35">
      <c r="B34" s="83" t="s">
        <v>85</v>
      </c>
      <c r="C34" s="83"/>
      <c r="D34" s="83"/>
      <c r="E34" s="83"/>
      <c r="F34" s="83"/>
      <c r="G34" s="107">
        <f>-G9+-G10</f>
        <v>-48278724.895833351</v>
      </c>
      <c r="H34" s="107">
        <f>-I9+-I10</f>
        <v>0</v>
      </c>
      <c r="I34" s="107">
        <f>-J9+-J10</f>
        <v>0</v>
      </c>
      <c r="J34" s="107">
        <f>-K9+-K10</f>
        <v>0</v>
      </c>
      <c r="K34" s="107">
        <f>-Q9+-Q10</f>
        <v>0</v>
      </c>
      <c r="L34" s="107"/>
      <c r="M34" s="107"/>
      <c r="N34" s="107"/>
      <c r="O34" s="107"/>
      <c r="P34" s="107"/>
      <c r="Q34" s="108"/>
      <c r="R34" s="96"/>
      <c r="W34" s="96"/>
      <c r="X34" s="46"/>
    </row>
    <row r="35" spans="2:24" x14ac:dyDescent="0.35">
      <c r="B35" s="1" t="s">
        <v>86</v>
      </c>
      <c r="F35" s="109"/>
      <c r="G35" s="109">
        <f>G34+G32+G27</f>
        <v>-24996169.174250014</v>
      </c>
      <c r="H35" s="109">
        <f t="shared" ref="H35:J35" si="9">H34+H32+H27</f>
        <v>123673114.89958334</v>
      </c>
      <c r="I35" s="109">
        <f t="shared" si="9"/>
        <v>123673114.89958334</v>
      </c>
      <c r="J35" s="109">
        <f t="shared" si="9"/>
        <v>123673114.89958334</v>
      </c>
      <c r="K35" s="109">
        <f>K34+K32+K27</f>
        <v>123673114.89958334</v>
      </c>
      <c r="L35" s="109"/>
      <c r="M35" s="109"/>
      <c r="N35" s="109"/>
      <c r="O35" s="109"/>
      <c r="P35" s="109"/>
      <c r="Q35" s="110">
        <f>SUM(F35:K35)</f>
        <v>469696290.42408335</v>
      </c>
      <c r="R35" s="96"/>
      <c r="S35" s="43"/>
      <c r="T35" s="55"/>
      <c r="U35" s="43"/>
      <c r="V35" s="55"/>
      <c r="W35" s="96"/>
      <c r="X35" s="46"/>
    </row>
    <row r="36" spans="2:24" x14ac:dyDescent="0.35">
      <c r="B36" s="1" t="s">
        <v>87</v>
      </c>
      <c r="F36" s="109"/>
      <c r="G36" s="109">
        <f>F36+G35</f>
        <v>-24996169.174250014</v>
      </c>
      <c r="H36" s="109">
        <f t="shared" ref="H36:K36" si="10">G36+H35</f>
        <v>98676945.725333333</v>
      </c>
      <c r="I36" s="109">
        <f t="shared" si="10"/>
        <v>222350060.62491667</v>
      </c>
      <c r="J36" s="109">
        <f t="shared" si="10"/>
        <v>346023175.52450001</v>
      </c>
      <c r="K36" s="109">
        <f t="shared" si="10"/>
        <v>469696290.42408335</v>
      </c>
      <c r="L36" s="109"/>
      <c r="M36" s="109"/>
      <c r="N36" s="109"/>
      <c r="O36" s="109"/>
      <c r="P36" s="109"/>
      <c r="Q36" s="110"/>
      <c r="R36" s="96"/>
      <c r="S36" s="111"/>
      <c r="T36" s="111"/>
      <c r="U36" s="111"/>
      <c r="V36" s="111"/>
      <c r="W36" s="96"/>
      <c r="X36" s="46"/>
    </row>
    <row r="37" spans="2:24" x14ac:dyDescent="0.35">
      <c r="B37" s="1" t="s">
        <v>88</v>
      </c>
      <c r="F37" s="109"/>
      <c r="G37" s="101">
        <f>IF(AND(F36&lt;0,G36&gt;0),G42-(G36/G35),0)</f>
        <v>0</v>
      </c>
      <c r="H37" s="101">
        <f t="shared" ref="H37:K37" si="11">IF(AND(G36&lt;0,H36&gt;0),H42-(H36/H35),0)</f>
        <v>1.2021148185241852</v>
      </c>
      <c r="I37" s="101">
        <f t="shared" si="11"/>
        <v>0</v>
      </c>
      <c r="J37" s="101">
        <f t="shared" si="11"/>
        <v>0</v>
      </c>
      <c r="K37" s="101">
        <f t="shared" si="11"/>
        <v>0</v>
      </c>
      <c r="L37" s="101"/>
      <c r="M37" s="101"/>
      <c r="N37" s="101"/>
      <c r="O37" s="101"/>
      <c r="P37" s="101"/>
      <c r="Q37" s="112"/>
      <c r="R37" s="101"/>
      <c r="S37" s="113"/>
      <c r="T37" s="113"/>
      <c r="U37" s="113"/>
      <c r="V37" s="113"/>
      <c r="W37" s="101"/>
    </row>
    <row r="38" spans="2:24" x14ac:dyDescent="0.35">
      <c r="B38" s="114" t="s">
        <v>35</v>
      </c>
      <c r="C38" s="115"/>
      <c r="D38" s="115"/>
      <c r="E38" s="115"/>
      <c r="F38" s="116">
        <f>IRR(G35:K35)</f>
        <v>4.9437184222783825</v>
      </c>
      <c r="S38" s="113"/>
      <c r="T38" s="113"/>
      <c r="U38" s="113"/>
      <c r="V38" s="113"/>
    </row>
    <row r="39" spans="2:24" x14ac:dyDescent="0.35">
      <c r="B39" s="117" t="s">
        <v>36</v>
      </c>
      <c r="C39" s="50"/>
      <c r="D39" s="50"/>
      <c r="E39" s="50"/>
      <c r="F39" s="118">
        <f>NPV(E4,H35:K35)+G35</f>
        <v>367030964.38832504</v>
      </c>
      <c r="H39" s="119"/>
      <c r="I39" s="120"/>
      <c r="S39" s="113"/>
      <c r="T39" s="113"/>
      <c r="U39" s="113"/>
      <c r="V39" s="113"/>
    </row>
    <row r="40" spans="2:24" x14ac:dyDescent="0.35">
      <c r="B40" s="117" t="s">
        <v>37</v>
      </c>
      <c r="C40" s="50"/>
      <c r="D40" s="50"/>
      <c r="E40" s="50"/>
      <c r="F40" s="121">
        <f>Q26</f>
        <v>0.75714285714285712</v>
      </c>
      <c r="H40" s="68"/>
      <c r="S40" s="113"/>
      <c r="T40" s="113"/>
      <c r="U40" s="113"/>
      <c r="V40" s="113"/>
    </row>
    <row r="41" spans="2:24" x14ac:dyDescent="0.35">
      <c r="B41" s="122" t="s">
        <v>89</v>
      </c>
      <c r="C41" s="123"/>
      <c r="D41" s="123"/>
      <c r="E41" s="123"/>
      <c r="F41" s="124">
        <f>SUM(F37:K37)</f>
        <v>1.2021148185241852</v>
      </c>
      <c r="S41" s="113"/>
      <c r="T41" s="113"/>
      <c r="U41" s="113"/>
      <c r="V41" s="113"/>
    </row>
    <row r="42" spans="2:24" ht="9.65" customHeight="1" x14ac:dyDescent="0.35">
      <c r="G42" s="55">
        <v>1</v>
      </c>
      <c r="H42" s="43">
        <v>2</v>
      </c>
      <c r="I42" s="55">
        <v>3</v>
      </c>
      <c r="J42" s="43">
        <v>4</v>
      </c>
      <c r="K42" s="55">
        <v>5</v>
      </c>
      <c r="L42" s="55"/>
      <c r="M42" s="55"/>
      <c r="N42" s="55"/>
      <c r="O42" s="55"/>
      <c r="P42" s="55"/>
      <c r="Q42" s="43"/>
      <c r="R42" s="55"/>
      <c r="S42" s="125"/>
      <c r="T42" s="125"/>
      <c r="U42" s="125"/>
      <c r="V42" s="125"/>
    </row>
    <row r="43" spans="2:24" x14ac:dyDescent="0.35">
      <c r="B43" s="126" t="s">
        <v>90</v>
      </c>
      <c r="E43" s="111" t="s">
        <v>91</v>
      </c>
      <c r="G43" s="111" t="str">
        <f>G12</f>
        <v>Year 1</v>
      </c>
      <c r="H43" s="111" t="str">
        <f>H12</f>
        <v>Year 2</v>
      </c>
      <c r="I43" s="111" t="str">
        <f>I12</f>
        <v>Year 3</v>
      </c>
      <c r="J43" s="111" t="str">
        <f>J12</f>
        <v>Year 4</v>
      </c>
      <c r="K43" s="111" t="str">
        <f>K12</f>
        <v>Year 5</v>
      </c>
      <c r="L43" s="111"/>
      <c r="M43" s="111"/>
      <c r="N43" s="111"/>
      <c r="O43" s="111"/>
      <c r="P43" s="111"/>
      <c r="Q43" s="111"/>
      <c r="R43" s="111"/>
      <c r="W43" s="111"/>
    </row>
    <row r="44" spans="2:24" x14ac:dyDescent="0.35">
      <c r="D44" s="1" t="s">
        <v>63</v>
      </c>
      <c r="E44" s="1">
        <v>5</v>
      </c>
      <c r="G44" s="127">
        <f>SUM(G9:G10)/$E44</f>
        <v>9655744.9791666698</v>
      </c>
      <c r="H44" s="113">
        <f>G44</f>
        <v>9655744.9791666698</v>
      </c>
      <c r="I44" s="113">
        <f t="shared" ref="I44:K45" si="12">H44</f>
        <v>9655744.9791666698</v>
      </c>
      <c r="J44" s="113">
        <f t="shared" si="12"/>
        <v>9655744.9791666698</v>
      </c>
      <c r="K44" s="113">
        <f t="shared" si="12"/>
        <v>9655744.9791666698</v>
      </c>
      <c r="L44" s="113"/>
      <c r="M44" s="113"/>
      <c r="N44" s="113"/>
      <c r="O44" s="113"/>
      <c r="P44" s="113"/>
      <c r="Q44" s="113"/>
      <c r="R44" s="113"/>
      <c r="W44" s="128"/>
    </row>
    <row r="45" spans="2:24" hidden="1" x14ac:dyDescent="0.35">
      <c r="D45" s="1" t="s">
        <v>65</v>
      </c>
      <c r="E45" s="1">
        <v>4</v>
      </c>
      <c r="H45" s="127">
        <f>I$10/$E45</f>
        <v>0</v>
      </c>
      <c r="J45" s="113">
        <f>H45</f>
        <v>0</v>
      </c>
      <c r="K45" s="113">
        <f t="shared" si="12"/>
        <v>0</v>
      </c>
      <c r="L45" s="113"/>
      <c r="M45" s="113"/>
      <c r="N45" s="113"/>
      <c r="O45" s="113"/>
      <c r="P45" s="113"/>
      <c r="Q45" s="113"/>
      <c r="R45" s="113"/>
      <c r="W45" s="128"/>
    </row>
    <row r="46" spans="2:24" hidden="1" x14ac:dyDescent="0.35">
      <c r="D46" s="1" t="s">
        <v>66</v>
      </c>
      <c r="E46" s="1">
        <v>3</v>
      </c>
      <c r="I46" s="127">
        <f>J$9/$E46</f>
        <v>0</v>
      </c>
      <c r="K46" s="113">
        <f>I46</f>
        <v>0</v>
      </c>
      <c r="L46" s="113"/>
      <c r="M46" s="113"/>
      <c r="N46" s="113"/>
      <c r="O46" s="113"/>
      <c r="P46" s="113"/>
      <c r="Q46" s="113"/>
      <c r="R46" s="113"/>
      <c r="W46" s="128"/>
    </row>
    <row r="47" spans="2:24" hidden="1" x14ac:dyDescent="0.35">
      <c r="D47" s="1" t="s">
        <v>67</v>
      </c>
      <c r="E47" s="1">
        <v>2</v>
      </c>
      <c r="J47" s="127"/>
      <c r="Q47" s="113"/>
      <c r="R47" s="113"/>
      <c r="W47" s="128"/>
    </row>
    <row r="48" spans="2:24" hidden="1" x14ac:dyDescent="0.35">
      <c r="D48" s="1" t="s">
        <v>92</v>
      </c>
      <c r="E48" s="1">
        <v>1</v>
      </c>
      <c r="K48" s="127"/>
      <c r="L48" s="127"/>
      <c r="M48" s="127"/>
      <c r="N48" s="127"/>
      <c r="O48" s="127"/>
      <c r="P48" s="127"/>
      <c r="Q48" s="113"/>
      <c r="R48" s="113"/>
      <c r="W48" s="128"/>
    </row>
    <row r="49" spans="2:23" ht="16" thickBot="1" x14ac:dyDescent="0.4">
      <c r="B49" s="129" t="s">
        <v>93</v>
      </c>
      <c r="C49" s="130"/>
      <c r="D49" s="130"/>
      <c r="E49" s="130"/>
      <c r="F49" s="130"/>
      <c r="G49" s="131">
        <f>SUM(G44:G47)</f>
        <v>9655744.9791666698</v>
      </c>
      <c r="H49" s="131">
        <f>SUM(H44:H47)</f>
        <v>9655744.9791666698</v>
      </c>
      <c r="I49" s="131">
        <f>SUM(I44:I47)</f>
        <v>9655744.9791666698</v>
      </c>
      <c r="J49" s="131">
        <f>SUM(J44:J47)</f>
        <v>9655744.9791666698</v>
      </c>
      <c r="K49" s="131">
        <f>SUM(K44:K47)</f>
        <v>9655744.9791666698</v>
      </c>
      <c r="L49" s="186"/>
      <c r="M49" s="186"/>
      <c r="N49" s="186"/>
      <c r="O49" s="186"/>
      <c r="P49" s="186"/>
      <c r="Q49" s="125"/>
      <c r="R49" s="125"/>
      <c r="W49" s="125"/>
    </row>
    <row r="50" spans="2:23" ht="16" thickTop="1" x14ac:dyDescent="0.35">
      <c r="W50" s="120"/>
    </row>
    <row r="52" spans="2:23" x14ac:dyDescent="0.35">
      <c r="F52" s="1" t="s">
        <v>38</v>
      </c>
    </row>
  </sheetData>
  <mergeCells count="1">
    <mergeCell ref="E17:F17"/>
  </mergeCells>
  <phoneticPr fontId="26" type="noConversion"/>
  <pageMargins left="0.93" right="0.25" top="0.37" bottom="0.16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542D-E203-46BE-A1AA-95461C8D4DC0}">
  <dimension ref="A1:D17"/>
  <sheetViews>
    <sheetView workbookViewId="0">
      <selection activeCell="B28" sqref="B28"/>
    </sheetView>
  </sheetViews>
  <sheetFormatPr defaultRowHeight="14.5" x14ac:dyDescent="0.35"/>
  <cols>
    <col min="2" max="2" width="23.81640625" bestFit="1" customWidth="1"/>
    <col min="3" max="4" width="43.453125" bestFit="1" customWidth="1"/>
  </cols>
  <sheetData>
    <row r="1" spans="1:4" ht="21" x14ac:dyDescent="0.5">
      <c r="A1" s="132"/>
      <c r="B1" s="132"/>
      <c r="C1" s="133" t="s">
        <v>94</v>
      </c>
      <c r="D1" s="132"/>
    </row>
    <row r="2" spans="1:4" x14ac:dyDescent="0.35">
      <c r="A2" s="132"/>
      <c r="B2" s="132"/>
      <c r="C2" s="132"/>
      <c r="D2" s="132"/>
    </row>
    <row r="3" spans="1:4" x14ac:dyDescent="0.35">
      <c r="A3" s="134" t="s">
        <v>95</v>
      </c>
      <c r="B3" s="134"/>
      <c r="C3" s="134" t="s">
        <v>208</v>
      </c>
      <c r="D3" s="132"/>
    </row>
    <row r="4" spans="1:4" x14ac:dyDescent="0.35">
      <c r="A4" s="134" t="s">
        <v>96</v>
      </c>
      <c r="B4" s="134"/>
      <c r="C4" s="134" t="s">
        <v>210</v>
      </c>
      <c r="D4" s="132"/>
    </row>
    <row r="5" spans="1:4" x14ac:dyDescent="0.35">
      <c r="A5" s="134" t="s">
        <v>97</v>
      </c>
      <c r="B5" s="134"/>
      <c r="C5" s="134" t="s">
        <v>211</v>
      </c>
      <c r="D5" s="132"/>
    </row>
    <row r="6" spans="1:4" x14ac:dyDescent="0.35">
      <c r="A6" s="134" t="s">
        <v>98</v>
      </c>
      <c r="B6" s="134"/>
      <c r="C6" s="134" t="s">
        <v>212</v>
      </c>
      <c r="D6" s="132"/>
    </row>
    <row r="7" spans="1:4" x14ac:dyDescent="0.35">
      <c r="A7" s="134" t="s">
        <v>99</v>
      </c>
      <c r="B7" s="134"/>
      <c r="C7" s="134" t="s">
        <v>213</v>
      </c>
      <c r="D7" s="132"/>
    </row>
    <row r="8" spans="1:4" x14ac:dyDescent="0.35">
      <c r="A8" s="132"/>
      <c r="B8" s="132"/>
      <c r="C8" s="132"/>
      <c r="D8" s="132"/>
    </row>
    <row r="9" spans="1:4" x14ac:dyDescent="0.35">
      <c r="A9" s="216" t="s">
        <v>100</v>
      </c>
      <c r="B9" s="217" t="s">
        <v>101</v>
      </c>
      <c r="C9" s="217" t="s">
        <v>102</v>
      </c>
      <c r="D9" s="217" t="s">
        <v>24</v>
      </c>
    </row>
    <row r="10" spans="1:4" x14ac:dyDescent="0.35">
      <c r="A10" s="216"/>
      <c r="B10" s="218"/>
      <c r="C10" s="218"/>
      <c r="D10" s="218"/>
    </row>
    <row r="11" spans="1:4" x14ac:dyDescent="0.35">
      <c r="A11" s="135" t="s">
        <v>103</v>
      </c>
      <c r="B11" s="136" t="s">
        <v>104</v>
      </c>
      <c r="C11" s="137" t="s">
        <v>9</v>
      </c>
      <c r="D11" s="136" t="s">
        <v>9</v>
      </c>
    </row>
    <row r="12" spans="1:4" x14ac:dyDescent="0.35">
      <c r="A12" s="135" t="s">
        <v>105</v>
      </c>
      <c r="B12" s="136" t="s">
        <v>106</v>
      </c>
      <c r="C12" s="134" t="s">
        <v>213</v>
      </c>
      <c r="D12" s="138" t="s">
        <v>213</v>
      </c>
    </row>
    <row r="13" spans="1:4" x14ac:dyDescent="0.35">
      <c r="A13" s="135" t="s">
        <v>107</v>
      </c>
      <c r="B13" s="136" t="s">
        <v>108</v>
      </c>
      <c r="C13" s="136" t="s">
        <v>214</v>
      </c>
      <c r="D13" s="136" t="s">
        <v>217</v>
      </c>
    </row>
    <row r="14" spans="1:4" x14ac:dyDescent="0.35">
      <c r="A14" s="219">
        <v>4</v>
      </c>
      <c r="B14" s="136" t="s">
        <v>109</v>
      </c>
      <c r="C14" s="139" t="s">
        <v>215</v>
      </c>
      <c r="D14" s="139" t="s">
        <v>215</v>
      </c>
    </row>
    <row r="15" spans="1:4" x14ac:dyDescent="0.35">
      <c r="A15" s="220"/>
      <c r="B15" s="136"/>
      <c r="C15" s="139" t="s">
        <v>216</v>
      </c>
      <c r="D15" s="139" t="s">
        <v>216</v>
      </c>
    </row>
    <row r="16" spans="1:4" x14ac:dyDescent="0.35">
      <c r="A16" s="140">
        <v>5</v>
      </c>
      <c r="B16" s="141" t="s">
        <v>110</v>
      </c>
      <c r="C16" s="137" t="s">
        <v>220</v>
      </c>
      <c r="D16" s="136" t="s">
        <v>218</v>
      </c>
    </row>
    <row r="17" spans="1:4" x14ac:dyDescent="0.35">
      <c r="A17" s="135" t="s">
        <v>111</v>
      </c>
      <c r="B17" s="136" t="s">
        <v>112</v>
      </c>
      <c r="C17" s="214" t="s">
        <v>219</v>
      </c>
      <c r="D17" s="215"/>
    </row>
  </sheetData>
  <mergeCells count="6">
    <mergeCell ref="C17:D17"/>
    <mergeCell ref="A9:A10"/>
    <mergeCell ref="B9:B10"/>
    <mergeCell ref="C9:C10"/>
    <mergeCell ref="D9:D10"/>
    <mergeCell ref="A14:A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8E21E-26F4-41E7-8B2F-5D18453D3713}">
  <dimension ref="A2:M14"/>
  <sheetViews>
    <sheetView workbookViewId="0">
      <selection activeCell="A2" sqref="A2:F13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21" t="s">
        <v>221</v>
      </c>
      <c r="B2" s="221"/>
      <c r="C2" s="221"/>
      <c r="D2" s="221"/>
      <c r="E2" s="221"/>
      <c r="F2" s="221"/>
      <c r="G2" s="132"/>
      <c r="H2" s="132"/>
      <c r="I2" s="132"/>
      <c r="J2" s="132"/>
      <c r="K2" s="132"/>
      <c r="L2" s="132"/>
      <c r="M2" s="132"/>
    </row>
    <row r="3" spans="1:13" x14ac:dyDescent="0.35">
      <c r="A3" s="175" t="s">
        <v>183</v>
      </c>
      <c r="B3" s="175" t="s">
        <v>184</v>
      </c>
      <c r="C3" s="175" t="s">
        <v>185</v>
      </c>
      <c r="D3" s="176"/>
      <c r="G3" s="132"/>
      <c r="H3" s="132"/>
      <c r="I3" s="132"/>
      <c r="J3" s="132"/>
      <c r="K3" s="132"/>
      <c r="L3" s="132"/>
      <c r="M3" s="132"/>
    </row>
    <row r="4" spans="1:13" x14ac:dyDescent="0.35">
      <c r="A4" s="136" t="s">
        <v>186</v>
      </c>
      <c r="B4" s="177">
        <v>45475</v>
      </c>
      <c r="C4" s="177">
        <v>46569</v>
      </c>
      <c r="D4" s="178"/>
      <c r="E4" s="179"/>
      <c r="F4" s="179"/>
      <c r="G4" s="132"/>
      <c r="H4" s="132"/>
      <c r="I4" s="132"/>
      <c r="J4" s="132"/>
      <c r="K4" s="132"/>
      <c r="L4" s="132"/>
      <c r="M4" s="132"/>
    </row>
    <row r="5" spans="1:13" x14ac:dyDescent="0.35">
      <c r="A5" s="136" t="s">
        <v>187</v>
      </c>
      <c r="B5" s="177">
        <v>45495</v>
      </c>
      <c r="C5" s="177">
        <v>47320</v>
      </c>
      <c r="D5" s="178"/>
      <c r="G5" s="132"/>
      <c r="H5" s="132"/>
      <c r="I5" s="132"/>
      <c r="J5" s="132"/>
      <c r="K5" s="132"/>
      <c r="L5" s="132"/>
      <c r="M5" s="132"/>
    </row>
    <row r="6" spans="1:13" x14ac:dyDescent="0.35">
      <c r="A6" s="132"/>
      <c r="G6" s="132"/>
      <c r="H6" s="132"/>
      <c r="I6" s="132"/>
      <c r="J6" s="132"/>
      <c r="K6" s="132"/>
      <c r="L6" s="132"/>
      <c r="M6" s="132"/>
    </row>
    <row r="7" spans="1:13" x14ac:dyDescent="0.35">
      <c r="A7" s="132"/>
      <c r="B7" s="175" t="s">
        <v>184</v>
      </c>
      <c r="C7" s="175" t="s">
        <v>185</v>
      </c>
      <c r="D7" s="175" t="s">
        <v>188</v>
      </c>
      <c r="E7" s="178"/>
      <c r="F7" s="178"/>
      <c r="G7" s="132"/>
      <c r="H7" s="132"/>
      <c r="I7" s="132"/>
      <c r="J7" s="132"/>
      <c r="K7" s="132"/>
      <c r="L7" s="132"/>
      <c r="M7" s="132"/>
    </row>
    <row r="8" spans="1:13" x14ac:dyDescent="0.35">
      <c r="A8" s="132" t="s">
        <v>189</v>
      </c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</row>
    <row r="9" spans="1:13" x14ac:dyDescent="0.35">
      <c r="A9" s="132" t="s">
        <v>186</v>
      </c>
      <c r="B9" s="177">
        <v>45495</v>
      </c>
      <c r="C9" s="177">
        <v>46569</v>
      </c>
      <c r="D9" s="180">
        <f t="shared" ref="D9:D11" si="0">C9-B9</f>
        <v>1074</v>
      </c>
      <c r="E9" s="181">
        <v>140000000</v>
      </c>
      <c r="F9" s="182">
        <f>D9/365*E9</f>
        <v>411945205.47945207</v>
      </c>
      <c r="G9" s="132"/>
      <c r="H9" s="132"/>
      <c r="I9" s="132"/>
      <c r="J9" s="132"/>
      <c r="K9" s="132"/>
      <c r="L9" s="132"/>
      <c r="M9" s="132"/>
    </row>
    <row r="10" spans="1:13" x14ac:dyDescent="0.35">
      <c r="A10" s="132" t="s">
        <v>190</v>
      </c>
      <c r="B10" s="177">
        <v>45495</v>
      </c>
      <c r="C10" s="177">
        <v>47320</v>
      </c>
      <c r="D10" s="180">
        <f t="shared" si="0"/>
        <v>1825</v>
      </c>
      <c r="E10" s="181">
        <v>20000000</v>
      </c>
      <c r="F10" s="182">
        <f>-E10/365*D10</f>
        <v>-100000000</v>
      </c>
      <c r="G10" s="132"/>
      <c r="H10" s="132"/>
      <c r="I10" s="132"/>
      <c r="J10" s="132"/>
      <c r="K10" s="132"/>
      <c r="L10" s="132"/>
      <c r="M10" s="132"/>
    </row>
    <row r="11" spans="1:13" x14ac:dyDescent="0.35">
      <c r="A11" s="132" t="s">
        <v>191</v>
      </c>
      <c r="B11" s="177">
        <v>45495</v>
      </c>
      <c r="C11" s="177">
        <v>46569</v>
      </c>
      <c r="D11" s="180">
        <f t="shared" si="0"/>
        <v>1074</v>
      </c>
      <c r="E11" s="181">
        <v>7000000</v>
      </c>
      <c r="F11" s="182">
        <f>-E11/365*D11</f>
        <v>-20597260.273972601</v>
      </c>
      <c r="G11" s="132"/>
      <c r="H11" s="132"/>
      <c r="I11" s="132"/>
      <c r="J11" s="132"/>
      <c r="K11" s="132"/>
      <c r="L11" s="132"/>
      <c r="M11" s="132"/>
    </row>
    <row r="12" spans="1:13" x14ac:dyDescent="0.35">
      <c r="A12" s="132" t="s">
        <v>192</v>
      </c>
      <c r="B12" s="132"/>
      <c r="C12" s="132"/>
      <c r="D12" s="132"/>
      <c r="E12" s="183">
        <v>100000000</v>
      </c>
      <c r="F12" s="184"/>
      <c r="G12" s="132"/>
      <c r="H12" s="132"/>
      <c r="I12" s="132"/>
      <c r="J12" s="132"/>
      <c r="K12" s="132"/>
      <c r="L12" s="132"/>
      <c r="M12" s="132"/>
    </row>
    <row r="13" spans="1:13" x14ac:dyDescent="0.35">
      <c r="A13" s="132" t="s">
        <v>193</v>
      </c>
      <c r="B13" s="132"/>
      <c r="C13" s="132"/>
      <c r="D13" s="132"/>
      <c r="E13" s="132"/>
      <c r="F13" s="182">
        <f>SUM(F9:F12)</f>
        <v>291347945.2054795</v>
      </c>
      <c r="G13" s="132"/>
      <c r="H13" s="132"/>
      <c r="I13" s="132"/>
      <c r="J13" s="132"/>
      <c r="K13" s="132"/>
      <c r="L13" s="132"/>
      <c r="M13" s="132"/>
    </row>
    <row r="14" spans="1:13" x14ac:dyDescent="0.35">
      <c r="A14" s="132"/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</row>
  </sheetData>
  <mergeCells count="1">
    <mergeCell ref="A2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83"/>
  <sheetViews>
    <sheetView workbookViewId="0">
      <selection activeCell="C16" sqref="C16:L16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1.36328125" bestFit="1" customWidth="1"/>
  </cols>
  <sheetData>
    <row r="1" spans="1:20" x14ac:dyDescent="0.35">
      <c r="A1" s="142" t="s">
        <v>113</v>
      </c>
    </row>
    <row r="2" spans="1:20" x14ac:dyDescent="0.35">
      <c r="A2" s="143" t="s">
        <v>114</v>
      </c>
      <c r="B2" s="144">
        <v>5</v>
      </c>
      <c r="C2" s="145">
        <v>2015</v>
      </c>
      <c r="D2" s="145">
        <f>C2+1</f>
        <v>2016</v>
      </c>
      <c r="E2" s="145">
        <f t="shared" ref="E2:M2" si="0">D2+1</f>
        <v>2017</v>
      </c>
      <c r="F2" s="145">
        <f t="shared" si="0"/>
        <v>2018</v>
      </c>
      <c r="G2" s="145">
        <f t="shared" si="0"/>
        <v>2019</v>
      </c>
      <c r="H2" s="145">
        <f t="shared" si="0"/>
        <v>2020</v>
      </c>
      <c r="I2" s="145">
        <f t="shared" si="0"/>
        <v>2021</v>
      </c>
      <c r="J2" s="145">
        <f t="shared" si="0"/>
        <v>2022</v>
      </c>
      <c r="K2" s="145">
        <f t="shared" si="0"/>
        <v>2023</v>
      </c>
      <c r="L2" s="145">
        <f t="shared" si="0"/>
        <v>2024</v>
      </c>
      <c r="M2" s="145">
        <f t="shared" si="0"/>
        <v>2025</v>
      </c>
    </row>
    <row r="3" spans="1:20" x14ac:dyDescent="0.35">
      <c r="A3" s="146">
        <v>2015</v>
      </c>
      <c r="B3" t="s">
        <v>115</v>
      </c>
      <c r="C3" s="147">
        <v>683396999</v>
      </c>
      <c r="D3" s="148">
        <f>C3-C4</f>
        <v>546717599.20000005</v>
      </c>
      <c r="E3" s="148">
        <f>D3-C4</f>
        <v>410038199.40000004</v>
      </c>
      <c r="F3" s="148">
        <f>E3-C4</f>
        <v>273358799.60000002</v>
      </c>
      <c r="G3" s="148">
        <f>F3-C4</f>
        <v>136679399.80000001</v>
      </c>
      <c r="H3" s="148">
        <f>G3-C4</f>
        <v>0</v>
      </c>
      <c r="I3" s="148">
        <f>H3-$E$4</f>
        <v>0</v>
      </c>
      <c r="J3" s="148">
        <f>I3-$E$4</f>
        <v>0</v>
      </c>
      <c r="K3" s="148"/>
      <c r="N3">
        <v>2013</v>
      </c>
      <c r="O3" s="147">
        <v>1726670811.6800001</v>
      </c>
      <c r="P3" s="148"/>
      <c r="Q3" s="148"/>
      <c r="R3" s="148"/>
      <c r="S3" s="148"/>
    </row>
    <row r="4" spans="1:20" x14ac:dyDescent="0.35">
      <c r="A4" s="149"/>
      <c r="B4" t="s">
        <v>116</v>
      </c>
      <c r="C4" s="147">
        <f>C3/B2</f>
        <v>136679399.80000001</v>
      </c>
      <c r="D4" s="147"/>
      <c r="E4" s="147"/>
      <c r="N4">
        <v>2014</v>
      </c>
      <c r="O4" s="147">
        <v>422342499</v>
      </c>
    </row>
    <row r="5" spans="1:20" x14ac:dyDescent="0.35">
      <c r="A5" s="149"/>
      <c r="B5" t="s">
        <v>117</v>
      </c>
      <c r="C5" s="147">
        <f>(C3*IRR!E4*6)/12</f>
        <v>34169849.950000003</v>
      </c>
      <c r="D5" s="148">
        <f>AVERAGE(C3:D3)*IRR!$E$4</f>
        <v>61505729.910000004</v>
      </c>
      <c r="E5" s="148">
        <f>AVERAGE(D3:E3)*IRR!$E$4</f>
        <v>47837789.930000007</v>
      </c>
      <c r="F5" s="148">
        <f>AVERAGE(E3:F3)*IRR!$E$4</f>
        <v>34169849.950000003</v>
      </c>
      <c r="G5" s="148">
        <f>AVERAGE(F3:G3)*IRR!$E$4</f>
        <v>20501909.970000003</v>
      </c>
      <c r="H5" s="148">
        <f>AVERAGE(G3:H3)*IRR!$E$4</f>
        <v>6833969.9900000012</v>
      </c>
      <c r="I5" s="148">
        <f>AVERAGE($H$3:$I$3)*[3]IRR!$G$4</f>
        <v>0</v>
      </c>
      <c r="J5" s="148">
        <f>AVERAGE($I$3:$J$3)*[3]IRR!$G$4</f>
        <v>0</v>
      </c>
      <c r="K5" s="148"/>
      <c r="N5">
        <v>2016</v>
      </c>
      <c r="O5" s="147">
        <v>10773000</v>
      </c>
      <c r="P5" s="148"/>
      <c r="Q5" s="148"/>
      <c r="R5" s="148"/>
      <c r="S5" s="148"/>
      <c r="T5" s="148"/>
    </row>
    <row r="6" spans="1:20" x14ac:dyDescent="0.35">
      <c r="A6" s="146">
        <v>2019</v>
      </c>
      <c r="B6" t="s">
        <v>115</v>
      </c>
      <c r="C6" s="147"/>
      <c r="G6" s="148">
        <v>121967305</v>
      </c>
      <c r="H6" s="148">
        <f>G6-G7</f>
        <v>97573844</v>
      </c>
      <c r="I6" s="148">
        <f>H6-G7</f>
        <v>73180383</v>
      </c>
      <c r="J6" s="148">
        <f>I6-G7</f>
        <v>48786922</v>
      </c>
      <c r="K6" s="148">
        <f>J6-G7</f>
        <v>24393461</v>
      </c>
      <c r="L6" s="148"/>
    </row>
    <row r="7" spans="1:20" x14ac:dyDescent="0.35">
      <c r="A7" s="149"/>
      <c r="B7" t="s">
        <v>116</v>
      </c>
      <c r="C7" s="147"/>
      <c r="G7" s="148">
        <f>G6/B2</f>
        <v>24393461</v>
      </c>
      <c r="H7" s="148"/>
      <c r="I7" s="148"/>
      <c r="J7" s="148"/>
      <c r="K7" s="148"/>
      <c r="L7" s="148"/>
    </row>
    <row r="8" spans="1:20" x14ac:dyDescent="0.35">
      <c r="A8" s="149"/>
      <c r="B8" t="s">
        <v>117</v>
      </c>
      <c r="C8" s="147"/>
      <c r="G8" s="147">
        <f>(G6*IRR!E4*6)/12</f>
        <v>6098365.25</v>
      </c>
      <c r="H8" s="148">
        <f>AVERAGE(G6:H6)*IRR!$E$4</f>
        <v>10977057.450000001</v>
      </c>
      <c r="I8" s="148">
        <f>AVERAGE(H6:I6)*[4]IRR!$F$3</f>
        <v>8537711.3499999996</v>
      </c>
      <c r="J8" s="148">
        <f>AVERAGE(I6:J6)*[4]IRR!$F$3</f>
        <v>6098365.25</v>
      </c>
      <c r="K8" s="148">
        <f>AVERAGE(J6:K6)*[4]IRR!$F$3</f>
        <v>3659019.1500000004</v>
      </c>
      <c r="L8" s="148">
        <f>AVERAGE(K6:L6)*[4]IRR!$F$3</f>
        <v>2439346.1</v>
      </c>
    </row>
    <row r="9" spans="1:20" x14ac:dyDescent="0.35">
      <c r="A9" s="146" t="s">
        <v>118</v>
      </c>
      <c r="B9" t="s">
        <v>115</v>
      </c>
      <c r="C9" s="147"/>
      <c r="D9" s="148"/>
      <c r="F9" s="148"/>
      <c r="G9" s="148"/>
      <c r="H9" s="148"/>
      <c r="I9" s="148"/>
      <c r="J9" s="148"/>
      <c r="K9" s="148"/>
    </row>
    <row r="10" spans="1:20" x14ac:dyDescent="0.35">
      <c r="A10" s="149"/>
      <c r="B10" t="s">
        <v>116</v>
      </c>
      <c r="C10" s="147"/>
      <c r="D10" s="148"/>
      <c r="F10" s="148"/>
      <c r="G10" s="148"/>
      <c r="H10" s="148"/>
      <c r="I10" s="148"/>
      <c r="J10" s="148"/>
      <c r="K10" s="148"/>
    </row>
    <row r="11" spans="1:20" x14ac:dyDescent="0.35">
      <c r="A11" s="149"/>
      <c r="B11" t="s">
        <v>117</v>
      </c>
      <c r="C11" s="147"/>
      <c r="D11" s="148"/>
      <c r="F11" s="147"/>
      <c r="G11" s="148"/>
      <c r="H11" s="148"/>
      <c r="I11" s="148"/>
      <c r="J11" s="148"/>
      <c r="K11" s="148"/>
    </row>
    <row r="12" spans="1:20" x14ac:dyDescent="0.35">
      <c r="A12" s="146" t="s">
        <v>119</v>
      </c>
      <c r="B12" t="s">
        <v>115</v>
      </c>
      <c r="C12" s="147"/>
      <c r="D12" s="148"/>
      <c r="E12" s="148"/>
      <c r="F12" s="148"/>
      <c r="G12" s="148"/>
      <c r="H12" s="148"/>
      <c r="I12" s="148"/>
      <c r="J12" s="148"/>
      <c r="K12" s="148"/>
      <c r="L12" s="148"/>
    </row>
    <row r="13" spans="1:20" x14ac:dyDescent="0.35">
      <c r="B13" t="s">
        <v>116</v>
      </c>
      <c r="C13" s="147"/>
      <c r="D13" s="148"/>
      <c r="E13" s="148"/>
      <c r="F13" s="148"/>
      <c r="G13" s="148"/>
      <c r="H13" s="148"/>
      <c r="I13" s="148"/>
      <c r="J13" s="148"/>
      <c r="K13" s="148"/>
      <c r="L13" s="148"/>
    </row>
    <row r="14" spans="1:20" x14ac:dyDescent="0.35">
      <c r="B14" t="s">
        <v>117</v>
      </c>
      <c r="C14" s="147"/>
      <c r="D14" s="148"/>
      <c r="E14" s="147"/>
      <c r="F14" s="148"/>
      <c r="G14" s="147"/>
      <c r="H14" s="148"/>
      <c r="I14" s="148"/>
      <c r="J14" s="148"/>
      <c r="K14" s="148"/>
      <c r="L14" s="148"/>
    </row>
    <row r="15" spans="1:20" x14ac:dyDescent="0.35">
      <c r="C15" s="147"/>
      <c r="D15" s="148"/>
      <c r="E15" s="148"/>
      <c r="F15" s="148"/>
      <c r="G15" s="148"/>
      <c r="H15" s="148"/>
      <c r="I15" s="148"/>
      <c r="J15" s="148"/>
      <c r="K15" s="148"/>
    </row>
    <row r="16" spans="1:20" x14ac:dyDescent="0.35">
      <c r="A16" s="143"/>
      <c r="B16" s="150" t="s">
        <v>120</v>
      </c>
      <c r="C16" s="151">
        <f>C5+C8+C11+C14</f>
        <v>34169849.950000003</v>
      </c>
      <c r="D16" s="151">
        <f t="shared" ref="D16:L16" si="1">D5+D8+D11+D14</f>
        <v>61505729.910000004</v>
      </c>
      <c r="E16" s="151">
        <f t="shared" si="1"/>
        <v>47837789.930000007</v>
      </c>
      <c r="F16" s="151">
        <f t="shared" si="1"/>
        <v>34169849.950000003</v>
      </c>
      <c r="G16" s="151">
        <f t="shared" si="1"/>
        <v>26600275.220000003</v>
      </c>
      <c r="H16" s="151">
        <f t="shared" si="1"/>
        <v>17811027.440000001</v>
      </c>
      <c r="I16" s="151">
        <f t="shared" si="1"/>
        <v>8537711.3499999996</v>
      </c>
      <c r="J16" s="151">
        <f t="shared" si="1"/>
        <v>6098365.25</v>
      </c>
      <c r="K16" s="151">
        <f t="shared" si="1"/>
        <v>3659019.1500000004</v>
      </c>
      <c r="L16" s="151">
        <f t="shared" si="1"/>
        <v>2439346.1</v>
      </c>
      <c r="M16" s="151" t="e">
        <f>M5+#REF!+M11+M14</f>
        <v>#REF!</v>
      </c>
    </row>
    <row r="17" spans="1:15" x14ac:dyDescent="0.35">
      <c r="B17" s="147"/>
      <c r="C17" s="148"/>
      <c r="D17" s="148"/>
      <c r="E17" s="148"/>
      <c r="F17" s="148"/>
      <c r="G17" s="148"/>
      <c r="H17" s="148"/>
      <c r="I17" s="148"/>
      <c r="J17" s="148"/>
      <c r="K17" s="148"/>
    </row>
    <row r="18" spans="1:15" x14ac:dyDescent="0.35">
      <c r="A18" s="152"/>
      <c r="B18" s="152"/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</row>
    <row r="19" spans="1:15" x14ac:dyDescent="0.35">
      <c r="A19" s="142" t="s">
        <v>121</v>
      </c>
    </row>
    <row r="20" spans="1:15" x14ac:dyDescent="0.35">
      <c r="A20" t="s">
        <v>122</v>
      </c>
      <c r="B20" t="s">
        <v>123</v>
      </c>
      <c r="C20" s="153">
        <v>50000000</v>
      </c>
    </row>
    <row r="21" spans="1:15" x14ac:dyDescent="0.35">
      <c r="A21" t="s">
        <v>124</v>
      </c>
      <c r="B21" t="s">
        <v>123</v>
      </c>
      <c r="C21" s="153">
        <v>20000000</v>
      </c>
    </row>
    <row r="22" spans="1:15" x14ac:dyDescent="0.35">
      <c r="A22" t="s">
        <v>125</v>
      </c>
      <c r="B22" s="154" t="s">
        <v>126</v>
      </c>
      <c r="C22" s="153"/>
    </row>
    <row r="23" spans="1:15" x14ac:dyDescent="0.35">
      <c r="A23" t="s">
        <v>127</v>
      </c>
      <c r="B23" s="154" t="s">
        <v>126</v>
      </c>
      <c r="C23" s="153"/>
    </row>
    <row r="25" spans="1:15" x14ac:dyDescent="0.35">
      <c r="A25" s="155" t="s">
        <v>51</v>
      </c>
      <c r="B25" s="151">
        <f>C20</f>
        <v>50000000</v>
      </c>
      <c r="C25" s="156">
        <f>B25+C26</f>
        <v>51000000</v>
      </c>
      <c r="D25" s="156">
        <f>C25+D27</f>
        <v>52020000</v>
      </c>
      <c r="E25" s="156">
        <f t="shared" ref="E25:K25" si="2">D25+E27</f>
        <v>53060400</v>
      </c>
      <c r="F25" s="156">
        <f t="shared" si="2"/>
        <v>54121608</v>
      </c>
      <c r="G25" s="156">
        <f t="shared" si="2"/>
        <v>55204040.159999996</v>
      </c>
      <c r="H25" s="156">
        <f t="shared" si="2"/>
        <v>56308120.963199995</v>
      </c>
      <c r="I25" s="156">
        <f t="shared" si="2"/>
        <v>57434283.382463992</v>
      </c>
      <c r="J25" s="156">
        <f t="shared" si="2"/>
        <v>58582969.050113268</v>
      </c>
      <c r="K25" s="156">
        <f t="shared" si="2"/>
        <v>59754628.43111553</v>
      </c>
    </row>
    <row r="26" spans="1:15" x14ac:dyDescent="0.35">
      <c r="A26" s="157">
        <v>0.02</v>
      </c>
      <c r="B26" s="155"/>
      <c r="C26" s="156">
        <f>C27</f>
        <v>1000000</v>
      </c>
      <c r="D26" s="156">
        <f>C26+D27</f>
        <v>2020000</v>
      </c>
      <c r="E26" s="156">
        <f t="shared" ref="E26:K26" si="3">D26+E27</f>
        <v>3060400</v>
      </c>
      <c r="F26" s="156">
        <f t="shared" si="3"/>
        <v>4121608</v>
      </c>
      <c r="G26" s="156">
        <f t="shared" si="3"/>
        <v>5204040.16</v>
      </c>
      <c r="H26" s="156">
        <f t="shared" si="3"/>
        <v>6308120.9632000001</v>
      </c>
      <c r="I26" s="156">
        <f t="shared" si="3"/>
        <v>7434283.382464</v>
      </c>
      <c r="J26" s="156">
        <f t="shared" si="3"/>
        <v>8582969.0501132794</v>
      </c>
      <c r="K26" s="156">
        <f t="shared" si="3"/>
        <v>9754628.4311155453</v>
      </c>
    </row>
    <row r="27" spans="1:15" x14ac:dyDescent="0.35">
      <c r="A27" s="155"/>
      <c r="B27" s="155"/>
      <c r="C27" s="156">
        <f t="shared" ref="C27:K27" si="4">B25*$A$26</f>
        <v>1000000</v>
      </c>
      <c r="D27" s="156">
        <f t="shared" si="4"/>
        <v>1020000</v>
      </c>
      <c r="E27" s="156">
        <f t="shared" si="4"/>
        <v>1040400</v>
      </c>
      <c r="F27" s="156">
        <f t="shared" si="4"/>
        <v>1061208</v>
      </c>
      <c r="G27" s="156">
        <f t="shared" si="4"/>
        <v>1082432.1599999999</v>
      </c>
      <c r="H27" s="156">
        <f t="shared" si="4"/>
        <v>1104080.8032</v>
      </c>
      <c r="I27" s="156">
        <f t="shared" si="4"/>
        <v>1126162.4192639999</v>
      </c>
      <c r="J27" s="156">
        <f t="shared" si="4"/>
        <v>1148685.6676492798</v>
      </c>
      <c r="K27" s="156">
        <f t="shared" si="4"/>
        <v>1171659.3810022655</v>
      </c>
    </row>
    <row r="28" spans="1:15" x14ac:dyDescent="0.35">
      <c r="C28" s="148"/>
      <c r="D28" s="148"/>
      <c r="E28" s="148"/>
      <c r="F28" s="148"/>
      <c r="G28" s="148"/>
      <c r="H28" s="148"/>
      <c r="I28" s="148"/>
      <c r="J28" s="148"/>
      <c r="K28" s="148"/>
    </row>
    <row r="29" spans="1:15" x14ac:dyDescent="0.35">
      <c r="A29" s="152"/>
      <c r="B29" s="152"/>
      <c r="C29" s="158"/>
      <c r="D29" s="158"/>
      <c r="E29" s="158"/>
      <c r="F29" s="158"/>
      <c r="G29" s="158"/>
      <c r="H29" s="158"/>
      <c r="I29" s="158"/>
      <c r="J29" s="158"/>
      <c r="K29" s="158"/>
      <c r="L29" s="152"/>
      <c r="M29" s="152"/>
      <c r="N29" s="152"/>
      <c r="O29" s="152"/>
    </row>
    <row r="30" spans="1:15" x14ac:dyDescent="0.35">
      <c r="A30" s="142" t="s">
        <v>128</v>
      </c>
      <c r="C30" s="148"/>
      <c r="D30" s="148"/>
      <c r="E30" s="148"/>
      <c r="F30" s="148"/>
      <c r="G30" s="148"/>
      <c r="H30" s="148"/>
      <c r="I30" s="148"/>
      <c r="J30" s="148"/>
      <c r="K30" s="148"/>
    </row>
    <row r="31" spans="1:15" x14ac:dyDescent="0.35">
      <c r="A31" t="s">
        <v>129</v>
      </c>
      <c r="C31" s="148"/>
      <c r="D31" s="148"/>
      <c r="E31" s="148"/>
      <c r="F31" s="148"/>
      <c r="G31" s="148"/>
      <c r="H31" s="148"/>
      <c r="I31" s="148"/>
      <c r="J31" s="148"/>
      <c r="K31" s="148"/>
    </row>
    <row r="32" spans="1:15" x14ac:dyDescent="0.35">
      <c r="A32" t="s">
        <v>130</v>
      </c>
      <c r="C32" s="148"/>
      <c r="D32" s="148"/>
      <c r="E32" s="148"/>
      <c r="F32" s="148"/>
      <c r="G32" s="148"/>
      <c r="H32" s="148"/>
      <c r="I32" s="148"/>
      <c r="J32" s="148"/>
      <c r="K32" s="148"/>
    </row>
    <row r="33" spans="1:11" x14ac:dyDescent="0.35">
      <c r="A33" t="s">
        <v>131</v>
      </c>
      <c r="C33" s="148"/>
      <c r="D33" s="148"/>
      <c r="E33" s="148"/>
      <c r="F33" s="148"/>
      <c r="G33" s="148"/>
      <c r="H33" s="148"/>
      <c r="I33" s="148"/>
      <c r="J33" s="148"/>
      <c r="K33" s="148"/>
    </row>
    <row r="34" spans="1:11" x14ac:dyDescent="0.35">
      <c r="A34" t="s">
        <v>132</v>
      </c>
      <c r="C34" s="148"/>
      <c r="D34" s="148"/>
      <c r="E34" s="148"/>
      <c r="F34" s="148"/>
      <c r="G34" s="148"/>
      <c r="H34" s="148"/>
      <c r="I34" s="148"/>
      <c r="J34" s="148"/>
      <c r="K34" s="148"/>
    </row>
    <row r="35" spans="1:11" x14ac:dyDescent="0.35">
      <c r="A35" s="159" t="s">
        <v>133</v>
      </c>
      <c r="B35" s="160"/>
      <c r="C35" s="161"/>
      <c r="D35" s="148"/>
      <c r="E35" s="148"/>
      <c r="F35" s="148"/>
      <c r="G35" s="148"/>
      <c r="H35" s="148"/>
      <c r="I35" s="148"/>
      <c r="J35" s="148"/>
      <c r="K35" s="148"/>
    </row>
    <row r="36" spans="1:11" x14ac:dyDescent="0.35">
      <c r="C36" s="148"/>
      <c r="D36" s="148"/>
      <c r="E36" s="148"/>
      <c r="F36" s="148"/>
      <c r="G36" s="148"/>
      <c r="H36" s="148"/>
      <c r="I36" s="148"/>
      <c r="J36" s="148"/>
      <c r="K36" s="148"/>
    </row>
    <row r="37" spans="1:11" x14ac:dyDescent="0.35">
      <c r="A37" s="162" t="s">
        <v>134</v>
      </c>
      <c r="B37" s="145" t="s">
        <v>135</v>
      </c>
      <c r="D37" s="162" t="s">
        <v>136</v>
      </c>
      <c r="E37" s="145" t="s">
        <v>137</v>
      </c>
      <c r="G37" s="227" t="s">
        <v>132</v>
      </c>
      <c r="H37" s="228"/>
      <c r="J37" s="145" t="s">
        <v>138</v>
      </c>
      <c r="K37" s="145" t="s">
        <v>139</v>
      </c>
    </row>
    <row r="38" spans="1:11" x14ac:dyDescent="0.35">
      <c r="A38" t="s">
        <v>140</v>
      </c>
      <c r="B38" s="147">
        <v>16800000</v>
      </c>
      <c r="D38" t="s">
        <v>141</v>
      </c>
      <c r="E38" s="147">
        <v>7000000</v>
      </c>
      <c r="G38" t="s">
        <v>142</v>
      </c>
      <c r="H38" s="147">
        <v>10000000</v>
      </c>
      <c r="J38" t="s">
        <v>140</v>
      </c>
      <c r="K38" s="147">
        <v>4000000</v>
      </c>
    </row>
    <row r="39" spans="1:11" x14ac:dyDescent="0.35">
      <c r="A39" t="s">
        <v>143</v>
      </c>
      <c r="B39" s="147"/>
      <c r="G39" t="s">
        <v>144</v>
      </c>
      <c r="H39" s="147">
        <v>12000000</v>
      </c>
      <c r="J39" t="s">
        <v>143</v>
      </c>
      <c r="K39" s="147">
        <v>3000000</v>
      </c>
    </row>
    <row r="40" spans="1:11" x14ac:dyDescent="0.35">
      <c r="A40" t="s">
        <v>145</v>
      </c>
      <c r="B40" s="147">
        <v>15600000</v>
      </c>
      <c r="G40" t="s">
        <v>146</v>
      </c>
      <c r="H40" s="147">
        <v>14000000</v>
      </c>
      <c r="J40" t="s">
        <v>145</v>
      </c>
      <c r="K40" s="147">
        <v>2500000</v>
      </c>
    </row>
    <row r="41" spans="1:11" x14ac:dyDescent="0.35">
      <c r="A41" t="s">
        <v>147</v>
      </c>
      <c r="B41" s="147">
        <v>15000000</v>
      </c>
      <c r="G41" t="s">
        <v>148</v>
      </c>
      <c r="H41" s="147">
        <v>14000000</v>
      </c>
      <c r="J41" t="s">
        <v>147</v>
      </c>
      <c r="K41" s="147">
        <v>2000000</v>
      </c>
    </row>
    <row r="42" spans="1:11" x14ac:dyDescent="0.35">
      <c r="A42" t="s">
        <v>149</v>
      </c>
      <c r="B42" s="147">
        <v>15000000</v>
      </c>
      <c r="G42" t="s">
        <v>140</v>
      </c>
      <c r="H42" s="147">
        <v>17000000</v>
      </c>
      <c r="J42" t="s">
        <v>149</v>
      </c>
      <c r="K42" s="147">
        <v>1850000</v>
      </c>
    </row>
    <row r="43" spans="1:11" x14ac:dyDescent="0.35">
      <c r="A43" t="s">
        <v>150</v>
      </c>
      <c r="B43" s="147">
        <v>12000000</v>
      </c>
      <c r="G43" t="s">
        <v>151</v>
      </c>
      <c r="H43" s="147">
        <v>14000000</v>
      </c>
      <c r="J43" t="s">
        <v>150</v>
      </c>
      <c r="K43" s="147">
        <v>1200000</v>
      </c>
    </row>
    <row r="44" spans="1:11" x14ac:dyDescent="0.35">
      <c r="A44" t="s">
        <v>151</v>
      </c>
      <c r="B44" s="147">
        <v>16800000</v>
      </c>
      <c r="J44" t="s">
        <v>151</v>
      </c>
      <c r="K44" s="147">
        <v>2000000</v>
      </c>
    </row>
    <row r="45" spans="1:11" x14ac:dyDescent="0.35">
      <c r="A45" t="s">
        <v>152</v>
      </c>
      <c r="B45" s="147">
        <v>15720000</v>
      </c>
      <c r="J45" t="s">
        <v>152</v>
      </c>
      <c r="K45" s="147">
        <v>3500000</v>
      </c>
    </row>
    <row r="46" spans="1:11" x14ac:dyDescent="0.35">
      <c r="A46" t="s">
        <v>153</v>
      </c>
      <c r="J46" t="s">
        <v>153</v>
      </c>
      <c r="K46" s="147">
        <v>2800000</v>
      </c>
    </row>
    <row r="47" spans="1:11" x14ac:dyDescent="0.35">
      <c r="A47" t="s">
        <v>154</v>
      </c>
      <c r="B47">
        <v>0</v>
      </c>
    </row>
    <row r="49" spans="1:15" x14ac:dyDescent="0.35">
      <c r="C49" s="148"/>
      <c r="D49" s="148"/>
      <c r="E49" s="148"/>
      <c r="F49" s="148"/>
      <c r="G49" s="148"/>
      <c r="H49" s="148"/>
      <c r="I49" s="148"/>
      <c r="J49" s="148"/>
      <c r="K49" s="148"/>
    </row>
    <row r="50" spans="1:15" ht="14.4" customHeight="1" x14ac:dyDescent="0.35">
      <c r="A50" s="229" t="s">
        <v>131</v>
      </c>
      <c r="B50" s="231" t="s">
        <v>101</v>
      </c>
      <c r="C50" s="231" t="s">
        <v>155</v>
      </c>
      <c r="D50" s="232" t="s">
        <v>156</v>
      </c>
      <c r="E50" s="163" t="s">
        <v>157</v>
      </c>
      <c r="F50" s="163" t="s">
        <v>158</v>
      </c>
      <c r="G50" s="163" t="s">
        <v>159</v>
      </c>
      <c r="H50" s="164" t="s">
        <v>160</v>
      </c>
      <c r="I50" s="222" t="s">
        <v>161</v>
      </c>
      <c r="J50" s="222" t="s">
        <v>162</v>
      </c>
    </row>
    <row r="51" spans="1:15" x14ac:dyDescent="0.35">
      <c r="A51" s="230"/>
      <c r="B51" s="231"/>
      <c r="C51" s="231"/>
      <c r="D51" s="232"/>
      <c r="E51" s="165">
        <v>1</v>
      </c>
      <c r="F51" s="166">
        <v>1</v>
      </c>
      <c r="G51" s="166">
        <v>1</v>
      </c>
      <c r="H51" s="167">
        <v>266</v>
      </c>
      <c r="I51" s="223"/>
      <c r="J51" s="223"/>
    </row>
    <row r="52" spans="1:15" x14ac:dyDescent="0.35">
      <c r="A52" s="224" t="s">
        <v>163</v>
      </c>
      <c r="B52" s="155" t="s">
        <v>138</v>
      </c>
      <c r="C52" s="168">
        <f>K39</f>
        <v>3000000</v>
      </c>
      <c r="D52" s="155" t="s">
        <v>157</v>
      </c>
      <c r="E52" s="145">
        <f>E51</f>
        <v>1</v>
      </c>
      <c r="F52" s="145"/>
      <c r="G52" s="145"/>
      <c r="H52" s="169"/>
      <c r="I52" s="170">
        <f>E52*C52</f>
        <v>3000000</v>
      </c>
    </row>
    <row r="53" spans="1:15" x14ac:dyDescent="0.35">
      <c r="A53" s="225"/>
      <c r="B53" s="155" t="s">
        <v>164</v>
      </c>
      <c r="C53" s="171">
        <v>600000</v>
      </c>
      <c r="D53" s="155" t="s">
        <v>157</v>
      </c>
      <c r="E53" s="145">
        <f>E51</f>
        <v>1</v>
      </c>
      <c r="F53" s="145"/>
      <c r="G53" s="145"/>
      <c r="H53" s="169">
        <f>IF($H$51&lt;=120,2,IF($H$51&gt;220,4,3))</f>
        <v>4</v>
      </c>
      <c r="I53" s="171">
        <f>C53*E53</f>
        <v>600000</v>
      </c>
    </row>
    <row r="54" spans="1:15" x14ac:dyDescent="0.35">
      <c r="A54" s="226"/>
      <c r="B54" s="155" t="s">
        <v>163</v>
      </c>
      <c r="C54" s="171">
        <v>200000</v>
      </c>
      <c r="D54" s="155" t="s">
        <v>165</v>
      </c>
      <c r="E54" s="145"/>
      <c r="F54" s="145">
        <f>F51</f>
        <v>1</v>
      </c>
      <c r="G54" s="145"/>
      <c r="H54" s="169"/>
      <c r="I54" s="171">
        <f>F54*C54</f>
        <v>200000</v>
      </c>
    </row>
    <row r="55" spans="1:15" x14ac:dyDescent="0.35">
      <c r="A55" s="155" t="s">
        <v>166</v>
      </c>
      <c r="B55" s="155" t="s">
        <v>166</v>
      </c>
      <c r="C55" s="171">
        <v>450000</v>
      </c>
      <c r="D55" s="155" t="s">
        <v>159</v>
      </c>
      <c r="E55" s="145">
        <f>E51</f>
        <v>1</v>
      </c>
      <c r="F55" s="145"/>
      <c r="G55" s="145">
        <f>G51</f>
        <v>1</v>
      </c>
      <c r="H55" s="169">
        <f>IF($H$51&lt;=120,2,IF($H$51&gt;220,4,3))</f>
        <v>4</v>
      </c>
      <c r="I55" s="171">
        <f>G55*C55*H55</f>
        <v>1800000</v>
      </c>
    </row>
    <row r="56" spans="1:15" x14ac:dyDescent="0.35">
      <c r="A56" s="155" t="s">
        <v>167</v>
      </c>
      <c r="B56" s="155" t="s">
        <v>167</v>
      </c>
      <c r="C56" s="171">
        <v>120000</v>
      </c>
      <c r="D56" s="155" t="s">
        <v>157</v>
      </c>
      <c r="E56" s="145">
        <f>E51</f>
        <v>1</v>
      </c>
      <c r="F56" s="145"/>
      <c r="G56" s="145"/>
      <c r="H56" s="169">
        <f>IF($H$51&lt;=120,2,IF($H$51&gt;220,4,3))</f>
        <v>4</v>
      </c>
      <c r="I56" s="171">
        <f>H56*C56*E56</f>
        <v>480000</v>
      </c>
    </row>
    <row r="57" spans="1:15" x14ac:dyDescent="0.35">
      <c r="I57" s="172">
        <f>SUM(I52:I56)</f>
        <v>6080000</v>
      </c>
      <c r="J57" s="173">
        <f>I57*2</f>
        <v>12160000</v>
      </c>
      <c r="K57" t="s">
        <v>168</v>
      </c>
    </row>
    <row r="58" spans="1:15" x14ac:dyDescent="0.35">
      <c r="J58" s="172">
        <f>I57*4</f>
        <v>24320000</v>
      </c>
      <c r="K58" t="s">
        <v>169</v>
      </c>
    </row>
    <row r="59" spans="1:15" x14ac:dyDescent="0.35">
      <c r="K59" s="148"/>
    </row>
    <row r="61" spans="1:15" x14ac:dyDescent="0.35">
      <c r="A61" s="152"/>
      <c r="B61" s="152"/>
      <c r="C61" s="158"/>
      <c r="D61" s="158"/>
      <c r="E61" s="158"/>
      <c r="F61" s="158"/>
      <c r="G61" s="158"/>
      <c r="H61" s="158"/>
      <c r="I61" s="158"/>
      <c r="J61" s="158"/>
      <c r="K61" s="158"/>
      <c r="L61" s="152"/>
      <c r="M61" s="152"/>
      <c r="N61" s="152"/>
      <c r="O61" s="152"/>
    </row>
    <row r="62" spans="1:15" x14ac:dyDescent="0.35">
      <c r="A62" s="142" t="s">
        <v>170</v>
      </c>
    </row>
    <row r="64" spans="1:15" x14ac:dyDescent="0.35">
      <c r="A64" s="155" t="s">
        <v>170</v>
      </c>
      <c r="B64" s="148"/>
    </row>
    <row r="65" spans="1:15" x14ac:dyDescent="0.35">
      <c r="A65" t="s">
        <v>171</v>
      </c>
    </row>
    <row r="66" spans="1:15" x14ac:dyDescent="0.35">
      <c r="A66" t="s">
        <v>172</v>
      </c>
      <c r="B66" s="147">
        <v>36000000</v>
      </c>
    </row>
    <row r="67" spans="1:15" x14ac:dyDescent="0.35">
      <c r="A67" t="s">
        <v>173</v>
      </c>
      <c r="B67" s="147">
        <v>42000000</v>
      </c>
    </row>
    <row r="68" spans="1:15" x14ac:dyDescent="0.35">
      <c r="A68" t="s">
        <v>174</v>
      </c>
      <c r="B68" s="147">
        <v>48000000</v>
      </c>
    </row>
    <row r="70" spans="1:15" x14ac:dyDescent="0.35">
      <c r="A70" t="s">
        <v>175</v>
      </c>
    </row>
    <row r="71" spans="1:15" x14ac:dyDescent="0.35">
      <c r="A71" t="s">
        <v>176</v>
      </c>
      <c r="B71" s="147">
        <v>75000000</v>
      </c>
    </row>
    <row r="72" spans="1:15" x14ac:dyDescent="0.35">
      <c r="A72" t="s">
        <v>174</v>
      </c>
      <c r="B72" s="147">
        <v>95000000</v>
      </c>
    </row>
    <row r="74" spans="1:15" x14ac:dyDescent="0.35">
      <c r="A74" s="152"/>
      <c r="B74" s="152"/>
      <c r="C74" s="158"/>
      <c r="D74" s="158"/>
      <c r="E74" s="158"/>
      <c r="F74" s="158"/>
      <c r="G74" s="158"/>
      <c r="H74" s="158"/>
      <c r="I74" s="158"/>
      <c r="J74" s="158"/>
      <c r="K74" s="158"/>
      <c r="L74" s="152"/>
      <c r="M74" s="152"/>
      <c r="N74" s="152"/>
      <c r="O74" s="152"/>
    </row>
    <row r="75" spans="1:15" x14ac:dyDescent="0.35">
      <c r="A75" s="142" t="s">
        <v>177</v>
      </c>
    </row>
    <row r="77" spans="1:15" x14ac:dyDescent="0.35">
      <c r="A77" t="s">
        <v>178</v>
      </c>
      <c r="C77" s="174">
        <v>150000000</v>
      </c>
    </row>
    <row r="78" spans="1:15" x14ac:dyDescent="0.35">
      <c r="A78" t="s">
        <v>179</v>
      </c>
      <c r="C78" s="174">
        <v>200000000</v>
      </c>
    </row>
    <row r="79" spans="1:15" x14ac:dyDescent="0.35">
      <c r="A79" t="s">
        <v>180</v>
      </c>
      <c r="C79" s="174">
        <v>85000000</v>
      </c>
    </row>
    <row r="80" spans="1:15" x14ac:dyDescent="0.35">
      <c r="A80" t="s">
        <v>181</v>
      </c>
      <c r="C80" s="174">
        <v>150000000</v>
      </c>
    </row>
    <row r="81" spans="1:15" x14ac:dyDescent="0.35">
      <c r="A81" t="s">
        <v>182</v>
      </c>
      <c r="C81" s="174">
        <v>50000000</v>
      </c>
    </row>
    <row r="83" spans="1:15" x14ac:dyDescent="0.35">
      <c r="A83" s="152"/>
      <c r="B83" s="152"/>
      <c r="C83" s="158"/>
      <c r="D83" s="158"/>
      <c r="E83" s="158"/>
      <c r="F83" s="158"/>
      <c r="G83" s="158"/>
      <c r="H83" s="158"/>
      <c r="I83" s="158"/>
      <c r="J83" s="158"/>
      <c r="K83" s="158"/>
      <c r="L83" s="152"/>
      <c r="M83" s="152"/>
      <c r="N83" s="152"/>
      <c r="O83" s="152"/>
    </row>
  </sheetData>
  <mergeCells count="8">
    <mergeCell ref="J50:J51"/>
    <mergeCell ref="A52:A54"/>
    <mergeCell ref="G37:H37"/>
    <mergeCell ref="A50:A51"/>
    <mergeCell ref="B50:B51"/>
    <mergeCell ref="C50:C51"/>
    <mergeCell ref="D50:D51"/>
    <mergeCell ref="I50:I51"/>
  </mergeCells>
  <conditionalFormatting sqref="B17:K17 C15:K15 C9:D11 F9:K11 O5:S5 C5:K5 C6:C8 G6:L8 C16:M16">
    <cfRule type="cellIs" dxfId="3" priority="4" operator="lessThan">
      <formula>0</formula>
    </cfRule>
  </conditionalFormatting>
  <conditionalFormatting sqref="T5">
    <cfRule type="cellIs" dxfId="2" priority="3" operator="lessThan">
      <formula>0</formula>
    </cfRule>
  </conditionalFormatting>
  <conditionalFormatting sqref="C12:F14">
    <cfRule type="cellIs" dxfId="1" priority="2" operator="lessThan">
      <formula>0</formula>
    </cfRule>
  </conditionalFormatting>
  <conditionalFormatting sqref="G12:L14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Summary</vt:lpstr>
      <vt:lpstr>IRR</vt:lpstr>
      <vt:lpstr>SummaryBR</vt:lpstr>
      <vt:lpstr>Analisa</vt:lpstr>
      <vt:lpstr>Parameter</vt:lpstr>
      <vt:lpstr>IRR!Print_Area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2024-07-23T04:45:31Z</cp:lastPrinted>
  <dcterms:created xsi:type="dcterms:W3CDTF">2024-01-30T02:49:52Z</dcterms:created>
  <dcterms:modified xsi:type="dcterms:W3CDTF">2024-07-25T05:05:02Z</dcterms:modified>
</cp:coreProperties>
</file>