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defaultThemeVersion="124226"/>
  <mc:AlternateContent xmlns:mc="http://schemas.openxmlformats.org/markup-compatibility/2006">
    <mc:Choice Requires="x15">
      <x15ac:absPath xmlns:x15ac="http://schemas.microsoft.com/office/spreadsheetml/2010/11/ac" url="D:\2020 strategic planning\PnL\IBC\Hotel Best Western OJ Malang\"/>
    </mc:Choice>
  </mc:AlternateContent>
  <xr:revisionPtr revIDLastSave="0" documentId="8_{EEE33FF0-2A29-49FC-8F46-EBABF017288A}" xr6:coauthVersionLast="36" xr6:coauthVersionMax="36" xr10:uidLastSave="{00000000-0000-0000-0000-000000000000}"/>
  <bookViews>
    <workbookView xWindow="0" yWindow="0" windowWidth="19200" windowHeight="7550" tabRatio="453" firstSheet="4" activeTab="4" xr2:uid="{00000000-000D-0000-FFFF-FFFF00000000}"/>
  </bookViews>
  <sheets>
    <sheet name="Harga Jual" sheetId="3" state="hidden" r:id="rId1"/>
    <sheet name="COST " sheetId="4" state="hidden" r:id="rId2"/>
    <sheet name="contoh IRR existing" sheetId="1" state="hidden" r:id="rId3"/>
    <sheet name="Commercial" sheetId="7" state="hidden" r:id="rId4"/>
    <sheet name="Summary" sheetId="25" r:id="rId5"/>
    <sheet name="IRR" sheetId="26" r:id="rId6"/>
    <sheet name="Summary BR" sheetId="21" r:id="rId7"/>
    <sheet name="Parameter" sheetId="24" r:id="rId8"/>
    <sheet name="New IRR" sheetId="5" state="hidden" r:id="rId9"/>
    <sheet name="CApex" sheetId="19" r:id="rId10"/>
    <sheet name="Analisa" sheetId="23" r:id="rId11"/>
  </sheets>
  <externalReferences>
    <externalReference r:id="rId12"/>
    <externalReference r:id="rId13"/>
    <externalReference r:id="rId14"/>
    <externalReference r:id="rId15"/>
  </externalReferences>
  <definedNames>
    <definedName name="jk" localSheetId="10">#REF!</definedName>
    <definedName name="jk" localSheetId="5">#REF!</definedName>
    <definedName name="jk" localSheetId="4">#REF!</definedName>
    <definedName name="jk" localSheetId="6">#REF!</definedName>
    <definedName name="jk">#REF!</definedName>
    <definedName name="_xlnm.Print_Area" localSheetId="10">Analisa!$A$2:$F$20</definedName>
    <definedName name="_xlnm.Print_Area" localSheetId="2">'contoh IRR existing'!$C$1:$P$115</definedName>
    <definedName name="_xlnm.Print_Area" localSheetId="5">IRR!$B$1:$Q$49</definedName>
    <definedName name="_xlnm.Print_Area" localSheetId="8">'New IRR'!$A$1:$U$74</definedName>
    <definedName name="_xlnm.Print_Area" localSheetId="4">Summary!$B$2:$N$34</definedName>
    <definedName name="_xlnm.Print_Area" localSheetId="6">'Summary BR'!$F$9:$H$24</definedName>
    <definedName name="years_contract">[1]Kerlink!$D$5</definedName>
    <definedName name="Z_1CE473C3_FE78_4F6D_A93A_3BB1023F86A7_.wvu.Cols" localSheetId="2" hidden="1">'contoh IRR existing'!$A:$B,'contoh IRR existing'!$JE:$JF,'contoh IRR existing'!$TA:$TB,'contoh IRR existing'!$ACW:$ACX,'contoh IRR existing'!$AMS:$AMT,'contoh IRR existing'!$AWO:$AWP,'contoh IRR existing'!$BGK:$BGL,'contoh IRR existing'!$BQG:$BQH,'contoh IRR existing'!$CAC:$CAD,'contoh IRR existing'!$CJY:$CJZ,'contoh IRR existing'!$CTU:$CTV,'contoh IRR existing'!$DDQ:$DDR,'contoh IRR existing'!$DNM:$DNN,'contoh IRR existing'!$DXI:$DXJ,'contoh IRR existing'!$EHE:$EHF,'contoh IRR existing'!$ERA:$ERB,'contoh IRR existing'!$FAW:$FAX,'contoh IRR existing'!$FKS:$FKT,'contoh IRR existing'!$FUO:$FUP,'contoh IRR existing'!$GEK:$GEL,'contoh IRR existing'!$GOG:$GOH,'contoh IRR existing'!$GYC:$GYD,'contoh IRR existing'!$HHY:$HHZ,'contoh IRR existing'!$HRU:$HRV,'contoh IRR existing'!$IBQ:$IBR,'contoh IRR existing'!$ILM:$ILN,'contoh IRR existing'!$IVI:$IVJ,'contoh IRR existing'!$JFE:$JFF,'contoh IRR existing'!$JPA:$JPB,'contoh IRR existing'!$JYW:$JYX,'contoh IRR existing'!$KIS:$KIT,'contoh IRR existing'!$KSO:$KSP,'contoh IRR existing'!$LCK:$LCL,'contoh IRR existing'!$LMG:$LMH,'contoh IRR existing'!$LWC:$LWD,'contoh IRR existing'!$MFY:$MFZ,'contoh IRR existing'!$MPU:$MPV,'contoh IRR existing'!$MZQ:$MZR,'contoh IRR existing'!$NJM:$NJN,'contoh IRR existing'!$NTI:$NTJ,'contoh IRR existing'!$ODE:$ODF,'contoh IRR existing'!$ONA:$ONB,'contoh IRR existing'!$OWW:$OWX,'contoh IRR existing'!$PGS:$PGT,'contoh IRR existing'!$PQO:$PQP,'contoh IRR existing'!$QAK:$QAL,'contoh IRR existing'!$QKG:$QKH,'contoh IRR existing'!$QUC:$QUD,'contoh IRR existing'!$RDY:$RDZ,'contoh IRR existing'!$RNU:$RNV,'contoh IRR existing'!$RXQ:$RXR,'contoh IRR existing'!$SHM:$SHN,'contoh IRR existing'!$SRI:$SRJ,'contoh IRR existing'!$TBE:$TBF,'contoh IRR existing'!$TLA:$TLB,'contoh IRR existing'!$TUW:$TUX,'contoh IRR existing'!$UES:$UET,'contoh IRR existing'!$UOO:$UOP,'contoh IRR existing'!$UYK:$UYL,'contoh IRR existing'!$VIG:$VIH,'contoh IRR existing'!$VSC:$VSD,'contoh IRR existing'!$WBY:$WBZ,'contoh IRR existing'!$WLU:$WLV,'contoh IRR existing'!$WVQ:$WVR</definedName>
    <definedName name="Z_1CE473C3_FE78_4F6D_A93A_3BB1023F86A7_.wvu.PrintArea" localSheetId="2" hidden="1">'contoh IRR existing'!$C$1:$AA$115</definedName>
  </definedNames>
  <calcPr calcId="191029"/>
  <customWorkbookViews>
    <customWorkbookView name="meta rukmitasari - Personal View" guid="{1CE473C3-FE78-4F6D-A93A-3BB1023F86A7}" mergeInterval="0" personalView="1" maximized="1" windowWidth="1276" windowHeight="523" activeSheetId="1"/>
  </customWorkbookViews>
</workbook>
</file>

<file path=xl/calcChain.xml><?xml version="1.0" encoding="utf-8"?>
<calcChain xmlns="http://schemas.openxmlformats.org/spreadsheetml/2006/main">
  <c r="G23" i="26" l="1"/>
  <c r="H23" i="26"/>
  <c r="I23" i="26"/>
  <c r="J23" i="26"/>
  <c r="K23" i="26"/>
  <c r="M8" i="25"/>
  <c r="H22" i="26"/>
  <c r="I22" i="26"/>
  <c r="J22" i="26" s="1"/>
  <c r="K22" i="26" s="1"/>
  <c r="J53" i="26"/>
  <c r="G53" i="26"/>
  <c r="H53" i="26" s="1"/>
  <c r="I53" i="26" s="1"/>
  <c r="L53" i="26" s="1"/>
  <c r="M53" i="26" s="1"/>
  <c r="N53" i="26" s="1"/>
  <c r="O53" i="26" s="1"/>
  <c r="P53" i="26" s="1"/>
  <c r="F53" i="26"/>
  <c r="M11" i="25" l="1"/>
  <c r="M13" i="25"/>
  <c r="M12" i="25"/>
  <c r="G44" i="26"/>
  <c r="D31" i="21"/>
  <c r="C31" i="21"/>
  <c r="L57" i="24"/>
  <c r="H53" i="24"/>
  <c r="I16" i="26"/>
  <c r="I17" i="26" s="1"/>
  <c r="J16" i="26"/>
  <c r="J17" i="26" s="1"/>
  <c r="K16" i="26"/>
  <c r="K17" i="26" s="1"/>
  <c r="H16" i="26"/>
  <c r="H17" i="26" s="1"/>
  <c r="G14" i="24"/>
  <c r="G13" i="24"/>
  <c r="H12" i="24" s="1"/>
  <c r="F11" i="24"/>
  <c r="D8" i="24"/>
  <c r="D7" i="24"/>
  <c r="D3" i="24"/>
  <c r="E5" i="24"/>
  <c r="F5" i="24"/>
  <c r="G5" i="24"/>
  <c r="H5" i="24"/>
  <c r="D5" i="24"/>
  <c r="C5" i="24"/>
  <c r="I46" i="26"/>
  <c r="K46" i="26" s="1"/>
  <c r="H45" i="26"/>
  <c r="J45" i="26" s="1"/>
  <c r="K45" i="26" s="1"/>
  <c r="K43" i="26"/>
  <c r="J43" i="26"/>
  <c r="I43" i="26"/>
  <c r="H43" i="26"/>
  <c r="G43" i="26"/>
  <c r="K34" i="26"/>
  <c r="J34" i="26"/>
  <c r="I34" i="26"/>
  <c r="H34" i="26"/>
  <c r="Q20" i="26"/>
  <c r="G17" i="26"/>
  <c r="H11" i="26"/>
  <c r="I11" i="26" s="1"/>
  <c r="J11" i="26" s="1"/>
  <c r="K11" i="26" s="1"/>
  <c r="L11" i="26" s="1"/>
  <c r="M11" i="26" s="1"/>
  <c r="N11" i="26" s="1"/>
  <c r="O11" i="26" s="1"/>
  <c r="P11" i="26" s="1"/>
  <c r="M10" i="25"/>
  <c r="H14" i="24" l="1"/>
  <c r="G49" i="26"/>
  <c r="G27" i="26" s="1"/>
  <c r="H44" i="26"/>
  <c r="Q17" i="26"/>
  <c r="H24" i="26"/>
  <c r="H25" i="26" s="1"/>
  <c r="G34" i="26"/>
  <c r="Q16" i="26"/>
  <c r="Q22" i="26" l="1"/>
  <c r="H26" i="26"/>
  <c r="G24" i="26"/>
  <c r="G25" i="26" s="1"/>
  <c r="G28" i="26" s="1"/>
  <c r="Q23" i="26"/>
  <c r="H49" i="26"/>
  <c r="H27" i="26" s="1"/>
  <c r="H28" i="26" s="1"/>
  <c r="I44" i="26"/>
  <c r="I24" i="26"/>
  <c r="I25" i="26" s="1"/>
  <c r="I26" i="26" l="1"/>
  <c r="J24" i="26"/>
  <c r="J25" i="26" s="1"/>
  <c r="K24" i="26"/>
  <c r="K25" i="26" s="1"/>
  <c r="Q21" i="26"/>
  <c r="J44" i="26"/>
  <c r="I49" i="26"/>
  <c r="I27" i="26" s="1"/>
  <c r="I28" i="26" s="1"/>
  <c r="Q24" i="26" l="1"/>
  <c r="Q25" i="26" s="1"/>
  <c r="Q26" i="26" s="1"/>
  <c r="F40" i="26" s="1"/>
  <c r="M18" i="25" s="1"/>
  <c r="M14" i="25"/>
  <c r="J26" i="26"/>
  <c r="K26" i="26"/>
  <c r="K44" i="26"/>
  <c r="K49" i="26" s="1"/>
  <c r="K27" i="26" s="1"/>
  <c r="K28" i="26" s="1"/>
  <c r="J49" i="26"/>
  <c r="J27" i="26" s="1"/>
  <c r="Q27" i="26" l="1"/>
  <c r="Q28" i="26" s="1"/>
  <c r="J28" i="26"/>
  <c r="H56" i="24" l="1"/>
  <c r="I56" i="24" s="1"/>
  <c r="E56" i="24"/>
  <c r="H55" i="24"/>
  <c r="G55" i="24"/>
  <c r="I55" i="24" s="1"/>
  <c r="E55" i="24"/>
  <c r="F54" i="24"/>
  <c r="I54" i="24" s="1"/>
  <c r="E53" i="24"/>
  <c r="I53" i="24" s="1"/>
  <c r="I52" i="24"/>
  <c r="E52" i="24"/>
  <c r="B25" i="24"/>
  <c r="M16" i="24"/>
  <c r="F10" i="24"/>
  <c r="G9" i="24" s="1"/>
  <c r="G11" i="24" s="1"/>
  <c r="E6" i="24"/>
  <c r="C16" i="24"/>
  <c r="C4" i="24"/>
  <c r="D2" i="24"/>
  <c r="E2" i="24" s="1"/>
  <c r="F2" i="24" s="1"/>
  <c r="G2" i="24" s="1"/>
  <c r="H2" i="24" s="1"/>
  <c r="I2" i="24" s="1"/>
  <c r="J2" i="24" s="1"/>
  <c r="K2" i="24" s="1"/>
  <c r="L2" i="24" s="1"/>
  <c r="M2" i="24" s="1"/>
  <c r="D9" i="23"/>
  <c r="F9" i="23" s="1"/>
  <c r="D18" i="23"/>
  <c r="F18" i="23" s="1"/>
  <c r="D17" i="23"/>
  <c r="D16" i="23"/>
  <c r="F16" i="23" s="1"/>
  <c r="D11" i="23"/>
  <c r="F11" i="23" s="1"/>
  <c r="D10" i="23"/>
  <c r="E8" i="24" l="1"/>
  <c r="I57" i="24"/>
  <c r="I12" i="24"/>
  <c r="J58" i="24"/>
  <c r="J57" i="24"/>
  <c r="H9" i="24"/>
  <c r="F6" i="24"/>
  <c r="C27" i="24"/>
  <c r="C26" i="24" s="1"/>
  <c r="E3" i="24"/>
  <c r="D16" i="24"/>
  <c r="F10" i="23"/>
  <c r="F13" i="23" s="1"/>
  <c r="F17" i="23"/>
  <c r="F20" i="23" s="1"/>
  <c r="H11" i="24" l="1"/>
  <c r="I14" i="24"/>
  <c r="F8" i="24"/>
  <c r="F3" i="24"/>
  <c r="I9" i="24"/>
  <c r="I11" i="24" s="1"/>
  <c r="E16" i="24"/>
  <c r="J12" i="24"/>
  <c r="C25" i="24"/>
  <c r="G6" i="24"/>
  <c r="G8" i="24" s="1"/>
  <c r="G16" i="24" s="1"/>
  <c r="G29" i="26" s="1"/>
  <c r="G30" i="26" l="1"/>
  <c r="J14" i="24"/>
  <c r="D27" i="24"/>
  <c r="D26" i="24" s="1"/>
  <c r="D25" i="24"/>
  <c r="J9" i="24"/>
  <c r="G3" i="24"/>
  <c r="H6" i="24"/>
  <c r="I6" i="24" s="1"/>
  <c r="I8" i="24" s="1"/>
  <c r="K12" i="24"/>
  <c r="F16" i="24"/>
  <c r="G31" i="26" l="1"/>
  <c r="G32" i="26" s="1"/>
  <c r="G35" i="26" s="1"/>
  <c r="K9" i="24"/>
  <c r="K11" i="24" s="1"/>
  <c r="J11" i="24"/>
  <c r="H8" i="24"/>
  <c r="K14" i="24"/>
  <c r="H3" i="24"/>
  <c r="E27" i="24"/>
  <c r="E25" i="24" s="1"/>
  <c r="L12" i="24"/>
  <c r="L14" i="24" s="1"/>
  <c r="L16" i="24" s="1"/>
  <c r="E26" i="24"/>
  <c r="K16" i="24" l="1"/>
  <c r="K29" i="26" s="1"/>
  <c r="K30" i="26" s="1"/>
  <c r="K31" i="26" s="1"/>
  <c r="K32" i="26" s="1"/>
  <c r="K35" i="26" s="1"/>
  <c r="G36" i="26"/>
  <c r="F27" i="24"/>
  <c r="F25" i="24"/>
  <c r="F26" i="24"/>
  <c r="H16" i="24"/>
  <c r="H29" i="26" s="1"/>
  <c r="I3" i="24"/>
  <c r="I5" i="24" s="1"/>
  <c r="I16" i="24" s="1"/>
  <c r="I29" i="26" s="1"/>
  <c r="I30" i="26" s="1"/>
  <c r="I31" i="26" s="1"/>
  <c r="I32" i="26" s="1"/>
  <c r="I35" i="26" s="1"/>
  <c r="H30" i="26" l="1"/>
  <c r="G37" i="26"/>
  <c r="J3" i="24"/>
  <c r="J5" i="24"/>
  <c r="J16" i="24" s="1"/>
  <c r="J29" i="26" s="1"/>
  <c r="J30" i="26" s="1"/>
  <c r="G27" i="24"/>
  <c r="G26" i="24" s="1"/>
  <c r="G25" i="24"/>
  <c r="J31" i="26" l="1"/>
  <c r="J32" i="26" s="1"/>
  <c r="J35" i="26" s="1"/>
  <c r="Q29" i="26"/>
  <c r="H31" i="26"/>
  <c r="H32" i="26" s="1"/>
  <c r="H35" i="26" s="1"/>
  <c r="Q30" i="26"/>
  <c r="H27" i="24"/>
  <c r="H26" i="24" s="1"/>
  <c r="F39" i="26" l="1"/>
  <c r="M17" i="25" s="1"/>
  <c r="F38" i="26"/>
  <c r="M16" i="25" s="1"/>
  <c r="Q35" i="26"/>
  <c r="H36" i="26"/>
  <c r="Q31" i="26"/>
  <c r="Q32" i="26" s="1"/>
  <c r="H25" i="24"/>
  <c r="I36" i="26" l="1"/>
  <c r="H37" i="26"/>
  <c r="I27" i="24"/>
  <c r="I26" i="24" s="1"/>
  <c r="I25" i="24"/>
  <c r="I37" i="26" l="1"/>
  <c r="J36" i="26"/>
  <c r="K36" i="26" s="1"/>
  <c r="K37" i="26" s="1"/>
  <c r="J27" i="24"/>
  <c r="J25" i="24"/>
  <c r="J26" i="24"/>
  <c r="J37" i="26" l="1"/>
  <c r="F41" i="26" s="1"/>
  <c r="M19" i="25" s="1"/>
  <c r="K27" i="24"/>
  <c r="K26" i="24" s="1"/>
  <c r="W36" i="21"/>
  <c r="W34" i="21"/>
  <c r="V30" i="21"/>
  <c r="W30" i="21" s="1"/>
  <c r="W29" i="21"/>
  <c r="V28" i="21"/>
  <c r="W28" i="21" s="1"/>
  <c r="W27" i="21"/>
  <c r="W24" i="21"/>
  <c r="W22" i="21"/>
  <c r="V18" i="21"/>
  <c r="W18" i="21" s="1"/>
  <c r="W17" i="21"/>
  <c r="W16" i="21"/>
  <c r="W20" i="21" s="1"/>
  <c r="V16" i="21"/>
  <c r="W15" i="21"/>
  <c r="K25" i="24" l="1"/>
  <c r="W32" i="21"/>
  <c r="H17" i="21" l="1"/>
  <c r="H15" i="21"/>
  <c r="G18" i="21"/>
  <c r="H18" i="21" s="1"/>
  <c r="G16" i="21"/>
  <c r="H16" i="21" s="1"/>
  <c r="H20" i="21" l="1"/>
  <c r="G28" i="21" l="1"/>
  <c r="G30" i="21" l="1"/>
  <c r="H30" i="21" s="1"/>
  <c r="O25" i="21" l="1"/>
  <c r="P25" i="21"/>
  <c r="Q25" i="21"/>
  <c r="R25" i="21"/>
  <c r="N25" i="21"/>
  <c r="R26" i="21" l="1"/>
  <c r="H28" i="21" l="1"/>
  <c r="H27" i="21"/>
  <c r="H29" i="21"/>
  <c r="H32" i="21" l="1"/>
  <c r="D12" i="21" l="1"/>
  <c r="C12" i="21"/>
  <c r="W3" i="19" l="1"/>
  <c r="S3" i="19"/>
  <c r="Q3" i="19" l="1"/>
  <c r="F12" i="19"/>
  <c r="H8" i="19"/>
  <c r="N6" i="19"/>
  <c r="N7" i="19" s="1"/>
  <c r="T3" i="19" l="1"/>
  <c r="X3" i="19" s="1"/>
  <c r="U3" i="19"/>
  <c r="H34" i="21" l="1"/>
  <c r="H22" i="21"/>
  <c r="H36" i="21" l="1"/>
  <c r="H24" i="21"/>
  <c r="S44" i="5" l="1"/>
  <c r="O45" i="5"/>
  <c r="J8" i="5" l="1"/>
  <c r="Q35" i="5" s="1"/>
  <c r="S35" i="5" l="1"/>
  <c r="E24" i="5"/>
  <c r="F24" i="5" s="1"/>
  <c r="G24" i="5" s="1"/>
  <c r="H24" i="5" s="1"/>
  <c r="I24" i="5" s="1"/>
  <c r="J24" i="5" s="1"/>
  <c r="E25" i="5"/>
  <c r="F25" i="5" s="1"/>
  <c r="G25" i="5" s="1"/>
  <c r="H25" i="5" s="1"/>
  <c r="I25" i="5" s="1"/>
  <c r="J25" i="5" s="1"/>
  <c r="E29" i="5"/>
  <c r="F29" i="5" s="1"/>
  <c r="G29" i="5" s="1"/>
  <c r="H29" i="5" s="1"/>
  <c r="I29" i="5" s="1"/>
  <c r="J29" i="5" s="1"/>
  <c r="E28" i="5"/>
  <c r="F28" i="5" s="1"/>
  <c r="G28" i="5" s="1"/>
  <c r="H28" i="5" s="1"/>
  <c r="I28" i="5" s="1"/>
  <c r="J28" i="5" s="1"/>
  <c r="E27" i="5"/>
  <c r="F27" i="5" s="1"/>
  <c r="G27" i="5" s="1"/>
  <c r="H27" i="5" s="1"/>
  <c r="I27" i="5" s="1"/>
  <c r="J27" i="5" s="1"/>
  <c r="E26" i="5"/>
  <c r="F26" i="5" s="1"/>
  <c r="G26" i="5" s="1"/>
  <c r="H26" i="5" s="1"/>
  <c r="I26" i="5" s="1"/>
  <c r="J26" i="5" s="1"/>
  <c r="E23" i="5"/>
  <c r="F23" i="5" s="1"/>
  <c r="G23" i="5" s="1"/>
  <c r="H23" i="5" s="1"/>
  <c r="I23" i="5" s="1"/>
  <c r="J23" i="5" s="1"/>
  <c r="E22" i="5"/>
  <c r="F22" i="5" s="1"/>
  <c r="G22" i="5" s="1"/>
  <c r="H22" i="5" s="1"/>
  <c r="I22" i="5" s="1"/>
  <c r="J22" i="5" s="1"/>
  <c r="E21" i="5"/>
  <c r="F21" i="5" s="1"/>
  <c r="G21" i="5" s="1"/>
  <c r="H21" i="5" s="1"/>
  <c r="I21" i="5" s="1"/>
  <c r="J21" i="5" s="1"/>
  <c r="J60" i="5" l="1"/>
  <c r="I60" i="5"/>
  <c r="H60" i="5"/>
  <c r="G60" i="5"/>
  <c r="F60" i="5"/>
  <c r="E60" i="5"/>
  <c r="J59" i="5"/>
  <c r="I59" i="5"/>
  <c r="H59" i="5"/>
  <c r="G59" i="5"/>
  <c r="F59" i="5"/>
  <c r="E59" i="5"/>
  <c r="J61" i="5"/>
  <c r="I61" i="5"/>
  <c r="H61" i="5"/>
  <c r="G61" i="5"/>
  <c r="F61" i="5"/>
  <c r="E61" i="5"/>
  <c r="I5" i="7"/>
  <c r="J5" i="7" s="1"/>
  <c r="K5" i="7" s="1"/>
  <c r="L5" i="7" s="1"/>
  <c r="M5" i="7" s="1"/>
  <c r="K59" i="5" l="1"/>
  <c r="K61" i="5"/>
  <c r="K60" i="5"/>
  <c r="AU11" i="5" l="1"/>
  <c r="AW9" i="5"/>
  <c r="J64" i="5"/>
  <c r="I64" i="5"/>
  <c r="H64" i="5"/>
  <c r="G64" i="5"/>
  <c r="F64" i="5"/>
  <c r="E64" i="5"/>
  <c r="N64" i="5"/>
  <c r="N63" i="5"/>
  <c r="E63" i="5"/>
  <c r="J62" i="5"/>
  <c r="I62" i="5"/>
  <c r="H62" i="5"/>
  <c r="G62" i="5"/>
  <c r="F62" i="5"/>
  <c r="E62" i="5"/>
  <c r="L59" i="5"/>
  <c r="U59" i="5" s="1"/>
  <c r="L60" i="5"/>
  <c r="U60" i="5" s="1"/>
  <c r="L61" i="5"/>
  <c r="U61" i="5" s="1"/>
  <c r="L62" i="5"/>
  <c r="U62" i="5" s="1"/>
  <c r="L63" i="5"/>
  <c r="U63" i="5" s="1"/>
  <c r="L64" i="5"/>
  <c r="U64" i="5" s="1"/>
  <c r="L65" i="5"/>
  <c r="U65" i="5" s="1"/>
  <c r="O48" i="5"/>
  <c r="G65" i="5" s="1"/>
  <c r="L58" i="5"/>
  <c r="U58" i="5" s="1"/>
  <c r="N60" i="5"/>
  <c r="N61" i="5"/>
  <c r="N62" i="5"/>
  <c r="N65" i="5"/>
  <c r="N59" i="5"/>
  <c r="N58" i="5"/>
  <c r="AX16" i="5"/>
  <c r="AW16" i="5"/>
  <c r="AV16" i="5"/>
  <c r="AU16" i="5"/>
  <c r="AT16" i="5"/>
  <c r="AS16" i="5"/>
  <c r="AS27" i="5" s="1"/>
  <c r="AX15" i="5"/>
  <c r="AW15" i="5"/>
  <c r="AV15" i="5"/>
  <c r="AU15" i="5"/>
  <c r="AT15" i="5"/>
  <c r="AS15" i="5"/>
  <c r="AS26" i="5" s="1"/>
  <c r="AX14" i="5"/>
  <c r="AW14" i="5"/>
  <c r="AV14" i="5"/>
  <c r="AU14" i="5"/>
  <c r="AT14" i="5"/>
  <c r="AS14" i="5"/>
  <c r="AS25" i="5" s="1"/>
  <c r="E52" i="5" s="1"/>
  <c r="AX13" i="5"/>
  <c r="AW13" i="5"/>
  <c r="AV13" i="5"/>
  <c r="AU13" i="5"/>
  <c r="AT13" i="5"/>
  <c r="AS13" i="5"/>
  <c r="AS24" i="5" s="1"/>
  <c r="AX12" i="5"/>
  <c r="AW12" i="5"/>
  <c r="AV12" i="5"/>
  <c r="AU12" i="5"/>
  <c r="AT12" i="5"/>
  <c r="AS12" i="5"/>
  <c r="AS23" i="5" s="1"/>
  <c r="E50" i="5" s="1"/>
  <c r="AT11" i="5"/>
  <c r="AS11" i="5"/>
  <c r="AS22" i="5" s="1"/>
  <c r="AX10" i="5"/>
  <c r="AW10" i="5"/>
  <c r="AV10" i="5"/>
  <c r="AU10" i="5"/>
  <c r="AT10" i="5"/>
  <c r="AS10" i="5"/>
  <c r="AS21" i="5" s="1"/>
  <c r="AX9" i="5"/>
  <c r="AV9" i="5"/>
  <c r="AX8" i="5"/>
  <c r="AW8" i="5"/>
  <c r="AV8" i="5"/>
  <c r="K62" i="5" l="1"/>
  <c r="Q20" i="5" s="1"/>
  <c r="K64" i="5"/>
  <c r="J58" i="5"/>
  <c r="I58" i="5"/>
  <c r="E58" i="5"/>
  <c r="H58" i="5"/>
  <c r="G58" i="5"/>
  <c r="F58" i="5"/>
  <c r="F63" i="5"/>
  <c r="G63" i="5" s="1"/>
  <c r="H63" i="5" s="1"/>
  <c r="I63" i="5" s="1"/>
  <c r="J63" i="5" s="1"/>
  <c r="AT21" i="5"/>
  <c r="AU21" i="5" s="1"/>
  <c r="AV21" i="5" s="1"/>
  <c r="AW21" i="5" s="1"/>
  <c r="H65" i="5"/>
  <c r="E65" i="5"/>
  <c r="I65" i="5"/>
  <c r="F65" i="5"/>
  <c r="J65" i="5"/>
  <c r="AT22" i="5"/>
  <c r="AU22" i="5" s="1"/>
  <c r="G49" i="5" s="1"/>
  <c r="AT24" i="5"/>
  <c r="E51" i="5"/>
  <c r="AT26" i="5"/>
  <c r="E53" i="5"/>
  <c r="E54" i="5"/>
  <c r="AT27" i="5"/>
  <c r="AT25" i="5"/>
  <c r="E49" i="5"/>
  <c r="AT23" i="5"/>
  <c r="E48" i="5"/>
  <c r="B41" i="5"/>
  <c r="K41" i="5" s="1"/>
  <c r="B40" i="5"/>
  <c r="K40" i="5" s="1"/>
  <c r="B39" i="5"/>
  <c r="K39" i="5" s="1"/>
  <c r="B38" i="5"/>
  <c r="K38" i="5" s="1"/>
  <c r="B37" i="5"/>
  <c r="K37" i="5" s="1"/>
  <c r="B36" i="5"/>
  <c r="K36" i="5" s="1"/>
  <c r="B35" i="5"/>
  <c r="K35" i="5" s="1"/>
  <c r="B34" i="5"/>
  <c r="K34" i="5" s="1"/>
  <c r="B33" i="5"/>
  <c r="K33" i="5" s="1"/>
  <c r="AU9" i="5"/>
  <c r="AT9" i="5"/>
  <c r="AU8" i="5"/>
  <c r="AT8" i="5"/>
  <c r="AS9" i="5"/>
  <c r="AS20" i="5" s="1"/>
  <c r="AS8" i="5"/>
  <c r="AS19" i="5" s="1"/>
  <c r="E46" i="5" s="1"/>
  <c r="AS7" i="5"/>
  <c r="AT7" i="5" s="1"/>
  <c r="AU7" i="5" s="1"/>
  <c r="K63" i="5" l="1"/>
  <c r="G48" i="5"/>
  <c r="H48" i="5"/>
  <c r="F48" i="5"/>
  <c r="K65" i="5"/>
  <c r="K58" i="5"/>
  <c r="AV11" i="5"/>
  <c r="AV22" i="5" s="1"/>
  <c r="H49" i="5" s="1"/>
  <c r="F49" i="5"/>
  <c r="AV7" i="5"/>
  <c r="AW7" i="5" s="1"/>
  <c r="AX7" i="5" s="1"/>
  <c r="AS18" i="5"/>
  <c r="AT18" i="5" s="1"/>
  <c r="AU18" i="5" s="1"/>
  <c r="AU25" i="5"/>
  <c r="F52" i="5"/>
  <c r="AT20" i="5"/>
  <c r="F47" i="5" s="1"/>
  <c r="E47" i="5"/>
  <c r="AX21" i="5"/>
  <c r="J48" i="5" s="1"/>
  <c r="I48" i="5"/>
  <c r="AU24" i="5"/>
  <c r="F51" i="5"/>
  <c r="AU23" i="5"/>
  <c r="F50" i="5"/>
  <c r="AU27" i="5"/>
  <c r="F54" i="5"/>
  <c r="AU26" i="5"/>
  <c r="F53" i="5"/>
  <c r="AT19" i="5"/>
  <c r="E20" i="5"/>
  <c r="F20" i="5" s="1"/>
  <c r="G20" i="5" s="1"/>
  <c r="Q22" i="5" l="1"/>
  <c r="K66" i="5"/>
  <c r="Q21" i="5"/>
  <c r="K48" i="5"/>
  <c r="E69" i="5"/>
  <c r="AX11" i="5"/>
  <c r="AW11" i="5"/>
  <c r="AW22" i="5" s="1"/>
  <c r="AU20" i="5"/>
  <c r="G47" i="5" s="1"/>
  <c r="I70" i="5"/>
  <c r="E70" i="5"/>
  <c r="H70" i="5"/>
  <c r="G70" i="5"/>
  <c r="J70" i="5"/>
  <c r="F70" i="5"/>
  <c r="AV18" i="5"/>
  <c r="AW18" i="5" s="1"/>
  <c r="AX18" i="5" s="1"/>
  <c r="AV27" i="5"/>
  <c r="G54" i="5"/>
  <c r="AV24" i="5"/>
  <c r="G51" i="5"/>
  <c r="AV25" i="5"/>
  <c r="G52" i="5"/>
  <c r="AV26" i="5"/>
  <c r="G53" i="5"/>
  <c r="AV23" i="5"/>
  <c r="G50" i="5"/>
  <c r="H20" i="5"/>
  <c r="I20" i="5" s="1"/>
  <c r="J20" i="5" s="1"/>
  <c r="AU19" i="5"/>
  <c r="AV19" i="5" s="1"/>
  <c r="F46" i="5"/>
  <c r="E32" i="5"/>
  <c r="S33" i="5"/>
  <c r="C62" i="4"/>
  <c r="C19" i="4"/>
  <c r="C4" i="3"/>
  <c r="D4" i="3" s="1"/>
  <c r="E4" i="3" s="1"/>
  <c r="F4" i="3" s="1"/>
  <c r="G4" i="3" s="1"/>
  <c r="AV20" i="5" l="1"/>
  <c r="AW20" i="5" s="1"/>
  <c r="K70" i="5"/>
  <c r="E71" i="5"/>
  <c r="E72" i="5" s="1"/>
  <c r="F69" i="5"/>
  <c r="F71" i="5" s="1"/>
  <c r="H47" i="5"/>
  <c r="AX22" i="5"/>
  <c r="J49" i="5" s="1"/>
  <c r="I49" i="5"/>
  <c r="F32" i="5"/>
  <c r="G32" i="5" s="1"/>
  <c r="H32" i="5" s="1"/>
  <c r="I32" i="5" s="1"/>
  <c r="J32" i="5" s="1"/>
  <c r="E45" i="5"/>
  <c r="AW26" i="5"/>
  <c r="H53" i="5"/>
  <c r="AW23" i="5"/>
  <c r="H50" i="5"/>
  <c r="AW25" i="5"/>
  <c r="H52" i="5"/>
  <c r="AW24" i="5"/>
  <c r="H51" i="5"/>
  <c r="AW27" i="5"/>
  <c r="H54" i="5"/>
  <c r="I47" i="5"/>
  <c r="AX20" i="5"/>
  <c r="J47" i="5" s="1"/>
  <c r="AW19" i="5"/>
  <c r="H46" i="5"/>
  <c r="G46" i="5"/>
  <c r="G69" i="5" s="1"/>
  <c r="G71" i="5" s="1"/>
  <c r="F78" i="1"/>
  <c r="F80" i="1" s="1"/>
  <c r="G80" i="1"/>
  <c r="E83" i="1"/>
  <c r="F82" i="1"/>
  <c r="G82" i="1" s="1"/>
  <c r="E78" i="1" l="1"/>
  <c r="E80" i="1" s="1"/>
  <c r="F83" i="1"/>
  <c r="H82" i="1"/>
  <c r="G83" i="1"/>
  <c r="F72" i="5"/>
  <c r="F73" i="5" s="1"/>
  <c r="K47" i="5"/>
  <c r="K49" i="5"/>
  <c r="E73" i="5"/>
  <c r="E67" i="5" s="1"/>
  <c r="E74" i="5" s="1"/>
  <c r="G72" i="5"/>
  <c r="G73" i="5" s="1"/>
  <c r="H69" i="5"/>
  <c r="H71" i="5" s="1"/>
  <c r="F45" i="5"/>
  <c r="G45" i="5" s="1"/>
  <c r="E57" i="5"/>
  <c r="E68" i="5" s="1"/>
  <c r="F68" i="5" s="1"/>
  <c r="G68" i="5" s="1"/>
  <c r="H68" i="5" s="1"/>
  <c r="I68" i="5" s="1"/>
  <c r="J68" i="5" s="1"/>
  <c r="AX24" i="5"/>
  <c r="J51" i="5" s="1"/>
  <c r="I51" i="5"/>
  <c r="AX23" i="5"/>
  <c r="J50" i="5" s="1"/>
  <c r="I50" i="5"/>
  <c r="AX27" i="5"/>
  <c r="J54" i="5" s="1"/>
  <c r="I54" i="5"/>
  <c r="AX25" i="5"/>
  <c r="J52" i="5" s="1"/>
  <c r="I52" i="5"/>
  <c r="AX26" i="5"/>
  <c r="J53" i="5" s="1"/>
  <c r="I53" i="5"/>
  <c r="I46" i="5"/>
  <c r="AX19" i="5"/>
  <c r="J46" i="5" s="1"/>
  <c r="E66" i="1"/>
  <c r="E65" i="1"/>
  <c r="F64" i="1"/>
  <c r="G64" i="1"/>
  <c r="H64" i="1"/>
  <c r="I64" i="1"/>
  <c r="J64" i="1"/>
  <c r="K64" i="1"/>
  <c r="E64" i="1"/>
  <c r="K78" i="1" l="1"/>
  <c r="E72" i="1"/>
  <c r="I82" i="1"/>
  <c r="H83" i="1"/>
  <c r="K53" i="5"/>
  <c r="K46" i="5"/>
  <c r="K51" i="5"/>
  <c r="F67" i="5"/>
  <c r="F74" i="5" s="1"/>
  <c r="K52" i="5"/>
  <c r="K50" i="5"/>
  <c r="K54" i="5"/>
  <c r="H72" i="5"/>
  <c r="I69" i="5"/>
  <c r="I71" i="5" s="1"/>
  <c r="J69" i="5"/>
  <c r="J71" i="5" s="1"/>
  <c r="F57" i="5"/>
  <c r="G57" i="5" s="1"/>
  <c r="O57" i="5"/>
  <c r="P57" i="5" s="1"/>
  <c r="Q57" i="5" s="1"/>
  <c r="R57" i="5" s="1"/>
  <c r="S57" i="5" s="1"/>
  <c r="T57" i="5" s="1"/>
  <c r="H45" i="5"/>
  <c r="I45" i="5" s="1"/>
  <c r="J45" i="5" s="1"/>
  <c r="J82" i="1" l="1"/>
  <c r="J83" i="1" s="1"/>
  <c r="I83" i="1"/>
  <c r="K55" i="5"/>
  <c r="Q19" i="5" s="1"/>
  <c r="G67" i="5"/>
  <c r="G74" i="5" s="1"/>
  <c r="K71" i="5"/>
  <c r="H73" i="5"/>
  <c r="K69" i="5"/>
  <c r="I72" i="5"/>
  <c r="I73" i="5" s="1"/>
  <c r="H57" i="5"/>
  <c r="I57" i="5" s="1"/>
  <c r="J57" i="5" s="1"/>
  <c r="H80" i="1"/>
  <c r="I80" i="1"/>
  <c r="J80" i="1"/>
  <c r="E90" i="1"/>
  <c r="H67" i="5" l="1"/>
  <c r="J72" i="5"/>
  <c r="J73" i="5" s="1"/>
  <c r="L26" i="1"/>
  <c r="I67" i="5" l="1"/>
  <c r="H74" i="5"/>
  <c r="Q26" i="5"/>
  <c r="K72" i="5"/>
  <c r="R68" i="5"/>
  <c r="N68" i="5"/>
  <c r="L12" i="1"/>
  <c r="J67" i="5" l="1"/>
  <c r="J74" i="5" s="1"/>
  <c r="I74" i="5"/>
  <c r="M68" i="5"/>
  <c r="Q27" i="5"/>
  <c r="Q23" i="5"/>
  <c r="Q24" i="5" s="1"/>
  <c r="K73" i="5"/>
  <c r="G49" i="1"/>
  <c r="F67" i="1" s="1"/>
  <c r="L28" i="5" l="1"/>
  <c r="Q28" i="5" s="1"/>
  <c r="G48" i="1"/>
  <c r="F66" i="1"/>
  <c r="E22" i="1"/>
  <c r="E24" i="1" s="1"/>
  <c r="F88" i="1" s="1"/>
  <c r="G38" i="1"/>
  <c r="G39" i="1"/>
  <c r="G37" i="1"/>
  <c r="G47" i="1" l="1"/>
  <c r="F65" i="1"/>
  <c r="G66" i="1"/>
  <c r="E23" i="1"/>
  <c r="E25" i="1"/>
  <c r="J92" i="1"/>
  <c r="E70" i="1"/>
  <c r="E71" i="1"/>
  <c r="E42" i="1"/>
  <c r="E41" i="1"/>
  <c r="G65" i="1" l="1"/>
  <c r="H65" i="1" s="1"/>
  <c r="I65" i="1" s="1"/>
  <c r="H66" i="1"/>
  <c r="I92" i="1"/>
  <c r="E88" i="1"/>
  <c r="F71" i="1"/>
  <c r="G71" i="1" s="1"/>
  <c r="H71" i="1" s="1"/>
  <c r="J71" i="1"/>
  <c r="F41" i="1"/>
  <c r="F70" i="1"/>
  <c r="G70" i="1" s="1"/>
  <c r="H70" i="1" s="1"/>
  <c r="I70" i="1" s="1"/>
  <c r="L20" i="1"/>
  <c r="F84" i="1" s="1"/>
  <c r="J65" i="1" l="1"/>
  <c r="K65" i="1" s="1"/>
  <c r="G84" i="1"/>
  <c r="H84" i="1" s="1"/>
  <c r="I84" i="1" s="1"/>
  <c r="J84" i="1" s="1"/>
  <c r="I66" i="1"/>
  <c r="H92" i="1"/>
  <c r="I71" i="1"/>
  <c r="K71" i="1" s="1"/>
  <c r="J66" i="1" l="1"/>
  <c r="F42" i="1"/>
  <c r="F40" i="1"/>
  <c r="G92" i="1" l="1"/>
  <c r="K91" i="1"/>
  <c r="K90" i="1"/>
  <c r="F63" i="1"/>
  <c r="G63" i="1" s="1"/>
  <c r="H63" i="1" s="1"/>
  <c r="I63" i="1" s="1"/>
  <c r="J63" i="1" s="1"/>
  <c r="E46" i="1"/>
  <c r="E40" i="1"/>
  <c r="G52" i="1" l="1"/>
  <c r="E53" i="1"/>
  <c r="K88" i="1"/>
  <c r="K79" i="1" l="1"/>
  <c r="K80" i="1" l="1"/>
  <c r="J70" i="1" l="1"/>
  <c r="K70" i="1" l="1"/>
  <c r="G67" i="1" l="1"/>
  <c r="H67" i="1" l="1"/>
  <c r="I67" i="1" l="1"/>
  <c r="G50" i="1"/>
  <c r="J67" i="1" l="1"/>
  <c r="K84" i="1"/>
  <c r="E48" i="1"/>
  <c r="G51" i="1" s="1"/>
  <c r="F69" i="1" s="1"/>
  <c r="G69" i="1" l="1"/>
  <c r="F72" i="1"/>
  <c r="K66" i="1"/>
  <c r="H69" i="1" l="1"/>
  <c r="G72" i="1"/>
  <c r="I69" i="1" l="1"/>
  <c r="H72" i="1"/>
  <c r="K67" i="1"/>
  <c r="J69" i="1" l="1"/>
  <c r="J72" i="1" s="1"/>
  <c r="I72" i="1"/>
  <c r="K68" i="1"/>
  <c r="F92" i="1"/>
  <c r="E92" i="1"/>
  <c r="K69" i="1" l="1"/>
  <c r="K72" i="1" s="1"/>
  <c r="K89" i="1"/>
  <c r="K92" i="1" s="1"/>
  <c r="E85" i="1" l="1"/>
  <c r="E95" i="1" s="1"/>
  <c r="E96" i="1" l="1"/>
  <c r="F85" i="1"/>
  <c r="F95" i="1" s="1"/>
  <c r="G85" i="1"/>
  <c r="G95" i="1" s="1"/>
  <c r="E97" i="1" l="1"/>
  <c r="E98" i="1" s="1"/>
  <c r="F96" i="1"/>
  <c r="H85" i="1"/>
  <c r="H95" i="1" s="1"/>
  <c r="H98" i="1" s="1"/>
  <c r="F97" i="1" l="1"/>
  <c r="F98" i="1" s="1"/>
  <c r="G96" i="1"/>
  <c r="H96" i="1" l="1"/>
  <c r="G97" i="1"/>
  <c r="G98" i="1" s="1"/>
  <c r="I85" i="1"/>
  <c r="I95" i="1" s="1"/>
  <c r="I96" i="1" l="1"/>
  <c r="K97" i="1"/>
  <c r="I98" i="1"/>
  <c r="J85" i="1" l="1"/>
  <c r="J95" i="1" s="1"/>
  <c r="J98" i="1" l="1"/>
  <c r="J96" i="1"/>
  <c r="K95" i="1"/>
  <c r="K83" i="1"/>
  <c r="K85" i="1" s="1"/>
  <c r="K98" i="1" l="1"/>
  <c r="N46" i="1" s="1"/>
  <c r="E101" i="1"/>
  <c r="J46" i="1" s="1"/>
  <c r="H101" i="1"/>
  <c r="L46" i="1" s="1"/>
  <c r="I10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Subianto  Kasmun </author>
    <author>Subianto Kasmun</author>
  </authors>
  <commentList>
    <comment ref="H51" authorId="0" shapeId="0" xr:uid="{21B17C1C-3DA2-4A69-AC17-60E4B40A5D12}">
      <text>
        <r>
          <rPr>
            <b/>
            <sz val="9"/>
            <color indexed="81"/>
            <rFont val="Tahoma"/>
            <family val="2"/>
          </rPr>
          <t xml:space="preserve"> Subianto  Kasmun :</t>
        </r>
        <r>
          <rPr>
            <sz val="9"/>
            <color indexed="81"/>
            <rFont val="Tahoma"/>
            <family val="2"/>
          </rPr>
          <t xml:space="preserve">
Isi Jumlah Omni dari data Asset</t>
        </r>
      </text>
    </comment>
    <comment ref="C52" authorId="1" shapeId="0" xr:uid="{43E81557-C2D1-4DC6-A8F6-0CCDF3504274}">
      <text>
        <r>
          <rPr>
            <b/>
            <sz val="9"/>
            <color indexed="81"/>
            <rFont val="Tahoma"/>
            <family val="2"/>
          </rPr>
          <t>Subianto Kasmun:</t>
        </r>
        <r>
          <rPr>
            <sz val="9"/>
            <color indexed="81"/>
            <rFont val="Tahoma"/>
            <family val="2"/>
          </rPr>
          <t xml:space="preserve">
Dari List harga Pesawat</t>
        </r>
      </text>
    </comment>
  </commentList>
</comments>
</file>

<file path=xl/sharedStrings.xml><?xml version="1.0" encoding="utf-8"?>
<sst xmlns="http://schemas.openxmlformats.org/spreadsheetml/2006/main" count="1810" uniqueCount="518">
  <si>
    <t xml:space="preserve">BUILDING INFORMATION SUMMARY </t>
  </si>
  <si>
    <t>BUILDING NAME</t>
  </si>
  <si>
    <t>TYPE BUILDING</t>
  </si>
  <si>
    <t>AREA</t>
  </si>
  <si>
    <t>STATUS</t>
  </si>
  <si>
    <t>NEW BUILDING</t>
  </si>
  <si>
    <t>EXIST. OPERATOR</t>
  </si>
  <si>
    <t>EXP. DATE</t>
  </si>
  <si>
    <t>INDEX PARAMETER</t>
  </si>
  <si>
    <t>TECHNICAL SUMMARY</t>
  </si>
  <si>
    <t>ITEM</t>
  </si>
  <si>
    <t>AMOUNT</t>
  </si>
  <si>
    <t>REMARKS</t>
  </si>
  <si>
    <t>QTY</t>
  </si>
  <si>
    <t>ELECTRICITY</t>
  </si>
  <si>
    <t>per month</t>
  </si>
  <si>
    <t>DAS MOS</t>
  </si>
  <si>
    <t>antenna</t>
  </si>
  <si>
    <t>MAINTENANCE</t>
  </si>
  <si>
    <t>per year</t>
  </si>
  <si>
    <t>EXISTING DAS</t>
  </si>
  <si>
    <t>INFLATION</t>
  </si>
  <si>
    <t>ADD ANTENNA</t>
  </si>
  <si>
    <t>INTEREST</t>
  </si>
  <si>
    <t>COMBINER</t>
  </si>
  <si>
    <t>unit</t>
  </si>
  <si>
    <t>INDEX PARAMETER OPEX</t>
  </si>
  <si>
    <t>INDEX PARAMETER CAPEX</t>
  </si>
  <si>
    <t>DESCRIPTION</t>
  </si>
  <si>
    <t>RENT TO BM</t>
  </si>
  <si>
    <t>lumpsum 5 Year</t>
  </si>
  <si>
    <t>DAS</t>
  </si>
  <si>
    <t>per antenna</t>
  </si>
  <si>
    <t>per unit</t>
  </si>
  <si>
    <t>Combiner Room</t>
  </si>
  <si>
    <t>ME INDOOR</t>
  </si>
  <si>
    <t>BM FEE</t>
  </si>
  <si>
    <t xml:space="preserve">lumpsum </t>
  </si>
  <si>
    <t>ME OUTDOOR</t>
  </si>
  <si>
    <t>SITAC OUTSOURCE</t>
  </si>
  <si>
    <t>OPERATOR JOIN</t>
  </si>
  <si>
    <t xml:space="preserve">OPERATOR </t>
  </si>
  <si>
    <t>SMARTFREN</t>
  </si>
  <si>
    <t>TELKOMSEL</t>
  </si>
  <si>
    <t>INDOSAT</t>
  </si>
  <si>
    <t>XL</t>
  </si>
  <si>
    <t>FLEXI</t>
  </si>
  <si>
    <t>ESIA</t>
  </si>
  <si>
    <t>TOTAL</t>
  </si>
  <si>
    <t>SELLING PRICE</t>
  </si>
  <si>
    <t>per Antenna</t>
  </si>
  <si>
    <t>per Month</t>
  </si>
  <si>
    <t>NFC</t>
  </si>
  <si>
    <t>CASH FROM OPERATOR JOIN</t>
  </si>
  <si>
    <t>CAPEX</t>
  </si>
  <si>
    <t>DIRECT OPEX</t>
  </si>
  <si>
    <t>OPEX</t>
  </si>
  <si>
    <t>RENT TO BM  (L)</t>
  </si>
  <si>
    <t>BM FEE'S</t>
  </si>
  <si>
    <t>CASH FLOW PROJECTION</t>
  </si>
  <si>
    <t>NET CASH FLOW B/TAX</t>
  </si>
  <si>
    <t>ACCUMULATE</t>
  </si>
  <si>
    <t>NET CASH FLOW</t>
  </si>
  <si>
    <t>CHECKED BY</t>
  </si>
  <si>
    <t>PREPARED BY</t>
  </si>
  <si>
    <t>MICHAEL H</t>
  </si>
  <si>
    <t>DANIEL S</t>
  </si>
  <si>
    <t>ANANDA S</t>
  </si>
  <si>
    <t>FINANCE</t>
  </si>
  <si>
    <t>COMMERCIAL</t>
  </si>
  <si>
    <t>REQUESTED BY</t>
  </si>
  <si>
    <t>APPROVED BY</t>
  </si>
  <si>
    <t>HEAD COMMERCIAL</t>
  </si>
  <si>
    <t>COO</t>
  </si>
  <si>
    <t>DISC RATE (5 THN)</t>
  </si>
  <si>
    <t>COMBINER ROOM</t>
  </si>
  <si>
    <t>ME Outdoor XL</t>
  </si>
  <si>
    <t>ME Outdoor TSEL</t>
  </si>
  <si>
    <t>ME Indoor Flexi</t>
  </si>
  <si>
    <t>TOTAL OPR JOINT</t>
  </si>
  <si>
    <t>RENT TO BM (YEARLY)</t>
  </si>
  <si>
    <t>Opr</t>
  </si>
  <si>
    <t>TOP Yearly (Lumpsum)</t>
  </si>
  <si>
    <t>TOP Termin (Lumpsum)</t>
  </si>
  <si>
    <t>RENT TO BM PER OPR</t>
  </si>
  <si>
    <t xml:space="preserve">Lumpsump </t>
  </si>
  <si>
    <t>KELLY P</t>
  </si>
  <si>
    <t>STEVEN P</t>
  </si>
  <si>
    <t>META SR</t>
  </si>
  <si>
    <t>IRR (Semester)</t>
  </si>
  <si>
    <t>Y1</t>
  </si>
  <si>
    <t>Y2</t>
  </si>
  <si>
    <t>(REVISI)</t>
  </si>
  <si>
    <t>ME Outdoor ISAT</t>
  </si>
  <si>
    <t>IRR (5Thn)</t>
  </si>
  <si>
    <t>INTERNUX</t>
  </si>
  <si>
    <t>ME Outdoor INTERNUX</t>
  </si>
  <si>
    <t>OFFICE</t>
  </si>
  <si>
    <t>HCPT</t>
  </si>
  <si>
    <t>ME Outdoor HCPT</t>
  </si>
  <si>
    <t>*Harga RAN Sharing disc 10% dari XL</t>
  </si>
  <si>
    <t>MEDAN CENTER POINT (REVISI)</t>
  </si>
  <si>
    <t>LELY KWIK</t>
  </si>
  <si>
    <t>MAKMUR DJAURY</t>
  </si>
  <si>
    <t>PRESIDEN DIREKTUR</t>
  </si>
  <si>
    <t>Additional CAPEX 2013</t>
  </si>
  <si>
    <t>PO 229 &amp; 233</t>
  </si>
  <si>
    <t>INTEREST 12%</t>
  </si>
  <si>
    <t>Asumsi Harga Jual</t>
  </si>
  <si>
    <t>TSEL</t>
  </si>
  <si>
    <t>ISAT</t>
  </si>
  <si>
    <t>AXIS</t>
  </si>
  <si>
    <t xml:space="preserve">ESIA </t>
  </si>
  <si>
    <t>FM</t>
  </si>
  <si>
    <t>Operator</t>
  </si>
  <si>
    <t>No</t>
  </si>
  <si>
    <t>Tahun</t>
  </si>
  <si>
    <t>Harga Jual/antenna/bulan</t>
  </si>
  <si>
    <t>SITAC</t>
  </si>
  <si>
    <t>Biaya koordinasi/Operation</t>
  </si>
  <si>
    <t>Biaya Agensi</t>
  </si>
  <si>
    <t>Masa Sewa</t>
  </si>
  <si>
    <t>Nama Gedung</t>
  </si>
  <si>
    <t>Alamat</t>
  </si>
  <si>
    <t xml:space="preserve">Komponen Biaya </t>
  </si>
  <si>
    <t>Tanggal diterbitkan IRR</t>
  </si>
  <si>
    <t xml:space="preserve">Sewa Lahan </t>
  </si>
  <si>
    <t>ASSET</t>
  </si>
  <si>
    <t>NON OPERATOR</t>
  </si>
  <si>
    <t>OPERATOR JOIN/MIGRASI</t>
  </si>
  <si>
    <t>BTS INDOOR</t>
  </si>
  <si>
    <t>BTS OUTDOOR</t>
  </si>
  <si>
    <t xml:space="preserve">DAS &amp; CME </t>
  </si>
  <si>
    <t>Lain-lain</t>
  </si>
  <si>
    <t>Listrik</t>
  </si>
  <si>
    <t>Pemeliharaan</t>
  </si>
  <si>
    <t>b. Perbaikan</t>
  </si>
  <si>
    <t>a. Rutin</t>
  </si>
  <si>
    <t>I</t>
  </si>
  <si>
    <t>II</t>
  </si>
  <si>
    <t>c. Tes jangkauan (Walktest)</t>
  </si>
  <si>
    <t>d. Lain-lain</t>
  </si>
  <si>
    <t xml:space="preserve">Jenis Gedung </t>
  </si>
  <si>
    <t xml:space="preserve">Region </t>
  </si>
  <si>
    <t>INTERNAL RATE OF RETURN (IRR)</t>
  </si>
  <si>
    <t>Nama Bangunan</t>
  </si>
  <si>
    <t>:</t>
  </si>
  <si>
    <t>Lokasi Bangunan</t>
  </si>
  <si>
    <t>Type Bangunan</t>
  </si>
  <si>
    <t>Jabodetabek</t>
  </si>
  <si>
    <t>Jawa Tengah</t>
  </si>
  <si>
    <t>Jawa Timur</t>
  </si>
  <si>
    <t xml:space="preserve">Jawa Barat </t>
  </si>
  <si>
    <t>Kalimantan</t>
  </si>
  <si>
    <t>Sumatra</t>
  </si>
  <si>
    <t>Sulawesi</t>
  </si>
  <si>
    <t>Bali/Lombok</t>
  </si>
  <si>
    <t>Ind Bg Tim</t>
  </si>
  <si>
    <t>Mall</t>
  </si>
  <si>
    <t>Hotel</t>
  </si>
  <si>
    <t>Apartemen</t>
  </si>
  <si>
    <t>Universitas</t>
  </si>
  <si>
    <t>Rumah Sakit</t>
  </si>
  <si>
    <t>Sekolah</t>
  </si>
  <si>
    <t>Perkantoran</t>
  </si>
  <si>
    <t>Bandara</t>
  </si>
  <si>
    <t>Pasar</t>
  </si>
  <si>
    <t>Status</t>
  </si>
  <si>
    <t>Bangunan Baru</t>
  </si>
  <si>
    <t>Bangunan Lama</t>
  </si>
  <si>
    <t>Tanggal</t>
  </si>
  <si>
    <t>Bulan</t>
  </si>
  <si>
    <t>Januari</t>
  </si>
  <si>
    <t>Februari</t>
  </si>
  <si>
    <t>Maret</t>
  </si>
  <si>
    <t>April</t>
  </si>
  <si>
    <t>Mei</t>
  </si>
  <si>
    <t>Juni</t>
  </si>
  <si>
    <t>Juli</t>
  </si>
  <si>
    <t>Agustus</t>
  </si>
  <si>
    <t>September</t>
  </si>
  <si>
    <t>Oktober</t>
  </si>
  <si>
    <t>November</t>
  </si>
  <si>
    <t>Desember</t>
  </si>
  <si>
    <t>Status IRR</t>
  </si>
  <si>
    <t>Baru</t>
  </si>
  <si>
    <t>Revisi I</t>
  </si>
  <si>
    <t>Revisi II</t>
  </si>
  <si>
    <t>Revisi III</t>
  </si>
  <si>
    <t>Parameter umum</t>
  </si>
  <si>
    <t>Inflasi</t>
  </si>
  <si>
    <t>tingkat bunga</t>
  </si>
  <si>
    <t>Kurs</t>
  </si>
  <si>
    <t>/tahun</t>
  </si>
  <si>
    <t>/ USD 1</t>
  </si>
  <si>
    <t>Operator Join</t>
  </si>
  <si>
    <t>Perkiraan Umum</t>
  </si>
  <si>
    <t xml:space="preserve">Jumlah Antena </t>
  </si>
  <si>
    <t>Jumlah Combiner</t>
  </si>
  <si>
    <t>Antena</t>
  </si>
  <si>
    <t>Unit</t>
  </si>
  <si>
    <t>Keterangan</t>
  </si>
  <si>
    <t>- Sewa Lahan</t>
  </si>
  <si>
    <t>- Biaya Agensi</t>
  </si>
  <si>
    <t>- Biaya Koordinasi</t>
  </si>
  <si>
    <t>ASSET (non Op)</t>
  </si>
  <si>
    <t>Masa Sewa          :</t>
  </si>
  <si>
    <t>Parameter Harga untuk CAPEX</t>
  </si>
  <si>
    <t>per tahun</t>
  </si>
  <si>
    <t>per bangunan</t>
  </si>
  <si>
    <t>Indoor</t>
  </si>
  <si>
    <t>Outdoor</t>
  </si>
  <si>
    <t>- TSEL</t>
  </si>
  <si>
    <t>- ISAT</t>
  </si>
  <si>
    <t>- XL</t>
  </si>
  <si>
    <t>- HCPT</t>
  </si>
  <si>
    <t>- FM</t>
  </si>
  <si>
    <t>- SMARTFREN</t>
  </si>
  <si>
    <t>- AXIS</t>
  </si>
  <si>
    <t>- FLEXI</t>
  </si>
  <si>
    <t xml:space="preserve">- ESIA </t>
  </si>
  <si>
    <t>persentase</t>
  </si>
  <si>
    <t xml:space="preserve">BTS Operator </t>
  </si>
  <si>
    <t>Jumlah</t>
  </si>
  <si>
    <t>Parameter Harga untuk OPEX</t>
  </si>
  <si>
    <t>- Rutin</t>
  </si>
  <si>
    <t>- Perbaikan</t>
  </si>
  <si>
    <t>- Tes Jangkauan</t>
  </si>
  <si>
    <t>- lain-lain</t>
  </si>
  <si>
    <t>Kas masuk dari operator</t>
  </si>
  <si>
    <t>Parameter Harga Jual/antena/bulan</t>
  </si>
  <si>
    <t>Kas keluar</t>
  </si>
  <si>
    <t>SEWA</t>
  </si>
  <si>
    <t>Asumsi pembayaran</t>
  </si>
  <si>
    <t>persentase pembayran</t>
  </si>
  <si>
    <t>Koordinasi</t>
  </si>
  <si>
    <t>Agensi</t>
  </si>
  <si>
    <t>BTS</t>
  </si>
  <si>
    <t>Lain-lain Opex</t>
  </si>
  <si>
    <t>per Tahun</t>
  </si>
  <si>
    <t>Kas Bersih</t>
  </si>
  <si>
    <t>Kas Masuk</t>
  </si>
  <si>
    <t>Kas Keluar</t>
  </si>
  <si>
    <t>Biaya Bunga</t>
  </si>
  <si>
    <t>bulk price</t>
  </si>
  <si>
    <t>MASTER DATA</t>
  </si>
  <si>
    <t>HARGA JUAL</t>
  </si>
  <si>
    <t>Jumlah Antena
Min</t>
  </si>
  <si>
    <t>Jumlah Antena
Max</t>
  </si>
  <si>
    <t>Size</t>
  </si>
  <si>
    <t>S/M/L</t>
  </si>
  <si>
    <t>Small</t>
  </si>
  <si>
    <t>S</t>
  </si>
  <si>
    <t>Medium</t>
  </si>
  <si>
    <t>M</t>
  </si>
  <si>
    <t>&gt;200</t>
  </si>
  <si>
    <t>Large</t>
  </si>
  <si>
    <t>L</t>
  </si>
  <si>
    <t>No.</t>
  </si>
  <si>
    <t>Sesuai BOQ</t>
  </si>
  <si>
    <t>- DAS (all in)</t>
  </si>
  <si>
    <t>SUMMARY</t>
  </si>
  <si>
    <t>Jumlah Lantai     :</t>
  </si>
  <si>
    <t>Pendapatan dari operator</t>
  </si>
  <si>
    <t>Biaya Operasional</t>
  </si>
  <si>
    <t>Biaya Sewa</t>
  </si>
  <si>
    <t>Pembelian Aset Tetap</t>
  </si>
  <si>
    <t>NPV</t>
  </si>
  <si>
    <t>IRR</t>
  </si>
  <si>
    <t>Payback periode</t>
  </si>
  <si>
    <t>Discount Rate</t>
  </si>
  <si>
    <t>Arus Kas Bersih (dalam 6 tahun)</t>
  </si>
  <si>
    <t>N/A</t>
  </si>
  <si>
    <t xml:space="preserve">No IRR : </t>
  </si>
  <si>
    <t>01/IRR/02/2014</t>
  </si>
  <si>
    <t>sumarecon bekasi mall</t>
  </si>
  <si>
    <t>jl. Bekasi raya</t>
  </si>
  <si>
    <t>Transport</t>
  </si>
  <si>
    <t>Uang Saku</t>
  </si>
  <si>
    <t>person</t>
  </si>
  <si>
    <t>kamar</t>
  </si>
  <si>
    <t>Bali</t>
  </si>
  <si>
    <t>Jatim</t>
  </si>
  <si>
    <t>Jateng</t>
  </si>
  <si>
    <t>Jabar</t>
  </si>
  <si>
    <t>Sumatera</t>
  </si>
  <si>
    <t>Pesawat</t>
  </si>
  <si>
    <t>Sulut</t>
  </si>
  <si>
    <t>Makasar</t>
  </si>
  <si>
    <t>Palembang</t>
  </si>
  <si>
    <t>Trip</t>
  </si>
  <si>
    <t>trip</t>
  </si>
  <si>
    <t>Days by Omni</t>
  </si>
  <si>
    <t>Biaya walktest inhouse/visit</t>
  </si>
  <si>
    <t>Diisikan</t>
  </si>
  <si>
    <t>Biaya walktest inhouse/thn</t>
  </si>
  <si>
    <t>Jumlah Pole Makro</t>
  </si>
  <si>
    <t>Sulsel</t>
  </si>
  <si>
    <t>Pekanbaru</t>
  </si>
  <si>
    <t>Sumut</t>
  </si>
  <si>
    <t>Best Western OJ Malang</t>
  </si>
  <si>
    <t>DAS &amp; CME</t>
  </si>
  <si>
    <t>SGI</t>
  </si>
  <si>
    <t>3600000387</t>
  </si>
  <si>
    <t>STR0211</t>
  </si>
  <si>
    <t>ST0393</t>
  </si>
  <si>
    <t>STI486</t>
  </si>
  <si>
    <t>3600000386</t>
  </si>
  <si>
    <t>STR0212</t>
  </si>
  <si>
    <t>ST0394</t>
  </si>
  <si>
    <t>STI485</t>
  </si>
  <si>
    <t>Add. Das</t>
  </si>
  <si>
    <t>Celebes</t>
  </si>
  <si>
    <t>3600001129</t>
  </si>
  <si>
    <t>260/CK/NV/IX/2016</t>
  </si>
  <si>
    <t>SUMMARY REVIEW</t>
  </si>
  <si>
    <t xml:space="preserve">Nama Site                          </t>
  </si>
  <si>
    <t>: Hotel Best Western OJ Malang</t>
  </si>
  <si>
    <t xml:space="preserve">Nama Pemilik      </t>
  </si>
  <si>
    <t>: PT. Griya Mapan Sejahtera</t>
  </si>
  <si>
    <t xml:space="preserve">Alamat Pemilik      </t>
  </si>
  <si>
    <t>: Jl. DR.Cipto No.11 Malang</t>
  </si>
  <si>
    <t xml:space="preserve">Telp                                            </t>
  </si>
  <si>
    <t>: 02341-368888</t>
  </si>
  <si>
    <t xml:space="preserve">Obyek Sewa            </t>
  </si>
  <si>
    <t>: 92 Omni +  Unit Pole Antenna + RBS  m²</t>
  </si>
  <si>
    <t xml:space="preserve">No. </t>
  </si>
  <si>
    <t>Existing</t>
  </si>
  <si>
    <t>Renewal</t>
  </si>
  <si>
    <t>Scope Of Lease</t>
  </si>
  <si>
    <t>IBC</t>
  </si>
  <si>
    <t>Obyek Sewa</t>
  </si>
  <si>
    <t>Periode Sewa</t>
  </si>
  <si>
    <t>17 November 2015 s/d 16 November 2020 (5 tahun)</t>
  </si>
  <si>
    <t xml:space="preserve">Harga Sewa </t>
  </si>
  <si>
    <t>Rp.500.000.000/ 5 Tahun</t>
  </si>
  <si>
    <t>Rp. 200.000.000/ 5 Tahun (for XL only)</t>
  </si>
  <si>
    <t>Smartfren</t>
  </si>
  <si>
    <t>XL (31 Mei 2019 s/d 30 Mei 2024)</t>
  </si>
  <si>
    <t>Kenaikan/ Penurunan Harga</t>
  </si>
  <si>
    <t xml:space="preserve">Mengalami Penurunan Harga Sebesar 60% </t>
  </si>
  <si>
    <t>Rev XL</t>
  </si>
  <si>
    <t>Sewa BM</t>
  </si>
  <si>
    <t>OM</t>
  </si>
  <si>
    <t>17 November 2020 s/d 16 November 2025 (5 tahun)</t>
  </si>
  <si>
    <t xml:space="preserve">Periode </t>
  </si>
  <si>
    <t>Start</t>
  </si>
  <si>
    <t>End</t>
  </si>
  <si>
    <t>Buffer Add Capex for pole</t>
  </si>
  <si>
    <t>Profit</t>
  </si>
  <si>
    <t>Jika Sewa BM diperpanjang sampai akhir masa XL, maka:</t>
  </si>
  <si>
    <t>Negatif</t>
  </si>
  <si>
    <t>IRR 3thn Cutt Loss</t>
  </si>
  <si>
    <t>Cash Flow 3thn Cut Loss</t>
  </si>
  <si>
    <t>BEST WESTERN OJ MALANG</t>
  </si>
  <si>
    <t>Capex Migrasi XL</t>
  </si>
  <si>
    <t>Rev XL 17Nov20 sd 30Mei24</t>
  </si>
  <si>
    <t>Sewa 17Nov20 sd 30Mei24</t>
  </si>
  <si>
    <t>OM 17Nov20 sd 30Mei24</t>
  </si>
  <si>
    <t>include di PO Migrasi 2unit</t>
  </si>
  <si>
    <t xml:space="preserve">IRR 9thn </t>
  </si>
  <si>
    <t>Cash Flow 9thn</t>
  </si>
  <si>
    <t>Days</t>
  </si>
  <si>
    <t xml:space="preserve">Sewa BM </t>
  </si>
  <si>
    <t xml:space="preserve">OM </t>
  </si>
  <si>
    <t>Antisipasi Add Capex and Pole</t>
  </si>
  <si>
    <t>Conservative &gt;&gt; Jika Sewa BM diperpanjang sampai akhir masa XL, maka:</t>
  </si>
  <si>
    <t xml:space="preserve">Rev XL </t>
  </si>
  <si>
    <t>SITE BWOJ 101 MALANG</t>
  </si>
  <si>
    <t>PERHITUNGAN INTEREST EXPENSE based CAPEX</t>
  </si>
  <si>
    <t>Capex tahun</t>
  </si>
  <si>
    <t>loan</t>
  </si>
  <si>
    <t>Installment/thn</t>
  </si>
  <si>
    <t>Interest</t>
  </si>
  <si>
    <t>Interest Exp</t>
  </si>
  <si>
    <t>PERHITUNGAN SG&amp;A</t>
  </si>
  <si>
    <t>Untuk IBC</t>
  </si>
  <si>
    <t xml:space="preserve">Start tahun pertama </t>
  </si>
  <si>
    <t>Untuk Opennet</t>
  </si>
  <si>
    <t>Untuk IBC Ext</t>
  </si>
  <si>
    <t>tiap tahun = Rev x 5%</t>
  </si>
  <si>
    <t>Untuk Opennet Ext</t>
  </si>
  <si>
    <t>SG&amp;A</t>
  </si>
  <si>
    <t>PERHITUNGAN MAINTENANCE (PM,CM,WT)</t>
  </si>
  <si>
    <t>PM by Vendor</t>
  </si>
  <si>
    <t>CM by Vendor/Inhouse</t>
  </si>
  <si>
    <t>WT by Inhouse</t>
  </si>
  <si>
    <t>WT New by Vendor/Operator</t>
  </si>
  <si>
    <t>MAINTENANCE  = (PM + CM + WT New + WT by Inhouse )</t>
  </si>
  <si>
    <t>PM</t>
  </si>
  <si>
    <t>PM/Year/Site</t>
  </si>
  <si>
    <t>CM</t>
  </si>
  <si>
    <t>CM /Year/Oprt</t>
  </si>
  <si>
    <t>Tiket PP</t>
  </si>
  <si>
    <t>All</t>
  </si>
  <si>
    <t>Jawa/Bali</t>
  </si>
  <si>
    <t>Nilai</t>
  </si>
  <si>
    <t>2X Visit</t>
  </si>
  <si>
    <t>4X Visit</t>
  </si>
  <si>
    <t>LISTRIK</t>
  </si>
  <si>
    <t>Listrik/Oprt/year DAS+1Pole 3sektor</t>
  </si>
  <si>
    <t>0-100</t>
  </si>
  <si>
    <t>101-200</t>
  </si>
  <si>
    <t>201-</t>
  </si>
  <si>
    <t>Listrik/Oprt/year  DAS+2Pole 6sektor</t>
  </si>
  <si>
    <t>0-200</t>
  </si>
  <si>
    <t>CAPEX CME</t>
  </si>
  <si>
    <t>Additional CME BTS indoor  + Pole</t>
  </si>
  <si>
    <t>Additional CME BTS Indoor + 2 Pole</t>
  </si>
  <si>
    <t>Additional CME BTS Outdoor  + 1 Pole</t>
  </si>
  <si>
    <t>Additional CME BTS Outdoor  + 2 Pole</t>
  </si>
  <si>
    <t>Additional CME 1Pole</t>
  </si>
  <si>
    <t>Worse &gt;&gt; Jika  XL sesuai periodenyaBM, maka:</t>
  </si>
  <si>
    <t>Product :</t>
  </si>
  <si>
    <t>IBS / DAS</t>
  </si>
  <si>
    <t xml:space="preserve">Tanggal P&amp;L:  </t>
  </si>
  <si>
    <t>Status P&amp;L</t>
  </si>
  <si>
    <t>New</t>
  </si>
  <si>
    <t>Site Information</t>
  </si>
  <si>
    <t xml:space="preserve">Technical Information </t>
  </si>
  <si>
    <t>Financial Summary</t>
  </si>
  <si>
    <t>Site Name</t>
  </si>
  <si>
    <t>Capex DAS</t>
  </si>
  <si>
    <t>Address</t>
  </si>
  <si>
    <t>Antena PKS BM</t>
  </si>
  <si>
    <t>Capex /antenna</t>
  </si>
  <si>
    <t>Antena Asset</t>
  </si>
  <si>
    <t>Contract Period (thn)</t>
  </si>
  <si>
    <t>Area building</t>
  </si>
  <si>
    <t>Interest rate /year</t>
  </si>
  <si>
    <t>Type of building</t>
  </si>
  <si>
    <t>OPENET</t>
  </si>
  <si>
    <t>Total Revenue</t>
  </si>
  <si>
    <t>Cable FO (Core)</t>
  </si>
  <si>
    <t>Total Capex BV</t>
  </si>
  <si>
    <t>Total floor</t>
  </si>
  <si>
    <t>Cable FO (meter)</t>
  </si>
  <si>
    <t>Total Opex Sewa</t>
  </si>
  <si>
    <t>No of building tower</t>
  </si>
  <si>
    <t>Drop Wire (meter)</t>
  </si>
  <si>
    <t>Total Opex Other</t>
  </si>
  <si>
    <t>Sitac Tahun</t>
  </si>
  <si>
    <t>OTHERS</t>
  </si>
  <si>
    <t>EBITDA margin</t>
  </si>
  <si>
    <t xml:space="preserve"> </t>
  </si>
  <si>
    <t>Payback (year)</t>
  </si>
  <si>
    <t>Target Achieved by Commercial:</t>
  </si>
  <si>
    <t>Prepared by</t>
  </si>
  <si>
    <t>Revenue</t>
  </si>
  <si>
    <t>Citra Kartika</t>
  </si>
  <si>
    <t>Approved  by</t>
  </si>
  <si>
    <t>No,</t>
  </si>
  <si>
    <t>General</t>
  </si>
  <si>
    <t>Operator join</t>
  </si>
  <si>
    <t>Rev.Change</t>
  </si>
  <si>
    <t>Tax Rate</t>
  </si>
  <si>
    <t>Interest Rate</t>
  </si>
  <si>
    <t>from Revenues</t>
  </si>
  <si>
    <t>-</t>
  </si>
  <si>
    <t>BHPUSO</t>
  </si>
  <si>
    <t>Y3</t>
  </si>
  <si>
    <t>Y4</t>
  </si>
  <si>
    <t>Y5</t>
  </si>
  <si>
    <t>Y6</t>
  </si>
  <si>
    <t>Y7</t>
  </si>
  <si>
    <t>Y8</t>
  </si>
  <si>
    <t>Y9</t>
  </si>
  <si>
    <t>Y10</t>
  </si>
  <si>
    <t>Total CAPEX</t>
  </si>
  <si>
    <t>IRR Calculation</t>
  </si>
  <si>
    <t>Year 0</t>
  </si>
  <si>
    <t>Year 1</t>
  </si>
  <si>
    <t>Year 2</t>
  </si>
  <si>
    <t>Year 3</t>
  </si>
  <si>
    <t>Year 4</t>
  </si>
  <si>
    <t>Year 5</t>
  </si>
  <si>
    <t>Year 6</t>
  </si>
  <si>
    <t>Year 7</t>
  </si>
  <si>
    <t>Year 8</t>
  </si>
  <si>
    <t>Year 9</t>
  </si>
  <si>
    <t>Year 10</t>
  </si>
  <si>
    <t>Total</t>
  </si>
  <si>
    <t>Months of Service</t>
  </si>
  <si>
    <t>Revenues</t>
  </si>
  <si>
    <t>Total Revenues (SF)</t>
  </si>
  <si>
    <t>Lease to BM</t>
  </si>
  <si>
    <t>Electricity</t>
  </si>
  <si>
    <t>Maintenance</t>
  </si>
  <si>
    <t>Total OPEX</t>
  </si>
  <si>
    <t>Total EBITDA</t>
  </si>
  <si>
    <t>Ebitda margin</t>
  </si>
  <si>
    <t>Depreciation Expense</t>
  </si>
  <si>
    <t>Total EBIT</t>
  </si>
  <si>
    <t>Interest Expense</t>
  </si>
  <si>
    <t>EBT</t>
  </si>
  <si>
    <t>Tax Expense</t>
  </si>
  <si>
    <t>Net Income</t>
  </si>
  <si>
    <t>Capex</t>
  </si>
  <si>
    <t>FCFF</t>
  </si>
  <si>
    <t>Accumulated FCF</t>
  </si>
  <si>
    <t>PBP</t>
  </si>
  <si>
    <t>Payback</t>
  </si>
  <si>
    <t>Depreciation Calculation</t>
  </si>
  <si>
    <t>no of Year depreciated</t>
  </si>
  <si>
    <t>Total Depreciation</t>
  </si>
  <si>
    <t>BWOJ MALANG</t>
  </si>
  <si>
    <t>0020/IRR/IBC/VII/2024</t>
  </si>
  <si>
    <t>HOTEL BWOJ Malang</t>
  </si>
  <si>
    <t>HOTEL</t>
  </si>
  <si>
    <t>17 November 2020 s/d 30 May 2024 (3th 6bl 14h)</t>
  </si>
  <si>
    <t>Rp.40.000.000/ th or 141.479.452 semasa sewa</t>
  </si>
  <si>
    <t>XL (31 Mei 2024 s/d 30 Mei 2027)</t>
  </si>
  <si>
    <t>Rp. 30.000.000/ Tahun (for XL only)</t>
  </si>
  <si>
    <t xml:space="preserve">Mengalami Penurunan Harga Sebesar 25% </t>
  </si>
  <si>
    <t>31May2024 s/d 30May 2025 (1 tahun)</t>
  </si>
  <si>
    <t>IRR Diasumsikan 5thn dengan nilai XL dan sewa gedung tdk berubah</t>
  </si>
  <si>
    <t>IRR Negatif Karena nilai BV yg  masih besar diasumsikan sbg investasi</t>
  </si>
  <si>
    <t>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</si>
</sst>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0_-;\-* #,##0_-;_-* &quot;-&quot;_-;_-@_-"/>
    <numFmt numFmtId="43" formatCode="_-* #,##0.00_-;\-* #,##0.00_-;_-* &quot;-&quot;??_-;_-@_-"/>
    <numFmt numFmtId="164" formatCode="_(&quot;Rp&quot;* #,##0_);_(&quot;Rp&quot;* \(#,##0\);_(&quot;Rp&quot;* &quot;-&quot;_);_(@_)"/>
    <numFmt numFmtId="165" formatCode="_(* #,##0_);_(* \(#,##0\);_(* &quot;-&quot;_);_(@_)"/>
    <numFmt numFmtId="166" formatCode="_(* #,##0.00_);_(* \(#,##0.00\);_(* &quot;-&quot;??_);_(@_)"/>
    <numFmt numFmtId="167" formatCode="0.0%"/>
    <numFmt numFmtId="168" formatCode="#,##0,,"/>
    <numFmt numFmtId="169" formatCode="\(#,##0,,\)"/>
    <numFmt numFmtId="170" formatCode="_(* #,##0_);_(* \(#,##0\);_(* &quot;-&quot;??_);_(@_)"/>
    <numFmt numFmtId="171" formatCode="#,##0,,_);\(#,##0,,\)"/>
    <numFmt numFmtId="172" formatCode="[$-409]d\-mmm\-yy;@"/>
    <numFmt numFmtId="173" formatCode="_(* #,##0.0_);_(* \(#,##0.0\);_(* &quot;-&quot;??_);_(@_)"/>
    <numFmt numFmtId="174" formatCode="[$-C09]dd\-mmm\-yy;@"/>
    <numFmt numFmtId="175" formatCode="#,###&quot;/thn&quot;"/>
    <numFmt numFmtId="176" formatCode="#,###&quot;/pole&quot;"/>
    <numFmt numFmtId="177" formatCode="_-* #,##0.0_-;\-* #,##0.0_-;_-* &quot;-&quot;_-;_-@_-"/>
  </numFmts>
  <fonts count="63" x14ac:knownFonts="1">
    <font>
      <sz val="11"/>
      <color theme="1"/>
      <name val="Calibri"/>
      <family val="2"/>
      <scheme val="minor"/>
    </font>
    <font>
      <sz val="11"/>
      <color theme="1"/>
      <name val="Calibri"/>
      <family val="2"/>
      <scheme val="minor"/>
    </font>
    <font>
      <sz val="11"/>
      <color theme="0"/>
      <name val="Calibri"/>
      <family val="2"/>
      <scheme val="minor"/>
    </font>
    <font>
      <b/>
      <sz val="11"/>
      <color rgb="FF0070C0"/>
      <name val="Segoe UI"/>
      <family val="2"/>
    </font>
    <font>
      <sz val="8"/>
      <color theme="1"/>
      <name val="Segoe UI"/>
      <family val="2"/>
    </font>
    <font>
      <b/>
      <sz val="8"/>
      <color theme="1"/>
      <name val="Segoe UI"/>
      <family val="2"/>
    </font>
    <font>
      <sz val="9"/>
      <color theme="1"/>
      <name val="Segoe UI"/>
      <family val="2"/>
    </font>
    <font>
      <sz val="11"/>
      <color theme="1"/>
      <name val="Segoe UI"/>
      <family val="2"/>
    </font>
    <font>
      <b/>
      <sz val="9"/>
      <color rgb="FF0070C0"/>
      <name val="Segoe UI"/>
      <family val="2"/>
    </font>
    <font>
      <sz val="9"/>
      <name val="Segoe UI"/>
      <family val="2"/>
    </font>
    <font>
      <sz val="8"/>
      <name val="Segoe UI"/>
      <family val="2"/>
    </font>
    <font>
      <sz val="8"/>
      <color rgb="FFFF0000"/>
      <name val="Segoe UI"/>
      <family val="2"/>
    </font>
    <font>
      <u/>
      <sz val="8"/>
      <color theme="1"/>
      <name val="Calibri"/>
      <family val="2"/>
      <scheme val="minor"/>
    </font>
    <font>
      <sz val="8"/>
      <color theme="1"/>
      <name val="Calibri"/>
      <family val="2"/>
      <scheme val="minor"/>
    </font>
    <font>
      <b/>
      <sz val="11"/>
      <color theme="1"/>
      <name val="Calibri"/>
      <family val="2"/>
      <scheme val="minor"/>
    </font>
    <font>
      <sz val="11"/>
      <name val="Calibri"/>
      <family val="2"/>
      <scheme val="minor"/>
    </font>
    <font>
      <sz val="9"/>
      <name val="Calibri"/>
      <family val="2"/>
      <scheme val="minor"/>
    </font>
    <font>
      <sz val="8"/>
      <color theme="0"/>
      <name val="Segoe UI"/>
      <family val="2"/>
    </font>
    <font>
      <b/>
      <sz val="12"/>
      <color theme="1"/>
      <name val="Calibri"/>
      <family val="2"/>
      <scheme val="minor"/>
    </font>
    <font>
      <sz val="11"/>
      <color theme="1"/>
      <name val="Tahoma"/>
      <family val="2"/>
    </font>
    <font>
      <b/>
      <sz val="11"/>
      <color theme="1"/>
      <name val="Tahoma"/>
      <family val="2"/>
    </font>
    <font>
      <b/>
      <sz val="16"/>
      <color theme="1"/>
      <name val="Tahoma"/>
      <family val="2"/>
    </font>
    <font>
      <i/>
      <sz val="11"/>
      <color theme="1"/>
      <name val="Tahoma"/>
      <family val="2"/>
    </font>
    <font>
      <b/>
      <u/>
      <sz val="11"/>
      <color theme="1"/>
      <name val="Tahoma"/>
      <family val="2"/>
    </font>
    <font>
      <sz val="11"/>
      <color theme="0"/>
      <name val="Tahoma"/>
      <family val="2"/>
    </font>
    <font>
      <b/>
      <sz val="11"/>
      <color theme="0"/>
      <name val="Tahoma"/>
      <family val="2"/>
    </font>
    <font>
      <b/>
      <sz val="26"/>
      <color theme="1"/>
      <name val="Tahoma"/>
      <family val="2"/>
    </font>
    <font>
      <b/>
      <sz val="28"/>
      <color theme="1"/>
      <name val="Tahoma"/>
      <family val="2"/>
    </font>
    <font>
      <b/>
      <sz val="18"/>
      <color theme="1"/>
      <name val="Tahoma"/>
      <family val="2"/>
    </font>
    <font>
      <sz val="11"/>
      <color theme="1"/>
      <name val="Calibri"/>
      <family val="2"/>
      <charset val="1"/>
      <scheme val="minor"/>
    </font>
    <font>
      <b/>
      <sz val="20"/>
      <color theme="1"/>
      <name val="Calibri"/>
      <family val="2"/>
      <scheme val="minor"/>
    </font>
    <font>
      <b/>
      <sz val="12"/>
      <color theme="1"/>
      <name val="Tahoma"/>
      <family val="2"/>
    </font>
    <font>
      <sz val="10"/>
      <color theme="0"/>
      <name val="Arial"/>
      <family val="2"/>
    </font>
    <font>
      <sz val="12"/>
      <name val="Segoe UI"/>
      <family val="2"/>
    </font>
    <font>
      <sz val="12"/>
      <color theme="0"/>
      <name val="Segoe UI"/>
      <family val="2"/>
    </font>
    <font>
      <sz val="11"/>
      <color rgb="FFFF0000"/>
      <name val="Tahoma"/>
      <family val="2"/>
    </font>
    <font>
      <sz val="10"/>
      <color theme="1"/>
      <name val="Tahoma"/>
      <family val="2"/>
    </font>
    <font>
      <sz val="10"/>
      <name val="Tahoma"/>
      <family val="2"/>
    </font>
    <font>
      <sz val="9"/>
      <color indexed="81"/>
      <name val="Tahoma"/>
      <family val="2"/>
    </font>
    <font>
      <b/>
      <sz val="9"/>
      <color indexed="81"/>
      <name val="Tahoma"/>
      <family val="2"/>
    </font>
    <font>
      <sz val="10"/>
      <name val="Arial"/>
      <family val="2"/>
    </font>
    <font>
      <sz val="10"/>
      <color rgb="FFFF0000"/>
      <name val="Tahoma"/>
      <family val="2"/>
    </font>
    <font>
      <b/>
      <sz val="16"/>
      <color theme="1"/>
      <name val="Calibri"/>
      <family val="2"/>
      <charset val="1"/>
      <scheme val="minor"/>
    </font>
    <font>
      <b/>
      <sz val="11"/>
      <color theme="1"/>
      <name val="Calibri"/>
      <family val="2"/>
      <charset val="1"/>
      <scheme val="minor"/>
    </font>
    <font>
      <b/>
      <i/>
      <sz val="11"/>
      <color theme="1"/>
      <name val="Calibri"/>
      <family val="2"/>
      <scheme val="minor"/>
    </font>
    <font>
      <b/>
      <i/>
      <sz val="14"/>
      <color theme="1"/>
      <name val="Calibri"/>
      <family val="2"/>
      <scheme val="minor"/>
    </font>
    <font>
      <sz val="12"/>
      <color theme="1"/>
      <name val="Calibri"/>
      <family val="2"/>
      <scheme val="minor"/>
    </font>
    <font>
      <b/>
      <sz val="18"/>
      <color theme="1"/>
      <name val="Calibri"/>
      <family val="2"/>
      <scheme val="minor"/>
    </font>
    <font>
      <b/>
      <sz val="14"/>
      <color theme="1"/>
      <name val="Calibri"/>
      <family val="2"/>
      <scheme val="minor"/>
    </font>
    <font>
      <sz val="14"/>
      <color theme="1"/>
      <name val="Calibri"/>
      <family val="2"/>
      <scheme val="minor"/>
    </font>
    <font>
      <u/>
      <sz val="12"/>
      <color theme="1"/>
      <name val="Calibri"/>
      <family val="2"/>
      <scheme val="minor"/>
    </font>
    <font>
      <sz val="12"/>
      <color rgb="FF3366FF"/>
      <name val="Calibri"/>
      <family val="2"/>
      <scheme val="minor"/>
    </font>
    <font>
      <b/>
      <sz val="12"/>
      <color rgb="FF3366FF"/>
      <name val="Calibri"/>
      <family val="2"/>
      <scheme val="minor"/>
    </font>
    <font>
      <b/>
      <sz val="12"/>
      <name val="Calibri"/>
      <family val="2"/>
      <scheme val="minor"/>
    </font>
    <font>
      <sz val="12"/>
      <name val="Calibri"/>
      <family val="2"/>
      <scheme val="minor"/>
    </font>
    <font>
      <i/>
      <sz val="8"/>
      <color rgb="FF0070C0"/>
      <name val="Calibri"/>
      <family val="2"/>
      <scheme val="minor"/>
    </font>
    <font>
      <i/>
      <sz val="8"/>
      <name val="Calibri"/>
      <family val="2"/>
      <scheme val="minor"/>
    </font>
    <font>
      <b/>
      <i/>
      <sz val="10"/>
      <color rgb="FF0070C0"/>
      <name val="Calibri"/>
      <family val="2"/>
      <scheme val="minor"/>
    </font>
    <font>
      <sz val="12"/>
      <color rgb="FFFF0000"/>
      <name val="Calibri"/>
      <family val="2"/>
      <scheme val="minor"/>
    </font>
    <font>
      <b/>
      <i/>
      <sz val="10"/>
      <color theme="1"/>
      <name val="Calibri"/>
      <family val="2"/>
      <scheme val="minor"/>
    </font>
    <font>
      <sz val="9"/>
      <color theme="1"/>
      <name val="Calibri"/>
      <family val="2"/>
      <scheme val="minor"/>
    </font>
    <font>
      <b/>
      <u/>
      <sz val="12"/>
      <color theme="1"/>
      <name val="Calibri"/>
      <family val="2"/>
      <scheme val="minor"/>
    </font>
    <font>
      <b/>
      <sz val="12"/>
      <color rgb="FFFF0000"/>
      <name val="Calibri"/>
      <family val="2"/>
      <scheme val="minor"/>
    </font>
  </fonts>
  <fills count="18">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7" tint="0.59999389629810485"/>
        <bgColor indexed="64"/>
      </patternFill>
    </fill>
    <fill>
      <patternFill patternType="solid">
        <fgColor rgb="FF92D050"/>
        <bgColor indexed="64"/>
      </patternFill>
    </fill>
    <fill>
      <patternFill patternType="solid">
        <fgColor theme="3" tint="0.59999389629810485"/>
        <bgColor indexed="64"/>
      </patternFill>
    </fill>
    <fill>
      <patternFill patternType="solid">
        <fgColor rgb="FF00B0F0"/>
        <bgColor indexed="64"/>
      </patternFill>
    </fill>
    <fill>
      <patternFill patternType="solid">
        <fgColor theme="4" tint="0.39997558519241921"/>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7" tint="0.79998168889431442"/>
        <bgColor indexed="64"/>
      </patternFill>
    </fill>
  </fills>
  <borders count="75">
    <border>
      <left/>
      <right/>
      <top/>
      <bottom/>
      <diagonal/>
    </border>
    <border>
      <left/>
      <right style="medium">
        <color theme="0"/>
      </right>
      <top/>
      <bottom style="medium">
        <color theme="0"/>
      </bottom>
      <diagonal/>
    </border>
    <border>
      <left style="medium">
        <color theme="0"/>
      </left>
      <right style="medium">
        <color theme="0"/>
      </right>
      <top/>
      <bottom style="medium">
        <color theme="0"/>
      </bottom>
      <diagonal/>
    </border>
    <border>
      <left style="medium">
        <color theme="0"/>
      </left>
      <right/>
      <top/>
      <bottom style="medium">
        <color theme="0"/>
      </bottom>
      <diagonal/>
    </border>
    <border>
      <left/>
      <right/>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diagonal/>
    </border>
    <border>
      <left style="medium">
        <color theme="0"/>
      </left>
      <right style="medium">
        <color theme="0"/>
      </right>
      <top style="medium">
        <color theme="0"/>
      </top>
      <bottom/>
      <diagonal/>
    </border>
    <border>
      <left/>
      <right/>
      <top style="medium">
        <color theme="0"/>
      </top>
      <bottom/>
      <diagonal/>
    </border>
    <border>
      <left style="medium">
        <color theme="0"/>
      </left>
      <right/>
      <top style="medium">
        <color theme="0"/>
      </top>
      <bottom/>
      <diagonal/>
    </border>
    <border>
      <left/>
      <right/>
      <top/>
      <bottom style="double">
        <color theme="8" tint="-0.249977111117893"/>
      </bottom>
      <diagonal/>
    </border>
    <border>
      <left style="double">
        <color theme="8" tint="-0.249977111117893"/>
      </left>
      <right/>
      <top style="double">
        <color theme="8" tint="-0.249977111117893"/>
      </top>
      <bottom/>
      <diagonal/>
    </border>
    <border>
      <left/>
      <right style="double">
        <color theme="8" tint="-0.249977111117893"/>
      </right>
      <top style="double">
        <color theme="8" tint="-0.249977111117893"/>
      </top>
      <bottom/>
      <diagonal/>
    </border>
    <border>
      <left style="double">
        <color theme="8" tint="-0.249977111117893"/>
      </left>
      <right/>
      <top/>
      <bottom/>
      <diagonal/>
    </border>
    <border>
      <left/>
      <right style="double">
        <color theme="8" tint="-0.249977111117893"/>
      </right>
      <top/>
      <bottom/>
      <diagonal/>
    </border>
    <border>
      <left style="double">
        <color theme="8" tint="-0.249977111117893"/>
      </left>
      <right/>
      <top style="double">
        <color theme="8" tint="-0.249977111117893"/>
      </top>
      <bottom style="double">
        <color theme="8" tint="-0.249977111117893"/>
      </bottom>
      <diagonal/>
    </border>
    <border>
      <left/>
      <right style="double">
        <color theme="8" tint="-0.249977111117893"/>
      </right>
      <top style="double">
        <color theme="8" tint="-0.249977111117893"/>
      </top>
      <bottom style="double">
        <color theme="8" tint="-0.249977111117893"/>
      </bottom>
      <diagonal/>
    </border>
    <border>
      <left/>
      <right/>
      <top style="double">
        <color theme="8" tint="-0.249977111117893"/>
      </top>
      <bottom style="double">
        <color theme="8" tint="-0.249977111117893"/>
      </bottom>
      <diagonal/>
    </border>
    <border>
      <left/>
      <right style="medium">
        <color theme="0"/>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dotted">
        <color auto="1"/>
      </top>
      <bottom style="dott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style="medium">
        <color indexed="64"/>
      </left>
      <right style="medium">
        <color auto="1"/>
      </right>
      <top style="dotted">
        <color indexed="64"/>
      </top>
      <bottom style="medium">
        <color auto="1"/>
      </bottom>
      <diagonal/>
    </border>
    <border>
      <left style="medium">
        <color indexed="64"/>
      </left>
      <right style="medium">
        <color indexed="64"/>
      </right>
      <top style="medium">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medium">
        <color indexed="64"/>
      </right>
      <top style="thin">
        <color indexed="64"/>
      </top>
      <bottom style="double">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auto="1"/>
      </left>
      <right style="medium">
        <color auto="1"/>
      </right>
      <top style="dotted">
        <color auto="1"/>
      </top>
      <bottom/>
      <diagonal/>
    </border>
    <border>
      <left/>
      <right/>
      <top style="medium">
        <color auto="1"/>
      </top>
      <bottom style="double">
        <color indexed="64"/>
      </bottom>
      <diagonal/>
    </border>
    <border>
      <left style="medium">
        <color auto="1"/>
      </left>
      <right style="medium">
        <color auto="1"/>
      </right>
      <top style="thin">
        <color indexed="64"/>
      </top>
      <bottom style="thin">
        <color indexed="64"/>
      </bottom>
      <diagonal/>
    </border>
    <border>
      <left/>
      <right/>
      <top style="thin">
        <color indexed="64"/>
      </top>
      <bottom style="double">
        <color indexed="64"/>
      </bottom>
      <diagonal/>
    </border>
    <border>
      <left/>
      <right/>
      <top style="double">
        <color indexed="64"/>
      </top>
      <bottom style="medium">
        <color indexed="64"/>
      </bottom>
      <diagonal/>
    </border>
    <border>
      <left style="thin">
        <color theme="0"/>
      </left>
      <right style="thin">
        <color theme="0"/>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style="thin">
        <color theme="0"/>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auto="1"/>
      </top>
      <bottom style="medium">
        <color auto="1"/>
      </bottom>
      <diagonal/>
    </border>
  </borders>
  <cellStyleXfs count="21">
    <xf numFmtId="0" fontId="0" fillId="0" borderId="0"/>
    <xf numFmtId="166" fontId="1" fillId="0" borderId="0" applyFont="0" applyFill="0" applyBorder="0" applyAlignment="0" applyProtection="0"/>
    <xf numFmtId="9" fontId="1" fillId="0" borderId="0" applyFont="0" applyFill="0" applyBorder="0" applyAlignment="0" applyProtection="0"/>
    <xf numFmtId="0" fontId="29" fillId="0" borderId="0"/>
    <xf numFmtId="165" fontId="29" fillId="0" borderId="0" applyFont="0" applyFill="0" applyBorder="0" applyAlignment="0" applyProtection="0"/>
    <xf numFmtId="165" fontId="1" fillId="0" borderId="0" applyFont="0" applyFill="0" applyBorder="0" applyAlignment="0" applyProtection="0"/>
    <xf numFmtId="166" fontId="40" fillId="0" borderId="0" applyFont="0" applyFill="0" applyBorder="0" applyAlignment="0" applyProtection="0"/>
    <xf numFmtId="9" fontId="40" fillId="0" borderId="0" applyFont="0" applyFill="0" applyBorder="0" applyAlignment="0" applyProtection="0"/>
    <xf numFmtId="0" fontId="29" fillId="0" borderId="0"/>
    <xf numFmtId="0" fontId="29" fillId="0" borderId="0"/>
    <xf numFmtId="164" fontId="29" fillId="0" borderId="0" applyFont="0" applyFill="0" applyBorder="0" applyAlignment="0" applyProtection="0"/>
    <xf numFmtId="41" fontId="1" fillId="0" borderId="0" applyFont="0" applyFill="0" applyBorder="0" applyAlignment="0" applyProtection="0"/>
    <xf numFmtId="0" fontId="29" fillId="0" borderId="0"/>
    <xf numFmtId="0" fontId="29" fillId="0" borderId="0"/>
    <xf numFmtId="41" fontId="1" fillId="0" borderId="0" applyFont="0" applyFill="0" applyBorder="0" applyAlignment="0" applyProtection="0"/>
    <xf numFmtId="165" fontId="1" fillId="0" borderId="0" applyFont="0" applyFill="0" applyBorder="0" applyAlignment="0" applyProtection="0"/>
    <xf numFmtId="41" fontId="46" fillId="0" borderId="0" applyFont="0" applyFill="0" applyBorder="0" applyAlignment="0" applyProtection="0"/>
    <xf numFmtId="0" fontId="46" fillId="0" borderId="0"/>
    <xf numFmtId="166" fontId="1" fillId="0" borderId="0" applyFont="0" applyFill="0" applyBorder="0" applyAlignment="0" applyProtection="0"/>
    <xf numFmtId="0" fontId="46" fillId="0" borderId="0"/>
    <xf numFmtId="9" fontId="46" fillId="0" borderId="0" applyFont="0" applyFill="0" applyBorder="0" applyAlignment="0" applyProtection="0"/>
  </cellStyleXfs>
  <cellXfs count="654">
    <xf numFmtId="0" fontId="0" fillId="0" borderId="0" xfId="0"/>
    <xf numFmtId="0" fontId="2" fillId="0" borderId="0" xfId="0" applyFont="1" applyAlignment="1">
      <alignment horizontal="center" vertical="center"/>
    </xf>
    <xf numFmtId="3" fontId="3" fillId="0" borderId="0" xfId="0" applyNumberFormat="1" applyFont="1" applyAlignment="1">
      <alignment vertical="center"/>
    </xf>
    <xf numFmtId="3" fontId="4" fillId="0" borderId="0" xfId="0" applyNumberFormat="1" applyFont="1" applyAlignment="1">
      <alignment horizontal="center" vertical="center"/>
    </xf>
    <xf numFmtId="3" fontId="5" fillId="0" borderId="0" xfId="0" applyNumberFormat="1" applyFont="1" applyAlignment="1">
      <alignment vertical="center"/>
    </xf>
    <xf numFmtId="3" fontId="6" fillId="0" borderId="0" xfId="0" applyNumberFormat="1" applyFont="1" applyAlignment="1">
      <alignment horizontal="center" vertical="center"/>
    </xf>
    <xf numFmtId="3" fontId="7" fillId="0" borderId="0" xfId="0" applyNumberFormat="1" applyFont="1" applyAlignment="1">
      <alignment horizontal="center" vertical="center"/>
    </xf>
    <xf numFmtId="3" fontId="5" fillId="0" borderId="0" xfId="0" applyNumberFormat="1" applyFont="1" applyAlignment="1">
      <alignment horizontal="left" vertical="center"/>
    </xf>
    <xf numFmtId="3" fontId="4" fillId="0" borderId="3" xfId="0" applyNumberFormat="1" applyFont="1" applyFill="1" applyBorder="1" applyAlignment="1">
      <alignment vertical="center"/>
    </xf>
    <xf numFmtId="3" fontId="4" fillId="0" borderId="7" xfId="0" applyNumberFormat="1" applyFont="1" applyFill="1" applyBorder="1" applyAlignment="1">
      <alignment vertical="center"/>
    </xf>
    <xf numFmtId="3" fontId="8" fillId="0" borderId="0" xfId="0" applyNumberFormat="1" applyFont="1" applyAlignment="1">
      <alignment horizontal="left" vertical="center"/>
    </xf>
    <xf numFmtId="3" fontId="4" fillId="0" borderId="0" xfId="0" applyNumberFormat="1" applyFont="1" applyAlignment="1">
      <alignment horizontal="left" vertical="center"/>
    </xf>
    <xf numFmtId="3" fontId="4" fillId="0" borderId="0" xfId="0" applyNumberFormat="1" applyFont="1" applyFill="1" applyBorder="1" applyAlignment="1">
      <alignment horizontal="center" vertical="center"/>
    </xf>
    <xf numFmtId="9" fontId="4" fillId="0" borderId="0" xfId="2" applyFont="1" applyFill="1" applyBorder="1" applyAlignment="1">
      <alignment horizontal="center" vertical="center"/>
    </xf>
    <xf numFmtId="1" fontId="4" fillId="3" borderId="6" xfId="0" applyNumberFormat="1" applyFont="1" applyFill="1" applyBorder="1" applyAlignment="1">
      <alignment horizontal="center" vertical="center"/>
    </xf>
    <xf numFmtId="9" fontId="4" fillId="3" borderId="7" xfId="2" applyFont="1" applyFill="1" applyBorder="1" applyAlignment="1">
      <alignment vertical="center"/>
    </xf>
    <xf numFmtId="9" fontId="4" fillId="3" borderId="5" xfId="2" applyFont="1" applyFill="1" applyBorder="1" applyAlignment="1">
      <alignment vertical="center"/>
    </xf>
    <xf numFmtId="168" fontId="4" fillId="3" borderId="7" xfId="0" applyNumberFormat="1" applyFont="1" applyFill="1" applyBorder="1" applyAlignment="1">
      <alignment vertical="center"/>
    </xf>
    <xf numFmtId="168" fontId="4" fillId="3" borderId="8" xfId="0" applyNumberFormat="1" applyFont="1" applyFill="1" applyBorder="1" applyAlignment="1">
      <alignment vertical="center"/>
    </xf>
    <xf numFmtId="168" fontId="4" fillId="3" borderId="6" xfId="0" applyNumberFormat="1" applyFont="1" applyFill="1" applyBorder="1" applyAlignment="1">
      <alignment horizontal="center" vertical="center"/>
    </xf>
    <xf numFmtId="168" fontId="9" fillId="2" borderId="1" xfId="0" applyNumberFormat="1" applyFont="1" applyFill="1" applyBorder="1" applyAlignment="1">
      <alignment horizontal="center" vertical="center"/>
    </xf>
    <xf numFmtId="168" fontId="4" fillId="0" borderId="0" xfId="0" applyNumberFormat="1" applyFont="1" applyAlignment="1">
      <alignment horizontal="center" vertical="center"/>
    </xf>
    <xf numFmtId="169" fontId="11" fillId="3" borderId="6" xfId="0" applyNumberFormat="1" applyFont="1" applyFill="1" applyBorder="1" applyAlignment="1">
      <alignment horizontal="center" vertical="center"/>
    </xf>
    <xf numFmtId="169" fontId="11" fillId="3" borderId="7" xfId="0" applyNumberFormat="1" applyFont="1" applyFill="1" applyBorder="1" applyAlignment="1">
      <alignment horizontal="center" vertical="center"/>
    </xf>
    <xf numFmtId="169" fontId="9" fillId="2" borderId="1" xfId="0" applyNumberFormat="1" applyFont="1" applyFill="1" applyBorder="1" applyAlignment="1">
      <alignment horizontal="center" vertical="center"/>
    </xf>
    <xf numFmtId="169" fontId="9" fillId="2" borderId="4" xfId="0" applyNumberFormat="1" applyFont="1" applyFill="1" applyBorder="1" applyAlignment="1">
      <alignment horizontal="center" vertical="center"/>
    </xf>
    <xf numFmtId="169" fontId="11" fillId="3" borderId="1" xfId="0" applyNumberFormat="1" applyFont="1" applyFill="1" applyBorder="1" applyAlignment="1">
      <alignment horizontal="center" vertical="center"/>
    </xf>
    <xf numFmtId="168" fontId="9" fillId="2" borderId="4" xfId="0" applyNumberFormat="1" applyFont="1" applyFill="1" applyBorder="1" applyAlignment="1">
      <alignment horizontal="center" vertical="center"/>
    </xf>
    <xf numFmtId="0" fontId="12" fillId="0" borderId="13" xfId="0" applyFont="1" applyBorder="1" applyAlignment="1">
      <alignment vertical="center"/>
    </xf>
    <xf numFmtId="0" fontId="13" fillId="0" borderId="14" xfId="0" applyFont="1" applyBorder="1" applyAlignment="1">
      <alignment horizontal="center" vertical="center"/>
    </xf>
    <xf numFmtId="0" fontId="13" fillId="0" borderId="15" xfId="0" applyFont="1" applyBorder="1" applyAlignment="1">
      <alignment horizontal="center" vertical="center"/>
    </xf>
    <xf numFmtId="0" fontId="13" fillId="0" borderId="17" xfId="0" applyFont="1" applyBorder="1" applyAlignment="1">
      <alignment horizontal="center" vertical="center"/>
    </xf>
    <xf numFmtId="0" fontId="13" fillId="0" borderId="0" xfId="0" applyFont="1" applyAlignment="1">
      <alignment horizontal="center" vertical="center"/>
    </xf>
    <xf numFmtId="0" fontId="13" fillId="0" borderId="16" xfId="0" applyFont="1" applyBorder="1" applyAlignment="1">
      <alignment horizontal="center" vertical="center"/>
    </xf>
    <xf numFmtId="0" fontId="13" fillId="0" borderId="0" xfId="0" applyFont="1" applyBorder="1" applyAlignment="1">
      <alignment horizontal="center" vertical="center"/>
    </xf>
    <xf numFmtId="168" fontId="4" fillId="3" borderId="7" xfId="0" applyNumberFormat="1" applyFont="1" applyFill="1" applyBorder="1" applyAlignment="1">
      <alignment horizontal="center" vertical="center"/>
    </xf>
    <xf numFmtId="3" fontId="4" fillId="3" borderId="11" xfId="0" applyNumberFormat="1" applyFont="1" applyFill="1" applyBorder="1" applyAlignment="1">
      <alignment horizontal="left" vertical="center"/>
    </xf>
    <xf numFmtId="3" fontId="4" fillId="3" borderId="7" xfId="0" applyNumberFormat="1" applyFont="1" applyFill="1" applyBorder="1" applyAlignment="1">
      <alignment horizontal="left" vertical="center"/>
    </xf>
    <xf numFmtId="0" fontId="0" fillId="0" borderId="0" xfId="0" applyAlignment="1">
      <alignment horizontal="center" vertical="center"/>
    </xf>
    <xf numFmtId="3" fontId="4" fillId="3" borderId="5" xfId="0" applyNumberFormat="1" applyFont="1" applyFill="1" applyBorder="1" applyAlignment="1">
      <alignment horizontal="center" vertical="center"/>
    </xf>
    <xf numFmtId="3" fontId="4" fillId="3" borderId="8" xfId="0" applyNumberFormat="1" applyFont="1" applyFill="1" applyBorder="1" applyAlignment="1">
      <alignment horizontal="left" vertical="center"/>
    </xf>
    <xf numFmtId="3" fontId="4" fillId="3" borderId="8"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4" borderId="7" xfId="0" applyNumberFormat="1" applyFont="1" applyFill="1" applyBorder="1" applyAlignment="1">
      <alignment horizontal="center" vertical="center"/>
    </xf>
    <xf numFmtId="3" fontId="4" fillId="2" borderId="7" xfId="0" applyNumberFormat="1" applyFont="1" applyFill="1" applyBorder="1" applyAlignment="1">
      <alignment horizontal="center" vertical="center"/>
    </xf>
    <xf numFmtId="3" fontId="4" fillId="2" borderId="8" xfId="0" applyNumberFormat="1" applyFont="1" applyFill="1" applyBorder="1" applyAlignment="1">
      <alignment horizontal="center" vertical="center"/>
    </xf>
    <xf numFmtId="3" fontId="9" fillId="2" borderId="4"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3" fontId="9" fillId="2" borderId="3" xfId="0" applyNumberFormat="1" applyFont="1" applyFill="1" applyBorder="1" applyAlignment="1">
      <alignment horizontal="center" vertical="center"/>
    </xf>
    <xf numFmtId="168" fontId="4" fillId="3" borderId="7" xfId="0" applyNumberFormat="1" applyFont="1" applyFill="1" applyBorder="1" applyAlignment="1">
      <alignment horizontal="center" vertical="center"/>
    </xf>
    <xf numFmtId="0" fontId="15" fillId="0" borderId="0" xfId="0" applyFont="1" applyAlignment="1">
      <alignment horizontal="center" vertical="center"/>
    </xf>
    <xf numFmtId="168" fontId="4" fillId="4" borderId="6" xfId="0" applyNumberFormat="1" applyFont="1" applyFill="1" applyBorder="1" applyAlignment="1">
      <alignment horizontal="center" vertical="center"/>
    </xf>
    <xf numFmtId="0" fontId="14" fillId="0" borderId="0" xfId="0" applyFont="1"/>
    <xf numFmtId="9" fontId="0" fillId="0" borderId="0" xfId="0" applyNumberFormat="1"/>
    <xf numFmtId="0" fontId="0" fillId="0" borderId="0" xfId="0" applyAlignment="1">
      <alignment horizontal="left" vertical="center"/>
    </xf>
    <xf numFmtId="170" fontId="0" fillId="0" borderId="0" xfId="1" applyNumberFormat="1" applyFont="1" applyAlignment="1">
      <alignment horizontal="center" vertical="center"/>
    </xf>
    <xf numFmtId="170" fontId="0" fillId="0" borderId="0" xfId="0" applyNumberFormat="1" applyAlignment="1">
      <alignment horizontal="center" vertical="center"/>
    </xf>
    <xf numFmtId="166" fontId="0" fillId="0" borderId="0" xfId="0" applyNumberFormat="1" applyAlignment="1">
      <alignment horizontal="center" vertical="center"/>
    </xf>
    <xf numFmtId="3" fontId="4" fillId="4" borderId="7" xfId="0" applyNumberFormat="1" applyFont="1" applyFill="1" applyBorder="1" applyAlignment="1">
      <alignment vertical="center"/>
    </xf>
    <xf numFmtId="3" fontId="4" fillId="4" borderId="8" xfId="0" applyNumberFormat="1" applyFont="1" applyFill="1" applyBorder="1" applyAlignment="1">
      <alignment vertical="center"/>
    </xf>
    <xf numFmtId="0" fontId="12" fillId="0" borderId="13" xfId="0" applyFont="1" applyBorder="1" applyAlignment="1">
      <alignment horizontal="center" vertical="center"/>
    </xf>
    <xf numFmtId="0" fontId="13" fillId="0" borderId="16" xfId="0" applyFont="1" applyBorder="1" applyAlignment="1">
      <alignment horizontal="center" vertical="center"/>
    </xf>
    <xf numFmtId="3" fontId="4" fillId="3" borderId="11" xfId="0" applyNumberFormat="1" applyFont="1" applyFill="1" applyBorder="1" applyAlignment="1">
      <alignment horizontal="center" vertical="center"/>
    </xf>
    <xf numFmtId="3" fontId="4" fillId="3" borderId="9" xfId="0"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3" borderId="12" xfId="0" applyNumberFormat="1" applyFont="1" applyFill="1" applyBorder="1" applyAlignment="1">
      <alignment horizontal="center" vertical="center"/>
    </xf>
    <xf numFmtId="3" fontId="4" fillId="3" borderId="7" xfId="0" applyNumberFormat="1" applyFont="1" applyFill="1" applyBorder="1" applyAlignment="1">
      <alignment horizontal="left" vertical="center"/>
    </xf>
    <xf numFmtId="3" fontId="4" fillId="3" borderId="8" xfId="0" applyNumberFormat="1" applyFont="1" applyFill="1" applyBorder="1" applyAlignment="1">
      <alignment horizontal="left" vertical="center"/>
    </xf>
    <xf numFmtId="9" fontId="4" fillId="4" borderId="10" xfId="2" applyFont="1" applyFill="1" applyBorder="1" applyAlignment="1">
      <alignment horizontal="center" vertical="center"/>
    </xf>
    <xf numFmtId="0" fontId="0" fillId="5" borderId="0" xfId="0" applyFill="1" applyAlignment="1">
      <alignment horizontal="center" vertical="center"/>
    </xf>
    <xf numFmtId="3" fontId="4" fillId="4" borderId="5" xfId="0" applyNumberFormat="1" applyFont="1" applyFill="1" applyBorder="1" applyAlignment="1">
      <alignment horizontal="center" vertical="center"/>
    </xf>
    <xf numFmtId="1" fontId="4" fillId="4" borderId="6" xfId="0" applyNumberFormat="1" applyFont="1" applyFill="1" applyBorder="1" applyAlignment="1">
      <alignment horizontal="center" vertical="center"/>
    </xf>
    <xf numFmtId="3" fontId="8" fillId="5" borderId="0" xfId="0" applyNumberFormat="1" applyFont="1" applyFill="1" applyAlignment="1">
      <alignment horizontal="left" vertical="center"/>
    </xf>
    <xf numFmtId="1" fontId="15" fillId="5" borderId="7" xfId="0" applyNumberFormat="1" applyFont="1" applyFill="1" applyBorder="1" applyAlignment="1">
      <alignment horizontal="center" vertical="center"/>
    </xf>
    <xf numFmtId="0" fontId="16" fillId="2" borderId="6" xfId="0" applyFont="1" applyFill="1" applyBorder="1" applyAlignment="1">
      <alignment horizontal="center" vertical="center"/>
    </xf>
    <xf numFmtId="1" fontId="16" fillId="2" borderId="7" xfId="0" applyNumberFormat="1" applyFont="1" applyFill="1" applyBorder="1" applyAlignment="1">
      <alignment horizontal="center" vertical="center"/>
    </xf>
    <xf numFmtId="1" fontId="16" fillId="2" borderId="6" xfId="0" applyNumberFormat="1" applyFont="1" applyFill="1" applyBorder="1" applyAlignment="1">
      <alignment horizontal="center" vertical="center"/>
    </xf>
    <xf numFmtId="1" fontId="10" fillId="5" borderId="6" xfId="0" applyNumberFormat="1" applyFont="1" applyFill="1" applyBorder="1" applyAlignment="1">
      <alignment horizontal="center" vertical="center"/>
    </xf>
    <xf numFmtId="1" fontId="4" fillId="5" borderId="6" xfId="0" applyNumberFormat="1" applyFont="1" applyFill="1" applyBorder="1" applyAlignment="1">
      <alignment horizontal="center" vertical="center"/>
    </xf>
    <xf numFmtId="1" fontId="15" fillId="5" borderId="6" xfId="0" applyNumberFormat="1" applyFont="1" applyFill="1" applyBorder="1" applyAlignment="1">
      <alignment horizontal="center" vertical="center"/>
    </xf>
    <xf numFmtId="171" fontId="4" fillId="3" borderId="2" xfId="0" applyNumberFormat="1" applyFont="1" applyFill="1" applyBorder="1" applyAlignment="1">
      <alignment horizontal="center" vertical="center"/>
    </xf>
    <xf numFmtId="171" fontId="4" fillId="3" borderId="6" xfId="0" applyNumberFormat="1" applyFont="1" applyFill="1" applyBorder="1" applyAlignment="1">
      <alignment horizontal="center" vertical="center"/>
    </xf>
    <xf numFmtId="9" fontId="4" fillId="5" borderId="7" xfId="2" applyFont="1" applyFill="1" applyBorder="1" applyAlignment="1">
      <alignment vertical="center"/>
    </xf>
    <xf numFmtId="9" fontId="4" fillId="5" borderId="5" xfId="2" applyFont="1" applyFill="1" applyBorder="1" applyAlignment="1">
      <alignment vertical="center"/>
    </xf>
    <xf numFmtId="1" fontId="17" fillId="5" borderId="6" xfId="0" applyNumberFormat="1" applyFont="1" applyFill="1" applyBorder="1" applyAlignment="1">
      <alignment horizontal="center" vertical="center"/>
    </xf>
    <xf numFmtId="3" fontId="4" fillId="3" borderId="7" xfId="0" quotePrefix="1" applyNumberFormat="1" applyFont="1" applyFill="1" applyBorder="1" applyAlignment="1">
      <alignment horizontal="left" vertical="center" indent="1"/>
    </xf>
    <xf numFmtId="3" fontId="4" fillId="3" borderId="7" xfId="0" applyNumberFormat="1" applyFont="1" applyFill="1" applyBorder="1" applyAlignment="1">
      <alignment horizontal="left" vertical="center" indent="1"/>
    </xf>
    <xf numFmtId="9" fontId="4" fillId="4" borderId="7" xfId="2" applyFont="1" applyFill="1" applyBorder="1" applyAlignment="1">
      <alignment horizontal="center" vertical="center"/>
    </xf>
    <xf numFmtId="9" fontId="17" fillId="5" borderId="7" xfId="2" applyFont="1" applyFill="1" applyBorder="1" applyAlignment="1">
      <alignment vertical="center"/>
    </xf>
    <xf numFmtId="3" fontId="4" fillId="2" borderId="7" xfId="0" applyNumberFormat="1" applyFont="1" applyFill="1" applyBorder="1" applyAlignment="1">
      <alignment horizontal="center" vertical="center"/>
    </xf>
    <xf numFmtId="168" fontId="4" fillId="3" borderId="7" xfId="0" applyNumberFormat="1" applyFont="1" applyFill="1" applyBorder="1" applyAlignment="1">
      <alignment horizontal="center" vertical="center"/>
    </xf>
    <xf numFmtId="3" fontId="4" fillId="5" borderId="0" xfId="0" applyNumberFormat="1" applyFont="1" applyFill="1" applyBorder="1" applyAlignment="1">
      <alignment horizontal="center" vertical="center"/>
    </xf>
    <xf numFmtId="168" fontId="4" fillId="5" borderId="0" xfId="0" applyNumberFormat="1" applyFont="1" applyFill="1" applyBorder="1" applyAlignment="1">
      <alignment horizontal="center" vertical="center"/>
    </xf>
    <xf numFmtId="3" fontId="4" fillId="2" borderId="7" xfId="2" applyNumberFormat="1" applyFont="1" applyFill="1" applyBorder="1" applyAlignment="1">
      <alignment vertical="center"/>
    </xf>
    <xf numFmtId="3" fontId="17" fillId="5" borderId="7" xfId="2" applyNumberFormat="1" applyFont="1" applyFill="1" applyBorder="1" applyAlignment="1">
      <alignment vertical="center"/>
    </xf>
    <xf numFmtId="3" fontId="17" fillId="5" borderId="5" xfId="2" applyNumberFormat="1" applyFont="1" applyFill="1" applyBorder="1" applyAlignment="1">
      <alignment vertical="center"/>
    </xf>
    <xf numFmtId="0" fontId="13" fillId="0" borderId="0" xfId="0" applyFont="1" applyAlignment="1">
      <alignment horizontal="left" vertical="center"/>
    </xf>
    <xf numFmtId="3" fontId="4" fillId="5" borderId="7" xfId="2" applyNumberFormat="1" applyFont="1" applyFill="1" applyBorder="1" applyAlignment="1">
      <alignment horizontal="center" vertical="center"/>
    </xf>
    <xf numFmtId="3" fontId="4" fillId="5" borderId="5" xfId="2" applyNumberFormat="1" applyFont="1" applyFill="1" applyBorder="1" applyAlignment="1">
      <alignment horizontal="center" vertical="center"/>
    </xf>
    <xf numFmtId="3" fontId="4" fillId="5" borderId="7" xfId="0" applyNumberFormat="1" applyFont="1" applyFill="1" applyBorder="1" applyAlignment="1">
      <alignment horizontal="center" vertical="center"/>
    </xf>
    <xf numFmtId="168" fontId="4" fillId="5" borderId="7" xfId="0" applyNumberFormat="1" applyFont="1" applyFill="1" applyBorder="1" applyAlignment="1">
      <alignment horizontal="center" vertical="center"/>
    </xf>
    <xf numFmtId="3" fontId="4" fillId="5" borderId="8" xfId="0" applyNumberFormat="1" applyFont="1" applyFill="1" applyBorder="1" applyAlignment="1">
      <alignment horizontal="center" vertical="center"/>
    </xf>
    <xf numFmtId="0" fontId="12" fillId="0" borderId="0" xfId="0" applyFont="1" applyBorder="1" applyAlignment="1">
      <alignment horizontal="center" vertical="center"/>
    </xf>
    <xf numFmtId="168" fontId="11" fillId="0" borderId="0" xfId="0" applyNumberFormat="1" applyFont="1" applyAlignment="1">
      <alignment horizontal="center" vertical="center"/>
    </xf>
    <xf numFmtId="168" fontId="4" fillId="5" borderId="7" xfId="0" applyNumberFormat="1" applyFont="1" applyFill="1" applyBorder="1" applyAlignment="1">
      <alignment vertical="center"/>
    </xf>
    <xf numFmtId="168" fontId="4" fillId="5" borderId="8" xfId="0" applyNumberFormat="1" applyFont="1" applyFill="1" applyBorder="1" applyAlignment="1">
      <alignment vertical="center"/>
    </xf>
    <xf numFmtId="0" fontId="13" fillId="5" borderId="0" xfId="0" applyFont="1" applyFill="1" applyAlignment="1">
      <alignment horizontal="left" vertical="center"/>
    </xf>
    <xf numFmtId="3" fontId="4" fillId="5" borderId="7" xfId="2" applyNumberFormat="1" applyFont="1" applyFill="1" applyBorder="1" applyAlignment="1">
      <alignment vertical="center"/>
    </xf>
    <xf numFmtId="3" fontId="4" fillId="5" borderId="7" xfId="0" applyNumberFormat="1" applyFont="1" applyFill="1" applyBorder="1" applyAlignment="1">
      <alignment vertical="center"/>
    </xf>
    <xf numFmtId="9" fontId="4" fillId="5" borderId="7" xfId="2" applyFont="1" applyFill="1" applyBorder="1" applyAlignment="1">
      <alignment horizontal="center" vertical="center"/>
    </xf>
    <xf numFmtId="3" fontId="4" fillId="5" borderId="5" xfId="2" applyNumberFormat="1" applyFont="1" applyFill="1" applyBorder="1" applyAlignment="1">
      <alignment vertical="center"/>
    </xf>
    <xf numFmtId="1" fontId="4" fillId="4" borderId="7" xfId="2" applyNumberFormat="1" applyFont="1" applyFill="1" applyBorder="1" applyAlignment="1">
      <alignment vertical="center"/>
    </xf>
    <xf numFmtId="1" fontId="4" fillId="4" borderId="5" xfId="2" applyNumberFormat="1" applyFont="1" applyFill="1" applyBorder="1" applyAlignment="1">
      <alignment vertical="center"/>
    </xf>
    <xf numFmtId="3" fontId="4" fillId="4" borderId="12" xfId="0" applyNumberFormat="1" applyFont="1" applyFill="1" applyBorder="1" applyAlignment="1">
      <alignment vertical="center"/>
    </xf>
    <xf numFmtId="3" fontId="4" fillId="4" borderId="9" xfId="0" applyNumberFormat="1" applyFont="1" applyFill="1" applyBorder="1" applyAlignment="1">
      <alignment vertical="center"/>
    </xf>
    <xf numFmtId="1" fontId="9" fillId="2" borderId="6" xfId="0" applyNumberFormat="1" applyFont="1" applyFill="1" applyBorder="1" applyAlignment="1">
      <alignment horizontal="center" vertical="center"/>
    </xf>
    <xf numFmtId="0" fontId="13" fillId="0" borderId="16" xfId="0" applyFont="1" applyBorder="1" applyAlignment="1">
      <alignment horizontal="center" vertical="center"/>
    </xf>
    <xf numFmtId="1" fontId="9" fillId="2" borderId="6" xfId="0" applyNumberFormat="1" applyFont="1" applyFill="1" applyBorder="1" applyAlignment="1">
      <alignment vertical="center"/>
    </xf>
    <xf numFmtId="9" fontId="4" fillId="6" borderId="7" xfId="2" applyFont="1" applyFill="1" applyBorder="1" applyAlignment="1">
      <alignment horizontal="center" vertical="center"/>
    </xf>
    <xf numFmtId="0" fontId="0" fillId="7" borderId="0" xfId="0" applyFill="1"/>
    <xf numFmtId="0" fontId="18" fillId="0" borderId="0" xfId="0" applyFont="1"/>
    <xf numFmtId="0" fontId="19" fillId="0" borderId="0" xfId="0" applyFont="1"/>
    <xf numFmtId="0" fontId="19" fillId="0" borderId="27" xfId="0" applyFont="1" applyBorder="1"/>
    <xf numFmtId="0" fontId="19" fillId="0" borderId="28" xfId="0" applyFont="1" applyBorder="1"/>
    <xf numFmtId="0" fontId="19" fillId="0" borderId="29" xfId="0" applyFont="1" applyBorder="1"/>
    <xf numFmtId="0" fontId="19" fillId="0" borderId="0" xfId="0" applyFont="1" applyBorder="1"/>
    <xf numFmtId="0" fontId="19" fillId="0" borderId="30" xfId="0" applyFont="1" applyBorder="1"/>
    <xf numFmtId="0" fontId="19" fillId="0" borderId="0" xfId="0" applyFont="1" applyBorder="1" applyAlignment="1">
      <alignment horizontal="right"/>
    </xf>
    <xf numFmtId="0" fontId="19" fillId="0" borderId="0" xfId="0" quotePrefix="1" applyFont="1" applyBorder="1"/>
    <xf numFmtId="0" fontId="20" fillId="0" borderId="0" xfId="0" applyFont="1" applyBorder="1"/>
    <xf numFmtId="0" fontId="21" fillId="0" borderId="0" xfId="0" applyFont="1" applyBorder="1"/>
    <xf numFmtId="0" fontId="23" fillId="0" borderId="0" xfId="0" applyFont="1" applyBorder="1"/>
    <xf numFmtId="0" fontId="19" fillId="0" borderId="0" xfId="0" applyFont="1" applyBorder="1" applyAlignment="1">
      <alignment horizontal="center"/>
    </xf>
    <xf numFmtId="0" fontId="20" fillId="0" borderId="35" xfId="0" applyFont="1" applyBorder="1" applyAlignment="1">
      <alignment horizontal="center"/>
    </xf>
    <xf numFmtId="0" fontId="20" fillId="0" borderId="35" xfId="0" applyFont="1" applyBorder="1"/>
    <xf numFmtId="0" fontId="20" fillId="0" borderId="37" xfId="0" applyFont="1" applyBorder="1" applyAlignment="1">
      <alignment horizontal="center"/>
    </xf>
    <xf numFmtId="0" fontId="20" fillId="0" borderId="37" xfId="0" applyFont="1" applyBorder="1"/>
    <xf numFmtId="0" fontId="20" fillId="0" borderId="36" xfId="0" applyFont="1" applyBorder="1" applyAlignment="1">
      <alignment horizontal="center"/>
    </xf>
    <xf numFmtId="0" fontId="20" fillId="0" borderId="36" xfId="0" applyFont="1" applyBorder="1"/>
    <xf numFmtId="0" fontId="20" fillId="8" borderId="26" xfId="0" applyFont="1" applyFill="1" applyBorder="1" applyAlignment="1">
      <alignment horizontal="center"/>
    </xf>
    <xf numFmtId="167" fontId="19" fillId="0" borderId="0" xfId="2" applyNumberFormat="1" applyFont="1" applyFill="1" applyBorder="1"/>
    <xf numFmtId="170" fontId="19" fillId="0" borderId="0" xfId="1" applyNumberFormat="1" applyFont="1" applyFill="1" applyBorder="1"/>
    <xf numFmtId="0" fontId="20" fillId="8" borderId="38" xfId="0" applyFont="1" applyFill="1" applyBorder="1" applyAlignment="1">
      <alignment horizontal="center"/>
    </xf>
    <xf numFmtId="0" fontId="20" fillId="0" borderId="0" xfId="0" applyFont="1" applyFill="1" applyBorder="1" applyAlignment="1">
      <alignment horizontal="center"/>
    </xf>
    <xf numFmtId="0" fontId="19" fillId="0" borderId="0" xfId="0" applyFont="1" applyFill="1" applyBorder="1"/>
    <xf numFmtId="0" fontId="19" fillId="0" borderId="34" xfId="0" applyFont="1" applyBorder="1"/>
    <xf numFmtId="0" fontId="19" fillId="0" borderId="35" xfId="0" quotePrefix="1" applyFont="1" applyBorder="1"/>
    <xf numFmtId="0" fontId="19" fillId="0" borderId="35" xfId="0" applyFont="1" applyBorder="1"/>
    <xf numFmtId="0" fontId="20" fillId="8" borderId="39" xfId="0" applyFont="1" applyFill="1" applyBorder="1" applyAlignment="1">
      <alignment horizontal="center"/>
    </xf>
    <xf numFmtId="0" fontId="19" fillId="0" borderId="34" xfId="0" applyFont="1" applyFill="1" applyBorder="1"/>
    <xf numFmtId="0" fontId="19" fillId="0" borderId="35" xfId="0" applyFont="1" applyFill="1" applyBorder="1"/>
    <xf numFmtId="0" fontId="19" fillId="0" borderId="36" xfId="0" quotePrefix="1" applyFont="1" applyBorder="1"/>
    <xf numFmtId="0" fontId="20" fillId="8" borderId="26" xfId="0" quotePrefix="1" applyFont="1" applyFill="1" applyBorder="1"/>
    <xf numFmtId="0" fontId="20" fillId="8" borderId="26" xfId="0" quotePrefix="1" applyFont="1" applyFill="1" applyBorder="1" applyAlignment="1">
      <alignment horizontal="center"/>
    </xf>
    <xf numFmtId="0" fontId="20" fillId="0" borderId="34" xfId="0" applyFont="1" applyBorder="1"/>
    <xf numFmtId="0" fontId="20" fillId="0" borderId="27" xfId="0" applyFont="1" applyBorder="1" applyAlignment="1">
      <alignment horizontal="center"/>
    </xf>
    <xf numFmtId="9" fontId="19" fillId="0" borderId="0" xfId="0" applyNumberFormat="1" applyFont="1"/>
    <xf numFmtId="0" fontId="19" fillId="0" borderId="40" xfId="0" applyFont="1" applyBorder="1"/>
    <xf numFmtId="0" fontId="19" fillId="0" borderId="37" xfId="0" quotePrefix="1" applyFont="1" applyBorder="1"/>
    <xf numFmtId="170" fontId="19" fillId="0" borderId="37" xfId="1" applyNumberFormat="1" applyFont="1" applyFill="1" applyBorder="1"/>
    <xf numFmtId="0" fontId="19" fillId="0" borderId="37" xfId="0" applyFont="1" applyBorder="1"/>
    <xf numFmtId="0" fontId="19" fillId="0" borderId="41" xfId="0" applyFont="1" applyBorder="1"/>
    <xf numFmtId="0" fontId="19" fillId="0" borderId="37" xfId="0" applyFont="1" applyFill="1" applyBorder="1"/>
    <xf numFmtId="0" fontId="20" fillId="0" borderId="40" xfId="0" applyFont="1" applyBorder="1" applyAlignment="1">
      <alignment horizontal="center"/>
    </xf>
    <xf numFmtId="9" fontId="19" fillId="0" borderId="40" xfId="2" applyFont="1" applyBorder="1"/>
    <xf numFmtId="0" fontId="20" fillId="0" borderId="0" xfId="0" applyFont="1" applyBorder="1" applyAlignment="1">
      <alignment horizontal="center"/>
    </xf>
    <xf numFmtId="0" fontId="19" fillId="0" borderId="36" xfId="0" applyFont="1" applyFill="1" applyBorder="1"/>
    <xf numFmtId="0" fontId="20" fillId="0" borderId="43" xfId="0" applyFont="1" applyFill="1" applyBorder="1" applyAlignment="1">
      <alignment horizontal="center"/>
    </xf>
    <xf numFmtId="0" fontId="19" fillId="0" borderId="44" xfId="0" applyFont="1" applyBorder="1"/>
    <xf numFmtId="0" fontId="20" fillId="0" borderId="43" xfId="0" quotePrefix="1" applyFont="1" applyFill="1" applyBorder="1"/>
    <xf numFmtId="170" fontId="19" fillId="0" borderId="36" xfId="1" applyNumberFormat="1" applyFont="1" applyFill="1" applyBorder="1"/>
    <xf numFmtId="170" fontId="19" fillId="0" borderId="34" xfId="1" applyNumberFormat="1" applyFont="1" applyFill="1" applyBorder="1"/>
    <xf numFmtId="170" fontId="24" fillId="0" borderId="0" xfId="0" applyNumberFormat="1" applyFont="1" applyBorder="1"/>
    <xf numFmtId="0" fontId="25" fillId="0" borderId="0" xfId="0" applyFont="1" applyBorder="1"/>
    <xf numFmtId="170" fontId="19" fillId="0" borderId="0" xfId="0" applyNumberFormat="1" applyFont="1"/>
    <xf numFmtId="170" fontId="19" fillId="0" borderId="42" xfId="1" applyNumberFormat="1" applyFont="1" applyFill="1" applyBorder="1"/>
    <xf numFmtId="9" fontId="19" fillId="0" borderId="0" xfId="2" applyFont="1"/>
    <xf numFmtId="0" fontId="20" fillId="0" borderId="0" xfId="0" quotePrefix="1" applyFont="1" applyFill="1" applyBorder="1"/>
    <xf numFmtId="0" fontId="23" fillId="0" borderId="0" xfId="0" applyFont="1" applyFill="1" applyBorder="1"/>
    <xf numFmtId="0" fontId="19" fillId="0" borderId="0" xfId="0" quotePrefix="1" applyFont="1" applyFill="1" applyBorder="1"/>
    <xf numFmtId="0" fontId="20" fillId="0" borderId="0" xfId="0" applyFont="1" applyFill="1" applyBorder="1"/>
    <xf numFmtId="166" fontId="0" fillId="0" borderId="0" xfId="1" applyFont="1" applyAlignment="1">
      <alignment horizontal="center" vertical="center"/>
    </xf>
    <xf numFmtId="168" fontId="0" fillId="0" borderId="0" xfId="0" applyNumberFormat="1" applyAlignment="1">
      <alignment horizontal="center" vertical="center"/>
    </xf>
    <xf numFmtId="170" fontId="19" fillId="0" borderId="34" xfId="0" applyNumberFormat="1" applyFont="1" applyBorder="1"/>
    <xf numFmtId="170" fontId="19" fillId="0" borderId="35" xfId="0" applyNumberFormat="1" applyFont="1" applyBorder="1"/>
    <xf numFmtId="0" fontId="19" fillId="0" borderId="45" xfId="0" applyFont="1" applyBorder="1"/>
    <xf numFmtId="0" fontId="20" fillId="0" borderId="34" xfId="0" applyFont="1" applyBorder="1" applyAlignment="1">
      <alignment horizontal="center"/>
    </xf>
    <xf numFmtId="0" fontId="20" fillId="0" borderId="45" xfId="0" applyFont="1" applyBorder="1"/>
    <xf numFmtId="170" fontId="20" fillId="0" borderId="45" xfId="0" applyNumberFormat="1" applyFont="1" applyBorder="1"/>
    <xf numFmtId="0" fontId="19" fillId="9" borderId="22" xfId="0" applyFont="1" applyFill="1" applyBorder="1" applyProtection="1">
      <protection locked="0"/>
    </xf>
    <xf numFmtId="0" fontId="19" fillId="9" borderId="0" xfId="0" applyFont="1" applyFill="1" applyBorder="1" applyAlignment="1" applyProtection="1">
      <alignment horizontal="center"/>
      <protection locked="0"/>
    </xf>
    <xf numFmtId="0" fontId="19" fillId="3" borderId="0" xfId="0" applyFont="1" applyFill="1" applyBorder="1" applyProtection="1">
      <protection locked="0"/>
    </xf>
    <xf numFmtId="170" fontId="19" fillId="3" borderId="35" xfId="1" applyNumberFormat="1" applyFont="1" applyFill="1" applyBorder="1" applyProtection="1">
      <protection locked="0"/>
    </xf>
    <xf numFmtId="170" fontId="19" fillId="3" borderId="37" xfId="1" applyNumberFormat="1" applyFont="1" applyFill="1" applyBorder="1" applyProtection="1">
      <protection locked="0"/>
    </xf>
    <xf numFmtId="170" fontId="19" fillId="3" borderId="36" xfId="1" applyNumberFormat="1" applyFont="1" applyFill="1" applyBorder="1" applyProtection="1">
      <protection locked="0"/>
    </xf>
    <xf numFmtId="170" fontId="19" fillId="9" borderId="34" xfId="1" applyNumberFormat="1" applyFont="1" applyFill="1" applyBorder="1" applyProtection="1">
      <protection locked="0"/>
    </xf>
    <xf numFmtId="170" fontId="19" fillId="9" borderId="37" xfId="1" applyNumberFormat="1" applyFont="1" applyFill="1" applyBorder="1" applyProtection="1">
      <protection locked="0"/>
    </xf>
    <xf numFmtId="170" fontId="19" fillId="9" borderId="36" xfId="1" applyNumberFormat="1" applyFont="1" applyFill="1" applyBorder="1" applyProtection="1">
      <protection locked="0"/>
    </xf>
    <xf numFmtId="9" fontId="19" fillId="9" borderId="34" xfId="2" applyFont="1" applyFill="1" applyBorder="1" applyProtection="1">
      <protection locked="0"/>
    </xf>
    <xf numFmtId="9" fontId="19" fillId="9" borderId="37" xfId="2" applyFont="1" applyFill="1" applyBorder="1" applyProtection="1">
      <protection locked="0"/>
    </xf>
    <xf numFmtId="9" fontId="19" fillId="9" borderId="36" xfId="2" applyFont="1" applyFill="1" applyBorder="1" applyProtection="1">
      <protection locked="0"/>
    </xf>
    <xf numFmtId="170" fontId="19" fillId="3" borderId="41" xfId="1" applyNumberFormat="1" applyFont="1" applyFill="1" applyBorder="1" applyProtection="1">
      <protection locked="0"/>
    </xf>
    <xf numFmtId="170" fontId="19" fillId="3" borderId="34" xfId="1" applyNumberFormat="1" applyFont="1" applyFill="1" applyBorder="1" applyProtection="1">
      <protection locked="0"/>
    </xf>
    <xf numFmtId="170" fontId="19" fillId="3" borderId="42" xfId="1" applyNumberFormat="1" applyFont="1" applyFill="1" applyBorder="1" applyProtection="1">
      <protection locked="0"/>
    </xf>
    <xf numFmtId="170" fontId="19" fillId="0" borderId="33" xfId="1" applyNumberFormat="1" applyFont="1" applyFill="1" applyBorder="1"/>
    <xf numFmtId="170" fontId="19" fillId="3" borderId="44" xfId="1" applyNumberFormat="1" applyFont="1" applyFill="1" applyBorder="1" applyProtection="1">
      <protection locked="0"/>
    </xf>
    <xf numFmtId="9" fontId="19" fillId="9" borderId="31" xfId="2" applyFont="1" applyFill="1" applyBorder="1" applyProtection="1">
      <protection locked="0"/>
    </xf>
    <xf numFmtId="0" fontId="22" fillId="0" borderId="46" xfId="0" applyFont="1" applyBorder="1" applyAlignment="1" applyProtection="1">
      <protection locked="0"/>
    </xf>
    <xf numFmtId="0" fontId="19" fillId="0" borderId="46" xfId="0" applyFont="1" applyBorder="1"/>
    <xf numFmtId="170" fontId="19" fillId="0" borderId="0" xfId="0" applyNumberFormat="1" applyFont="1" applyBorder="1"/>
    <xf numFmtId="9" fontId="24" fillId="0" borderId="0" xfId="0" applyNumberFormat="1" applyFont="1" applyBorder="1"/>
    <xf numFmtId="9" fontId="25" fillId="0" borderId="46" xfId="0" applyNumberFormat="1" applyFont="1" applyBorder="1"/>
    <xf numFmtId="0" fontId="19" fillId="0" borderId="31" xfId="0" applyFont="1" applyBorder="1"/>
    <xf numFmtId="0" fontId="19" fillId="0" borderId="32" xfId="0" applyFont="1" applyBorder="1"/>
    <xf numFmtId="0" fontId="19" fillId="0" borderId="33" xfId="0" applyFont="1" applyBorder="1"/>
    <xf numFmtId="0" fontId="24" fillId="0" borderId="0" xfId="0" applyFont="1" applyFill="1" applyBorder="1"/>
    <xf numFmtId="0" fontId="30" fillId="0" borderId="0" xfId="0" applyFont="1"/>
    <xf numFmtId="0" fontId="20" fillId="8" borderId="26" xfId="0" applyFont="1" applyFill="1" applyBorder="1" applyAlignment="1">
      <alignment horizontal="center" vertical="center"/>
    </xf>
    <xf numFmtId="0" fontId="20" fillId="8" borderId="26" xfId="0" applyFont="1" applyFill="1" applyBorder="1" applyAlignment="1">
      <alignment horizontal="center" vertical="center" wrapText="1"/>
    </xf>
    <xf numFmtId="0" fontId="20" fillId="0" borderId="35" xfId="0" applyFont="1" applyBorder="1" applyAlignment="1">
      <alignment horizontal="right"/>
    </xf>
    <xf numFmtId="0" fontId="20" fillId="0" borderId="37" xfId="0" applyFont="1" applyBorder="1" applyAlignment="1">
      <alignment horizontal="right"/>
    </xf>
    <xf numFmtId="0" fontId="20" fillId="0" borderId="36" xfId="0" applyFont="1" applyBorder="1" applyAlignment="1">
      <alignment horizontal="right"/>
    </xf>
    <xf numFmtId="0" fontId="19" fillId="0" borderId="36" xfId="0" applyFont="1" applyBorder="1"/>
    <xf numFmtId="0" fontId="20" fillId="0" borderId="52" xfId="0" applyFont="1" applyBorder="1" applyAlignment="1">
      <alignment horizontal="center"/>
    </xf>
    <xf numFmtId="170" fontId="19" fillId="0" borderId="0" xfId="1" applyNumberFormat="1" applyFont="1" applyFill="1" applyBorder="1" applyProtection="1">
      <protection locked="0"/>
    </xf>
    <xf numFmtId="0" fontId="20" fillId="0" borderId="0" xfId="0" quotePrefix="1" applyFont="1" applyFill="1" applyBorder="1" applyAlignment="1">
      <alignment horizontal="center"/>
    </xf>
    <xf numFmtId="170" fontId="19" fillId="0" borderId="53" xfId="0" applyNumberFormat="1" applyFont="1" applyBorder="1"/>
    <xf numFmtId="0" fontId="19" fillId="0" borderId="52" xfId="0" applyFont="1" applyBorder="1"/>
    <xf numFmtId="170" fontId="19" fillId="0" borderId="52" xfId="0" applyNumberFormat="1" applyFont="1" applyBorder="1"/>
    <xf numFmtId="0" fontId="19" fillId="0" borderId="54" xfId="0" applyFont="1" applyBorder="1"/>
    <xf numFmtId="170" fontId="19" fillId="0" borderId="54" xfId="0" applyNumberFormat="1" applyFont="1" applyBorder="1"/>
    <xf numFmtId="0" fontId="31" fillId="0" borderId="0" xfId="0" applyFont="1" applyBorder="1"/>
    <xf numFmtId="170" fontId="19" fillId="0" borderId="0" xfId="0" applyNumberFormat="1" applyFont="1" applyFill="1" applyBorder="1" applyAlignment="1">
      <alignment horizontal="center"/>
    </xf>
    <xf numFmtId="170" fontId="19" fillId="0" borderId="0" xfId="0" applyNumberFormat="1" applyFont="1" applyFill="1" applyBorder="1"/>
    <xf numFmtId="170" fontId="19" fillId="0" borderId="55" xfId="1" applyNumberFormat="1" applyFont="1" applyFill="1" applyBorder="1"/>
    <xf numFmtId="165" fontId="19" fillId="0" borderId="0" xfId="0" applyNumberFormat="1" applyFont="1" applyBorder="1"/>
    <xf numFmtId="9" fontId="19" fillId="0" borderId="0" xfId="0" applyNumberFormat="1" applyFont="1" applyBorder="1"/>
    <xf numFmtId="0" fontId="19" fillId="0" borderId="55" xfId="0" applyFont="1" applyBorder="1"/>
    <xf numFmtId="3" fontId="32" fillId="0" borderId="56" xfId="0" applyNumberFormat="1" applyFont="1" applyFill="1" applyBorder="1" applyAlignment="1" applyProtection="1">
      <alignment horizontal="center" vertical="center"/>
    </xf>
    <xf numFmtId="0" fontId="35" fillId="0" borderId="32" xfId="0" applyFont="1" applyBorder="1"/>
    <xf numFmtId="170" fontId="33" fillId="0" borderId="57" xfId="0" applyNumberFormat="1" applyFont="1" applyBorder="1" applyAlignment="1">
      <alignment horizontal="left" vertical="center" indent="3"/>
    </xf>
    <xf numFmtId="0" fontId="19" fillId="0" borderId="58" xfId="0" applyFont="1" applyBorder="1"/>
    <xf numFmtId="0" fontId="19" fillId="0" borderId="59" xfId="0" applyFont="1" applyBorder="1"/>
    <xf numFmtId="0" fontId="19" fillId="0" borderId="60" xfId="0" applyFont="1" applyBorder="1"/>
    <xf numFmtId="0" fontId="19" fillId="0" borderId="61" xfId="0" applyFont="1" applyBorder="1"/>
    <xf numFmtId="0" fontId="19" fillId="0" borderId="62" xfId="0" applyFont="1" applyBorder="1"/>
    <xf numFmtId="170" fontId="19" fillId="0" borderId="62" xfId="0" applyNumberFormat="1" applyFont="1" applyBorder="1"/>
    <xf numFmtId="170" fontId="34" fillId="0" borderId="63" xfId="0" applyNumberFormat="1" applyFont="1" applyBorder="1" applyAlignment="1">
      <alignment vertical="center"/>
    </xf>
    <xf numFmtId="0" fontId="19" fillId="0" borderId="64" xfId="0" applyFont="1" applyBorder="1"/>
    <xf numFmtId="0" fontId="19" fillId="0" borderId="65" xfId="0" applyFont="1" applyBorder="1"/>
    <xf numFmtId="0" fontId="19" fillId="0" borderId="65" xfId="0" applyFont="1" applyFill="1" applyBorder="1"/>
    <xf numFmtId="0" fontId="19" fillId="0" borderId="66" xfId="0" applyFont="1" applyBorder="1"/>
    <xf numFmtId="165" fontId="19" fillId="0" borderId="0" xfId="0" applyNumberFormat="1" applyFont="1" applyAlignment="1">
      <alignment horizontal="right"/>
    </xf>
    <xf numFmtId="170" fontId="19" fillId="0" borderId="0" xfId="1" applyNumberFormat="1" applyFont="1"/>
    <xf numFmtId="170" fontId="19" fillId="0" borderId="37" xfId="1" applyNumberFormat="1" applyFont="1" applyFill="1" applyBorder="1" applyProtection="1"/>
    <xf numFmtId="170" fontId="19" fillId="0" borderId="34" xfId="1" applyNumberFormat="1" applyFont="1" applyFill="1" applyBorder="1" applyProtection="1"/>
    <xf numFmtId="170" fontId="19" fillId="0" borderId="42" xfId="1" applyNumberFormat="1" applyFont="1" applyFill="1" applyBorder="1" applyProtection="1"/>
    <xf numFmtId="0" fontId="24" fillId="0" borderId="0" xfId="0" applyFont="1" applyBorder="1"/>
    <xf numFmtId="0" fontId="24" fillId="0" borderId="40" xfId="0" applyFont="1" applyBorder="1"/>
    <xf numFmtId="170" fontId="0" fillId="0" borderId="0" xfId="1" applyNumberFormat="1" applyFont="1"/>
    <xf numFmtId="170" fontId="19" fillId="0" borderId="41" xfId="1" applyNumberFormat="1" applyFont="1" applyFill="1" applyBorder="1" applyProtection="1"/>
    <xf numFmtId="0" fontId="19" fillId="0" borderId="0" xfId="0" applyFont="1" applyBorder="1" applyProtection="1">
      <protection locked="0"/>
    </xf>
    <xf numFmtId="0" fontId="19" fillId="0" borderId="0" xfId="0" applyFont="1" applyFill="1" applyBorder="1" applyAlignment="1" applyProtection="1"/>
    <xf numFmtId="0" fontId="22" fillId="3" borderId="22" xfId="0" applyFont="1" applyFill="1" applyBorder="1" applyAlignment="1" applyProtection="1">
      <protection locked="0"/>
    </xf>
    <xf numFmtId="0" fontId="22" fillId="0" borderId="22" xfId="0" applyFont="1" applyBorder="1" applyAlignment="1" applyProtection="1">
      <alignment horizontal="right"/>
    </xf>
    <xf numFmtId="0" fontId="19" fillId="3" borderId="22" xfId="0" applyFont="1" applyFill="1" applyBorder="1" applyAlignment="1" applyProtection="1">
      <alignment horizontal="left"/>
      <protection locked="0"/>
    </xf>
    <xf numFmtId="170" fontId="36" fillId="0" borderId="0" xfId="1" applyNumberFormat="1" applyFont="1" applyFill="1" applyBorder="1"/>
    <xf numFmtId="170" fontId="0" fillId="0" borderId="0" xfId="0" applyNumberFormat="1"/>
    <xf numFmtId="0" fontId="0" fillId="0" borderId="47" xfId="0" applyBorder="1"/>
    <xf numFmtId="0" fontId="0" fillId="0" borderId="24" xfId="0" applyBorder="1" applyAlignment="1">
      <alignment horizontal="center"/>
    </xf>
    <xf numFmtId="0" fontId="0" fillId="0" borderId="0" xfId="0" quotePrefix="1"/>
    <xf numFmtId="170" fontId="0" fillId="0" borderId="47" xfId="0" applyNumberFormat="1" applyBorder="1"/>
    <xf numFmtId="170" fontId="0" fillId="0" borderId="47" xfId="1" applyNumberFormat="1" applyFont="1" applyBorder="1"/>
    <xf numFmtId="170" fontId="0" fillId="0" borderId="47" xfId="0" applyNumberFormat="1" applyBorder="1" applyAlignment="1">
      <alignment horizontal="center"/>
    </xf>
    <xf numFmtId="0" fontId="0" fillId="11" borderId="0" xfId="0" applyFill="1" applyAlignment="1">
      <alignment horizontal="center"/>
    </xf>
    <xf numFmtId="0" fontId="0" fillId="11" borderId="47" xfId="0" applyFill="1" applyBorder="1" applyAlignment="1">
      <alignment horizontal="center"/>
    </xf>
    <xf numFmtId="0" fontId="0" fillId="0" borderId="24" xfId="0" applyBorder="1"/>
    <xf numFmtId="4" fontId="37" fillId="0" borderId="0" xfId="3" applyNumberFormat="1" applyFont="1" applyFill="1" applyBorder="1"/>
    <xf numFmtId="4" fontId="37" fillId="0" borderId="0" xfId="3" applyNumberFormat="1" applyFont="1" applyFill="1" applyBorder="1" applyAlignment="1">
      <alignment horizontal="left"/>
    </xf>
    <xf numFmtId="4" fontId="37" fillId="0" borderId="0" xfId="3" quotePrefix="1" applyNumberFormat="1" applyFont="1" applyFill="1" applyBorder="1" applyAlignment="1">
      <alignment horizontal="left"/>
    </xf>
    <xf numFmtId="4" fontId="37" fillId="0" borderId="0" xfId="6" applyNumberFormat="1" applyFont="1" applyFill="1" applyBorder="1" applyAlignment="1">
      <alignment horizontal="right"/>
    </xf>
    <xf numFmtId="9" fontId="37" fillId="0" borderId="67" xfId="7" applyFont="1" applyFill="1" applyBorder="1"/>
    <xf numFmtId="4" fontId="37" fillId="0" borderId="0" xfId="3" applyNumberFormat="1" applyFont="1" applyFill="1" applyBorder="1" applyAlignment="1">
      <alignment horizontal="right"/>
    </xf>
    <xf numFmtId="172" fontId="37" fillId="0" borderId="0" xfId="3" quotePrefix="1" applyNumberFormat="1" applyFont="1" applyFill="1" applyBorder="1" applyAlignment="1">
      <alignment horizontal="center"/>
    </xf>
    <xf numFmtId="4" fontId="37" fillId="0" borderId="0" xfId="6" applyNumberFormat="1" applyFont="1" applyFill="1" applyBorder="1" applyAlignment="1">
      <alignment horizontal="left"/>
    </xf>
    <xf numFmtId="4" fontId="37" fillId="0" borderId="68" xfId="3" applyNumberFormat="1" applyFont="1" applyFill="1" applyBorder="1" applyAlignment="1">
      <alignment horizontal="right"/>
    </xf>
    <xf numFmtId="4" fontId="37" fillId="0" borderId="0" xfId="6" quotePrefix="1" applyNumberFormat="1" applyFont="1" applyFill="1" applyBorder="1" applyAlignment="1">
      <alignment horizontal="left"/>
    </xf>
    <xf numFmtId="4" fontId="37" fillId="0" borderId="0" xfId="6" applyNumberFormat="1" applyFont="1" applyFill="1" applyBorder="1" applyAlignment="1"/>
    <xf numFmtId="4" fontId="41" fillId="0" borderId="0" xfId="3" applyNumberFormat="1" applyFont="1" applyFill="1" applyBorder="1"/>
    <xf numFmtId="4" fontId="0" fillId="0" borderId="0" xfId="0" applyNumberFormat="1"/>
    <xf numFmtId="0" fontId="29" fillId="0" borderId="0" xfId="8" applyFont="1"/>
    <xf numFmtId="0" fontId="42" fillId="0" borderId="0" xfId="8" applyFont="1" applyAlignment="1">
      <alignment horizontal="center"/>
    </xf>
    <xf numFmtId="0" fontId="43" fillId="0" borderId="0" xfId="9" applyFont="1" applyAlignment="1">
      <alignment horizontal="left" vertical="top"/>
    </xf>
    <xf numFmtId="0" fontId="43" fillId="0" borderId="0" xfId="9" applyFont="1"/>
    <xf numFmtId="0" fontId="29" fillId="0" borderId="47" xfId="8" applyFont="1" applyBorder="1" applyAlignment="1">
      <alignment horizontal="center" vertical="center"/>
    </xf>
    <xf numFmtId="0" fontId="29" fillId="0" borderId="47" xfId="8" applyFont="1" applyBorder="1"/>
    <xf numFmtId="0" fontId="1" fillId="0" borderId="0" xfId="8" applyFont="1"/>
    <xf numFmtId="0" fontId="1" fillId="0" borderId="47" xfId="8" applyFont="1" applyBorder="1"/>
    <xf numFmtId="0" fontId="29" fillId="0" borderId="47" xfId="9" applyFont="1" applyBorder="1"/>
    <xf numFmtId="0" fontId="29" fillId="0" borderId="47" xfId="8" applyFont="1" applyBorder="1" applyAlignment="1">
      <alignment wrapText="1"/>
    </xf>
    <xf numFmtId="164" fontId="0" fillId="0" borderId="47" xfId="10" applyFont="1" applyBorder="1"/>
    <xf numFmtId="0" fontId="29" fillId="0" borderId="47" xfId="8" applyFont="1" applyFill="1" applyBorder="1"/>
    <xf numFmtId="0" fontId="29" fillId="0" borderId="47" xfId="8" applyFont="1" applyFill="1" applyBorder="1" applyAlignment="1">
      <alignment horizontal="center" vertical="center"/>
    </xf>
    <xf numFmtId="0" fontId="29" fillId="0" borderId="47" xfId="8" applyFont="1" applyBorder="1" applyAlignment="1">
      <alignment horizontal="center"/>
    </xf>
    <xf numFmtId="174" fontId="29" fillId="0" borderId="47" xfId="8" applyNumberFormat="1" applyFont="1" applyBorder="1"/>
    <xf numFmtId="174" fontId="29" fillId="0" borderId="0" xfId="8" applyNumberFormat="1" applyFont="1"/>
    <xf numFmtId="175" fontId="29" fillId="0" borderId="0" xfId="5" applyNumberFormat="1" applyFont="1"/>
    <xf numFmtId="165" fontId="29" fillId="0" borderId="0" xfId="8" applyNumberFormat="1" applyFont="1"/>
    <xf numFmtId="176" fontId="29" fillId="0" borderId="0" xfId="5" applyNumberFormat="1" applyFont="1"/>
    <xf numFmtId="0" fontId="29" fillId="0" borderId="72" xfId="8" applyFont="1" applyBorder="1"/>
    <xf numFmtId="0" fontId="29" fillId="0" borderId="51" xfId="8" applyFont="1" applyBorder="1"/>
    <xf numFmtId="0" fontId="29" fillId="0" borderId="67" xfId="8" applyFont="1" applyBorder="1"/>
    <xf numFmtId="0" fontId="29" fillId="0" borderId="0" xfId="8" applyFont="1" applyBorder="1"/>
    <xf numFmtId="165" fontId="29" fillId="0" borderId="68" xfId="5" applyFont="1" applyBorder="1"/>
    <xf numFmtId="9" fontId="29" fillId="0" borderId="68" xfId="2" applyFont="1" applyBorder="1"/>
    <xf numFmtId="0" fontId="29" fillId="0" borderId="69" xfId="8" applyFont="1" applyBorder="1"/>
    <xf numFmtId="0" fontId="29" fillId="0" borderId="22" xfId="8" applyFont="1" applyBorder="1"/>
    <xf numFmtId="165" fontId="29" fillId="0" borderId="70" xfId="5" applyFont="1" applyBorder="1"/>
    <xf numFmtId="165" fontId="29" fillId="0" borderId="22" xfId="8" applyNumberFormat="1" applyFont="1" applyBorder="1"/>
    <xf numFmtId="9" fontId="29" fillId="0" borderId="73" xfId="2" applyFont="1" applyBorder="1" applyAlignment="1">
      <alignment horizontal="right"/>
    </xf>
    <xf numFmtId="0" fontId="29" fillId="0" borderId="0" xfId="8" applyFont="1" applyFill="1" applyBorder="1" applyAlignment="1">
      <alignment horizontal="center" vertical="center"/>
    </xf>
    <xf numFmtId="0" fontId="29" fillId="0" borderId="0" xfId="8" applyFont="1" applyBorder="1" applyAlignment="1">
      <alignment horizontal="center" wrapText="1"/>
    </xf>
    <xf numFmtId="0" fontId="29" fillId="0" borderId="47" xfId="8" applyFont="1" applyBorder="1" applyAlignment="1">
      <alignment horizontal="center"/>
    </xf>
    <xf numFmtId="0" fontId="0" fillId="0" borderId="47" xfId="0" applyBorder="1" applyAlignment="1">
      <alignment horizontal="center"/>
    </xf>
    <xf numFmtId="0" fontId="29" fillId="0" borderId="0" xfId="8"/>
    <xf numFmtId="0" fontId="29" fillId="0" borderId="47" xfId="8" applyBorder="1" applyAlignment="1">
      <alignment horizontal="center"/>
    </xf>
    <xf numFmtId="0" fontId="29" fillId="0" borderId="0" xfId="8" applyAlignment="1">
      <alignment horizontal="center"/>
    </xf>
    <xf numFmtId="0" fontId="29" fillId="0" borderId="47" xfId="8" applyBorder="1"/>
    <xf numFmtId="174" fontId="29" fillId="0" borderId="47" xfId="8" applyNumberFormat="1" applyBorder="1" applyAlignment="1">
      <alignment horizontal="center"/>
    </xf>
    <xf numFmtId="174" fontId="29" fillId="0" borderId="0" xfId="8" applyNumberFormat="1"/>
    <xf numFmtId="0" fontId="14" fillId="0" borderId="0" xfId="13" applyFont="1" applyAlignment="1">
      <alignment horizontal="center"/>
    </xf>
    <xf numFmtId="165" fontId="29" fillId="0" borderId="0" xfId="5" applyFont="1" applyBorder="1"/>
    <xf numFmtId="175" fontId="29" fillId="0" borderId="0" xfId="14" applyNumberFormat="1" applyFont="1"/>
    <xf numFmtId="165" fontId="29" fillId="0" borderId="0" xfId="8" applyNumberFormat="1"/>
    <xf numFmtId="176" fontId="29" fillId="0" borderId="0" xfId="15" applyNumberFormat="1" applyFont="1"/>
    <xf numFmtId="41" fontId="29" fillId="0" borderId="22" xfId="14" applyFont="1" applyBorder="1"/>
    <xf numFmtId="165" fontId="29" fillId="0" borderId="22" xfId="8" applyNumberFormat="1" applyBorder="1"/>
    <xf numFmtId="0" fontId="0" fillId="0" borderId="47" xfId="0" applyBorder="1" applyAlignment="1">
      <alignment horizontal="center" vertical="center"/>
    </xf>
    <xf numFmtId="0" fontId="0" fillId="0" borderId="0" xfId="0" quotePrefix="1" applyAlignment="1">
      <alignment horizontal="right"/>
    </xf>
    <xf numFmtId="41" fontId="0" fillId="0" borderId="0" xfId="16" applyFont="1"/>
    <xf numFmtId="41" fontId="0" fillId="0" borderId="0" xfId="0" applyNumberFormat="1"/>
    <xf numFmtId="0" fontId="0" fillId="0" borderId="0" xfId="0" applyAlignment="1">
      <alignment horizontal="right"/>
    </xf>
    <xf numFmtId="0" fontId="0" fillId="0" borderId="25" xfId="0" applyBorder="1"/>
    <xf numFmtId="41" fontId="0" fillId="0" borderId="47" xfId="16" applyFont="1" applyBorder="1"/>
    <xf numFmtId="0" fontId="0" fillId="4" borderId="0" xfId="0" applyFill="1"/>
    <xf numFmtId="165" fontId="0" fillId="0" borderId="0" xfId="5" applyFont="1" applyFill="1"/>
    <xf numFmtId="41" fontId="0" fillId="0" borderId="47" xfId="0" applyNumberFormat="1" applyBorder="1"/>
    <xf numFmtId="9" fontId="0" fillId="0" borderId="47" xfId="0" applyNumberFormat="1" applyBorder="1"/>
    <xf numFmtId="41" fontId="0" fillId="4" borderId="0" xfId="0" applyNumberFormat="1" applyFill="1"/>
    <xf numFmtId="0" fontId="0" fillId="10" borderId="24" xfId="0" applyFill="1" applyBorder="1"/>
    <xf numFmtId="0" fontId="0" fillId="10" borderId="23" xfId="0" applyFill="1" applyBorder="1"/>
    <xf numFmtId="41" fontId="0" fillId="10" borderId="25" xfId="0" applyNumberFormat="1" applyFill="1" applyBorder="1"/>
    <xf numFmtId="0" fontId="0" fillId="10" borderId="47" xfId="0" applyFill="1" applyBorder="1" applyAlignment="1">
      <alignment horizontal="center"/>
    </xf>
    <xf numFmtId="0" fontId="0" fillId="13" borderId="47" xfId="0" applyFill="1" applyBorder="1" applyAlignment="1">
      <alignment horizontal="center"/>
    </xf>
    <xf numFmtId="0" fontId="0" fillId="13" borderId="24" xfId="0" applyFill="1" applyBorder="1" applyAlignment="1">
      <alignment horizontal="center"/>
    </xf>
    <xf numFmtId="0" fontId="0" fillId="14" borderId="0" xfId="0" applyFill="1" applyAlignment="1">
      <alignment horizontal="center"/>
    </xf>
    <xf numFmtId="170" fontId="0" fillId="14" borderId="47" xfId="0" applyNumberFormat="1" applyFill="1" applyBorder="1"/>
    <xf numFmtId="170" fontId="0" fillId="0" borderId="48" xfId="1" applyNumberFormat="1" applyFont="1" applyFill="1" applyBorder="1"/>
    <xf numFmtId="3" fontId="0" fillId="0" borderId="0" xfId="0" applyNumberFormat="1"/>
    <xf numFmtId="0" fontId="46" fillId="0" borderId="0" xfId="17"/>
    <xf numFmtId="0" fontId="18" fillId="0" borderId="0" xfId="17" applyFont="1"/>
    <xf numFmtId="0" fontId="46" fillId="0" borderId="0" xfId="17" applyAlignment="1">
      <alignment horizontal="right"/>
    </xf>
    <xf numFmtId="0" fontId="47" fillId="0" borderId="0" xfId="17" applyFont="1" applyAlignment="1">
      <alignment horizontal="right"/>
    </xf>
    <xf numFmtId="0" fontId="48" fillId="0" borderId="0" xfId="17" applyFont="1"/>
    <xf numFmtId="14" fontId="48" fillId="0" borderId="0" xfId="17" applyNumberFormat="1" applyFont="1"/>
    <xf numFmtId="0" fontId="49" fillId="0" borderId="0" xfId="17" applyFont="1"/>
    <xf numFmtId="0" fontId="46" fillId="0" borderId="29" xfId="17" applyBorder="1"/>
    <xf numFmtId="0" fontId="18" fillId="0" borderId="27" xfId="17" applyFont="1" applyBorder="1" applyAlignment="1">
      <alignment horizontal="left"/>
    </xf>
    <xf numFmtId="41" fontId="0" fillId="0" borderId="0" xfId="16" applyFont="1" applyBorder="1"/>
    <xf numFmtId="0" fontId="46" fillId="0" borderId="46" xfId="17" applyBorder="1" applyAlignment="1">
      <alignment horizontal="left" vertical="justify" wrapText="1"/>
    </xf>
    <xf numFmtId="170" fontId="0" fillId="0" borderId="0" xfId="18" applyNumberFormat="1" applyFont="1" applyFill="1" applyBorder="1" applyAlignment="1" applyProtection="1">
      <alignment horizontal="right"/>
      <protection locked="0"/>
    </xf>
    <xf numFmtId="0" fontId="46" fillId="0" borderId="30" xfId="17" applyBorder="1"/>
    <xf numFmtId="165" fontId="46" fillId="0" borderId="0" xfId="5" applyFont="1"/>
    <xf numFmtId="0" fontId="46" fillId="0" borderId="46" xfId="17" applyBorder="1"/>
    <xf numFmtId="41" fontId="0" fillId="0" borderId="0" xfId="16" applyFont="1" applyFill="1" applyBorder="1"/>
    <xf numFmtId="0" fontId="46" fillId="0" borderId="30" xfId="17" applyBorder="1" applyAlignment="1">
      <alignment horizontal="left" vertical="center" indent="1"/>
    </xf>
    <xf numFmtId="0" fontId="46" fillId="0" borderId="0" xfId="17" applyAlignment="1">
      <alignment horizontal="left" vertical="center" indent="1"/>
    </xf>
    <xf numFmtId="170" fontId="0" fillId="0" borderId="0" xfId="18" applyNumberFormat="1" applyFont="1" applyFill="1" applyBorder="1" applyAlignment="1" applyProtection="1">
      <alignment horizontal="center"/>
      <protection locked="0"/>
    </xf>
    <xf numFmtId="0" fontId="46" fillId="0" borderId="0" xfId="17" applyAlignment="1">
      <alignment horizontal="left" indent="1"/>
    </xf>
    <xf numFmtId="9" fontId="0" fillId="0" borderId="0" xfId="16" applyNumberFormat="1" applyFont="1" applyBorder="1"/>
    <xf numFmtId="0" fontId="46" fillId="0" borderId="30" xfId="17" applyBorder="1" applyAlignment="1">
      <alignment horizontal="left" indent="1"/>
    </xf>
    <xf numFmtId="0" fontId="18" fillId="0" borderId="30" xfId="17" applyFont="1" applyBorder="1" applyAlignment="1">
      <alignment horizontal="left"/>
    </xf>
    <xf numFmtId="170" fontId="0" fillId="0" borderId="0" xfId="18" applyNumberFormat="1" applyFont="1" applyBorder="1"/>
    <xf numFmtId="0" fontId="0" fillId="0" borderId="46" xfId="16" applyNumberFormat="1" applyFont="1" applyBorder="1" applyAlignment="1">
      <alignment horizontal="left"/>
    </xf>
    <xf numFmtId="0" fontId="0" fillId="0" borderId="46" xfId="16" quotePrefix="1" applyNumberFormat="1" applyFont="1" applyBorder="1" applyAlignment="1">
      <alignment horizontal="left"/>
    </xf>
    <xf numFmtId="0" fontId="46" fillId="0" borderId="0" xfId="17" quotePrefix="1" applyAlignment="1">
      <alignment horizontal="left" indent="1"/>
    </xf>
    <xf numFmtId="0" fontId="18" fillId="0" borderId="35" xfId="17" applyFont="1" applyBorder="1" applyAlignment="1">
      <alignment horizontal="left"/>
    </xf>
    <xf numFmtId="0" fontId="46" fillId="0" borderId="35" xfId="17" applyBorder="1"/>
    <xf numFmtId="9" fontId="18" fillId="0" borderId="46" xfId="16" applyNumberFormat="1" applyFont="1" applyBorder="1"/>
    <xf numFmtId="177" fontId="18" fillId="0" borderId="33" xfId="16" applyNumberFormat="1" applyFont="1" applyBorder="1"/>
    <xf numFmtId="0" fontId="46" fillId="0" borderId="31" xfId="17" applyBorder="1"/>
    <xf numFmtId="0" fontId="46" fillId="0" borderId="32" xfId="17" applyBorder="1"/>
    <xf numFmtId="0" fontId="46" fillId="0" borderId="33" xfId="17" applyBorder="1"/>
    <xf numFmtId="0" fontId="46" fillId="0" borderId="32" xfId="17" applyBorder="1" applyAlignment="1">
      <alignment horizontal="left" indent="1"/>
    </xf>
    <xf numFmtId="0" fontId="18" fillId="0" borderId="27" xfId="17" applyFont="1" applyBorder="1"/>
    <xf numFmtId="0" fontId="46" fillId="0" borderId="28" xfId="17" applyBorder="1"/>
    <xf numFmtId="0" fontId="46" fillId="0" borderId="0" xfId="19"/>
    <xf numFmtId="0" fontId="46" fillId="0" borderId="0" xfId="17" applyAlignment="1">
      <alignment vertical="center"/>
    </xf>
    <xf numFmtId="0" fontId="50" fillId="0" borderId="0" xfId="17" applyFont="1"/>
    <xf numFmtId="0" fontId="46" fillId="0" borderId="47" xfId="17" applyBorder="1" applyAlignment="1">
      <alignment horizontal="center"/>
    </xf>
    <xf numFmtId="0" fontId="46" fillId="0" borderId="25" xfId="17" applyBorder="1"/>
    <xf numFmtId="9" fontId="51" fillId="0" borderId="0" xfId="16" applyNumberFormat="1" applyFont="1"/>
    <xf numFmtId="0" fontId="46" fillId="0" borderId="0" xfId="17" applyAlignment="1">
      <alignment horizontal="left"/>
    </xf>
    <xf numFmtId="9" fontId="46" fillId="0" borderId="0" xfId="17" applyNumberFormat="1" applyAlignment="1">
      <alignment horizontal="left"/>
    </xf>
    <xf numFmtId="0" fontId="46" fillId="5" borderId="0" xfId="17" applyFill="1"/>
    <xf numFmtId="0" fontId="18" fillId="0" borderId="0" xfId="17" applyFont="1" applyAlignment="1">
      <alignment horizontal="center"/>
    </xf>
    <xf numFmtId="10" fontId="51" fillId="0" borderId="0" xfId="16" applyNumberFormat="1" applyFont="1"/>
    <xf numFmtId="0" fontId="46" fillId="0" borderId="0" xfId="17" applyAlignment="1">
      <alignment horizontal="center"/>
    </xf>
    <xf numFmtId="41" fontId="52" fillId="0" borderId="0" xfId="17" applyNumberFormat="1" applyFont="1"/>
    <xf numFmtId="0" fontId="53" fillId="0" borderId="0" xfId="17" applyFont="1"/>
    <xf numFmtId="0" fontId="54" fillId="0" borderId="0" xfId="17" applyFont="1"/>
    <xf numFmtId="41" fontId="53" fillId="0" borderId="0" xfId="17" applyNumberFormat="1" applyFont="1"/>
    <xf numFmtId="41" fontId="53" fillId="0" borderId="55" xfId="17" applyNumberFormat="1" applyFont="1" applyBorder="1"/>
    <xf numFmtId="41" fontId="51" fillId="0" borderId="0" xfId="17" applyNumberFormat="1" applyFont="1"/>
    <xf numFmtId="0" fontId="46" fillId="0" borderId="0" xfId="17" applyAlignment="1">
      <alignment horizontal="center" vertical="center"/>
    </xf>
    <xf numFmtId="0" fontId="18" fillId="0" borderId="32" xfId="17" applyFont="1" applyBorder="1"/>
    <xf numFmtId="0" fontId="18" fillId="0" borderId="32" xfId="17" applyFont="1" applyBorder="1" applyAlignment="1">
      <alignment horizontal="center" vertical="center"/>
    </xf>
    <xf numFmtId="0" fontId="18" fillId="0" borderId="32" xfId="17" applyFont="1" applyBorder="1" applyAlignment="1">
      <alignment horizontal="center"/>
    </xf>
    <xf numFmtId="0" fontId="53" fillId="15" borderId="32" xfId="17" applyFont="1" applyFill="1" applyBorder="1" applyAlignment="1">
      <alignment horizontal="center"/>
    </xf>
    <xf numFmtId="41" fontId="46" fillId="5" borderId="0" xfId="17" applyNumberFormat="1" applyFill="1" applyAlignment="1">
      <alignment vertical="center"/>
    </xf>
    <xf numFmtId="0" fontId="54" fillId="15" borderId="0" xfId="17" applyFont="1" applyFill="1"/>
    <xf numFmtId="166" fontId="55" fillId="5" borderId="0" xfId="1" applyFont="1" applyFill="1" applyBorder="1"/>
    <xf numFmtId="0" fontId="55" fillId="0" borderId="0" xfId="17" applyFont="1"/>
    <xf numFmtId="0" fontId="55" fillId="0" borderId="0" xfId="17" applyFont="1" applyAlignment="1">
      <alignment vertical="center"/>
    </xf>
    <xf numFmtId="41" fontId="54" fillId="0" borderId="0" xfId="16" applyFont="1" applyAlignment="1">
      <alignment vertical="center"/>
    </xf>
    <xf numFmtId="166" fontId="55" fillId="0" borderId="0" xfId="1" applyFont="1"/>
    <xf numFmtId="41" fontId="54" fillId="15" borderId="0" xfId="17" applyNumberFormat="1" applyFont="1" applyFill="1"/>
    <xf numFmtId="41" fontId="0" fillId="0" borderId="0" xfId="16" applyFont="1" applyAlignment="1">
      <alignment vertical="center"/>
    </xf>
    <xf numFmtId="41" fontId="0" fillId="5" borderId="0" xfId="16" applyFont="1" applyFill="1" applyBorder="1" applyAlignment="1">
      <alignment vertical="center"/>
    </xf>
    <xf numFmtId="0" fontId="18" fillId="0" borderId="23" xfId="17" applyFont="1" applyBorder="1"/>
    <xf numFmtId="41" fontId="18" fillId="0" borderId="23" xfId="17" applyNumberFormat="1" applyFont="1" applyBorder="1" applyAlignment="1">
      <alignment vertical="center"/>
    </xf>
    <xf numFmtId="41" fontId="53" fillId="15" borderId="23" xfId="17" applyNumberFormat="1" applyFont="1" applyFill="1" applyBorder="1" applyAlignment="1">
      <alignment vertical="center"/>
    </xf>
    <xf numFmtId="41" fontId="18" fillId="5" borderId="0" xfId="17" applyNumberFormat="1" applyFont="1" applyFill="1" applyAlignment="1">
      <alignment vertical="center"/>
    </xf>
    <xf numFmtId="166" fontId="56" fillId="15" borderId="0" xfId="1" applyFont="1" applyFill="1"/>
    <xf numFmtId="9" fontId="57" fillId="5" borderId="0" xfId="20" applyFont="1" applyFill="1" applyBorder="1" applyAlignment="1">
      <alignment vertical="center"/>
    </xf>
    <xf numFmtId="9" fontId="46" fillId="0" borderId="0" xfId="17" applyNumberFormat="1"/>
    <xf numFmtId="41" fontId="46" fillId="0" borderId="0" xfId="17" applyNumberFormat="1" applyAlignment="1">
      <alignment vertical="center"/>
    </xf>
    <xf numFmtId="41" fontId="54" fillId="15" borderId="0" xfId="17" applyNumberFormat="1" applyFont="1" applyFill="1" applyAlignment="1">
      <alignment vertical="center"/>
    </xf>
    <xf numFmtId="41" fontId="46" fillId="5" borderId="0" xfId="17" applyNumberFormat="1" applyFill="1"/>
    <xf numFmtId="43" fontId="46" fillId="0" borderId="0" xfId="17" applyNumberFormat="1"/>
    <xf numFmtId="38" fontId="46" fillId="5" borderId="0" xfId="17" applyNumberFormat="1" applyFill="1" applyAlignment="1">
      <alignment vertical="center"/>
    </xf>
    <xf numFmtId="41" fontId="46" fillId="0" borderId="0" xfId="17" quotePrefix="1" applyNumberFormat="1" applyAlignment="1">
      <alignment vertical="center"/>
    </xf>
    <xf numFmtId="0" fontId="46" fillId="0" borderId="22" xfId="17" applyBorder="1"/>
    <xf numFmtId="41" fontId="18" fillId="15" borderId="23" xfId="17" applyNumberFormat="1" applyFont="1" applyFill="1" applyBorder="1" applyAlignment="1">
      <alignment vertical="center"/>
    </xf>
    <xf numFmtId="41" fontId="0" fillId="5" borderId="0" xfId="16" applyFont="1" applyFill="1" applyBorder="1"/>
    <xf numFmtId="0" fontId="18" fillId="5" borderId="0" xfId="17" applyFont="1" applyFill="1"/>
    <xf numFmtId="41" fontId="18" fillId="0" borderId="0" xfId="17" applyNumberFormat="1" applyFont="1" applyAlignment="1">
      <alignment vertical="center"/>
    </xf>
    <xf numFmtId="41" fontId="18" fillId="15" borderId="0" xfId="17" applyNumberFormat="1" applyFont="1" applyFill="1" applyAlignment="1">
      <alignment vertical="center"/>
    </xf>
    <xf numFmtId="0" fontId="57" fillId="0" borderId="0" xfId="17" applyFont="1"/>
    <xf numFmtId="0" fontId="59" fillId="0" borderId="0" xfId="17" applyFont="1"/>
    <xf numFmtId="9" fontId="57" fillId="0" borderId="0" xfId="20" applyFont="1" applyAlignment="1">
      <alignment vertical="center"/>
    </xf>
    <xf numFmtId="9" fontId="57" fillId="15" borderId="0" xfId="20" applyFont="1" applyFill="1" applyAlignment="1">
      <alignment vertical="center"/>
    </xf>
    <xf numFmtId="41" fontId="46" fillId="0" borderId="22" xfId="17" applyNumberFormat="1" applyBorder="1" applyAlignment="1">
      <alignment vertical="center"/>
    </xf>
    <xf numFmtId="41" fontId="54" fillId="15" borderId="22" xfId="17" applyNumberFormat="1" applyFont="1" applyFill="1" applyBorder="1" applyAlignment="1">
      <alignment vertical="center"/>
    </xf>
    <xf numFmtId="38" fontId="46" fillId="5" borderId="0" xfId="17" applyNumberFormat="1" applyFill="1"/>
    <xf numFmtId="38" fontId="54" fillId="0" borderId="0" xfId="17" applyNumberFormat="1" applyFont="1" applyAlignment="1">
      <alignment vertical="center"/>
    </xf>
    <xf numFmtId="38" fontId="46" fillId="15" borderId="0" xfId="17" applyNumberFormat="1" applyFill="1" applyAlignment="1">
      <alignment vertical="center"/>
    </xf>
    <xf numFmtId="41" fontId="46" fillId="0" borderId="0" xfId="16" applyFont="1" applyFill="1"/>
    <xf numFmtId="41" fontId="0" fillId="15" borderId="0" xfId="16" applyFont="1" applyFill="1" applyBorder="1"/>
    <xf numFmtId="38" fontId="58" fillId="0" borderId="0" xfId="16" applyNumberFormat="1" applyFont="1" applyFill="1"/>
    <xf numFmtId="170" fontId="60" fillId="0" borderId="0" xfId="1" applyNumberFormat="1" applyFont="1"/>
    <xf numFmtId="170" fontId="46" fillId="0" borderId="0" xfId="19" applyNumberFormat="1"/>
    <xf numFmtId="41" fontId="0" fillId="15" borderId="22" xfId="16" applyFont="1" applyFill="1" applyBorder="1"/>
    <xf numFmtId="0" fontId="46" fillId="16" borderId="74" xfId="17" applyFill="1" applyBorder="1"/>
    <xf numFmtId="38" fontId="46" fillId="16" borderId="74" xfId="17" applyNumberFormat="1" applyFill="1" applyBorder="1" applyAlignment="1">
      <alignment vertical="center"/>
    </xf>
    <xf numFmtId="38" fontId="46" fillId="15" borderId="74" xfId="17" applyNumberFormat="1" applyFill="1" applyBorder="1" applyAlignment="1">
      <alignment vertical="center"/>
    </xf>
    <xf numFmtId="38" fontId="46" fillId="0" borderId="22" xfId="17" applyNumberFormat="1" applyBorder="1"/>
    <xf numFmtId="166" fontId="0" fillId="15" borderId="22" xfId="1" applyFont="1" applyFill="1" applyBorder="1"/>
    <xf numFmtId="38" fontId="46" fillId="0" borderId="0" xfId="17" applyNumberFormat="1"/>
    <xf numFmtId="38" fontId="46" fillId="15" borderId="0" xfId="17" applyNumberFormat="1" applyFill="1"/>
    <xf numFmtId="0" fontId="61" fillId="0" borderId="0" xfId="17" applyFont="1" applyAlignment="1">
      <alignment horizontal="center" vertical="center"/>
    </xf>
    <xf numFmtId="170" fontId="60" fillId="15" borderId="0" xfId="1" applyNumberFormat="1" applyFont="1" applyFill="1"/>
    <xf numFmtId="170" fontId="46" fillId="0" borderId="0" xfId="17" applyNumberFormat="1" applyAlignment="1">
      <alignment vertical="center"/>
    </xf>
    <xf numFmtId="0" fontId="53" fillId="0" borderId="72" xfId="17" applyFont="1" applyBorder="1"/>
    <xf numFmtId="0" fontId="53" fillId="0" borderId="51" xfId="17" applyFont="1" applyBorder="1"/>
    <xf numFmtId="0" fontId="53" fillId="0" borderId="67" xfId="17" applyFont="1" applyBorder="1"/>
    <xf numFmtId="41" fontId="46" fillId="0" borderId="0" xfId="17" applyNumberFormat="1" applyAlignment="1">
      <alignment horizontal="right" vertical="center"/>
    </xf>
    <xf numFmtId="41" fontId="46" fillId="0" borderId="0" xfId="17" applyNumberFormat="1"/>
    <xf numFmtId="9" fontId="53" fillId="0" borderId="68" xfId="20" applyFont="1" applyBorder="1"/>
    <xf numFmtId="0" fontId="53" fillId="0" borderId="69" xfId="17" applyFont="1" applyBorder="1"/>
    <xf numFmtId="0" fontId="53" fillId="0" borderId="22" xfId="17" applyFont="1" applyBorder="1"/>
    <xf numFmtId="173" fontId="53" fillId="0" borderId="70" xfId="1" applyNumberFormat="1" applyFont="1" applyBorder="1"/>
    <xf numFmtId="170" fontId="18" fillId="0" borderId="0" xfId="17" applyNumberFormat="1" applyFont="1" applyAlignment="1">
      <alignment vertical="center"/>
    </xf>
    <xf numFmtId="0" fontId="61" fillId="0" borderId="0" xfId="17" applyFont="1"/>
    <xf numFmtId="170" fontId="46" fillId="17" borderId="0" xfId="17" applyNumberFormat="1" applyFill="1" applyAlignment="1">
      <alignment vertical="center"/>
    </xf>
    <xf numFmtId="170" fontId="46" fillId="0" borderId="0" xfId="17" applyNumberFormat="1"/>
    <xf numFmtId="0" fontId="18" fillId="0" borderId="55" xfId="17" applyFont="1" applyBorder="1"/>
    <xf numFmtId="0" fontId="46" fillId="0" borderId="55" xfId="17" applyBorder="1"/>
    <xf numFmtId="170" fontId="18" fillId="0" borderId="55" xfId="17" applyNumberFormat="1" applyFont="1" applyBorder="1" applyAlignment="1">
      <alignment vertical="center"/>
    </xf>
    <xf numFmtId="9" fontId="62" fillId="0" borderId="29" xfId="16" applyNumberFormat="1" applyFont="1" applyBorder="1"/>
    <xf numFmtId="3" fontId="46" fillId="0" borderId="0" xfId="17" applyNumberFormat="1" applyAlignment="1">
      <alignment vertical="center"/>
    </xf>
    <xf numFmtId="3" fontId="46" fillId="0" borderId="0" xfId="17" applyNumberFormat="1"/>
    <xf numFmtId="41" fontId="46" fillId="0" borderId="22" xfId="16" applyFont="1" applyBorder="1" applyAlignment="1">
      <alignment vertical="center"/>
    </xf>
    <xf numFmtId="41" fontId="46" fillId="0" borderId="0" xfId="16" applyFont="1" applyBorder="1" applyAlignment="1">
      <alignment vertical="center"/>
    </xf>
    <xf numFmtId="38" fontId="62" fillId="0" borderId="46" xfId="16" applyNumberFormat="1" applyFont="1" applyBorder="1"/>
    <xf numFmtId="9" fontId="62" fillId="0" borderId="73" xfId="17" applyNumberFormat="1" applyFont="1" applyBorder="1"/>
    <xf numFmtId="38" fontId="62" fillId="0" borderId="68" xfId="17" applyNumberFormat="1" applyFont="1" applyBorder="1"/>
    <xf numFmtId="0" fontId="0" fillId="0" borderId="0" xfId="0" applyAlignment="1">
      <alignment horizontal="center"/>
    </xf>
    <xf numFmtId="172" fontId="5" fillId="0" borderId="0" xfId="0" applyNumberFormat="1" applyFont="1" applyAlignment="1">
      <alignment horizontal="center" vertical="center"/>
    </xf>
    <xf numFmtId="3" fontId="4" fillId="5" borderId="7" xfId="2" applyNumberFormat="1" applyFont="1" applyFill="1" applyBorder="1" applyAlignment="1">
      <alignment horizontal="center" vertical="center"/>
    </xf>
    <xf numFmtId="3" fontId="4" fillId="5" borderId="5" xfId="2" applyNumberFormat="1" applyFont="1" applyFill="1" applyBorder="1" applyAlignment="1">
      <alignment horizontal="center" vertical="center"/>
    </xf>
    <xf numFmtId="3" fontId="4" fillId="2" borderId="7" xfId="2" applyNumberFormat="1" applyFont="1" applyFill="1" applyBorder="1" applyAlignment="1">
      <alignment horizontal="center" vertical="center"/>
    </xf>
    <xf numFmtId="3" fontId="4" fillId="2" borderId="5" xfId="2" applyNumberFormat="1" applyFont="1" applyFill="1" applyBorder="1" applyAlignment="1">
      <alignment horizontal="center" vertical="center"/>
    </xf>
    <xf numFmtId="3" fontId="4" fillId="3" borderId="12" xfId="0" applyNumberFormat="1" applyFont="1" applyFill="1" applyBorder="1" applyAlignment="1">
      <alignment horizontal="center" vertical="center"/>
    </xf>
    <xf numFmtId="3" fontId="4" fillId="3" borderId="9" xfId="0" applyNumberFormat="1" applyFont="1" applyFill="1" applyBorder="1" applyAlignment="1">
      <alignment horizontal="center" vertical="center"/>
    </xf>
    <xf numFmtId="3" fontId="4" fillId="3" borderId="7" xfId="2" applyNumberFormat="1" applyFont="1" applyFill="1" applyBorder="1" applyAlignment="1">
      <alignment horizontal="center" vertical="center"/>
    </xf>
    <xf numFmtId="3" fontId="4" fillId="3" borderId="5" xfId="2" applyNumberFormat="1" applyFont="1" applyFill="1" applyBorder="1" applyAlignment="1">
      <alignment horizontal="center" vertical="center"/>
    </xf>
    <xf numFmtId="3" fontId="4" fillId="3" borderId="7" xfId="0" applyNumberFormat="1" applyFont="1" applyFill="1" applyBorder="1" applyAlignment="1">
      <alignment horizontal="center" vertical="center"/>
    </xf>
    <xf numFmtId="3" fontId="4" fillId="3" borderId="5" xfId="0" applyNumberFormat="1" applyFont="1" applyFill="1" applyBorder="1" applyAlignment="1">
      <alignment horizontal="center" vertical="center"/>
    </xf>
    <xf numFmtId="3" fontId="4" fillId="3" borderId="5" xfId="0" applyNumberFormat="1" applyFont="1" applyFill="1" applyBorder="1" applyAlignment="1">
      <alignment horizontal="left" vertical="center"/>
    </xf>
    <xf numFmtId="3" fontId="4" fillId="3" borderId="6" xfId="0" applyNumberFormat="1" applyFont="1" applyFill="1" applyBorder="1" applyAlignment="1">
      <alignment horizontal="left" vertical="center"/>
    </xf>
    <xf numFmtId="3" fontId="4" fillId="3" borderId="7" xfId="0" applyNumberFormat="1" applyFont="1" applyFill="1" applyBorder="1" applyAlignment="1">
      <alignment horizontal="left" vertical="center"/>
    </xf>
    <xf numFmtId="3" fontId="4" fillId="3" borderId="8" xfId="0" applyNumberFormat="1" applyFont="1" applyFill="1" applyBorder="1" applyAlignment="1">
      <alignment horizontal="left" vertical="center"/>
    </xf>
    <xf numFmtId="3" fontId="4" fillId="3" borderId="8" xfId="0" applyNumberFormat="1" applyFont="1" applyFill="1" applyBorder="1" applyAlignment="1">
      <alignment horizontal="center" vertical="center"/>
    </xf>
    <xf numFmtId="3" fontId="9" fillId="2" borderId="0" xfId="0" applyNumberFormat="1" applyFont="1" applyFill="1" applyBorder="1" applyAlignment="1">
      <alignment horizontal="center" vertical="center"/>
    </xf>
    <xf numFmtId="3" fontId="9" fillId="2" borderId="21" xfId="0" applyNumberFormat="1" applyFont="1" applyFill="1" applyBorder="1" applyAlignment="1">
      <alignment horizontal="center" vertical="center"/>
    </xf>
    <xf numFmtId="3" fontId="9" fillId="2" borderId="4" xfId="0" applyNumberFormat="1" applyFont="1" applyFill="1" applyBorder="1" applyAlignment="1">
      <alignment horizontal="center" vertical="center"/>
    </xf>
    <xf numFmtId="3" fontId="9" fillId="2" borderId="1" xfId="0" applyNumberFormat="1" applyFont="1" applyFill="1" applyBorder="1" applyAlignment="1">
      <alignment horizontal="center" vertical="center"/>
    </xf>
    <xf numFmtId="1" fontId="10" fillId="5" borderId="6" xfId="0" applyNumberFormat="1" applyFont="1" applyFill="1" applyBorder="1" applyAlignment="1">
      <alignment horizontal="center" vertical="center"/>
    </xf>
    <xf numFmtId="3" fontId="9" fillId="2" borderId="8" xfId="0" applyNumberFormat="1" applyFont="1" applyFill="1" applyBorder="1" applyAlignment="1">
      <alignment horizontal="center" vertical="center"/>
    </xf>
    <xf numFmtId="3" fontId="9" fillId="2" borderId="5" xfId="0" applyNumberFormat="1" applyFont="1" applyFill="1" applyBorder="1" applyAlignment="1">
      <alignment horizontal="center" vertical="center"/>
    </xf>
    <xf numFmtId="9" fontId="4" fillId="3" borderId="7" xfId="2" applyFont="1" applyFill="1" applyBorder="1" applyAlignment="1">
      <alignment horizontal="center" vertical="center"/>
    </xf>
    <xf numFmtId="9" fontId="4" fillId="3" borderId="5" xfId="2" applyFont="1" applyFill="1" applyBorder="1" applyAlignment="1">
      <alignment horizontal="center" vertical="center"/>
    </xf>
    <xf numFmtId="3" fontId="4" fillId="5" borderId="7" xfId="0" applyNumberFormat="1" applyFont="1" applyFill="1" applyBorder="1" applyAlignment="1">
      <alignment horizontal="center" vertical="center"/>
    </xf>
    <xf numFmtId="3" fontId="4" fillId="5" borderId="5" xfId="0" applyNumberFormat="1" applyFont="1" applyFill="1" applyBorder="1" applyAlignment="1">
      <alignment horizontal="center" vertical="center"/>
    </xf>
    <xf numFmtId="168" fontId="4" fillId="5" borderId="7" xfId="0" applyNumberFormat="1" applyFont="1" applyFill="1" applyBorder="1" applyAlignment="1">
      <alignment horizontal="center" vertical="center"/>
    </xf>
    <xf numFmtId="168" fontId="4" fillId="5" borderId="5" xfId="0" applyNumberFormat="1" applyFont="1" applyFill="1" applyBorder="1" applyAlignment="1">
      <alignment horizontal="center" vertical="center"/>
    </xf>
    <xf numFmtId="9" fontId="4" fillId="2" borderId="8" xfId="2" applyFont="1" applyFill="1" applyBorder="1" applyAlignment="1">
      <alignment horizontal="center" vertical="center"/>
    </xf>
    <xf numFmtId="9" fontId="4" fillId="2" borderId="5" xfId="2" applyFont="1" applyFill="1" applyBorder="1" applyAlignment="1">
      <alignment horizontal="center" vertical="center"/>
    </xf>
    <xf numFmtId="0" fontId="13" fillId="0" borderId="18" xfId="0" applyFont="1" applyBorder="1" applyAlignment="1">
      <alignment horizontal="center" vertical="center"/>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2" fillId="0" borderId="13" xfId="0" applyFont="1" applyBorder="1" applyAlignment="1">
      <alignment horizontal="center" vertical="center"/>
    </xf>
    <xf numFmtId="3" fontId="4" fillId="3" borderId="11" xfId="0" applyNumberFormat="1" applyFont="1" applyFill="1" applyBorder="1" applyAlignment="1">
      <alignment horizontal="center" vertical="center"/>
    </xf>
    <xf numFmtId="9" fontId="4" fillId="3" borderId="11" xfId="2" applyFont="1" applyFill="1" applyBorder="1" applyAlignment="1">
      <alignment horizontal="center" vertical="center"/>
    </xf>
    <xf numFmtId="9" fontId="4" fillId="3" borderId="9" xfId="2" applyFont="1" applyFill="1" applyBorder="1" applyAlignment="1">
      <alignment horizontal="center" vertical="center"/>
    </xf>
    <xf numFmtId="3" fontId="4" fillId="3" borderId="12" xfId="0" applyNumberFormat="1" applyFont="1" applyFill="1" applyBorder="1" applyAlignment="1">
      <alignment horizontal="left" vertical="center"/>
    </xf>
    <xf numFmtId="3" fontId="4" fillId="3" borderId="11" xfId="0" applyNumberFormat="1" applyFont="1" applyFill="1" applyBorder="1" applyAlignment="1">
      <alignment horizontal="left" vertical="center"/>
    </xf>
    <xf numFmtId="1" fontId="10" fillId="2" borderId="10"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9" fontId="4" fillId="3" borderId="8" xfId="2" applyFont="1" applyFill="1" applyBorder="1" applyAlignment="1">
      <alignment horizontal="center" vertical="center"/>
    </xf>
    <xf numFmtId="1" fontId="4" fillId="3" borderId="7" xfId="2" applyNumberFormat="1" applyFont="1" applyFill="1" applyBorder="1" applyAlignment="1">
      <alignment horizontal="center" vertical="center"/>
    </xf>
    <xf numFmtId="1" fontId="4" fillId="3" borderId="5" xfId="2" applyNumberFormat="1" applyFont="1" applyFill="1" applyBorder="1" applyAlignment="1">
      <alignment horizontal="center" vertical="center"/>
    </xf>
    <xf numFmtId="3" fontId="4" fillId="2" borderId="1" xfId="0" applyNumberFormat="1" applyFont="1" applyFill="1" applyBorder="1" applyAlignment="1">
      <alignment horizontal="center" vertical="center"/>
    </xf>
    <xf numFmtId="3" fontId="4" fillId="2" borderId="2" xfId="0" applyNumberFormat="1" applyFont="1" applyFill="1" applyBorder="1" applyAlignment="1">
      <alignment horizontal="center" vertical="center"/>
    </xf>
    <xf numFmtId="3" fontId="4" fillId="2" borderId="3" xfId="0" applyNumberFormat="1" applyFont="1" applyFill="1" applyBorder="1" applyAlignment="1">
      <alignment horizontal="center" vertical="center"/>
    </xf>
    <xf numFmtId="3" fontId="4" fillId="2" borderId="4" xfId="0" applyNumberFormat="1" applyFont="1" applyFill="1" applyBorder="1" applyAlignment="1">
      <alignment horizontal="center" vertical="center"/>
    </xf>
    <xf numFmtId="3" fontId="4" fillId="4" borderId="12" xfId="0" applyNumberFormat="1" applyFont="1" applyFill="1" applyBorder="1" applyAlignment="1">
      <alignment horizontal="center" vertical="center"/>
    </xf>
    <xf numFmtId="3" fontId="4" fillId="4" borderId="9" xfId="0" applyNumberFormat="1" applyFont="1" applyFill="1" applyBorder="1" applyAlignment="1">
      <alignment horizontal="center" vertical="center"/>
    </xf>
    <xf numFmtId="1" fontId="4" fillId="3" borderId="7" xfId="0" applyNumberFormat="1" applyFont="1" applyFill="1" applyBorder="1" applyAlignment="1">
      <alignment horizontal="center" vertical="center"/>
    </xf>
    <xf numFmtId="1" fontId="4" fillId="3" borderId="5" xfId="0" applyNumberFormat="1" applyFont="1" applyFill="1" applyBorder="1" applyAlignment="1">
      <alignment horizontal="center" vertical="center"/>
    </xf>
    <xf numFmtId="37" fontId="4" fillId="3" borderId="7" xfId="1" applyNumberFormat="1" applyFont="1" applyFill="1" applyBorder="1" applyAlignment="1">
      <alignment horizontal="center" vertical="center"/>
    </xf>
    <xf numFmtId="37" fontId="4" fillId="3" borderId="5" xfId="1" applyNumberFormat="1" applyFont="1" applyFill="1" applyBorder="1" applyAlignment="1">
      <alignment horizontal="center" vertical="center"/>
    </xf>
    <xf numFmtId="3" fontId="4" fillId="3" borderId="6" xfId="0" applyNumberFormat="1" applyFont="1" applyFill="1" applyBorder="1" applyAlignment="1">
      <alignment horizontal="center" vertical="center"/>
    </xf>
    <xf numFmtId="9" fontId="4" fillId="3" borderId="7" xfId="2" applyNumberFormat="1" applyFont="1" applyFill="1" applyBorder="1" applyAlignment="1">
      <alignment horizontal="center" vertical="center"/>
    </xf>
    <xf numFmtId="9" fontId="4" fillId="3" borderId="5" xfId="2" applyNumberFormat="1" applyFont="1" applyFill="1" applyBorder="1" applyAlignment="1">
      <alignment horizontal="center" vertical="center"/>
    </xf>
    <xf numFmtId="3" fontId="4" fillId="3" borderId="10" xfId="0" applyNumberFormat="1" applyFont="1" applyFill="1" applyBorder="1" applyAlignment="1">
      <alignment horizontal="center" vertical="center"/>
    </xf>
    <xf numFmtId="167" fontId="4" fillId="3" borderId="7" xfId="2" applyNumberFormat="1" applyFont="1" applyFill="1" applyBorder="1" applyAlignment="1">
      <alignment horizontal="center" vertical="center"/>
    </xf>
    <xf numFmtId="167" fontId="4" fillId="3" borderId="5" xfId="2" applyNumberFormat="1" applyFont="1" applyFill="1" applyBorder="1" applyAlignment="1">
      <alignment horizontal="center" vertical="center"/>
    </xf>
    <xf numFmtId="3" fontId="4" fillId="0" borderId="3" xfId="0" applyNumberFormat="1" applyFont="1" applyFill="1" applyBorder="1" applyAlignment="1">
      <alignment horizontal="center" vertical="center"/>
    </xf>
    <xf numFmtId="3" fontId="4" fillId="0" borderId="4" xfId="0" applyNumberFormat="1" applyFont="1" applyFill="1" applyBorder="1" applyAlignment="1">
      <alignment horizontal="center" vertical="center"/>
    </xf>
    <xf numFmtId="3" fontId="4" fillId="0" borderId="1" xfId="0" applyNumberFormat="1" applyFont="1" applyFill="1" applyBorder="1" applyAlignment="1">
      <alignment horizontal="center" vertical="center"/>
    </xf>
    <xf numFmtId="3" fontId="4" fillId="0" borderId="7" xfId="0" applyNumberFormat="1" applyFont="1" applyFill="1" applyBorder="1" applyAlignment="1">
      <alignment horizontal="left" vertical="center"/>
    </xf>
    <xf numFmtId="3" fontId="4" fillId="0" borderId="8" xfId="0" applyNumberFormat="1" applyFont="1" applyFill="1" applyBorder="1" applyAlignment="1">
      <alignment horizontal="left" vertical="center"/>
    </xf>
    <xf numFmtId="3" fontId="4" fillId="0" borderId="7" xfId="0" applyNumberFormat="1" applyFont="1" applyFill="1" applyBorder="1" applyAlignment="1">
      <alignment horizontal="center" vertical="center"/>
    </xf>
    <xf numFmtId="3" fontId="4" fillId="0" borderId="5" xfId="0" applyNumberFormat="1" applyFont="1" applyFill="1" applyBorder="1" applyAlignment="1">
      <alignment horizontal="center" vertical="center"/>
    </xf>
    <xf numFmtId="3" fontId="4" fillId="5" borderId="4" xfId="0" applyNumberFormat="1" applyFont="1" applyFill="1" applyBorder="1" applyAlignment="1">
      <alignment horizontal="center" vertical="center"/>
    </xf>
    <xf numFmtId="3" fontId="4" fillId="5" borderId="1" xfId="0" applyNumberFormat="1" applyFont="1" applyFill="1" applyBorder="1" applyAlignment="1">
      <alignment horizontal="center" vertical="center"/>
    </xf>
    <xf numFmtId="3" fontId="4" fillId="5" borderId="3" xfId="0" applyNumberFormat="1" applyFont="1" applyFill="1" applyBorder="1" applyAlignment="1">
      <alignment horizontal="center" vertical="center"/>
    </xf>
    <xf numFmtId="1" fontId="4" fillId="5" borderId="7" xfId="0" applyNumberFormat="1" applyFont="1" applyFill="1" applyBorder="1" applyAlignment="1">
      <alignment horizontal="center" vertical="center"/>
    </xf>
    <xf numFmtId="1" fontId="4" fillId="5" borderId="5" xfId="0" applyNumberFormat="1" applyFont="1" applyFill="1" applyBorder="1" applyAlignment="1">
      <alignment horizontal="center" vertical="center"/>
    </xf>
    <xf numFmtId="37" fontId="4" fillId="5" borderId="7" xfId="1" applyNumberFormat="1" applyFont="1" applyFill="1" applyBorder="1" applyAlignment="1">
      <alignment horizontal="center" vertical="center"/>
    </xf>
    <xf numFmtId="37" fontId="4" fillId="5" borderId="5" xfId="1" applyNumberFormat="1" applyFont="1" applyFill="1" applyBorder="1" applyAlignment="1">
      <alignment horizontal="center" vertical="center"/>
    </xf>
    <xf numFmtId="3" fontId="4" fillId="5" borderId="7" xfId="0" applyNumberFormat="1" applyFont="1" applyFill="1" applyBorder="1" applyAlignment="1">
      <alignment horizontal="left" vertical="center"/>
    </xf>
    <xf numFmtId="3" fontId="4" fillId="5" borderId="8" xfId="0" applyNumberFormat="1" applyFont="1" applyFill="1" applyBorder="1" applyAlignment="1">
      <alignment horizontal="left" vertical="center"/>
    </xf>
    <xf numFmtId="1" fontId="4" fillId="5" borderId="7" xfId="2" applyNumberFormat="1" applyFont="1" applyFill="1" applyBorder="1" applyAlignment="1">
      <alignment horizontal="center" vertical="center"/>
    </xf>
    <xf numFmtId="1" fontId="4" fillId="5" borderId="5" xfId="2" applyNumberFormat="1" applyFont="1" applyFill="1" applyBorder="1" applyAlignment="1">
      <alignment horizontal="center" vertical="center"/>
    </xf>
    <xf numFmtId="3" fontId="4" fillId="5" borderId="8" xfId="0" applyNumberFormat="1" applyFont="1" applyFill="1" applyBorder="1" applyAlignment="1">
      <alignment horizontal="center" vertical="center"/>
    </xf>
    <xf numFmtId="9" fontId="4" fillId="5" borderId="8" xfId="2" applyFont="1" applyFill="1" applyBorder="1" applyAlignment="1">
      <alignment horizontal="center" vertical="center"/>
    </xf>
    <xf numFmtId="9" fontId="4" fillId="5" borderId="5" xfId="2" applyFont="1" applyFill="1" applyBorder="1" applyAlignment="1">
      <alignment horizontal="center" vertical="center"/>
    </xf>
    <xf numFmtId="9" fontId="4" fillId="5" borderId="11" xfId="2" applyFont="1" applyFill="1" applyBorder="1" applyAlignment="1">
      <alignment horizontal="center" vertical="center"/>
    </xf>
    <xf numFmtId="9" fontId="4" fillId="5" borderId="9" xfId="2" applyFont="1" applyFill="1" applyBorder="1" applyAlignment="1">
      <alignment horizontal="center" vertical="center"/>
    </xf>
    <xf numFmtId="3" fontId="4" fillId="5" borderId="12" xfId="0" applyNumberFormat="1" applyFont="1" applyFill="1" applyBorder="1" applyAlignment="1">
      <alignment horizontal="center" vertical="center"/>
    </xf>
    <xf numFmtId="3" fontId="4" fillId="5" borderId="9" xfId="0" applyNumberFormat="1" applyFont="1" applyFill="1" applyBorder="1" applyAlignment="1">
      <alignment horizontal="center" vertical="center"/>
    </xf>
    <xf numFmtId="3" fontId="4" fillId="5" borderId="12" xfId="0" applyNumberFormat="1" applyFont="1" applyFill="1" applyBorder="1" applyAlignment="1">
      <alignment horizontal="left" vertical="center"/>
    </xf>
    <xf numFmtId="3" fontId="4" fillId="5" borderId="11" xfId="0" applyNumberFormat="1" applyFont="1" applyFill="1" applyBorder="1" applyAlignment="1">
      <alignment horizontal="left" vertical="center"/>
    </xf>
    <xf numFmtId="3" fontId="4" fillId="4" borderId="7" xfId="0" applyNumberFormat="1" applyFont="1" applyFill="1" applyBorder="1" applyAlignment="1">
      <alignment horizontal="center" vertical="center"/>
    </xf>
    <xf numFmtId="3" fontId="4" fillId="4" borderId="8" xfId="0" applyNumberFormat="1" applyFont="1" applyFill="1" applyBorder="1" applyAlignment="1">
      <alignment horizontal="center" vertical="center"/>
    </xf>
    <xf numFmtId="3" fontId="9" fillId="0" borderId="4" xfId="0" applyNumberFormat="1" applyFont="1" applyFill="1" applyBorder="1" applyAlignment="1">
      <alignment horizontal="center" vertical="center"/>
    </xf>
    <xf numFmtId="3" fontId="9" fillId="0" borderId="1" xfId="0" applyNumberFormat="1" applyFont="1" applyFill="1" applyBorder="1" applyAlignment="1">
      <alignment horizontal="center" vertical="center"/>
    </xf>
    <xf numFmtId="0" fontId="48" fillId="0" borderId="38" xfId="17" applyFont="1" applyBorder="1" applyAlignment="1">
      <alignment horizontal="center"/>
    </xf>
    <xf numFmtId="0" fontId="48" fillId="0" borderId="39" xfId="17" applyFont="1" applyBorder="1" applyAlignment="1">
      <alignment horizontal="center"/>
    </xf>
    <xf numFmtId="0" fontId="48" fillId="0" borderId="71" xfId="17" applyFont="1" applyBorder="1" applyAlignment="1">
      <alignment horizontal="center"/>
    </xf>
    <xf numFmtId="0" fontId="46" fillId="0" borderId="27" xfId="17" applyBorder="1" applyAlignment="1">
      <alignment horizontal="left" indent="1"/>
    </xf>
    <xf numFmtId="0" fontId="46" fillId="0" borderId="28" xfId="17" applyBorder="1" applyAlignment="1">
      <alignment horizontal="left" indent="1"/>
    </xf>
    <xf numFmtId="0" fontId="18" fillId="0" borderId="28" xfId="17" applyFont="1" applyBorder="1" applyAlignment="1">
      <alignment horizontal="left"/>
    </xf>
    <xf numFmtId="0" fontId="46" fillId="0" borderId="0" xfId="17" quotePrefix="1" applyAlignment="1">
      <alignment horizontal="left" indent="1"/>
    </xf>
    <xf numFmtId="0" fontId="46" fillId="0" borderId="0" xfId="17" applyAlignment="1">
      <alignment horizontal="left" indent="1"/>
    </xf>
    <xf numFmtId="0" fontId="46" fillId="0" borderId="30" xfId="17" applyBorder="1" applyAlignment="1">
      <alignment horizontal="left" vertical="center" indent="1"/>
    </xf>
    <xf numFmtId="0" fontId="46" fillId="0" borderId="0" xfId="17" applyAlignment="1">
      <alignment horizontal="left" vertical="center" indent="1"/>
    </xf>
    <xf numFmtId="0" fontId="18" fillId="0" borderId="0" xfId="17" applyFont="1" applyAlignment="1">
      <alignment horizontal="left"/>
    </xf>
    <xf numFmtId="0" fontId="18" fillId="0" borderId="31" xfId="17" applyFont="1" applyBorder="1" applyAlignment="1">
      <alignment horizontal="left" indent="1"/>
    </xf>
    <xf numFmtId="0" fontId="18" fillId="0" borderId="32" xfId="17" applyFont="1" applyBorder="1" applyAlignment="1">
      <alignment horizontal="left" indent="1"/>
    </xf>
    <xf numFmtId="0" fontId="18" fillId="0" borderId="0" xfId="17" applyFont="1" applyAlignment="1">
      <alignment horizontal="center"/>
    </xf>
    <xf numFmtId="0" fontId="46" fillId="0" borderId="0" xfId="17" applyAlignment="1">
      <alignment horizontal="center"/>
    </xf>
    <xf numFmtId="0" fontId="18" fillId="0" borderId="28" xfId="17" applyFont="1" applyBorder="1" applyAlignment="1">
      <alignment horizontal="center"/>
    </xf>
    <xf numFmtId="0" fontId="18" fillId="0" borderId="27" xfId="17" applyFont="1" applyBorder="1" applyAlignment="1">
      <alignment horizontal="left" indent="1"/>
    </xf>
    <xf numFmtId="0" fontId="18" fillId="0" borderId="28" xfId="17" applyFont="1" applyBorder="1" applyAlignment="1">
      <alignment horizontal="left" indent="1"/>
    </xf>
    <xf numFmtId="0" fontId="18" fillId="0" borderId="30" xfId="17" applyFont="1" applyBorder="1" applyAlignment="1">
      <alignment horizontal="left" indent="1"/>
    </xf>
    <xf numFmtId="0" fontId="18" fillId="0" borderId="0" xfId="17" applyFont="1" applyAlignment="1">
      <alignment horizontal="left" indent="1"/>
    </xf>
    <xf numFmtId="41" fontId="18" fillId="0" borderId="23" xfId="17" applyNumberFormat="1" applyFont="1" applyBorder="1" applyAlignment="1">
      <alignment horizontal="center"/>
    </xf>
    <xf numFmtId="0" fontId="18" fillId="0" borderId="23" xfId="17" applyFont="1" applyBorder="1" applyAlignment="1">
      <alignment horizontal="center"/>
    </xf>
    <xf numFmtId="0" fontId="29" fillId="0" borderId="47" xfId="8" applyFont="1" applyBorder="1" applyAlignment="1">
      <alignment horizontal="center"/>
    </xf>
    <xf numFmtId="0" fontId="29" fillId="0" borderId="0" xfId="8" applyFont="1" applyAlignment="1">
      <alignment horizontal="center" wrapText="1"/>
    </xf>
    <xf numFmtId="0" fontId="29" fillId="0" borderId="24" xfId="8" applyFont="1" applyBorder="1" applyAlignment="1">
      <alignment horizontal="center" wrapText="1"/>
    </xf>
    <xf numFmtId="0" fontId="29" fillId="0" borderId="25" xfId="8" applyFont="1" applyBorder="1" applyAlignment="1">
      <alignment horizontal="center" wrapText="1"/>
    </xf>
    <xf numFmtId="0" fontId="44" fillId="12" borderId="47" xfId="8" applyFont="1" applyFill="1" applyBorder="1" applyAlignment="1">
      <alignment horizontal="center" vertical="center"/>
    </xf>
    <xf numFmtId="0" fontId="45" fillId="12" borderId="48" xfId="8" applyFont="1" applyFill="1" applyBorder="1" applyAlignment="1">
      <alignment horizontal="center" vertical="center"/>
    </xf>
    <xf numFmtId="0" fontId="45" fillId="12" borderId="50" xfId="8" applyFont="1" applyFill="1" applyBorder="1" applyAlignment="1">
      <alignment horizontal="center" vertical="center"/>
    </xf>
    <xf numFmtId="0" fontId="29" fillId="0" borderId="48" xfId="8" applyFont="1" applyBorder="1" applyAlignment="1">
      <alignment horizontal="center" vertical="center"/>
    </xf>
    <xf numFmtId="0" fontId="29" fillId="0" borderId="50" xfId="8" applyFont="1" applyBorder="1" applyAlignment="1">
      <alignment horizontal="center" vertical="center"/>
    </xf>
    <xf numFmtId="0" fontId="0" fillId="0" borderId="48" xfId="0" applyBorder="1" applyAlignment="1">
      <alignment horizontal="center" vertical="center" wrapText="1"/>
    </xf>
    <xf numFmtId="0" fontId="0" fillId="0" borderId="50" xfId="0" applyBorder="1" applyAlignment="1">
      <alignment horizontal="center" vertical="center" wrapText="1"/>
    </xf>
    <xf numFmtId="0" fontId="0" fillId="0" borderId="48" xfId="0" applyBorder="1" applyAlignment="1">
      <alignment horizontal="left" vertical="center" wrapText="1"/>
    </xf>
    <xf numFmtId="0" fontId="0" fillId="0" borderId="49" xfId="0" applyBorder="1" applyAlignment="1">
      <alignment horizontal="left" vertical="center" wrapText="1"/>
    </xf>
    <xf numFmtId="0" fontId="0" fillId="0" borderId="50" xfId="0" applyBorder="1" applyAlignment="1">
      <alignment horizontal="left" vertical="center" wrapText="1"/>
    </xf>
    <xf numFmtId="0" fontId="0" fillId="10" borderId="24" xfId="0" applyFill="1" applyBorder="1" applyAlignment="1">
      <alignment horizontal="center"/>
    </xf>
    <xf numFmtId="0" fontId="0" fillId="10" borderId="25" xfId="0" applyFill="1" applyBorder="1" applyAlignment="1">
      <alignment horizontal="center"/>
    </xf>
    <xf numFmtId="0" fontId="0" fillId="10" borderId="48" xfId="0" applyFill="1" applyBorder="1" applyAlignment="1">
      <alignment horizontal="center" vertical="center"/>
    </xf>
    <xf numFmtId="0" fontId="0" fillId="10" borderId="50" xfId="0" applyFill="1" applyBorder="1" applyAlignment="1">
      <alignment horizontal="center" vertical="center"/>
    </xf>
    <xf numFmtId="0" fontId="0" fillId="0" borderId="47" xfId="0" applyBorder="1" applyAlignment="1">
      <alignment horizontal="center" vertical="center"/>
    </xf>
    <xf numFmtId="0" fontId="0" fillId="11" borderId="47" xfId="0" applyFill="1" applyBorder="1" applyAlignment="1">
      <alignment horizontal="center" vertical="center"/>
    </xf>
    <xf numFmtId="9" fontId="27" fillId="0" borderId="27" xfId="0" applyNumberFormat="1"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27" fillId="0" borderId="46" xfId="0" applyFont="1" applyBorder="1" applyAlignment="1">
      <alignment horizontal="center" vertical="center"/>
    </xf>
    <xf numFmtId="0" fontId="27" fillId="0" borderId="31" xfId="0" applyFont="1" applyBorder="1" applyAlignment="1">
      <alignment horizontal="center" vertical="center"/>
    </xf>
    <xf numFmtId="0" fontId="27" fillId="0" borderId="33" xfId="0" applyFont="1" applyBorder="1" applyAlignment="1">
      <alignment horizontal="center"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26" fillId="0" borderId="36" xfId="0" applyFont="1" applyBorder="1" applyAlignment="1">
      <alignment horizontal="center" vertical="center"/>
    </xf>
    <xf numFmtId="170" fontId="28" fillId="0" borderId="27" xfId="0" applyNumberFormat="1" applyFont="1" applyBorder="1" applyAlignment="1">
      <alignment horizontal="center" vertical="center"/>
    </xf>
    <xf numFmtId="0" fontId="28" fillId="0" borderId="29" xfId="0" applyFont="1" applyBorder="1" applyAlignment="1">
      <alignment horizontal="center" vertical="center"/>
    </xf>
    <xf numFmtId="0" fontId="28" fillId="0" borderId="30" xfId="0" applyFont="1" applyBorder="1" applyAlignment="1">
      <alignment horizontal="center" vertical="center"/>
    </xf>
    <xf numFmtId="0" fontId="28" fillId="0" borderId="46" xfId="0" applyFont="1" applyBorder="1" applyAlignment="1">
      <alignment horizontal="center" vertical="center"/>
    </xf>
    <xf numFmtId="0" fontId="28" fillId="0" borderId="31" xfId="0" applyFont="1" applyBorder="1" applyAlignment="1">
      <alignment horizontal="center" vertical="center"/>
    </xf>
    <xf numFmtId="0" fontId="28" fillId="0" borderId="33" xfId="0" applyFont="1" applyBorder="1" applyAlignment="1">
      <alignment horizontal="center" vertical="center"/>
    </xf>
    <xf numFmtId="0" fontId="19" fillId="9" borderId="23" xfId="0" applyFont="1" applyFill="1" applyBorder="1" applyAlignment="1" applyProtection="1">
      <alignment horizontal="left"/>
      <protection locked="0"/>
    </xf>
    <xf numFmtId="0" fontId="19" fillId="3" borderId="22" xfId="0" applyFont="1" applyFill="1" applyBorder="1" applyAlignment="1" applyProtection="1">
      <alignment horizontal="left"/>
      <protection locked="0"/>
    </xf>
    <xf numFmtId="0" fontId="19" fillId="9" borderId="24" xfId="0" applyFont="1" applyFill="1" applyBorder="1" applyAlignment="1" applyProtection="1">
      <alignment horizontal="center"/>
      <protection locked="0"/>
    </xf>
    <xf numFmtId="0" fontId="19" fillId="9" borderId="23" xfId="0" applyFont="1" applyFill="1" applyBorder="1" applyAlignment="1" applyProtection="1">
      <alignment horizontal="center"/>
      <protection locked="0"/>
    </xf>
    <xf numFmtId="0" fontId="19" fillId="9" borderId="25" xfId="0" applyFont="1" applyFill="1" applyBorder="1" applyAlignment="1" applyProtection="1">
      <alignment horizontal="center"/>
      <protection locked="0"/>
    </xf>
    <xf numFmtId="0" fontId="19" fillId="3" borderId="23" xfId="0" applyFont="1" applyFill="1" applyBorder="1" applyAlignment="1" applyProtection="1">
      <alignment horizontal="left"/>
      <protection locked="0"/>
    </xf>
    <xf numFmtId="0" fontId="29" fillId="0" borderId="47" xfId="8" applyBorder="1" applyAlignment="1">
      <alignment horizontal="center"/>
    </xf>
  </cellXfs>
  <cellStyles count="21">
    <cellStyle name="Comma" xfId="1" builtinId="3"/>
    <cellStyle name="Comma [0]" xfId="5" builtinId="6"/>
    <cellStyle name="Comma [0] 2" xfId="4" xr:uid="{00000000-0005-0000-0000-000002000000}"/>
    <cellStyle name="Comma [0] 3" xfId="11" xr:uid="{00000000-0005-0000-0000-000003000000}"/>
    <cellStyle name="Comma [0] 3 2" xfId="14" xr:uid="{25264D72-6E4F-4B1F-8FB1-85C48FF98E99}"/>
    <cellStyle name="Comma [0] 3 3" xfId="15" xr:uid="{A2F8A856-921B-40FD-B44C-7BDE050E83D5}"/>
    <cellStyle name="Comma [0] 4" xfId="16" xr:uid="{7E9DFBB9-F965-41C2-ADE7-CA7AB798B595}"/>
    <cellStyle name="Comma 2" xfId="6" xr:uid="{00000000-0005-0000-0000-000004000000}"/>
    <cellStyle name="Comma 5 2" xfId="18" xr:uid="{F8C5C796-04EC-4C90-80F5-9E3380C067FE}"/>
    <cellStyle name="Currency [0] 2" xfId="10" xr:uid="{00000000-0005-0000-0000-000005000000}"/>
    <cellStyle name="Normal" xfId="0" builtinId="0"/>
    <cellStyle name="Normal 2" xfId="3" xr:uid="{00000000-0005-0000-0000-000007000000}"/>
    <cellStyle name="Normal 2 2 2 2 3" xfId="19" xr:uid="{8DF248F7-332B-4B91-8726-F09D193BA249}"/>
    <cellStyle name="Normal 3" xfId="17" xr:uid="{07969AB6-E29B-44D9-A1C6-5FD6D19BD9CC}"/>
    <cellStyle name="Normal 4" xfId="12" xr:uid="{00000000-0005-0000-0000-000008000000}"/>
    <cellStyle name="Normal 7" xfId="8" xr:uid="{00000000-0005-0000-0000-000009000000}"/>
    <cellStyle name="Normal 7 2" xfId="9" xr:uid="{00000000-0005-0000-0000-00000A000000}"/>
    <cellStyle name="Normal 7 3" xfId="13" xr:uid="{13580CEF-BD64-4499-AF24-C0B984C44A64}"/>
    <cellStyle name="Percent" xfId="2" builtinId="5"/>
    <cellStyle name="Percent 2" xfId="7" xr:uid="{00000000-0005-0000-0000-00000C000000}"/>
    <cellStyle name="Percent 3" xfId="20" xr:uid="{4B5B2F7C-F7FF-4E6B-B67B-68002A3A52D9}"/>
  </cellStyles>
  <dxfs count="22">
    <dxf>
      <font>
        <color rgb="FF9C0006"/>
      </font>
      <fill>
        <patternFill>
          <bgColor rgb="FFFFC7CE"/>
        </patternFill>
      </fill>
    </dxf>
    <dxf>
      <font>
        <strike/>
      </font>
    </dxf>
    <dxf>
      <font>
        <color rgb="FF9C0006"/>
      </font>
      <fill>
        <patternFill>
          <bgColor rgb="FFFFC7CE"/>
        </patternFill>
      </fill>
    </dxf>
    <dxf>
      <font>
        <color rgb="FF9C0006"/>
      </font>
      <fill>
        <patternFill>
          <bgColor rgb="FFFFC7CE"/>
        </patternFill>
      </fill>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dxf>
    <dxf>
      <font>
        <color rgb="FF9C0006"/>
      </font>
    </dxf>
    <dxf>
      <font>
        <color rgb="FFFF0000"/>
      </font>
    </dxf>
    <dxf>
      <font>
        <color rgb="FFFF0000"/>
      </font>
    </dxf>
    <dxf>
      <font>
        <color rgb="FFFF0000"/>
      </font>
    </dxf>
    <dxf>
      <font>
        <color rgb="FFFF0000"/>
      </font>
    </dxf>
    <dxf>
      <font>
        <color rgb="FFFF0000"/>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twoCellAnchor>
    <xdr:from>
      <xdr:col>11</xdr:col>
      <xdr:colOff>612786</xdr:colOff>
      <xdr:row>25</xdr:row>
      <xdr:rowOff>79365</xdr:rowOff>
    </xdr:from>
    <xdr:to>
      <xdr:col>12</xdr:col>
      <xdr:colOff>791094</xdr:colOff>
      <xdr:row>25</xdr:row>
      <xdr:rowOff>79365</xdr:rowOff>
    </xdr:to>
    <xdr:cxnSp macro="">
      <xdr:nvCxnSpPr>
        <xdr:cNvPr id="2" name="Straight Connector 1">
          <a:extLst>
            <a:ext uri="{FF2B5EF4-FFF2-40B4-BE49-F238E27FC236}">
              <a16:creationId xmlns:a16="http://schemas.microsoft.com/office/drawing/2014/main" id="{E2EFD576-30FD-41B6-A1B3-C0D6C86A29FE}"/>
            </a:ext>
          </a:extLst>
        </xdr:cNvPr>
        <xdr:cNvCxnSpPr/>
      </xdr:nvCxnSpPr>
      <xdr:spPr>
        <a:xfrm flipV="1">
          <a:off x="7539366" y="4879965"/>
          <a:ext cx="1580388" cy="0"/>
        </a:xfrm>
        <a:prstGeom prst="line">
          <a:avLst/>
        </a:prstGeom>
        <a:ln w="28575"/>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76201</xdr:colOff>
      <xdr:row>28</xdr:row>
      <xdr:rowOff>20069</xdr:rowOff>
    </xdr:from>
    <xdr:to>
      <xdr:col>12</xdr:col>
      <xdr:colOff>1208314</xdr:colOff>
      <xdr:row>28</xdr:row>
      <xdr:rowOff>185057</xdr:rowOff>
    </xdr:to>
    <xdr:grpSp>
      <xdr:nvGrpSpPr>
        <xdr:cNvPr id="3" name="Group 2">
          <a:extLst>
            <a:ext uri="{FF2B5EF4-FFF2-40B4-BE49-F238E27FC236}">
              <a16:creationId xmlns:a16="http://schemas.microsoft.com/office/drawing/2014/main" id="{783AADE9-86D9-4791-A46A-385174231613}"/>
            </a:ext>
          </a:extLst>
        </xdr:cNvPr>
        <xdr:cNvGrpSpPr/>
      </xdr:nvGrpSpPr>
      <xdr:grpSpPr>
        <a:xfrm>
          <a:off x="704145" y="5276458"/>
          <a:ext cx="8857947" cy="164988"/>
          <a:chOff x="570986" y="5042917"/>
          <a:chExt cx="14774690" cy="343744"/>
        </a:xfrm>
      </xdr:grpSpPr>
      <xdr:sp macro="" textlink="">
        <xdr:nvSpPr>
          <xdr:cNvPr id="4" name="TextBox 3">
            <a:extLst>
              <a:ext uri="{FF2B5EF4-FFF2-40B4-BE49-F238E27FC236}">
                <a16:creationId xmlns:a16="http://schemas.microsoft.com/office/drawing/2014/main" id="{101297ED-034C-471B-A256-03969C7D19BC}"/>
              </a:ext>
            </a:extLst>
          </xdr:cNvPr>
          <xdr:cNvSpPr txBox="1"/>
        </xdr:nvSpPr>
        <xdr:spPr>
          <a:xfrm>
            <a:off x="5746462"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Nelson  F.H.</a:t>
            </a:r>
          </a:p>
        </xdr:txBody>
      </xdr:sp>
      <xdr:sp macro="" textlink="">
        <xdr:nvSpPr>
          <xdr:cNvPr id="5" name="TextBox 4">
            <a:extLst>
              <a:ext uri="{FF2B5EF4-FFF2-40B4-BE49-F238E27FC236}">
                <a16:creationId xmlns:a16="http://schemas.microsoft.com/office/drawing/2014/main" id="{D464CF97-338B-4845-861A-E25A1868DB99}"/>
              </a:ext>
            </a:extLst>
          </xdr:cNvPr>
          <xdr:cNvSpPr txBox="1"/>
        </xdr:nvSpPr>
        <xdr:spPr>
          <a:xfrm>
            <a:off x="570986"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Lilis S.</a:t>
            </a:r>
          </a:p>
        </xdr:txBody>
      </xdr:sp>
      <xdr:sp macro="" textlink="">
        <xdr:nvSpPr>
          <xdr:cNvPr id="6" name="TextBox 5">
            <a:extLst>
              <a:ext uri="{FF2B5EF4-FFF2-40B4-BE49-F238E27FC236}">
                <a16:creationId xmlns:a16="http://schemas.microsoft.com/office/drawing/2014/main" id="{656386E2-AEFE-42F0-B5A0-BAFF07590479}"/>
              </a:ext>
            </a:extLst>
          </xdr:cNvPr>
          <xdr:cNvSpPr txBox="1"/>
        </xdr:nvSpPr>
        <xdr:spPr>
          <a:xfrm>
            <a:off x="8334200" y="5042917"/>
            <a:ext cx="1836000" cy="3256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Cosmas C. W.</a:t>
            </a:r>
          </a:p>
        </xdr:txBody>
      </xdr:sp>
      <xdr:sp macro="" textlink="">
        <xdr:nvSpPr>
          <xdr:cNvPr id="7" name="TextBox 6">
            <a:extLst>
              <a:ext uri="{FF2B5EF4-FFF2-40B4-BE49-F238E27FC236}">
                <a16:creationId xmlns:a16="http://schemas.microsoft.com/office/drawing/2014/main" id="{0EC17B92-07A7-4EFF-8339-F3C9C66FD17E}"/>
              </a:ext>
            </a:extLst>
          </xdr:cNvPr>
          <xdr:cNvSpPr txBox="1"/>
        </xdr:nvSpPr>
        <xdr:spPr>
          <a:xfrm>
            <a:off x="10921938" y="5042917"/>
            <a:ext cx="1836000" cy="3289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Anni</a:t>
            </a:r>
            <a:r>
              <a:rPr lang="en-US" sz="1200" b="1" baseline="0"/>
              <a:t> S</a:t>
            </a:r>
            <a:endParaRPr lang="en-US" sz="1200" b="1"/>
          </a:p>
        </xdr:txBody>
      </xdr:sp>
      <xdr:sp macro="" textlink="">
        <xdr:nvSpPr>
          <xdr:cNvPr id="8" name="TextBox 7">
            <a:extLst>
              <a:ext uri="{FF2B5EF4-FFF2-40B4-BE49-F238E27FC236}">
                <a16:creationId xmlns:a16="http://schemas.microsoft.com/office/drawing/2014/main" id="{7A614929-B62D-46BE-875E-3D926C35CD38}"/>
              </a:ext>
            </a:extLst>
          </xdr:cNvPr>
          <xdr:cNvSpPr txBox="1"/>
        </xdr:nvSpPr>
        <xdr:spPr>
          <a:xfrm>
            <a:off x="13509676" y="5042917"/>
            <a:ext cx="1836000" cy="3379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Makmur J</a:t>
            </a:r>
          </a:p>
        </xdr:txBody>
      </xdr:sp>
      <xdr:sp macro="" textlink="">
        <xdr:nvSpPr>
          <xdr:cNvPr id="9" name="TextBox 8">
            <a:extLst>
              <a:ext uri="{FF2B5EF4-FFF2-40B4-BE49-F238E27FC236}">
                <a16:creationId xmlns:a16="http://schemas.microsoft.com/office/drawing/2014/main" id="{04E58E5A-EDBF-4180-AE30-3CC3A994C151}"/>
              </a:ext>
            </a:extLst>
          </xdr:cNvPr>
          <xdr:cNvSpPr txBox="1"/>
        </xdr:nvSpPr>
        <xdr:spPr>
          <a:xfrm>
            <a:off x="3158724" y="5042917"/>
            <a:ext cx="1836000" cy="3437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200" b="1"/>
              <a:t>Gaga H.</a:t>
            </a:r>
          </a:p>
        </xdr:txBody>
      </xdr:sp>
    </xdr:grpSp>
    <xdr:clientData/>
  </xdr:twoCellAnchor>
  <xdr:twoCellAnchor>
    <xdr:from>
      <xdr:col>2</xdr:col>
      <xdr:colOff>87947</xdr:colOff>
      <xdr:row>33</xdr:row>
      <xdr:rowOff>104251</xdr:rowOff>
    </xdr:from>
    <xdr:to>
      <xdr:col>13</xdr:col>
      <xdr:colOff>156845</xdr:colOff>
      <xdr:row>34</xdr:row>
      <xdr:rowOff>79374</xdr:rowOff>
    </xdr:to>
    <xdr:grpSp>
      <xdr:nvGrpSpPr>
        <xdr:cNvPr id="10" name="Group 9">
          <a:extLst>
            <a:ext uri="{FF2B5EF4-FFF2-40B4-BE49-F238E27FC236}">
              <a16:creationId xmlns:a16="http://schemas.microsoft.com/office/drawing/2014/main" id="{15D0B9FF-55D1-4C88-AB6E-1A95C9AA798A}"/>
            </a:ext>
          </a:extLst>
        </xdr:cNvPr>
        <xdr:cNvGrpSpPr/>
      </xdr:nvGrpSpPr>
      <xdr:grpSpPr>
        <a:xfrm>
          <a:off x="715891" y="6348418"/>
          <a:ext cx="9078843" cy="172678"/>
          <a:chOff x="722947" y="7327377"/>
          <a:chExt cx="10285884" cy="0"/>
        </a:xfrm>
      </xdr:grpSpPr>
      <xdr:cxnSp macro="">
        <xdr:nvCxnSpPr>
          <xdr:cNvPr id="11" name="Straight Connector 10">
            <a:extLst>
              <a:ext uri="{FF2B5EF4-FFF2-40B4-BE49-F238E27FC236}">
                <a16:creationId xmlns:a16="http://schemas.microsoft.com/office/drawing/2014/main" id="{AA5692E7-A6C4-4F4E-81A4-ED3A2100B459}"/>
              </a:ext>
            </a:extLst>
          </xdr:cNvPr>
          <xdr:cNvCxnSpPr/>
        </xdr:nvCxnSpPr>
        <xdr:spPr>
          <a:xfrm flipV="1">
            <a:off x="722947"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2" name="Straight Connector 11">
            <a:extLst>
              <a:ext uri="{FF2B5EF4-FFF2-40B4-BE49-F238E27FC236}">
                <a16:creationId xmlns:a16="http://schemas.microsoft.com/office/drawing/2014/main" id="{420C2FE8-5E2E-4B7C-9055-3D5C169B0F9C}"/>
              </a:ext>
            </a:extLst>
          </xdr:cNvPr>
          <xdr:cNvCxnSpPr/>
        </xdr:nvCxnSpPr>
        <xdr:spPr>
          <a:xfrm flipV="1">
            <a:off x="2492124"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3" name="Straight Connector 12">
            <a:extLst>
              <a:ext uri="{FF2B5EF4-FFF2-40B4-BE49-F238E27FC236}">
                <a16:creationId xmlns:a16="http://schemas.microsoft.com/office/drawing/2014/main" id="{1BFB17F5-A921-4A3E-9A04-964EBC734413}"/>
              </a:ext>
            </a:extLst>
          </xdr:cNvPr>
          <xdr:cNvCxnSpPr/>
        </xdr:nvCxnSpPr>
        <xdr:spPr>
          <a:xfrm>
            <a:off x="4261301"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4" name="Straight Connector 13">
            <a:extLst>
              <a:ext uri="{FF2B5EF4-FFF2-40B4-BE49-F238E27FC236}">
                <a16:creationId xmlns:a16="http://schemas.microsoft.com/office/drawing/2014/main" id="{A2CFF443-88AC-452E-A906-93B5785F2CDC}"/>
              </a:ext>
            </a:extLst>
          </xdr:cNvPr>
          <xdr:cNvCxnSpPr/>
        </xdr:nvCxnSpPr>
        <xdr:spPr>
          <a:xfrm flipV="1">
            <a:off x="6030478"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5" name="Straight Connector 14">
            <a:extLst>
              <a:ext uri="{FF2B5EF4-FFF2-40B4-BE49-F238E27FC236}">
                <a16:creationId xmlns:a16="http://schemas.microsoft.com/office/drawing/2014/main" id="{3EC45644-2607-464F-BDC8-40399E7A2F4E}"/>
              </a:ext>
            </a:extLst>
          </xdr:cNvPr>
          <xdr:cNvCxnSpPr/>
        </xdr:nvCxnSpPr>
        <xdr:spPr>
          <a:xfrm flipV="1">
            <a:off x="7799655"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cxnSp macro="">
        <xdr:nvCxnSpPr>
          <xdr:cNvPr id="16" name="Straight Connector 15">
            <a:extLst>
              <a:ext uri="{FF2B5EF4-FFF2-40B4-BE49-F238E27FC236}">
                <a16:creationId xmlns:a16="http://schemas.microsoft.com/office/drawing/2014/main" id="{10E11826-EE09-46F7-A61E-0F0122EC1728}"/>
              </a:ext>
            </a:extLst>
          </xdr:cNvPr>
          <xdr:cNvCxnSpPr/>
        </xdr:nvCxnSpPr>
        <xdr:spPr>
          <a:xfrm flipV="1">
            <a:off x="9568831" y="7327377"/>
            <a:ext cx="1440000" cy="0"/>
          </a:xfrm>
          <a:prstGeom prst="line">
            <a:avLst/>
          </a:prstGeom>
          <a:ln w="28575"/>
        </xdr:spPr>
        <xdr:style>
          <a:lnRef idx="1">
            <a:schemeClr val="dk1"/>
          </a:lnRef>
          <a:fillRef idx="0">
            <a:schemeClr val="dk1"/>
          </a:fillRef>
          <a:effectRef idx="0">
            <a:schemeClr val="dk1"/>
          </a:effectRef>
          <a:fontRef idx="minor">
            <a:schemeClr val="tx1"/>
          </a:fontRef>
        </xdr:style>
      </xdr:cxn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lfredo.setiadi\Downloads\Worksheet%20in%20IoT%20technical%20partners%20Negotiation.ppt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IRR/COMMERCIAL%20IBC%20SHARE%20MAY%206%20JUN_copy.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ALDO%20IBSW/IBS%20-%20IBC%20-%20OPENET/LIWO%20CIBUBUR/PnL%20LIWO%20Cibubur%2010y%20calculation%20v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ALDO%20IBSW/IBS%20-%20IBC%20-%20OPENET/AEON/PNL%20AEON%20Deltamas%20v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erlink"/>
      <sheetName val="PnL Sensor Base"/>
      <sheetName val="ABIMATA"/>
      <sheetName val="Modelling Kerlink gateway only"/>
    </sheetNames>
    <sheetDataSet>
      <sheetData sheetId="0">
        <row r="5">
          <cell r="D5">
            <v>2</v>
          </cell>
        </row>
      </sheetData>
      <sheetData sheetId="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SUM1"/>
      <sheetName val="SUM2"/>
      <sheetName val="PROGRESS"/>
      <sheetName val="BUDGET"/>
      <sheetName val="CONTRACT1"/>
      <sheetName val="new"/>
      <sheetName val="Current"/>
      <sheetName val="Sheet5"/>
      <sheetName val="OVERVIEW"/>
      <sheetName val="PROG"/>
      <sheetName val="2012"/>
      <sheetName val="1-10"/>
      <sheetName val="11-20"/>
      <sheetName val="21-30"/>
      <sheetName val="31-40"/>
      <sheetName val="41-50"/>
      <sheetName val="51-60 "/>
      <sheetName val="61-70"/>
      <sheetName val="71-80"/>
      <sheetName val="SITAC"/>
      <sheetName val="ANALYSIS"/>
      <sheetName val="SECURE"/>
      <sheetName val="NEGO"/>
      <sheetName val="WIFI SITE"/>
      <sheetName val="WIFI SITE1"/>
      <sheetName val="SITAC (2)"/>
      <sheetName val="IRR BUDGET"/>
      <sheetName val="STATUS"/>
      <sheetName val="ONEPARK_"/>
      <sheetName val="REVISION"/>
      <sheetName val="1001"/>
    </sheetNames>
    <sheetDataSet>
      <sheetData sheetId="0" refreshError="1"/>
      <sheetData sheetId="1" refreshError="1"/>
      <sheetData sheetId="2">
        <row r="54">
          <cell r="C54">
            <v>35000000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IRR"/>
      <sheetName val="Sheet1"/>
      <sheetName val="PARAMETER"/>
    </sheetNames>
    <sheetDataSet>
      <sheetData sheetId="0"/>
      <sheetData sheetId="1">
        <row r="3">
          <cell r="F3">
            <v>0.1</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R (3)"/>
      <sheetName val="IRR (2)"/>
      <sheetName val="Summary"/>
      <sheetName val="IRR"/>
      <sheetName val="PARAMETER"/>
    </sheetNames>
    <sheetDataSet>
      <sheetData sheetId="0"/>
      <sheetData sheetId="1"/>
      <sheetData sheetId="2"/>
      <sheetData sheetId="3">
        <row r="4">
          <cell r="G4">
            <v>0.1</v>
          </cell>
        </row>
      </sheetData>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workbookViewId="0">
      <selection activeCell="F23" sqref="F23"/>
    </sheetView>
  </sheetViews>
  <sheetFormatPr defaultRowHeight="14.5" x14ac:dyDescent="0.35"/>
  <cols>
    <col min="1" max="1" width="4" customWidth="1"/>
    <col min="2" max="2" width="16.90625" bestFit="1" customWidth="1"/>
  </cols>
  <sheetData>
    <row r="1" spans="1:7" x14ac:dyDescent="0.35">
      <c r="B1" t="s">
        <v>108</v>
      </c>
    </row>
    <row r="2" spans="1:7" x14ac:dyDescent="0.35">
      <c r="B2" t="s">
        <v>116</v>
      </c>
      <c r="C2">
        <v>2014</v>
      </c>
    </row>
    <row r="3" spans="1:7" x14ac:dyDescent="0.35">
      <c r="C3" s="497" t="s">
        <v>117</v>
      </c>
      <c r="D3" s="497"/>
      <c r="E3" s="497"/>
      <c r="F3" s="497"/>
      <c r="G3" s="497"/>
    </row>
    <row r="4" spans="1:7" x14ac:dyDescent="0.35">
      <c r="A4" t="s">
        <v>115</v>
      </c>
      <c r="B4" t="s">
        <v>114</v>
      </c>
      <c r="C4">
        <f>C2</f>
        <v>2014</v>
      </c>
      <c r="D4">
        <f>C4+1</f>
        <v>2015</v>
      </c>
      <c r="E4">
        <f t="shared" ref="E4:G4" si="0">D4+1</f>
        <v>2016</v>
      </c>
      <c r="F4">
        <f t="shared" si="0"/>
        <v>2017</v>
      </c>
      <c r="G4">
        <f t="shared" si="0"/>
        <v>2018</v>
      </c>
    </row>
    <row r="5" spans="1:7" x14ac:dyDescent="0.35">
      <c r="A5">
        <v>1</v>
      </c>
      <c r="B5" t="s">
        <v>109</v>
      </c>
    </row>
    <row r="6" spans="1:7" x14ac:dyDescent="0.35">
      <c r="A6">
        <v>2</v>
      </c>
      <c r="B6" t="s">
        <v>110</v>
      </c>
    </row>
    <row r="7" spans="1:7" x14ac:dyDescent="0.35">
      <c r="A7">
        <v>3</v>
      </c>
      <c r="B7" t="s">
        <v>45</v>
      </c>
    </row>
    <row r="8" spans="1:7" x14ac:dyDescent="0.35">
      <c r="A8">
        <v>4</v>
      </c>
      <c r="B8" t="s">
        <v>98</v>
      </c>
    </row>
    <row r="9" spans="1:7" x14ac:dyDescent="0.35">
      <c r="A9">
        <v>5</v>
      </c>
      <c r="B9" t="s">
        <v>113</v>
      </c>
    </row>
    <row r="10" spans="1:7" x14ac:dyDescent="0.35">
      <c r="A10">
        <v>6</v>
      </c>
      <c r="B10" t="s">
        <v>42</v>
      </c>
    </row>
    <row r="11" spans="1:7" x14ac:dyDescent="0.35">
      <c r="A11">
        <v>7</v>
      </c>
      <c r="B11" t="s">
        <v>111</v>
      </c>
    </row>
    <row r="12" spans="1:7" x14ac:dyDescent="0.35">
      <c r="A12">
        <v>8</v>
      </c>
      <c r="B12" t="s">
        <v>46</v>
      </c>
    </row>
    <row r="13" spans="1:7" x14ac:dyDescent="0.35">
      <c r="A13">
        <v>9</v>
      </c>
      <c r="B13" t="s">
        <v>112</v>
      </c>
    </row>
  </sheetData>
  <mergeCells count="1">
    <mergeCell ref="C3:G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62"/>
  <sheetViews>
    <sheetView workbookViewId="0">
      <selection activeCell="C18" sqref="C18"/>
    </sheetView>
  </sheetViews>
  <sheetFormatPr defaultRowHeight="14.5" x14ac:dyDescent="0.35"/>
  <cols>
    <col min="1" max="1" width="4.54296875" bestFit="1" customWidth="1"/>
    <col min="2" max="2" width="30.08984375" bestFit="1" customWidth="1"/>
  </cols>
  <sheetData>
    <row r="1" spans="1:7" x14ac:dyDescent="0.35">
      <c r="B1" t="s">
        <v>124</v>
      </c>
    </row>
    <row r="2" spans="1:7" x14ac:dyDescent="0.35">
      <c r="B2" t="s">
        <v>122</v>
      </c>
    </row>
    <row r="3" spans="1:7" x14ac:dyDescent="0.35">
      <c r="B3" t="s">
        <v>123</v>
      </c>
    </row>
    <row r="4" spans="1:7" x14ac:dyDescent="0.35">
      <c r="B4" t="s">
        <v>142</v>
      </c>
    </row>
    <row r="5" spans="1:7" x14ac:dyDescent="0.35">
      <c r="B5" t="s">
        <v>143</v>
      </c>
    </row>
    <row r="6" spans="1:7" x14ac:dyDescent="0.35">
      <c r="B6" t="s">
        <v>125</v>
      </c>
    </row>
    <row r="7" spans="1:7" x14ac:dyDescent="0.35">
      <c r="B7" t="s">
        <v>121</v>
      </c>
    </row>
    <row r="10" spans="1:7" x14ac:dyDescent="0.35">
      <c r="B10" s="119" t="s">
        <v>54</v>
      </c>
      <c r="C10">
        <v>2014</v>
      </c>
    </row>
    <row r="11" spans="1:7" x14ac:dyDescent="0.35">
      <c r="A11">
        <v>1</v>
      </c>
      <c r="B11" s="52" t="s">
        <v>118</v>
      </c>
      <c r="C11" s="497"/>
      <c r="D11" s="497"/>
      <c r="E11" s="497"/>
      <c r="F11" s="497"/>
      <c r="G11" s="497"/>
    </row>
    <row r="12" spans="1:7" x14ac:dyDescent="0.35">
      <c r="B12" t="s">
        <v>126</v>
      </c>
    </row>
    <row r="13" spans="1:7" x14ac:dyDescent="0.35">
      <c r="B13" t="s">
        <v>119</v>
      </c>
    </row>
    <row r="14" spans="1:7" x14ac:dyDescent="0.35">
      <c r="B14" t="s">
        <v>120</v>
      </c>
    </row>
    <row r="16" spans="1:7" x14ac:dyDescent="0.35">
      <c r="A16">
        <v>2</v>
      </c>
      <c r="B16" s="52" t="s">
        <v>127</v>
      </c>
    </row>
    <row r="17" spans="1:3" x14ac:dyDescent="0.35">
      <c r="B17" s="52" t="s">
        <v>128</v>
      </c>
    </row>
    <row r="18" spans="1:3" x14ac:dyDescent="0.35">
      <c r="B18" t="s">
        <v>132</v>
      </c>
    </row>
    <row r="19" spans="1:3" x14ac:dyDescent="0.35">
      <c r="A19" s="53">
        <v>0.1</v>
      </c>
      <c r="B19" t="s">
        <v>133</v>
      </c>
      <c r="C19">
        <f>A19*C18</f>
        <v>0</v>
      </c>
    </row>
    <row r="21" spans="1:3" x14ac:dyDescent="0.35">
      <c r="B21" s="52" t="s">
        <v>129</v>
      </c>
    </row>
    <row r="22" spans="1:3" x14ac:dyDescent="0.35">
      <c r="B22" s="52" t="s">
        <v>130</v>
      </c>
    </row>
    <row r="23" spans="1:3" x14ac:dyDescent="0.35">
      <c r="A23">
        <v>1</v>
      </c>
      <c r="B23" t="s">
        <v>109</v>
      </c>
    </row>
    <row r="24" spans="1:3" x14ac:dyDescent="0.35">
      <c r="A24">
        <v>2</v>
      </c>
      <c r="B24" t="s">
        <v>110</v>
      </c>
    </row>
    <row r="25" spans="1:3" x14ac:dyDescent="0.35">
      <c r="A25">
        <v>3</v>
      </c>
      <c r="B25" t="s">
        <v>45</v>
      </c>
    </row>
    <row r="26" spans="1:3" x14ac:dyDescent="0.35">
      <c r="A26">
        <v>4</v>
      </c>
      <c r="B26" t="s">
        <v>98</v>
      </c>
    </row>
    <row r="27" spans="1:3" x14ac:dyDescent="0.35">
      <c r="A27">
        <v>5</v>
      </c>
      <c r="B27" t="s">
        <v>113</v>
      </c>
    </row>
    <row r="28" spans="1:3" x14ac:dyDescent="0.35">
      <c r="A28">
        <v>6</v>
      </c>
      <c r="B28" t="s">
        <v>42</v>
      </c>
    </row>
    <row r="29" spans="1:3" x14ac:dyDescent="0.35">
      <c r="A29">
        <v>7</v>
      </c>
      <c r="B29" t="s">
        <v>111</v>
      </c>
    </row>
    <row r="30" spans="1:3" x14ac:dyDescent="0.35">
      <c r="A30">
        <v>8</v>
      </c>
      <c r="B30" t="s">
        <v>46</v>
      </c>
    </row>
    <row r="31" spans="1:3" x14ac:dyDescent="0.35">
      <c r="A31">
        <v>9</v>
      </c>
      <c r="B31" t="s">
        <v>112</v>
      </c>
    </row>
    <row r="33" spans="1:2" x14ac:dyDescent="0.35">
      <c r="B33" s="52" t="s">
        <v>131</v>
      </c>
    </row>
    <row r="34" spans="1:2" x14ac:dyDescent="0.35">
      <c r="A34">
        <v>1</v>
      </c>
      <c r="B34" t="s">
        <v>109</v>
      </c>
    </row>
    <row r="35" spans="1:2" x14ac:dyDescent="0.35">
      <c r="A35">
        <v>2</v>
      </c>
      <c r="B35" t="s">
        <v>110</v>
      </c>
    </row>
    <row r="36" spans="1:2" x14ac:dyDescent="0.35">
      <c r="A36">
        <v>3</v>
      </c>
      <c r="B36" t="s">
        <v>45</v>
      </c>
    </row>
    <row r="37" spans="1:2" x14ac:dyDescent="0.35">
      <c r="A37">
        <v>4</v>
      </c>
      <c r="B37" t="s">
        <v>98</v>
      </c>
    </row>
    <row r="38" spans="1:2" x14ac:dyDescent="0.35">
      <c r="A38">
        <v>5</v>
      </c>
      <c r="B38" t="s">
        <v>113</v>
      </c>
    </row>
    <row r="39" spans="1:2" x14ac:dyDescent="0.35">
      <c r="A39">
        <v>6</v>
      </c>
      <c r="B39" t="s">
        <v>42</v>
      </c>
    </row>
    <row r="40" spans="1:2" x14ac:dyDescent="0.35">
      <c r="A40">
        <v>7</v>
      </c>
      <c r="B40" t="s">
        <v>111</v>
      </c>
    </row>
    <row r="41" spans="1:2" x14ac:dyDescent="0.35">
      <c r="A41">
        <v>8</v>
      </c>
      <c r="B41" t="s">
        <v>46</v>
      </c>
    </row>
    <row r="42" spans="1:2" x14ac:dyDescent="0.35">
      <c r="A42">
        <v>9</v>
      </c>
      <c r="B42" t="s">
        <v>112</v>
      </c>
    </row>
    <row r="45" spans="1:2" x14ac:dyDescent="0.35">
      <c r="B45" s="52" t="s">
        <v>56</v>
      </c>
    </row>
    <row r="46" spans="1:2" ht="15.5" x14ac:dyDescent="0.35">
      <c r="A46" s="52" t="s">
        <v>138</v>
      </c>
      <c r="B46" s="120" t="s">
        <v>134</v>
      </c>
    </row>
    <row r="47" spans="1:2" x14ac:dyDescent="0.35">
      <c r="A47">
        <v>1</v>
      </c>
      <c r="B47" t="s">
        <v>109</v>
      </c>
    </row>
    <row r="48" spans="1:2" x14ac:dyDescent="0.35">
      <c r="A48">
        <v>2</v>
      </c>
      <c r="B48" t="s">
        <v>110</v>
      </c>
    </row>
    <row r="49" spans="1:3" x14ac:dyDescent="0.35">
      <c r="A49">
        <v>3</v>
      </c>
      <c r="B49" t="s">
        <v>45</v>
      </c>
    </row>
    <row r="50" spans="1:3" x14ac:dyDescent="0.35">
      <c r="A50">
        <v>4</v>
      </c>
      <c r="B50" t="s">
        <v>98</v>
      </c>
    </row>
    <row r="51" spans="1:3" x14ac:dyDescent="0.35">
      <c r="A51">
        <v>5</v>
      </c>
      <c r="B51" t="s">
        <v>113</v>
      </c>
    </row>
    <row r="52" spans="1:3" x14ac:dyDescent="0.35">
      <c r="A52">
        <v>6</v>
      </c>
      <c r="B52" t="s">
        <v>42</v>
      </c>
    </row>
    <row r="53" spans="1:3" x14ac:dyDescent="0.35">
      <c r="A53">
        <v>7</v>
      </c>
      <c r="B53" t="s">
        <v>111</v>
      </c>
    </row>
    <row r="54" spans="1:3" x14ac:dyDescent="0.35">
      <c r="A54">
        <v>8</v>
      </c>
      <c r="B54" t="s">
        <v>46</v>
      </c>
    </row>
    <row r="55" spans="1:3" x14ac:dyDescent="0.35">
      <c r="A55">
        <v>9</v>
      </c>
      <c r="B55" t="s">
        <v>112</v>
      </c>
    </row>
    <row r="58" spans="1:3" x14ac:dyDescent="0.35">
      <c r="A58" s="52" t="s">
        <v>139</v>
      </c>
      <c r="B58" s="52" t="s">
        <v>135</v>
      </c>
    </row>
    <row r="59" spans="1:3" x14ac:dyDescent="0.35">
      <c r="B59" t="s">
        <v>137</v>
      </c>
    </row>
    <row r="60" spans="1:3" x14ac:dyDescent="0.35">
      <c r="B60" t="s">
        <v>136</v>
      </c>
    </row>
    <row r="61" spans="1:3" x14ac:dyDescent="0.35">
      <c r="B61" t="s">
        <v>140</v>
      </c>
    </row>
    <row r="62" spans="1:3" x14ac:dyDescent="0.35">
      <c r="A62" s="53">
        <v>0.1</v>
      </c>
      <c r="B62" t="s">
        <v>141</v>
      </c>
      <c r="C62">
        <f>A62*SUM(C59:C60)</f>
        <v>0</v>
      </c>
    </row>
  </sheetData>
  <mergeCells count="1">
    <mergeCell ref="C11:G11"/>
  </mergeCell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VR116"/>
  <sheetViews>
    <sheetView topLeftCell="C91" zoomScale="115" zoomScaleNormal="115" workbookViewId="0">
      <selection activeCell="E112" sqref="E112"/>
    </sheetView>
  </sheetViews>
  <sheetFormatPr defaultRowHeight="14.5" x14ac:dyDescent="0.35"/>
  <cols>
    <col min="1" max="1" width="7.90625" style="1" hidden="1" customWidth="1"/>
    <col min="2" max="2" width="8.36328125" style="1" hidden="1" customWidth="1"/>
    <col min="3" max="4" width="9.08984375" style="38"/>
    <col min="5" max="5" width="6.90625" style="38" customWidth="1"/>
    <col min="6" max="6" width="7.36328125" style="38" customWidth="1"/>
    <col min="7" max="7" width="10" style="38" customWidth="1"/>
    <col min="8" max="8" width="8" style="38" customWidth="1"/>
    <col min="9" max="9" width="7.90625" style="38" customWidth="1"/>
    <col min="10" max="10" width="6.36328125" style="38" customWidth="1"/>
    <col min="11" max="11" width="9.453125" style="38" customWidth="1"/>
    <col min="12" max="13" width="5.90625" style="38" customWidth="1"/>
    <col min="14" max="14" width="16.90625" style="38" bestFit="1" customWidth="1"/>
    <col min="15" max="16" width="5.90625" style="38" customWidth="1"/>
    <col min="17" max="17" width="6.36328125" style="38" bestFit="1" customWidth="1"/>
    <col min="18" max="26" width="5.90625" style="38" customWidth="1"/>
    <col min="27" max="27" width="7" style="38" customWidth="1"/>
    <col min="28" max="31" width="9.08984375" style="38"/>
    <col min="32" max="32" width="14.36328125" style="38" bestFit="1" customWidth="1"/>
    <col min="33" max="264" width="9.08984375" style="38"/>
    <col min="265" max="266" width="9.08984375" style="38" hidden="1" customWidth="1"/>
    <col min="267" max="268" width="9.08984375" style="38"/>
    <col min="269" max="269" width="6.453125" style="38" customWidth="1"/>
    <col min="270" max="270" width="6.90625" style="38" customWidth="1"/>
    <col min="271" max="271" width="7.6328125" style="38" customWidth="1"/>
    <col min="272" max="279" width="6.453125" style="38" customWidth="1"/>
    <col min="280" max="280" width="18.90625" style="38" customWidth="1"/>
    <col min="281" max="520" width="9.08984375" style="38"/>
    <col min="521" max="522" width="9.08984375" style="38" hidden="1" customWidth="1"/>
    <col min="523" max="524" width="9.08984375" style="38"/>
    <col min="525" max="525" width="6.453125" style="38" customWidth="1"/>
    <col min="526" max="526" width="6.90625" style="38" customWidth="1"/>
    <col min="527" max="527" width="7.6328125" style="38" customWidth="1"/>
    <col min="528" max="535" width="6.453125" style="38" customWidth="1"/>
    <col min="536" max="536" width="18.90625" style="38" customWidth="1"/>
    <col min="537" max="776" width="9.08984375" style="38"/>
    <col min="777" max="778" width="9.08984375" style="38" hidden="1" customWidth="1"/>
    <col min="779" max="780" width="9.08984375" style="38"/>
    <col min="781" max="781" width="6.453125" style="38" customWidth="1"/>
    <col min="782" max="782" width="6.90625" style="38" customWidth="1"/>
    <col min="783" max="783" width="7.6328125" style="38" customWidth="1"/>
    <col min="784" max="791" width="6.453125" style="38" customWidth="1"/>
    <col min="792" max="792" width="18.90625" style="38" customWidth="1"/>
    <col min="793" max="1032" width="9.08984375" style="38"/>
    <col min="1033" max="1034" width="9.08984375" style="38" hidden="1" customWidth="1"/>
    <col min="1035" max="1036" width="9.08984375" style="38"/>
    <col min="1037" max="1037" width="6.453125" style="38" customWidth="1"/>
    <col min="1038" max="1038" width="6.90625" style="38" customWidth="1"/>
    <col min="1039" max="1039" width="7.6328125" style="38" customWidth="1"/>
    <col min="1040" max="1047" width="6.453125" style="38" customWidth="1"/>
    <col min="1048" max="1048" width="18.90625" style="38" customWidth="1"/>
    <col min="1049" max="1288" width="9.08984375" style="38"/>
    <col min="1289" max="1290" width="9.08984375" style="38" hidden="1" customWidth="1"/>
    <col min="1291" max="1292" width="9.08984375" style="38"/>
    <col min="1293" max="1293" width="6.453125" style="38" customWidth="1"/>
    <col min="1294" max="1294" width="6.90625" style="38" customWidth="1"/>
    <col min="1295" max="1295" width="7.6328125" style="38" customWidth="1"/>
    <col min="1296" max="1303" width="6.453125" style="38" customWidth="1"/>
    <col min="1304" max="1304" width="18.90625" style="38" customWidth="1"/>
    <col min="1305" max="1544" width="9.08984375" style="38"/>
    <col min="1545" max="1546" width="9.08984375" style="38" hidden="1" customWidth="1"/>
    <col min="1547" max="1548" width="9.08984375" style="38"/>
    <col min="1549" max="1549" width="6.453125" style="38" customWidth="1"/>
    <col min="1550" max="1550" width="6.90625" style="38" customWidth="1"/>
    <col min="1551" max="1551" width="7.6328125" style="38" customWidth="1"/>
    <col min="1552" max="1559" width="6.453125" style="38" customWidth="1"/>
    <col min="1560" max="1560" width="18.90625" style="38" customWidth="1"/>
    <col min="1561" max="1800" width="9.08984375" style="38"/>
    <col min="1801" max="1802" width="9.08984375" style="38" hidden="1" customWidth="1"/>
    <col min="1803" max="1804" width="9.08984375" style="38"/>
    <col min="1805" max="1805" width="6.453125" style="38" customWidth="1"/>
    <col min="1806" max="1806" width="6.90625" style="38" customWidth="1"/>
    <col min="1807" max="1807" width="7.6328125" style="38" customWidth="1"/>
    <col min="1808" max="1815" width="6.453125" style="38" customWidth="1"/>
    <col min="1816" max="1816" width="18.90625" style="38" customWidth="1"/>
    <col min="1817" max="2056" width="9.08984375" style="38"/>
    <col min="2057" max="2058" width="9.08984375" style="38" hidden="1" customWidth="1"/>
    <col min="2059" max="2060" width="9.08984375" style="38"/>
    <col min="2061" max="2061" width="6.453125" style="38" customWidth="1"/>
    <col min="2062" max="2062" width="6.90625" style="38" customWidth="1"/>
    <col min="2063" max="2063" width="7.6328125" style="38" customWidth="1"/>
    <col min="2064" max="2071" width="6.453125" style="38" customWidth="1"/>
    <col min="2072" max="2072" width="18.90625" style="38" customWidth="1"/>
    <col min="2073" max="2312" width="9.08984375" style="38"/>
    <col min="2313" max="2314" width="9.08984375" style="38" hidden="1" customWidth="1"/>
    <col min="2315" max="2316" width="9.08984375" style="38"/>
    <col min="2317" max="2317" width="6.453125" style="38" customWidth="1"/>
    <col min="2318" max="2318" width="6.90625" style="38" customWidth="1"/>
    <col min="2319" max="2319" width="7.6328125" style="38" customWidth="1"/>
    <col min="2320" max="2327" width="6.453125" style="38" customWidth="1"/>
    <col min="2328" max="2328" width="18.90625" style="38" customWidth="1"/>
    <col min="2329" max="2568" width="9.08984375" style="38"/>
    <col min="2569" max="2570" width="9.08984375" style="38" hidden="1" customWidth="1"/>
    <col min="2571" max="2572" width="9.08984375" style="38"/>
    <col min="2573" max="2573" width="6.453125" style="38" customWidth="1"/>
    <col min="2574" max="2574" width="6.90625" style="38" customWidth="1"/>
    <col min="2575" max="2575" width="7.6328125" style="38" customWidth="1"/>
    <col min="2576" max="2583" width="6.453125" style="38" customWidth="1"/>
    <col min="2584" max="2584" width="18.90625" style="38" customWidth="1"/>
    <col min="2585" max="2824" width="9.08984375" style="38"/>
    <col min="2825" max="2826" width="9.08984375" style="38" hidden="1" customWidth="1"/>
    <col min="2827" max="2828" width="9.08984375" style="38"/>
    <col min="2829" max="2829" width="6.453125" style="38" customWidth="1"/>
    <col min="2830" max="2830" width="6.90625" style="38" customWidth="1"/>
    <col min="2831" max="2831" width="7.6328125" style="38" customWidth="1"/>
    <col min="2832" max="2839" width="6.453125" style="38" customWidth="1"/>
    <col min="2840" max="2840" width="18.90625" style="38" customWidth="1"/>
    <col min="2841" max="3080" width="9.08984375" style="38"/>
    <col min="3081" max="3082" width="9.08984375" style="38" hidden="1" customWidth="1"/>
    <col min="3083" max="3084" width="9.08984375" style="38"/>
    <col min="3085" max="3085" width="6.453125" style="38" customWidth="1"/>
    <col min="3086" max="3086" width="6.90625" style="38" customWidth="1"/>
    <col min="3087" max="3087" width="7.6328125" style="38" customWidth="1"/>
    <col min="3088" max="3095" width="6.453125" style="38" customWidth="1"/>
    <col min="3096" max="3096" width="18.90625" style="38" customWidth="1"/>
    <col min="3097" max="3336" width="9.08984375" style="38"/>
    <col min="3337" max="3338" width="9.08984375" style="38" hidden="1" customWidth="1"/>
    <col min="3339" max="3340" width="9.08984375" style="38"/>
    <col min="3341" max="3341" width="6.453125" style="38" customWidth="1"/>
    <col min="3342" max="3342" width="6.90625" style="38" customWidth="1"/>
    <col min="3343" max="3343" width="7.6328125" style="38" customWidth="1"/>
    <col min="3344" max="3351" width="6.453125" style="38" customWidth="1"/>
    <col min="3352" max="3352" width="18.90625" style="38" customWidth="1"/>
    <col min="3353" max="3592" width="9.08984375" style="38"/>
    <col min="3593" max="3594" width="9.08984375" style="38" hidden="1" customWidth="1"/>
    <col min="3595" max="3596" width="9.08984375" style="38"/>
    <col min="3597" max="3597" width="6.453125" style="38" customWidth="1"/>
    <col min="3598" max="3598" width="6.90625" style="38" customWidth="1"/>
    <col min="3599" max="3599" width="7.6328125" style="38" customWidth="1"/>
    <col min="3600" max="3607" width="6.453125" style="38" customWidth="1"/>
    <col min="3608" max="3608" width="18.90625" style="38" customWidth="1"/>
    <col min="3609" max="3848" width="9.08984375" style="38"/>
    <col min="3849" max="3850" width="9.08984375" style="38" hidden="1" customWidth="1"/>
    <col min="3851" max="3852" width="9.08984375" style="38"/>
    <col min="3853" max="3853" width="6.453125" style="38" customWidth="1"/>
    <col min="3854" max="3854" width="6.90625" style="38" customWidth="1"/>
    <col min="3855" max="3855" width="7.6328125" style="38" customWidth="1"/>
    <col min="3856" max="3863" width="6.453125" style="38" customWidth="1"/>
    <col min="3864" max="3864" width="18.90625" style="38" customWidth="1"/>
    <col min="3865" max="4104" width="9.08984375" style="38"/>
    <col min="4105" max="4106" width="9.08984375" style="38" hidden="1" customWidth="1"/>
    <col min="4107" max="4108" width="9.08984375" style="38"/>
    <col min="4109" max="4109" width="6.453125" style="38" customWidth="1"/>
    <col min="4110" max="4110" width="6.90625" style="38" customWidth="1"/>
    <col min="4111" max="4111" width="7.6328125" style="38" customWidth="1"/>
    <col min="4112" max="4119" width="6.453125" style="38" customWidth="1"/>
    <col min="4120" max="4120" width="18.90625" style="38" customWidth="1"/>
    <col min="4121" max="4360" width="9.08984375" style="38"/>
    <col min="4361" max="4362" width="9.08984375" style="38" hidden="1" customWidth="1"/>
    <col min="4363" max="4364" width="9.08984375" style="38"/>
    <col min="4365" max="4365" width="6.453125" style="38" customWidth="1"/>
    <col min="4366" max="4366" width="6.90625" style="38" customWidth="1"/>
    <col min="4367" max="4367" width="7.6328125" style="38" customWidth="1"/>
    <col min="4368" max="4375" width="6.453125" style="38" customWidth="1"/>
    <col min="4376" max="4376" width="18.90625" style="38" customWidth="1"/>
    <col min="4377" max="4616" width="9.08984375" style="38"/>
    <col min="4617" max="4618" width="9.08984375" style="38" hidden="1" customWidth="1"/>
    <col min="4619" max="4620" width="9.08984375" style="38"/>
    <col min="4621" max="4621" width="6.453125" style="38" customWidth="1"/>
    <col min="4622" max="4622" width="6.90625" style="38" customWidth="1"/>
    <col min="4623" max="4623" width="7.6328125" style="38" customWidth="1"/>
    <col min="4624" max="4631" width="6.453125" style="38" customWidth="1"/>
    <col min="4632" max="4632" width="18.90625" style="38" customWidth="1"/>
    <col min="4633" max="4872" width="9.08984375" style="38"/>
    <col min="4873" max="4874" width="9.08984375" style="38" hidden="1" customWidth="1"/>
    <col min="4875" max="4876" width="9.08984375" style="38"/>
    <col min="4877" max="4877" width="6.453125" style="38" customWidth="1"/>
    <col min="4878" max="4878" width="6.90625" style="38" customWidth="1"/>
    <col min="4879" max="4879" width="7.6328125" style="38" customWidth="1"/>
    <col min="4880" max="4887" width="6.453125" style="38" customWidth="1"/>
    <col min="4888" max="4888" width="18.90625" style="38" customWidth="1"/>
    <col min="4889" max="5128" width="9.08984375" style="38"/>
    <col min="5129" max="5130" width="9.08984375" style="38" hidden="1" customWidth="1"/>
    <col min="5131" max="5132" width="9.08984375" style="38"/>
    <col min="5133" max="5133" width="6.453125" style="38" customWidth="1"/>
    <col min="5134" max="5134" width="6.90625" style="38" customWidth="1"/>
    <col min="5135" max="5135" width="7.6328125" style="38" customWidth="1"/>
    <col min="5136" max="5143" width="6.453125" style="38" customWidth="1"/>
    <col min="5144" max="5144" width="18.90625" style="38" customWidth="1"/>
    <col min="5145" max="5384" width="9.08984375" style="38"/>
    <col min="5385" max="5386" width="9.08984375" style="38" hidden="1" customWidth="1"/>
    <col min="5387" max="5388" width="9.08984375" style="38"/>
    <col min="5389" max="5389" width="6.453125" style="38" customWidth="1"/>
    <col min="5390" max="5390" width="6.90625" style="38" customWidth="1"/>
    <col min="5391" max="5391" width="7.6328125" style="38" customWidth="1"/>
    <col min="5392" max="5399" width="6.453125" style="38" customWidth="1"/>
    <col min="5400" max="5400" width="18.90625" style="38" customWidth="1"/>
    <col min="5401" max="5640" width="9.08984375" style="38"/>
    <col min="5641" max="5642" width="9.08984375" style="38" hidden="1" customWidth="1"/>
    <col min="5643" max="5644" width="9.08984375" style="38"/>
    <col min="5645" max="5645" width="6.453125" style="38" customWidth="1"/>
    <col min="5646" max="5646" width="6.90625" style="38" customWidth="1"/>
    <col min="5647" max="5647" width="7.6328125" style="38" customWidth="1"/>
    <col min="5648" max="5655" width="6.453125" style="38" customWidth="1"/>
    <col min="5656" max="5656" width="18.90625" style="38" customWidth="1"/>
    <col min="5657" max="5896" width="9.08984375" style="38"/>
    <col min="5897" max="5898" width="9.08984375" style="38" hidden="1" customWidth="1"/>
    <col min="5899" max="5900" width="9.08984375" style="38"/>
    <col min="5901" max="5901" width="6.453125" style="38" customWidth="1"/>
    <col min="5902" max="5902" width="6.90625" style="38" customWidth="1"/>
    <col min="5903" max="5903" width="7.6328125" style="38" customWidth="1"/>
    <col min="5904" max="5911" width="6.453125" style="38" customWidth="1"/>
    <col min="5912" max="5912" width="18.90625" style="38" customWidth="1"/>
    <col min="5913" max="6152" width="9.08984375" style="38"/>
    <col min="6153" max="6154" width="9.08984375" style="38" hidden="1" customWidth="1"/>
    <col min="6155" max="6156" width="9.08984375" style="38"/>
    <col min="6157" max="6157" width="6.453125" style="38" customWidth="1"/>
    <col min="6158" max="6158" width="6.90625" style="38" customWidth="1"/>
    <col min="6159" max="6159" width="7.6328125" style="38" customWidth="1"/>
    <col min="6160" max="6167" width="6.453125" style="38" customWidth="1"/>
    <col min="6168" max="6168" width="18.90625" style="38" customWidth="1"/>
    <col min="6169" max="6408" width="9.08984375" style="38"/>
    <col min="6409" max="6410" width="9.08984375" style="38" hidden="1" customWidth="1"/>
    <col min="6411" max="6412" width="9.08984375" style="38"/>
    <col min="6413" max="6413" width="6.453125" style="38" customWidth="1"/>
    <col min="6414" max="6414" width="6.90625" style="38" customWidth="1"/>
    <col min="6415" max="6415" width="7.6328125" style="38" customWidth="1"/>
    <col min="6416" max="6423" width="6.453125" style="38" customWidth="1"/>
    <col min="6424" max="6424" width="18.90625" style="38" customWidth="1"/>
    <col min="6425" max="6664" width="9.08984375" style="38"/>
    <col min="6665" max="6666" width="9.08984375" style="38" hidden="1" customWidth="1"/>
    <col min="6667" max="6668" width="9.08984375" style="38"/>
    <col min="6669" max="6669" width="6.453125" style="38" customWidth="1"/>
    <col min="6670" max="6670" width="6.90625" style="38" customWidth="1"/>
    <col min="6671" max="6671" width="7.6328125" style="38" customWidth="1"/>
    <col min="6672" max="6679" width="6.453125" style="38" customWidth="1"/>
    <col min="6680" max="6680" width="18.90625" style="38" customWidth="1"/>
    <col min="6681" max="6920" width="9.08984375" style="38"/>
    <col min="6921" max="6922" width="9.08984375" style="38" hidden="1" customWidth="1"/>
    <col min="6923" max="6924" width="9.08984375" style="38"/>
    <col min="6925" max="6925" width="6.453125" style="38" customWidth="1"/>
    <col min="6926" max="6926" width="6.90625" style="38" customWidth="1"/>
    <col min="6927" max="6927" width="7.6328125" style="38" customWidth="1"/>
    <col min="6928" max="6935" width="6.453125" style="38" customWidth="1"/>
    <col min="6936" max="6936" width="18.90625" style="38" customWidth="1"/>
    <col min="6937" max="7176" width="9.08984375" style="38"/>
    <col min="7177" max="7178" width="9.08984375" style="38" hidden="1" customWidth="1"/>
    <col min="7179" max="7180" width="9.08984375" style="38"/>
    <col min="7181" max="7181" width="6.453125" style="38" customWidth="1"/>
    <col min="7182" max="7182" width="6.90625" style="38" customWidth="1"/>
    <col min="7183" max="7183" width="7.6328125" style="38" customWidth="1"/>
    <col min="7184" max="7191" width="6.453125" style="38" customWidth="1"/>
    <col min="7192" max="7192" width="18.90625" style="38" customWidth="1"/>
    <col min="7193" max="7432" width="9.08984375" style="38"/>
    <col min="7433" max="7434" width="9.08984375" style="38" hidden="1" customWidth="1"/>
    <col min="7435" max="7436" width="9.08984375" style="38"/>
    <col min="7437" max="7437" width="6.453125" style="38" customWidth="1"/>
    <col min="7438" max="7438" width="6.90625" style="38" customWidth="1"/>
    <col min="7439" max="7439" width="7.6328125" style="38" customWidth="1"/>
    <col min="7440" max="7447" width="6.453125" style="38" customWidth="1"/>
    <col min="7448" max="7448" width="18.90625" style="38" customWidth="1"/>
    <col min="7449" max="7688" width="9.08984375" style="38"/>
    <col min="7689" max="7690" width="9.08984375" style="38" hidden="1" customWidth="1"/>
    <col min="7691" max="7692" width="9.08984375" style="38"/>
    <col min="7693" max="7693" width="6.453125" style="38" customWidth="1"/>
    <col min="7694" max="7694" width="6.90625" style="38" customWidth="1"/>
    <col min="7695" max="7695" width="7.6328125" style="38" customWidth="1"/>
    <col min="7696" max="7703" width="6.453125" style="38" customWidth="1"/>
    <col min="7704" max="7704" width="18.90625" style="38" customWidth="1"/>
    <col min="7705" max="7944" width="9.08984375" style="38"/>
    <col min="7945" max="7946" width="9.08984375" style="38" hidden="1" customWidth="1"/>
    <col min="7947" max="7948" width="9.08984375" style="38"/>
    <col min="7949" max="7949" width="6.453125" style="38" customWidth="1"/>
    <col min="7950" max="7950" width="6.90625" style="38" customWidth="1"/>
    <col min="7951" max="7951" width="7.6328125" style="38" customWidth="1"/>
    <col min="7952" max="7959" width="6.453125" style="38" customWidth="1"/>
    <col min="7960" max="7960" width="18.90625" style="38" customWidth="1"/>
    <col min="7961" max="8200" width="9.08984375" style="38"/>
    <col min="8201" max="8202" width="9.08984375" style="38" hidden="1" customWidth="1"/>
    <col min="8203" max="8204" width="9.08984375" style="38"/>
    <col min="8205" max="8205" width="6.453125" style="38" customWidth="1"/>
    <col min="8206" max="8206" width="6.90625" style="38" customWidth="1"/>
    <col min="8207" max="8207" width="7.6328125" style="38" customWidth="1"/>
    <col min="8208" max="8215" width="6.453125" style="38" customWidth="1"/>
    <col min="8216" max="8216" width="18.90625" style="38" customWidth="1"/>
    <col min="8217" max="8456" width="9.08984375" style="38"/>
    <col min="8457" max="8458" width="9.08984375" style="38" hidden="1" customWidth="1"/>
    <col min="8459" max="8460" width="9.08984375" style="38"/>
    <col min="8461" max="8461" width="6.453125" style="38" customWidth="1"/>
    <col min="8462" max="8462" width="6.90625" style="38" customWidth="1"/>
    <col min="8463" max="8463" width="7.6328125" style="38" customWidth="1"/>
    <col min="8464" max="8471" width="6.453125" style="38" customWidth="1"/>
    <col min="8472" max="8472" width="18.90625" style="38" customWidth="1"/>
    <col min="8473" max="8712" width="9.08984375" style="38"/>
    <col min="8713" max="8714" width="9.08984375" style="38" hidden="1" customWidth="1"/>
    <col min="8715" max="8716" width="9.08984375" style="38"/>
    <col min="8717" max="8717" width="6.453125" style="38" customWidth="1"/>
    <col min="8718" max="8718" width="6.90625" style="38" customWidth="1"/>
    <col min="8719" max="8719" width="7.6328125" style="38" customWidth="1"/>
    <col min="8720" max="8727" width="6.453125" style="38" customWidth="1"/>
    <col min="8728" max="8728" width="18.90625" style="38" customWidth="1"/>
    <col min="8729" max="8968" width="9.08984375" style="38"/>
    <col min="8969" max="8970" width="9.08984375" style="38" hidden="1" customWidth="1"/>
    <col min="8971" max="8972" width="9.08984375" style="38"/>
    <col min="8973" max="8973" width="6.453125" style="38" customWidth="1"/>
    <col min="8974" max="8974" width="6.90625" style="38" customWidth="1"/>
    <col min="8975" max="8975" width="7.6328125" style="38" customWidth="1"/>
    <col min="8976" max="8983" width="6.453125" style="38" customWidth="1"/>
    <col min="8984" max="8984" width="18.90625" style="38" customWidth="1"/>
    <col min="8985" max="9224" width="9.08984375" style="38"/>
    <col min="9225" max="9226" width="9.08984375" style="38" hidden="1" customWidth="1"/>
    <col min="9227" max="9228" width="9.08984375" style="38"/>
    <col min="9229" max="9229" width="6.453125" style="38" customWidth="1"/>
    <col min="9230" max="9230" width="6.90625" style="38" customWidth="1"/>
    <col min="9231" max="9231" width="7.6328125" style="38" customWidth="1"/>
    <col min="9232" max="9239" width="6.453125" style="38" customWidth="1"/>
    <col min="9240" max="9240" width="18.90625" style="38" customWidth="1"/>
    <col min="9241" max="9480" width="9.08984375" style="38"/>
    <col min="9481" max="9482" width="9.08984375" style="38" hidden="1" customWidth="1"/>
    <col min="9483" max="9484" width="9.08984375" style="38"/>
    <col min="9485" max="9485" width="6.453125" style="38" customWidth="1"/>
    <col min="9486" max="9486" width="6.90625" style="38" customWidth="1"/>
    <col min="9487" max="9487" width="7.6328125" style="38" customWidth="1"/>
    <col min="9488" max="9495" width="6.453125" style="38" customWidth="1"/>
    <col min="9496" max="9496" width="18.90625" style="38" customWidth="1"/>
    <col min="9497" max="9736" width="9.08984375" style="38"/>
    <col min="9737" max="9738" width="9.08984375" style="38" hidden="1" customWidth="1"/>
    <col min="9739" max="9740" width="9.08984375" style="38"/>
    <col min="9741" max="9741" width="6.453125" style="38" customWidth="1"/>
    <col min="9742" max="9742" width="6.90625" style="38" customWidth="1"/>
    <col min="9743" max="9743" width="7.6328125" style="38" customWidth="1"/>
    <col min="9744" max="9751" width="6.453125" style="38" customWidth="1"/>
    <col min="9752" max="9752" width="18.90625" style="38" customWidth="1"/>
    <col min="9753" max="9992" width="9.08984375" style="38"/>
    <col min="9993" max="9994" width="9.08984375" style="38" hidden="1" customWidth="1"/>
    <col min="9995" max="9996" width="9.08984375" style="38"/>
    <col min="9997" max="9997" width="6.453125" style="38" customWidth="1"/>
    <col min="9998" max="9998" width="6.90625" style="38" customWidth="1"/>
    <col min="9999" max="9999" width="7.6328125" style="38" customWidth="1"/>
    <col min="10000" max="10007" width="6.453125" style="38" customWidth="1"/>
    <col min="10008" max="10008" width="18.90625" style="38" customWidth="1"/>
    <col min="10009" max="10248" width="9.08984375" style="38"/>
    <col min="10249" max="10250" width="9.08984375" style="38" hidden="1" customWidth="1"/>
    <col min="10251" max="10252" width="9.08984375" style="38"/>
    <col min="10253" max="10253" width="6.453125" style="38" customWidth="1"/>
    <col min="10254" max="10254" width="6.90625" style="38" customWidth="1"/>
    <col min="10255" max="10255" width="7.6328125" style="38" customWidth="1"/>
    <col min="10256" max="10263" width="6.453125" style="38" customWidth="1"/>
    <col min="10264" max="10264" width="18.90625" style="38" customWidth="1"/>
    <col min="10265" max="10504" width="9.08984375" style="38"/>
    <col min="10505" max="10506" width="9.08984375" style="38" hidden="1" customWidth="1"/>
    <col min="10507" max="10508" width="9.08984375" style="38"/>
    <col min="10509" max="10509" width="6.453125" style="38" customWidth="1"/>
    <col min="10510" max="10510" width="6.90625" style="38" customWidth="1"/>
    <col min="10511" max="10511" width="7.6328125" style="38" customWidth="1"/>
    <col min="10512" max="10519" width="6.453125" style="38" customWidth="1"/>
    <col min="10520" max="10520" width="18.90625" style="38" customWidth="1"/>
    <col min="10521" max="10760" width="9.08984375" style="38"/>
    <col min="10761" max="10762" width="9.08984375" style="38" hidden="1" customWidth="1"/>
    <col min="10763" max="10764" width="9.08984375" style="38"/>
    <col min="10765" max="10765" width="6.453125" style="38" customWidth="1"/>
    <col min="10766" max="10766" width="6.90625" style="38" customWidth="1"/>
    <col min="10767" max="10767" width="7.6328125" style="38" customWidth="1"/>
    <col min="10768" max="10775" width="6.453125" style="38" customWidth="1"/>
    <col min="10776" max="10776" width="18.90625" style="38" customWidth="1"/>
    <col min="10777" max="11016" width="9.08984375" style="38"/>
    <col min="11017" max="11018" width="9.08984375" style="38" hidden="1" customWidth="1"/>
    <col min="11019" max="11020" width="9.08984375" style="38"/>
    <col min="11021" max="11021" width="6.453125" style="38" customWidth="1"/>
    <col min="11022" max="11022" width="6.90625" style="38" customWidth="1"/>
    <col min="11023" max="11023" width="7.6328125" style="38" customWidth="1"/>
    <col min="11024" max="11031" width="6.453125" style="38" customWidth="1"/>
    <col min="11032" max="11032" width="18.90625" style="38" customWidth="1"/>
    <col min="11033" max="11272" width="9.08984375" style="38"/>
    <col min="11273" max="11274" width="9.08984375" style="38" hidden="1" customWidth="1"/>
    <col min="11275" max="11276" width="9.08984375" style="38"/>
    <col min="11277" max="11277" width="6.453125" style="38" customWidth="1"/>
    <col min="11278" max="11278" width="6.90625" style="38" customWidth="1"/>
    <col min="11279" max="11279" width="7.6328125" style="38" customWidth="1"/>
    <col min="11280" max="11287" width="6.453125" style="38" customWidth="1"/>
    <col min="11288" max="11288" width="18.90625" style="38" customWidth="1"/>
    <col min="11289" max="11528" width="9.08984375" style="38"/>
    <col min="11529" max="11530" width="9.08984375" style="38" hidden="1" customWidth="1"/>
    <col min="11531" max="11532" width="9.08984375" style="38"/>
    <col min="11533" max="11533" width="6.453125" style="38" customWidth="1"/>
    <col min="11534" max="11534" width="6.90625" style="38" customWidth="1"/>
    <col min="11535" max="11535" width="7.6328125" style="38" customWidth="1"/>
    <col min="11536" max="11543" width="6.453125" style="38" customWidth="1"/>
    <col min="11544" max="11544" width="18.90625" style="38" customWidth="1"/>
    <col min="11545" max="11784" width="9.08984375" style="38"/>
    <col min="11785" max="11786" width="9.08984375" style="38" hidden="1" customWidth="1"/>
    <col min="11787" max="11788" width="9.08984375" style="38"/>
    <col min="11789" max="11789" width="6.453125" style="38" customWidth="1"/>
    <col min="11790" max="11790" width="6.90625" style="38" customWidth="1"/>
    <col min="11791" max="11791" width="7.6328125" style="38" customWidth="1"/>
    <col min="11792" max="11799" width="6.453125" style="38" customWidth="1"/>
    <col min="11800" max="11800" width="18.90625" style="38" customWidth="1"/>
    <col min="11801" max="12040" width="9.08984375" style="38"/>
    <col min="12041" max="12042" width="9.08984375" style="38" hidden="1" customWidth="1"/>
    <col min="12043" max="12044" width="9.08984375" style="38"/>
    <col min="12045" max="12045" width="6.453125" style="38" customWidth="1"/>
    <col min="12046" max="12046" width="6.90625" style="38" customWidth="1"/>
    <col min="12047" max="12047" width="7.6328125" style="38" customWidth="1"/>
    <col min="12048" max="12055" width="6.453125" style="38" customWidth="1"/>
    <col min="12056" max="12056" width="18.90625" style="38" customWidth="1"/>
    <col min="12057" max="12296" width="9.08984375" style="38"/>
    <col min="12297" max="12298" width="9.08984375" style="38" hidden="1" customWidth="1"/>
    <col min="12299" max="12300" width="9.08984375" style="38"/>
    <col min="12301" max="12301" width="6.453125" style="38" customWidth="1"/>
    <col min="12302" max="12302" width="6.90625" style="38" customWidth="1"/>
    <col min="12303" max="12303" width="7.6328125" style="38" customWidth="1"/>
    <col min="12304" max="12311" width="6.453125" style="38" customWidth="1"/>
    <col min="12312" max="12312" width="18.90625" style="38" customWidth="1"/>
    <col min="12313" max="12552" width="9.08984375" style="38"/>
    <col min="12553" max="12554" width="9.08984375" style="38" hidden="1" customWidth="1"/>
    <col min="12555" max="12556" width="9.08984375" style="38"/>
    <col min="12557" max="12557" width="6.453125" style="38" customWidth="1"/>
    <col min="12558" max="12558" width="6.90625" style="38" customWidth="1"/>
    <col min="12559" max="12559" width="7.6328125" style="38" customWidth="1"/>
    <col min="12560" max="12567" width="6.453125" style="38" customWidth="1"/>
    <col min="12568" max="12568" width="18.90625" style="38" customWidth="1"/>
    <col min="12569" max="12808" width="9.08984375" style="38"/>
    <col min="12809" max="12810" width="9.08984375" style="38" hidden="1" customWidth="1"/>
    <col min="12811" max="12812" width="9.08984375" style="38"/>
    <col min="12813" max="12813" width="6.453125" style="38" customWidth="1"/>
    <col min="12814" max="12814" width="6.90625" style="38" customWidth="1"/>
    <col min="12815" max="12815" width="7.6328125" style="38" customWidth="1"/>
    <col min="12816" max="12823" width="6.453125" style="38" customWidth="1"/>
    <col min="12824" max="12824" width="18.90625" style="38" customWidth="1"/>
    <col min="12825" max="13064" width="9.08984375" style="38"/>
    <col min="13065" max="13066" width="9.08984375" style="38" hidden="1" customWidth="1"/>
    <col min="13067" max="13068" width="9.08984375" style="38"/>
    <col min="13069" max="13069" width="6.453125" style="38" customWidth="1"/>
    <col min="13070" max="13070" width="6.90625" style="38" customWidth="1"/>
    <col min="13071" max="13071" width="7.6328125" style="38" customWidth="1"/>
    <col min="13072" max="13079" width="6.453125" style="38" customWidth="1"/>
    <col min="13080" max="13080" width="18.90625" style="38" customWidth="1"/>
    <col min="13081" max="13320" width="9.08984375" style="38"/>
    <col min="13321" max="13322" width="9.08984375" style="38" hidden="1" customWidth="1"/>
    <col min="13323" max="13324" width="9.08984375" style="38"/>
    <col min="13325" max="13325" width="6.453125" style="38" customWidth="1"/>
    <col min="13326" max="13326" width="6.90625" style="38" customWidth="1"/>
    <col min="13327" max="13327" width="7.6328125" style="38" customWidth="1"/>
    <col min="13328" max="13335" width="6.453125" style="38" customWidth="1"/>
    <col min="13336" max="13336" width="18.90625" style="38" customWidth="1"/>
    <col min="13337" max="13576" width="9.08984375" style="38"/>
    <col min="13577" max="13578" width="9.08984375" style="38" hidden="1" customWidth="1"/>
    <col min="13579" max="13580" width="9.08984375" style="38"/>
    <col min="13581" max="13581" width="6.453125" style="38" customWidth="1"/>
    <col min="13582" max="13582" width="6.90625" style="38" customWidth="1"/>
    <col min="13583" max="13583" width="7.6328125" style="38" customWidth="1"/>
    <col min="13584" max="13591" width="6.453125" style="38" customWidth="1"/>
    <col min="13592" max="13592" width="18.90625" style="38" customWidth="1"/>
    <col min="13593" max="13832" width="9.08984375" style="38"/>
    <col min="13833" max="13834" width="9.08984375" style="38" hidden="1" customWidth="1"/>
    <col min="13835" max="13836" width="9.08984375" style="38"/>
    <col min="13837" max="13837" width="6.453125" style="38" customWidth="1"/>
    <col min="13838" max="13838" width="6.90625" style="38" customWidth="1"/>
    <col min="13839" max="13839" width="7.6328125" style="38" customWidth="1"/>
    <col min="13840" max="13847" width="6.453125" style="38" customWidth="1"/>
    <col min="13848" max="13848" width="18.90625" style="38" customWidth="1"/>
    <col min="13849" max="14088" width="9.08984375" style="38"/>
    <col min="14089" max="14090" width="9.08984375" style="38" hidden="1" customWidth="1"/>
    <col min="14091" max="14092" width="9.08984375" style="38"/>
    <col min="14093" max="14093" width="6.453125" style="38" customWidth="1"/>
    <col min="14094" max="14094" width="6.90625" style="38" customWidth="1"/>
    <col min="14095" max="14095" width="7.6328125" style="38" customWidth="1"/>
    <col min="14096" max="14103" width="6.453125" style="38" customWidth="1"/>
    <col min="14104" max="14104" width="18.90625" style="38" customWidth="1"/>
    <col min="14105" max="14344" width="9.08984375" style="38"/>
    <col min="14345" max="14346" width="9.08984375" style="38" hidden="1" customWidth="1"/>
    <col min="14347" max="14348" width="9.08984375" style="38"/>
    <col min="14349" max="14349" width="6.453125" style="38" customWidth="1"/>
    <col min="14350" max="14350" width="6.90625" style="38" customWidth="1"/>
    <col min="14351" max="14351" width="7.6328125" style="38" customWidth="1"/>
    <col min="14352" max="14359" width="6.453125" style="38" customWidth="1"/>
    <col min="14360" max="14360" width="18.90625" style="38" customWidth="1"/>
    <col min="14361" max="14600" width="9.08984375" style="38"/>
    <col min="14601" max="14602" width="9.08984375" style="38" hidden="1" customWidth="1"/>
    <col min="14603" max="14604" width="9.08984375" style="38"/>
    <col min="14605" max="14605" width="6.453125" style="38" customWidth="1"/>
    <col min="14606" max="14606" width="6.90625" style="38" customWidth="1"/>
    <col min="14607" max="14607" width="7.6328125" style="38" customWidth="1"/>
    <col min="14608" max="14615" width="6.453125" style="38" customWidth="1"/>
    <col min="14616" max="14616" width="18.90625" style="38" customWidth="1"/>
    <col min="14617" max="14856" width="9.08984375" style="38"/>
    <col min="14857" max="14858" width="9.08984375" style="38" hidden="1" customWidth="1"/>
    <col min="14859" max="14860" width="9.08984375" style="38"/>
    <col min="14861" max="14861" width="6.453125" style="38" customWidth="1"/>
    <col min="14862" max="14862" width="6.90625" style="38" customWidth="1"/>
    <col min="14863" max="14863" width="7.6328125" style="38" customWidth="1"/>
    <col min="14864" max="14871" width="6.453125" style="38" customWidth="1"/>
    <col min="14872" max="14872" width="18.90625" style="38" customWidth="1"/>
    <col min="14873" max="15112" width="9.08984375" style="38"/>
    <col min="15113" max="15114" width="9.08984375" style="38" hidden="1" customWidth="1"/>
    <col min="15115" max="15116" width="9.08984375" style="38"/>
    <col min="15117" max="15117" width="6.453125" style="38" customWidth="1"/>
    <col min="15118" max="15118" width="6.90625" style="38" customWidth="1"/>
    <col min="15119" max="15119" width="7.6328125" style="38" customWidth="1"/>
    <col min="15120" max="15127" width="6.453125" style="38" customWidth="1"/>
    <col min="15128" max="15128" width="18.90625" style="38" customWidth="1"/>
    <col min="15129" max="15368" width="9.08984375" style="38"/>
    <col min="15369" max="15370" width="9.08984375" style="38" hidden="1" customWidth="1"/>
    <col min="15371" max="15372" width="9.08984375" style="38"/>
    <col min="15373" max="15373" width="6.453125" style="38" customWidth="1"/>
    <col min="15374" max="15374" width="6.90625" style="38" customWidth="1"/>
    <col min="15375" max="15375" width="7.6328125" style="38" customWidth="1"/>
    <col min="15376" max="15383" width="6.453125" style="38" customWidth="1"/>
    <col min="15384" max="15384" width="18.90625" style="38" customWidth="1"/>
    <col min="15385" max="15624" width="9.08984375" style="38"/>
    <col min="15625" max="15626" width="9.08984375" style="38" hidden="1" customWidth="1"/>
    <col min="15627" max="15628" width="9.08984375" style="38"/>
    <col min="15629" max="15629" width="6.453125" style="38" customWidth="1"/>
    <col min="15630" max="15630" width="6.90625" style="38" customWidth="1"/>
    <col min="15631" max="15631" width="7.6328125" style="38" customWidth="1"/>
    <col min="15632" max="15639" width="6.453125" style="38" customWidth="1"/>
    <col min="15640" max="15640" width="18.90625" style="38" customWidth="1"/>
    <col min="15641" max="15880" width="9.08984375" style="38"/>
    <col min="15881" max="15882" width="9.08984375" style="38" hidden="1" customWidth="1"/>
    <col min="15883" max="15884" width="9.08984375" style="38"/>
    <col min="15885" max="15885" width="6.453125" style="38" customWidth="1"/>
    <col min="15886" max="15886" width="6.90625" style="38" customWidth="1"/>
    <col min="15887" max="15887" width="7.6328125" style="38" customWidth="1"/>
    <col min="15888" max="15895" width="6.453125" style="38" customWidth="1"/>
    <col min="15896" max="15896" width="18.90625" style="38" customWidth="1"/>
    <col min="15897" max="16136" width="9.08984375" style="38"/>
    <col min="16137" max="16138" width="9.08984375" style="38" hidden="1" customWidth="1"/>
    <col min="16139" max="16140" width="9.08984375" style="38"/>
    <col min="16141" max="16141" width="6.453125" style="38" customWidth="1"/>
    <col min="16142" max="16142" width="6.90625" style="38" customWidth="1"/>
    <col min="16143" max="16143" width="7.6328125" style="38" customWidth="1"/>
    <col min="16144" max="16151" width="6.453125" style="38" customWidth="1"/>
    <col min="16152" max="16152" width="18.90625" style="38" customWidth="1"/>
    <col min="16153" max="16384" width="9.08984375" style="38"/>
  </cols>
  <sheetData>
    <row r="1" spans="3:15" s="38" customFormat="1" ht="16.5" customHeight="1" x14ac:dyDescent="0.35">
      <c r="C1" s="2" t="s">
        <v>0</v>
      </c>
      <c r="D1" s="3"/>
      <c r="E1" s="3"/>
      <c r="F1" s="3"/>
      <c r="G1" s="3"/>
      <c r="H1" s="3"/>
      <c r="I1" s="3"/>
      <c r="J1" s="3"/>
      <c r="K1" s="3"/>
      <c r="L1" s="3"/>
      <c r="M1" s="3"/>
      <c r="N1" s="3"/>
      <c r="O1" s="3"/>
    </row>
    <row r="2" spans="3:15" s="38" customFormat="1" ht="15" customHeight="1" x14ac:dyDescent="0.35">
      <c r="C2" s="4" t="s">
        <v>1</v>
      </c>
      <c r="D2" s="3"/>
      <c r="E2" s="4" t="s">
        <v>101</v>
      </c>
      <c r="F2" s="4"/>
      <c r="G2" s="4"/>
      <c r="H2" s="4"/>
      <c r="I2" s="4"/>
      <c r="J2" s="3"/>
      <c r="K2" s="3"/>
      <c r="L2" s="5"/>
      <c r="M2" s="3"/>
      <c r="N2" s="3"/>
      <c r="O2" s="3"/>
    </row>
    <row r="3" spans="3:15" s="38" customFormat="1" ht="16.5" customHeight="1" x14ac:dyDescent="0.35">
      <c r="C3" s="4" t="s">
        <v>2</v>
      </c>
      <c r="D3" s="3"/>
      <c r="E3" s="4" t="s">
        <v>97</v>
      </c>
      <c r="F3" s="3"/>
      <c r="G3" s="3"/>
      <c r="H3" s="3"/>
      <c r="I3" s="3"/>
      <c r="J3" s="3"/>
      <c r="K3" s="3"/>
      <c r="L3" s="3"/>
      <c r="M3" s="6"/>
      <c r="N3" s="3"/>
      <c r="O3" s="3"/>
    </row>
    <row r="4" spans="3:15" s="38" customFormat="1" ht="15" customHeight="1" x14ac:dyDescent="0.35">
      <c r="C4" s="4" t="s">
        <v>3</v>
      </c>
      <c r="D4" s="3"/>
      <c r="E4" s="4" t="s">
        <v>101</v>
      </c>
      <c r="F4" s="3"/>
      <c r="G4" s="3"/>
      <c r="H4" s="3"/>
      <c r="I4" s="3"/>
      <c r="J4" s="3"/>
      <c r="K4" s="3"/>
      <c r="L4" s="3"/>
      <c r="M4" s="3"/>
      <c r="N4" s="3"/>
      <c r="O4" s="3"/>
    </row>
    <row r="5" spans="3:15" s="38" customFormat="1" ht="15" customHeight="1" x14ac:dyDescent="0.35">
      <c r="C5" s="4" t="s">
        <v>4</v>
      </c>
      <c r="D5" s="3"/>
      <c r="E5" s="4" t="s">
        <v>5</v>
      </c>
      <c r="F5" s="3"/>
      <c r="G5" s="3"/>
      <c r="H5" s="3"/>
      <c r="I5" s="3"/>
      <c r="J5" s="3"/>
      <c r="K5" s="3"/>
      <c r="L5" s="3"/>
      <c r="M5" s="3"/>
      <c r="N5" s="3"/>
      <c r="O5" s="3"/>
    </row>
    <row r="6" spans="3:15" s="38" customFormat="1" ht="15" customHeight="1" x14ac:dyDescent="0.35">
      <c r="C6" s="4"/>
      <c r="D6" s="3"/>
      <c r="E6" s="498">
        <v>41632</v>
      </c>
      <c r="F6" s="498"/>
      <c r="G6" s="7" t="s">
        <v>92</v>
      </c>
      <c r="H6" s="7"/>
      <c r="I6" s="7"/>
      <c r="J6" s="3"/>
      <c r="K6" s="3"/>
      <c r="L6" s="3"/>
      <c r="M6" s="3"/>
      <c r="N6" s="3"/>
      <c r="O6" s="3"/>
    </row>
    <row r="7" spans="3:15" s="38" customFormat="1" ht="15.75" hidden="1" customHeight="1" thickBot="1" x14ac:dyDescent="0.4">
      <c r="C7" s="543" t="s">
        <v>6</v>
      </c>
      <c r="D7" s="544"/>
      <c r="E7" s="545"/>
      <c r="F7" s="543"/>
      <c r="G7" s="545"/>
      <c r="H7" s="546"/>
      <c r="I7" s="545"/>
      <c r="J7" s="543"/>
      <c r="K7" s="559"/>
      <c r="L7" s="560"/>
      <c r="M7" s="559"/>
      <c r="N7" s="561"/>
      <c r="O7" s="8"/>
    </row>
    <row r="8" spans="3:15" s="38" customFormat="1" ht="15.75" hidden="1" customHeight="1" thickBot="1" x14ac:dyDescent="0.4">
      <c r="C8" s="508" t="s">
        <v>7</v>
      </c>
      <c r="D8" s="553"/>
      <c r="E8" s="507"/>
      <c r="F8" s="508"/>
      <c r="G8" s="511"/>
      <c r="H8" s="512"/>
      <c r="I8" s="507"/>
      <c r="J8" s="508"/>
      <c r="K8" s="562"/>
      <c r="L8" s="563"/>
      <c r="M8" s="564"/>
      <c r="N8" s="565"/>
      <c r="O8" s="9"/>
    </row>
    <row r="9" spans="3:15" s="38" customFormat="1" ht="15" customHeight="1" x14ac:dyDescent="0.35">
      <c r="C9" s="3"/>
      <c r="D9" s="3"/>
      <c r="E9" s="3"/>
      <c r="F9" s="3"/>
      <c r="G9" s="3"/>
      <c r="H9" s="3"/>
      <c r="I9" s="3"/>
      <c r="J9" s="3"/>
      <c r="K9" s="3"/>
      <c r="L9" s="3"/>
      <c r="M9" s="3"/>
      <c r="N9" s="3"/>
      <c r="O9" s="3"/>
    </row>
    <row r="10" spans="3:15" s="38" customFormat="1" ht="15" customHeight="1" x14ac:dyDescent="0.35">
      <c r="C10" s="10" t="s">
        <v>8</v>
      </c>
      <c r="D10" s="3"/>
      <c r="E10" s="3"/>
      <c r="F10" s="3"/>
      <c r="G10" s="3"/>
      <c r="H10" s="3"/>
      <c r="I10" s="11"/>
      <c r="J10" s="10" t="s">
        <v>9</v>
      </c>
      <c r="K10" s="3"/>
      <c r="L10" s="3"/>
      <c r="M10" s="3"/>
      <c r="N10" s="3"/>
      <c r="O10" s="3"/>
    </row>
    <row r="11" spans="3:15" s="38" customFormat="1" ht="15.75" customHeight="1" thickBot="1" x14ac:dyDescent="0.4">
      <c r="C11" s="543" t="s">
        <v>10</v>
      </c>
      <c r="D11" s="544"/>
      <c r="E11" s="545" t="s">
        <v>11</v>
      </c>
      <c r="F11" s="543"/>
      <c r="G11" s="545" t="s">
        <v>12</v>
      </c>
      <c r="H11" s="546"/>
      <c r="I11" s="12"/>
      <c r="J11" s="546" t="s">
        <v>10</v>
      </c>
      <c r="K11" s="543"/>
      <c r="L11" s="545" t="s">
        <v>13</v>
      </c>
      <c r="M11" s="543"/>
      <c r="N11" s="545" t="s">
        <v>12</v>
      </c>
      <c r="O11" s="546"/>
    </row>
    <row r="12" spans="3:15" s="38" customFormat="1" ht="15.75" customHeight="1" thickBot="1" x14ac:dyDescent="0.4">
      <c r="C12" s="508" t="s">
        <v>14</v>
      </c>
      <c r="D12" s="553"/>
      <c r="E12" s="507">
        <v>2500000</v>
      </c>
      <c r="F12" s="508"/>
      <c r="G12" s="511" t="s">
        <v>15</v>
      </c>
      <c r="H12" s="512"/>
      <c r="I12" s="12"/>
      <c r="J12" s="513" t="s">
        <v>16</v>
      </c>
      <c r="K12" s="508"/>
      <c r="L12" s="507">
        <f>L13+L14</f>
        <v>198</v>
      </c>
      <c r="M12" s="508"/>
      <c r="N12" s="511" t="s">
        <v>17</v>
      </c>
      <c r="O12" s="512"/>
    </row>
    <row r="13" spans="3:15" s="38" customFormat="1" ht="15.75" customHeight="1" thickBot="1" x14ac:dyDescent="0.4">
      <c r="C13" s="508" t="s">
        <v>18</v>
      </c>
      <c r="D13" s="553"/>
      <c r="E13" s="557">
        <v>2.5000000000000001E-2</v>
      </c>
      <c r="F13" s="558"/>
      <c r="G13" s="511" t="s">
        <v>19</v>
      </c>
      <c r="H13" s="512"/>
      <c r="I13" s="12"/>
      <c r="J13" s="513" t="s">
        <v>20</v>
      </c>
      <c r="K13" s="508"/>
      <c r="L13" s="541">
        <v>0</v>
      </c>
      <c r="M13" s="542"/>
      <c r="N13" s="511" t="s">
        <v>17</v>
      </c>
      <c r="O13" s="512"/>
    </row>
    <row r="14" spans="3:15" s="38" customFormat="1" ht="15.75" customHeight="1" thickBot="1" x14ac:dyDescent="0.4">
      <c r="C14" s="508" t="s">
        <v>21</v>
      </c>
      <c r="D14" s="553"/>
      <c r="E14" s="554">
        <v>0.1</v>
      </c>
      <c r="F14" s="555"/>
      <c r="G14" s="511" t="s">
        <v>19</v>
      </c>
      <c r="H14" s="512"/>
      <c r="I14" s="12"/>
      <c r="J14" s="513" t="s">
        <v>22</v>
      </c>
      <c r="K14" s="508"/>
      <c r="L14" s="111">
        <v>198</v>
      </c>
      <c r="M14" s="112"/>
      <c r="N14" s="511" t="s">
        <v>17</v>
      </c>
      <c r="O14" s="512"/>
    </row>
    <row r="15" spans="3:15" s="38" customFormat="1" ht="15.75" customHeight="1" thickBot="1" x14ac:dyDescent="0.4">
      <c r="C15" s="504" t="s">
        <v>23</v>
      </c>
      <c r="D15" s="556"/>
      <c r="E15" s="554">
        <v>0.12</v>
      </c>
      <c r="F15" s="555"/>
      <c r="G15" s="511" t="s">
        <v>19</v>
      </c>
      <c r="H15" s="512"/>
      <c r="I15" s="12"/>
      <c r="J15" s="533" t="s">
        <v>24</v>
      </c>
      <c r="K15" s="504"/>
      <c r="L15" s="113">
        <v>3</v>
      </c>
      <c r="M15" s="114"/>
      <c r="N15" s="536" t="s">
        <v>25</v>
      </c>
      <c r="O15" s="537"/>
    </row>
    <row r="16" spans="3:15" s="38" customFormat="1" ht="15" customHeight="1" x14ac:dyDescent="0.35">
      <c r="C16" s="3"/>
      <c r="D16" s="3"/>
      <c r="E16" s="3"/>
      <c r="F16" s="3"/>
      <c r="G16" s="3"/>
      <c r="H16" s="3"/>
      <c r="I16" s="3"/>
      <c r="J16" s="3"/>
      <c r="K16" s="3"/>
      <c r="L16" s="3"/>
      <c r="M16" s="3"/>
      <c r="N16" s="3"/>
      <c r="O16" s="3"/>
    </row>
    <row r="17" spans="1:33" ht="15" customHeight="1" x14ac:dyDescent="0.35">
      <c r="C17" s="10" t="s">
        <v>26</v>
      </c>
      <c r="D17" s="3"/>
      <c r="E17" s="3"/>
      <c r="F17" s="3"/>
      <c r="G17" s="3"/>
      <c r="H17" s="3"/>
      <c r="I17" s="3"/>
      <c r="J17" s="10" t="s">
        <v>27</v>
      </c>
      <c r="K17" s="3"/>
      <c r="L17" s="3"/>
      <c r="M17" s="3"/>
      <c r="N17" s="3"/>
      <c r="O17" s="3"/>
    </row>
    <row r="18" spans="1:33" ht="15.75" customHeight="1" thickBot="1" x14ac:dyDescent="0.4">
      <c r="C18" s="543" t="s">
        <v>10</v>
      </c>
      <c r="D18" s="544"/>
      <c r="E18" s="545" t="s">
        <v>28</v>
      </c>
      <c r="F18" s="546"/>
      <c r="G18" s="546"/>
      <c r="H18" s="546"/>
      <c r="I18" s="12"/>
      <c r="J18" s="546" t="s">
        <v>10</v>
      </c>
      <c r="K18" s="543"/>
      <c r="L18" s="545" t="s">
        <v>28</v>
      </c>
      <c r="M18" s="546"/>
      <c r="N18" s="545" t="s">
        <v>28</v>
      </c>
      <c r="O18" s="546"/>
    </row>
    <row r="19" spans="1:33" ht="15.75" customHeight="1" thickBot="1" x14ac:dyDescent="0.4">
      <c r="C19" s="507" t="s">
        <v>29</v>
      </c>
      <c r="D19" s="508"/>
      <c r="E19" s="547">
        <v>1500000000</v>
      </c>
      <c r="F19" s="548"/>
      <c r="G19" s="37" t="s">
        <v>30</v>
      </c>
      <c r="H19" s="36"/>
      <c r="I19" s="12"/>
      <c r="J19" s="549" t="s">
        <v>31</v>
      </c>
      <c r="K19" s="550"/>
      <c r="L19" s="551">
        <v>8000000</v>
      </c>
      <c r="M19" s="552"/>
      <c r="N19" s="511" t="s">
        <v>32</v>
      </c>
      <c r="O19" s="512"/>
      <c r="AB19" s="566"/>
      <c r="AC19" s="567"/>
      <c r="AD19" s="568"/>
      <c r="AE19" s="566"/>
      <c r="AF19" s="568"/>
      <c r="AG19" s="566"/>
    </row>
    <row r="20" spans="1:33" ht="15.75" customHeight="1" thickBot="1" x14ac:dyDescent="0.4">
      <c r="C20" s="507" t="s">
        <v>84</v>
      </c>
      <c r="D20" s="508"/>
      <c r="E20" s="507"/>
      <c r="F20" s="513"/>
      <c r="G20" s="64">
        <v>4</v>
      </c>
      <c r="H20" s="40" t="s">
        <v>81</v>
      </c>
      <c r="I20" s="12"/>
      <c r="J20" s="541" t="s">
        <v>24</v>
      </c>
      <c r="K20" s="542"/>
      <c r="L20" s="505">
        <f>[2]SUM2!$C$54</f>
        <v>35000000</v>
      </c>
      <c r="M20" s="506"/>
      <c r="N20" s="511" t="s">
        <v>33</v>
      </c>
      <c r="O20" s="512"/>
      <c r="AB20" s="569"/>
      <c r="AC20" s="570"/>
      <c r="AD20" s="571"/>
      <c r="AE20" s="572"/>
      <c r="AF20" s="573"/>
      <c r="AG20" s="574"/>
    </row>
    <row r="21" spans="1:33" ht="15.75" customHeight="1" thickBot="1" x14ac:dyDescent="0.4">
      <c r="C21" s="509" t="s">
        <v>82</v>
      </c>
      <c r="D21" s="510"/>
      <c r="E21" s="507"/>
      <c r="F21" s="508"/>
      <c r="G21" s="511" t="s">
        <v>19</v>
      </c>
      <c r="H21" s="512"/>
      <c r="I21" s="12"/>
      <c r="J21" s="513" t="s">
        <v>75</v>
      </c>
      <c r="K21" s="508"/>
      <c r="L21" s="505">
        <v>170000000</v>
      </c>
      <c r="M21" s="506"/>
      <c r="N21" s="511" t="s">
        <v>34</v>
      </c>
      <c r="O21" s="512"/>
      <c r="AB21" s="575"/>
      <c r="AC21" s="576"/>
      <c r="AD21" s="499"/>
      <c r="AE21" s="500"/>
      <c r="AF21" s="573"/>
      <c r="AG21" s="574"/>
    </row>
    <row r="22" spans="1:33" ht="15.75" customHeight="1" thickBot="1" x14ac:dyDescent="0.4">
      <c r="C22" s="509" t="s">
        <v>83</v>
      </c>
      <c r="D22" s="510"/>
      <c r="E22" s="507">
        <f>E19</f>
        <v>1500000000</v>
      </c>
      <c r="F22" s="508"/>
      <c r="G22" s="511" t="s">
        <v>85</v>
      </c>
      <c r="H22" s="512"/>
      <c r="I22" s="13"/>
      <c r="J22" s="540" t="s">
        <v>76</v>
      </c>
      <c r="K22" s="522"/>
      <c r="L22" s="507">
        <v>50000000</v>
      </c>
      <c r="M22" s="508"/>
      <c r="N22" s="511" t="s">
        <v>33</v>
      </c>
      <c r="O22" s="512"/>
      <c r="AB22" s="577"/>
      <c r="AC22" s="524"/>
      <c r="AD22" s="499"/>
      <c r="AE22" s="500"/>
      <c r="AF22" s="573"/>
      <c r="AG22" s="574"/>
    </row>
    <row r="23" spans="1:33" ht="15.75" customHeight="1" thickBot="1" x14ac:dyDescent="0.4">
      <c r="C23" s="85" t="s">
        <v>90</v>
      </c>
      <c r="D23" s="87">
        <v>0.15</v>
      </c>
      <c r="E23" s="513">
        <f>E22*D23</f>
        <v>225000000</v>
      </c>
      <c r="F23" s="513"/>
      <c r="G23" s="511" t="s">
        <v>90</v>
      </c>
      <c r="H23" s="512"/>
      <c r="I23" s="13"/>
      <c r="J23" s="534" t="s">
        <v>96</v>
      </c>
      <c r="K23" s="535"/>
      <c r="L23" s="503">
        <v>60000000</v>
      </c>
      <c r="M23" s="504"/>
      <c r="N23" s="536" t="s">
        <v>33</v>
      </c>
      <c r="O23" s="537"/>
      <c r="AB23" s="578"/>
      <c r="AC23" s="579"/>
      <c r="AD23" s="523"/>
      <c r="AE23" s="524"/>
      <c r="AF23" s="573"/>
      <c r="AG23" s="574"/>
    </row>
    <row r="24" spans="1:33" ht="15.75" customHeight="1" thickBot="1" x14ac:dyDescent="0.4">
      <c r="C24" s="86" t="s">
        <v>91</v>
      </c>
      <c r="D24" s="87">
        <v>0.85</v>
      </c>
      <c r="E24" s="505">
        <f>D24*E22</f>
        <v>1275000000</v>
      </c>
      <c r="F24" s="506"/>
      <c r="G24" s="511" t="s">
        <v>91</v>
      </c>
      <c r="H24" s="512"/>
      <c r="I24" s="12"/>
      <c r="J24" s="534" t="s">
        <v>99</v>
      </c>
      <c r="K24" s="535"/>
      <c r="L24" s="503">
        <v>60000000</v>
      </c>
      <c r="M24" s="504"/>
      <c r="N24" s="536" t="s">
        <v>33</v>
      </c>
      <c r="O24" s="537"/>
      <c r="AB24" s="580"/>
      <c r="AC24" s="581"/>
      <c r="AD24" s="582"/>
      <c r="AE24" s="583"/>
      <c r="AF24" s="584"/>
      <c r="AG24" s="585"/>
    </row>
    <row r="25" spans="1:33" ht="15" customHeight="1" thickBot="1" x14ac:dyDescent="0.4">
      <c r="C25" s="86"/>
      <c r="D25" s="68"/>
      <c r="E25" s="505">
        <f>D25*E22</f>
        <v>0</v>
      </c>
      <c r="F25" s="506"/>
      <c r="G25" s="66"/>
      <c r="H25" s="67"/>
      <c r="I25" s="12"/>
      <c r="J25" s="534" t="s">
        <v>77</v>
      </c>
      <c r="K25" s="535"/>
      <c r="L25" s="503">
        <v>67500000</v>
      </c>
      <c r="M25" s="504"/>
      <c r="N25" s="536" t="s">
        <v>33</v>
      </c>
      <c r="O25" s="537"/>
      <c r="AB25" s="580"/>
      <c r="AC25" s="581"/>
      <c r="AD25" s="582"/>
      <c r="AE25" s="583"/>
      <c r="AF25" s="584"/>
      <c r="AG25" s="585"/>
    </row>
    <row r="26" spans="1:33" ht="15" customHeight="1" thickBot="1" x14ac:dyDescent="0.4">
      <c r="C26" s="507" t="s">
        <v>36</v>
      </c>
      <c r="D26" s="508"/>
      <c r="E26" s="507">
        <v>50000000</v>
      </c>
      <c r="F26" s="508"/>
      <c r="G26" s="66" t="s">
        <v>37</v>
      </c>
      <c r="H26" s="67"/>
      <c r="J26" s="534" t="s">
        <v>93</v>
      </c>
      <c r="K26" s="535"/>
      <c r="L26" s="503">
        <f>L25</f>
        <v>67500000</v>
      </c>
      <c r="M26" s="504"/>
      <c r="N26" s="536" t="s">
        <v>33</v>
      </c>
      <c r="O26" s="537"/>
      <c r="AB26" s="580"/>
      <c r="AC26" s="581"/>
      <c r="AD26" s="582"/>
      <c r="AE26" s="583"/>
      <c r="AF26" s="584"/>
      <c r="AG26" s="585"/>
    </row>
    <row r="27" spans="1:33" ht="15" customHeight="1" thickBot="1" x14ac:dyDescent="0.4">
      <c r="C27" s="66" t="s">
        <v>39</v>
      </c>
      <c r="D27" s="63"/>
      <c r="E27" s="503"/>
      <c r="F27" s="504"/>
      <c r="G27" s="65"/>
      <c r="H27" s="62"/>
      <c r="J27" s="534" t="s">
        <v>78</v>
      </c>
      <c r="K27" s="535"/>
      <c r="L27" s="503">
        <v>135000000</v>
      </c>
      <c r="M27" s="504"/>
      <c r="N27" s="536" t="s">
        <v>33</v>
      </c>
      <c r="O27" s="537"/>
      <c r="AB27" s="580"/>
      <c r="AC27" s="581"/>
      <c r="AD27" s="582"/>
      <c r="AE27" s="583"/>
      <c r="AF27" s="584"/>
      <c r="AG27" s="585"/>
    </row>
    <row r="28" spans="1:33" ht="15.75" customHeight="1" x14ac:dyDescent="0.35">
      <c r="AB28" s="580"/>
      <c r="AC28" s="581"/>
      <c r="AD28" s="582"/>
      <c r="AE28" s="583"/>
      <c r="AF28" s="584"/>
      <c r="AG28" s="585"/>
    </row>
    <row r="29" spans="1:33" ht="15.75" customHeight="1" thickBot="1" x14ac:dyDescent="0.4">
      <c r="A29" s="1" t="b">
        <v>0</v>
      </c>
      <c r="B29" s="1" t="b">
        <v>0</v>
      </c>
      <c r="C29" s="10" t="s">
        <v>40</v>
      </c>
      <c r="D29" s="3"/>
      <c r="J29" s="72"/>
      <c r="K29" s="69"/>
      <c r="L29" s="69"/>
      <c r="M29" s="69"/>
    </row>
    <row r="30" spans="1:33" ht="15.75" customHeight="1" thickBot="1" x14ac:dyDescent="0.4">
      <c r="A30" s="1" t="b">
        <v>0</v>
      </c>
      <c r="B30" s="1" t="b">
        <v>0</v>
      </c>
      <c r="C30" s="514" t="s">
        <v>41</v>
      </c>
      <c r="D30" s="515"/>
      <c r="E30" s="538">
        <v>2013</v>
      </c>
      <c r="F30" s="538">
        <v>2014</v>
      </c>
      <c r="G30" s="69"/>
      <c r="H30" s="69"/>
      <c r="J30" s="518"/>
      <c r="K30" s="518"/>
      <c r="L30" s="518"/>
      <c r="M30" s="518"/>
    </row>
    <row r="31" spans="1:33" ht="15.75" customHeight="1" thickBot="1" x14ac:dyDescent="0.4">
      <c r="C31" s="516"/>
      <c r="D31" s="517"/>
      <c r="E31" s="539"/>
      <c r="F31" s="539"/>
      <c r="G31" s="69"/>
      <c r="H31" s="69"/>
      <c r="I31" s="77"/>
      <c r="J31" s="77"/>
      <c r="K31" s="77"/>
    </row>
    <row r="32" spans="1:33" ht="15.75" customHeight="1" thickBot="1" x14ac:dyDescent="0.4">
      <c r="A32" s="1" t="b">
        <v>0</v>
      </c>
      <c r="B32" s="1" t="b">
        <v>0</v>
      </c>
      <c r="C32" s="513" t="s">
        <v>42</v>
      </c>
      <c r="D32" s="508"/>
      <c r="E32" s="14">
        <v>0</v>
      </c>
      <c r="F32" s="14">
        <v>0</v>
      </c>
      <c r="H32" s="78"/>
      <c r="I32" s="78"/>
      <c r="J32" s="78"/>
      <c r="K32" s="78"/>
    </row>
    <row r="33" spans="1:32" ht="15.75" customHeight="1" thickBot="1" x14ac:dyDescent="0.4">
      <c r="A33" s="1" t="b">
        <v>0</v>
      </c>
      <c r="B33" s="1" t="b">
        <v>0</v>
      </c>
      <c r="C33" s="513" t="s">
        <v>43</v>
      </c>
      <c r="D33" s="508"/>
      <c r="E33" s="71">
        <v>0</v>
      </c>
      <c r="F33" s="71">
        <v>1</v>
      </c>
      <c r="H33" s="78"/>
      <c r="I33" s="78"/>
      <c r="J33" s="78"/>
      <c r="K33" s="78"/>
    </row>
    <row r="34" spans="1:32" ht="15.75" customHeight="1" thickBot="1" x14ac:dyDescent="0.4">
      <c r="C34" s="513" t="s">
        <v>44</v>
      </c>
      <c r="D34" s="508"/>
      <c r="E34" s="71">
        <v>0</v>
      </c>
      <c r="F34" s="71">
        <v>1</v>
      </c>
      <c r="H34" s="78"/>
      <c r="I34" s="78"/>
      <c r="J34" s="78"/>
      <c r="K34" s="78"/>
    </row>
    <row r="35" spans="1:32" ht="15" customHeight="1" thickBot="1" x14ac:dyDescent="0.4">
      <c r="C35" s="513" t="s">
        <v>45</v>
      </c>
      <c r="D35" s="508"/>
      <c r="E35" s="71">
        <v>0</v>
      </c>
      <c r="F35" s="71">
        <v>1</v>
      </c>
      <c r="H35" s="78"/>
      <c r="I35" s="78"/>
      <c r="J35" s="78"/>
      <c r="K35" s="78"/>
    </row>
    <row r="36" spans="1:32" ht="15.75" customHeight="1" thickBot="1" x14ac:dyDescent="0.4">
      <c r="C36" s="513" t="s">
        <v>95</v>
      </c>
      <c r="D36" s="508"/>
      <c r="E36" s="71">
        <v>0</v>
      </c>
      <c r="F36" s="71">
        <v>0</v>
      </c>
      <c r="H36" s="78"/>
      <c r="I36" s="78"/>
      <c r="J36" s="78"/>
      <c r="K36" s="78"/>
    </row>
    <row r="37" spans="1:32" ht="15.75" customHeight="1" thickBot="1" x14ac:dyDescent="0.4">
      <c r="C37" s="513" t="s">
        <v>98</v>
      </c>
      <c r="D37" s="508"/>
      <c r="E37" s="71">
        <v>0</v>
      </c>
      <c r="F37" s="71">
        <v>1</v>
      </c>
      <c r="G37" s="84">
        <f>IF(F37=1,0,1)</f>
        <v>0</v>
      </c>
      <c r="H37" s="78"/>
      <c r="I37" s="78"/>
      <c r="J37" s="78"/>
      <c r="K37" s="78"/>
    </row>
    <row r="38" spans="1:32" ht="15.75" hidden="1" customHeight="1" thickBot="1" x14ac:dyDescent="0.4">
      <c r="C38" s="513" t="s">
        <v>46</v>
      </c>
      <c r="D38" s="508"/>
      <c r="E38" s="71">
        <v>0</v>
      </c>
      <c r="F38" s="71">
        <v>0</v>
      </c>
      <c r="G38" s="84">
        <f t="shared" ref="G38:G39" si="0">IF(F38=1,0,1)</f>
        <v>1</v>
      </c>
      <c r="H38" s="78"/>
      <c r="I38" s="78"/>
      <c r="J38" s="78"/>
      <c r="K38" s="78"/>
    </row>
    <row r="39" spans="1:32" ht="15.75" hidden="1" customHeight="1" thickBot="1" x14ac:dyDescent="0.4">
      <c r="C39" s="513" t="s">
        <v>47</v>
      </c>
      <c r="D39" s="508"/>
      <c r="E39" s="71">
        <v>0</v>
      </c>
      <c r="F39" s="71">
        <v>0</v>
      </c>
      <c r="G39" s="84">
        <f t="shared" si="0"/>
        <v>1</v>
      </c>
      <c r="H39" s="78"/>
      <c r="I39" s="78"/>
      <c r="J39" s="78"/>
      <c r="K39" s="78"/>
      <c r="AD39" s="55"/>
    </row>
    <row r="40" spans="1:32" ht="15.75" customHeight="1" thickBot="1" x14ac:dyDescent="0.4">
      <c r="C40" s="519" t="s">
        <v>79</v>
      </c>
      <c r="D40" s="520"/>
      <c r="E40" s="74">
        <f>E32+E33+E34+E35+E36+E37+E38+E39</f>
        <v>0</v>
      </c>
      <c r="F40" s="75">
        <f>F32+F33+F34+F35+F36+F37+F38+F39</f>
        <v>4</v>
      </c>
      <c r="H40" s="79"/>
      <c r="I40" s="73"/>
      <c r="J40" s="79"/>
      <c r="K40" s="73"/>
      <c r="AD40" s="55"/>
    </row>
    <row r="41" spans="1:32" ht="15.75" customHeight="1" thickBot="1" x14ac:dyDescent="0.4">
      <c r="C41" s="519" t="s">
        <v>38</v>
      </c>
      <c r="D41" s="520"/>
      <c r="E41" s="76">
        <f>E33+E35+E36+E37+E39</f>
        <v>0</v>
      </c>
      <c r="F41" s="76">
        <f t="shared" ref="F41" si="1">F33+F35+F36+F37+F39</f>
        <v>3</v>
      </c>
      <c r="H41" s="69"/>
      <c r="I41" s="69"/>
      <c r="J41" s="69"/>
      <c r="K41" s="69"/>
      <c r="AD41" s="56"/>
    </row>
    <row r="42" spans="1:32" ht="15.75" customHeight="1" thickBot="1" x14ac:dyDescent="0.4">
      <c r="C42" s="519" t="s">
        <v>35</v>
      </c>
      <c r="D42" s="520"/>
      <c r="E42" s="76">
        <f>E32+E34+E38</f>
        <v>0</v>
      </c>
      <c r="F42" s="76">
        <f t="shared" ref="F42" si="2">F32+F34+F38</f>
        <v>1</v>
      </c>
      <c r="H42" s="69"/>
      <c r="I42" s="69"/>
      <c r="J42" s="69"/>
      <c r="K42" s="69"/>
      <c r="AD42" s="56"/>
    </row>
    <row r="43" spans="1:32" ht="15.75" hidden="1" customHeight="1" x14ac:dyDescent="0.35">
      <c r="E43" s="50"/>
      <c r="F43" s="50"/>
      <c r="AF43" s="56"/>
    </row>
    <row r="44" spans="1:32" ht="15.75" customHeight="1" thickBot="1" x14ac:dyDescent="0.4">
      <c r="C44" s="10" t="s">
        <v>49</v>
      </c>
      <c r="D44" s="3"/>
      <c r="E44" s="3"/>
      <c r="F44" s="3"/>
      <c r="G44" s="3"/>
      <c r="H44" s="3"/>
      <c r="AF44" s="57"/>
    </row>
    <row r="45" spans="1:32" ht="15.75" customHeight="1" thickBot="1" x14ac:dyDescent="0.4">
      <c r="C45" s="46" t="s">
        <v>41</v>
      </c>
      <c r="D45" s="47"/>
      <c r="E45" s="48" t="s">
        <v>50</v>
      </c>
      <c r="F45" s="47"/>
      <c r="G45" s="48" t="s">
        <v>51</v>
      </c>
      <c r="H45" s="47"/>
      <c r="J45" s="499"/>
      <c r="K45" s="500"/>
      <c r="L45" s="501" t="s">
        <v>94</v>
      </c>
      <c r="M45" s="502"/>
      <c r="N45" s="44" t="s">
        <v>52</v>
      </c>
      <c r="O45" s="45"/>
    </row>
    <row r="46" spans="1:32" ht="15.75" customHeight="1" thickBot="1" x14ac:dyDescent="0.4">
      <c r="C46" s="41" t="s">
        <v>42</v>
      </c>
      <c r="D46" s="39"/>
      <c r="E46" s="42">
        <f>G46/L14</f>
        <v>0</v>
      </c>
      <c r="F46" s="39"/>
      <c r="G46" s="58"/>
      <c r="H46" s="59"/>
      <c r="J46" s="88">
        <f>E101</f>
        <v>0.21274370080587102</v>
      </c>
      <c r="K46" s="83"/>
      <c r="L46" s="15">
        <f>H101</f>
        <v>0.21274370080587079</v>
      </c>
      <c r="M46" s="16"/>
      <c r="N46" s="17">
        <f>K98</f>
        <v>1988010216.1289747</v>
      </c>
      <c r="O46" s="18"/>
      <c r="P46" s="96"/>
      <c r="Q46" s="54"/>
      <c r="R46" s="54"/>
      <c r="S46" s="54"/>
      <c r="T46" s="54"/>
      <c r="U46" s="54"/>
      <c r="V46" s="54"/>
      <c r="W46" s="54"/>
      <c r="X46" s="54"/>
      <c r="Y46" s="54"/>
      <c r="Z46" s="54"/>
    </row>
    <row r="47" spans="1:32" ht="15.75" customHeight="1" thickBot="1" x14ac:dyDescent="0.4">
      <c r="C47" s="41" t="s">
        <v>43</v>
      </c>
      <c r="D47" s="39"/>
      <c r="E47" s="42">
        <v>151000</v>
      </c>
      <c r="F47" s="39"/>
      <c r="G47" s="586">
        <f>G48</f>
        <v>31274100</v>
      </c>
      <c r="H47" s="587"/>
    </row>
    <row r="48" spans="1:32" ht="15" customHeight="1" thickBot="1" x14ac:dyDescent="0.4">
      <c r="C48" s="41" t="s">
        <v>44</v>
      </c>
      <c r="D48" s="39"/>
      <c r="E48" s="42">
        <f t="shared" ref="E48:E53" si="3">G48/$L$12</f>
        <v>157950</v>
      </c>
      <c r="F48" s="39"/>
      <c r="G48" s="586">
        <f>G49*0.9</f>
        <v>31274100</v>
      </c>
      <c r="H48" s="587"/>
      <c r="I48" s="96" t="s">
        <v>100</v>
      </c>
      <c r="J48" s="97"/>
      <c r="K48" s="98"/>
      <c r="L48" s="107"/>
      <c r="M48" s="110"/>
      <c r="N48" s="99"/>
      <c r="O48" s="101"/>
      <c r="P48" s="69"/>
    </row>
    <row r="49" spans="1:16" ht="15" customHeight="1" thickBot="1" x14ac:dyDescent="0.4">
      <c r="C49" s="41" t="s">
        <v>45</v>
      </c>
      <c r="D49" s="39"/>
      <c r="E49" s="43">
        <v>175500</v>
      </c>
      <c r="F49" s="70"/>
      <c r="G49" s="507">
        <f>E49*L12</f>
        <v>34749000</v>
      </c>
      <c r="H49" s="508"/>
      <c r="J49" s="82"/>
      <c r="K49" s="83"/>
      <c r="L49" s="82"/>
      <c r="M49" s="83"/>
      <c r="N49" s="104"/>
      <c r="O49" s="105"/>
      <c r="P49" s="106"/>
    </row>
    <row r="50" spans="1:16" ht="15" customHeight="1" thickBot="1" x14ac:dyDescent="0.4">
      <c r="C50" s="41" t="s">
        <v>95</v>
      </c>
      <c r="D50" s="39"/>
      <c r="E50" s="43">
        <v>0</v>
      </c>
      <c r="F50" s="70"/>
      <c r="G50" s="507">
        <f>E50*L12</f>
        <v>0</v>
      </c>
      <c r="H50" s="508"/>
    </row>
    <row r="51" spans="1:16" ht="15" customHeight="1" thickBot="1" x14ac:dyDescent="0.4">
      <c r="C51" s="41" t="s">
        <v>98</v>
      </c>
      <c r="D51" s="39"/>
      <c r="E51" s="43">
        <v>169000</v>
      </c>
      <c r="F51" s="70"/>
      <c r="G51" s="507">
        <f>E51*L12</f>
        <v>33462000</v>
      </c>
      <c r="H51" s="508"/>
    </row>
    <row r="52" spans="1:16" ht="15" hidden="1" customHeight="1" thickBot="1" x14ac:dyDescent="0.4">
      <c r="C52" s="41" t="s">
        <v>46</v>
      </c>
      <c r="D52" s="39"/>
      <c r="E52" s="43">
        <v>0</v>
      </c>
      <c r="F52" s="70"/>
      <c r="G52" s="507">
        <f>E52*L12</f>
        <v>0</v>
      </c>
      <c r="H52" s="508"/>
    </row>
    <row r="53" spans="1:16" ht="15" hidden="1" customHeight="1" thickBot="1" x14ac:dyDescent="0.4">
      <c r="C53" s="42" t="s">
        <v>47</v>
      </c>
      <c r="D53" s="39"/>
      <c r="E53" s="42">
        <f t="shared" si="3"/>
        <v>0</v>
      </c>
      <c r="F53" s="39"/>
      <c r="G53" s="586">
        <v>0</v>
      </c>
      <c r="H53" s="587"/>
    </row>
    <row r="54" spans="1:16" ht="15" customHeight="1" x14ac:dyDescent="0.35"/>
    <row r="55" spans="1:16" ht="15" hidden="1" customHeight="1" x14ac:dyDescent="0.35">
      <c r="L55" s="55"/>
    </row>
    <row r="56" spans="1:16" ht="15" hidden="1" customHeight="1" x14ac:dyDescent="0.35"/>
    <row r="57" spans="1:16" ht="15" hidden="1" customHeight="1" x14ac:dyDescent="0.35"/>
    <row r="58" spans="1:16" ht="15" hidden="1" customHeight="1" x14ac:dyDescent="0.35"/>
    <row r="59" spans="1:16" ht="15" hidden="1" customHeight="1" x14ac:dyDescent="0.35"/>
    <row r="60" spans="1:16" ht="15" hidden="1" customHeight="1" x14ac:dyDescent="0.35"/>
    <row r="61" spans="1:16" ht="15" hidden="1" customHeight="1" x14ac:dyDescent="0.35"/>
    <row r="62" spans="1:16" ht="15" customHeight="1" thickBot="1" x14ac:dyDescent="0.4">
      <c r="C62" s="10" t="s">
        <v>53</v>
      </c>
      <c r="D62" s="3"/>
      <c r="E62" s="3"/>
      <c r="F62" s="3"/>
      <c r="G62" s="3"/>
      <c r="H62" s="3"/>
      <c r="I62" s="3"/>
      <c r="J62" s="3"/>
      <c r="K62" s="3"/>
      <c r="L62" s="3"/>
    </row>
    <row r="63" spans="1:16" ht="15.75" customHeight="1" thickBot="1" x14ac:dyDescent="0.4">
      <c r="C63" s="588"/>
      <c r="D63" s="589"/>
      <c r="E63" s="117">
        <v>2013</v>
      </c>
      <c r="F63" s="117">
        <f>E63+1</f>
        <v>2014</v>
      </c>
      <c r="G63" s="117">
        <f>F63+1</f>
        <v>2015</v>
      </c>
      <c r="H63" s="117">
        <f>G63+1</f>
        <v>2016</v>
      </c>
      <c r="I63" s="117">
        <f>H63+1</f>
        <v>2017</v>
      </c>
      <c r="J63" s="117">
        <f>I63+1</f>
        <v>2018</v>
      </c>
      <c r="K63" s="115" t="s">
        <v>48</v>
      </c>
    </row>
    <row r="64" spans="1:16" ht="15.75" customHeight="1" thickBot="1" x14ac:dyDescent="0.4">
      <c r="A64" s="38"/>
      <c r="B64" s="38"/>
      <c r="C64" s="513" t="s">
        <v>42</v>
      </c>
      <c r="D64" s="508"/>
      <c r="E64" s="80">
        <f>IF(E32="1",E46*L14*12*#REF!,0)</f>
        <v>0</v>
      </c>
      <c r="F64" s="80">
        <f>IF(F32="1",F46*M14*12*#REF!,0)</f>
        <v>0</v>
      </c>
      <c r="G64" s="80">
        <f>IF(G32="1",G46*N14*12*#REF!,0)</f>
        <v>0</v>
      </c>
      <c r="H64" s="80">
        <f>IF(H32="1",H46*O14*12*#REF!,0)</f>
        <v>0</v>
      </c>
      <c r="I64" s="80">
        <f>IF(I32="1",I46*P14*12*#REF!,0)</f>
        <v>0</v>
      </c>
      <c r="J64" s="80">
        <f>IF(J32="1",J46*Q14*12*#REF!,0)</f>
        <v>0</v>
      </c>
      <c r="K64" s="80">
        <f>IF(K32="1",K46*R14*12*#REF!,0)</f>
        <v>0</v>
      </c>
    </row>
    <row r="65" spans="1:11" ht="15.75" customHeight="1" thickBot="1" x14ac:dyDescent="0.4">
      <c r="A65" s="38"/>
      <c r="B65" s="38"/>
      <c r="C65" s="513" t="s">
        <v>43</v>
      </c>
      <c r="D65" s="508"/>
      <c r="E65" s="81">
        <f>IF(E33=0,0,$G$47*12)</f>
        <v>0</v>
      </c>
      <c r="F65" s="81">
        <f>IF(E65&gt;1,E65,G48*12)</f>
        <v>375289200</v>
      </c>
      <c r="G65" s="81">
        <f>IF(F65&gt;1,F65,G48*12)</f>
        <v>375289200</v>
      </c>
      <c r="H65" s="81">
        <f>IF(G65&gt;1,G65,0)</f>
        <v>375289200</v>
      </c>
      <c r="I65" s="81">
        <f>H65</f>
        <v>375289200</v>
      </c>
      <c r="J65" s="81">
        <f>IF(COUNT(E65:I65)=5,0,E65)</f>
        <v>0</v>
      </c>
      <c r="K65" s="81">
        <f t="shared" ref="K65:K71" si="4">SUM(E65:J65)</f>
        <v>1501156800</v>
      </c>
    </row>
    <row r="66" spans="1:11" ht="15.75" customHeight="1" thickBot="1" x14ac:dyDescent="0.4">
      <c r="A66" s="38"/>
      <c r="B66" s="38"/>
      <c r="C66" s="513" t="s">
        <v>44</v>
      </c>
      <c r="D66" s="508"/>
      <c r="E66" s="81">
        <f>IF(E34=0,0,$G$48*12)</f>
        <v>0</v>
      </c>
      <c r="F66" s="81">
        <f>IF(E66&gt;1,E66,G49*12)</f>
        <v>416988000</v>
      </c>
      <c r="G66" s="81">
        <f>F66</f>
        <v>416988000</v>
      </c>
      <c r="H66" s="81">
        <f>G66</f>
        <v>416988000</v>
      </c>
      <c r="I66" s="81">
        <f>H66</f>
        <v>416988000</v>
      </c>
      <c r="J66" s="81">
        <f>I66/2</f>
        <v>208494000</v>
      </c>
      <c r="K66" s="80">
        <f t="shared" si="4"/>
        <v>1876446000</v>
      </c>
    </row>
    <row r="67" spans="1:11" ht="15.75" customHeight="1" thickBot="1" x14ac:dyDescent="0.4">
      <c r="A67" s="38"/>
      <c r="B67" s="38"/>
      <c r="C67" s="513" t="s">
        <v>45</v>
      </c>
      <c r="D67" s="508"/>
      <c r="E67" s="81">
        <v>0</v>
      </c>
      <c r="F67" s="81">
        <f>G49*12</f>
        <v>416988000</v>
      </c>
      <c r="G67" s="81">
        <f>F67</f>
        <v>416988000</v>
      </c>
      <c r="H67" s="81">
        <f>G67</f>
        <v>416988000</v>
      </c>
      <c r="I67" s="81">
        <f>H67</f>
        <v>416988000</v>
      </c>
      <c r="J67" s="81">
        <f>I67/2</f>
        <v>208494000</v>
      </c>
      <c r="K67" s="80">
        <f t="shared" si="4"/>
        <v>1876446000</v>
      </c>
    </row>
    <row r="68" spans="1:11" ht="15.75" customHeight="1" thickBot="1" x14ac:dyDescent="0.4">
      <c r="A68" s="38"/>
      <c r="B68" s="38"/>
      <c r="C68" s="513" t="s">
        <v>95</v>
      </c>
      <c r="D68" s="508"/>
      <c r="E68" s="81"/>
      <c r="F68" s="81"/>
      <c r="G68" s="81"/>
      <c r="H68" s="81"/>
      <c r="I68" s="81"/>
      <c r="J68" s="81"/>
      <c r="K68" s="80">
        <f t="shared" si="4"/>
        <v>0</v>
      </c>
    </row>
    <row r="69" spans="1:11" ht="15.75" customHeight="1" thickBot="1" x14ac:dyDescent="0.4">
      <c r="A69" s="38"/>
      <c r="B69" s="38"/>
      <c r="C69" s="513" t="s">
        <v>98</v>
      </c>
      <c r="D69" s="508"/>
      <c r="E69" s="81"/>
      <c r="F69" s="81">
        <f>G51*12</f>
        <v>401544000</v>
      </c>
      <c r="G69" s="81">
        <f t="shared" ref="G69:I71" si="5">F69</f>
        <v>401544000</v>
      </c>
      <c r="H69" s="81">
        <f t="shared" si="5"/>
        <v>401544000</v>
      </c>
      <c r="I69" s="81">
        <f t="shared" si="5"/>
        <v>401544000</v>
      </c>
      <c r="J69" s="81">
        <f>I69/2</f>
        <v>200772000</v>
      </c>
      <c r="K69" s="80">
        <f t="shared" si="4"/>
        <v>1806948000</v>
      </c>
    </row>
    <row r="70" spans="1:11" ht="15.75" hidden="1" customHeight="1" thickBot="1" x14ac:dyDescent="0.4">
      <c r="A70" s="38"/>
      <c r="B70" s="38"/>
      <c r="C70" s="513" t="s">
        <v>46</v>
      </c>
      <c r="D70" s="508"/>
      <c r="E70" s="81" t="e">
        <f>IF(#REF!=0,0,G52*12)</f>
        <v>#REF!</v>
      </c>
      <c r="F70" s="81" t="e">
        <f>(IF(#REF!&gt;0,#REF!,IF(#REF!=0,0,G52*12)))</f>
        <v>#REF!</v>
      </c>
      <c r="G70" s="81" t="e">
        <f t="shared" si="5"/>
        <v>#REF!</v>
      </c>
      <c r="H70" s="81" t="e">
        <f t="shared" si="5"/>
        <v>#REF!</v>
      </c>
      <c r="I70" s="81" t="e">
        <f t="shared" si="5"/>
        <v>#REF!</v>
      </c>
      <c r="J70" s="81" t="e">
        <f>IF(#REF!&gt;0,0,IF(#REF!=0,0,G52*12))</f>
        <v>#REF!</v>
      </c>
      <c r="K70" s="80" t="e">
        <f t="shared" si="4"/>
        <v>#REF!</v>
      </c>
    </row>
    <row r="71" spans="1:11" ht="15.75" hidden="1" customHeight="1" thickBot="1" x14ac:dyDescent="0.4">
      <c r="A71" s="38"/>
      <c r="B71" s="38"/>
      <c r="C71" s="533" t="s">
        <v>47</v>
      </c>
      <c r="D71" s="504"/>
      <c r="E71" s="81" t="e">
        <f>IF(#REF!=0,0,G53*12)</f>
        <v>#REF!</v>
      </c>
      <c r="F71" s="81" t="e">
        <f>(IF(#REF!&gt;0,#REF!,IF(#REF!=0,0,G53*12)))</f>
        <v>#REF!</v>
      </c>
      <c r="G71" s="81" t="e">
        <f t="shared" si="5"/>
        <v>#REF!</v>
      </c>
      <c r="H71" s="81" t="e">
        <f t="shared" si="5"/>
        <v>#REF!</v>
      </c>
      <c r="I71" s="81" t="e">
        <f t="shared" si="5"/>
        <v>#REF!</v>
      </c>
      <c r="J71" s="81" t="e">
        <f>IF(#REF!&gt;0,0,IF(#REF!=0,0,G53*12))</f>
        <v>#REF!</v>
      </c>
      <c r="K71" s="80" t="e">
        <f t="shared" si="4"/>
        <v>#REF!</v>
      </c>
    </row>
    <row r="72" spans="1:11" ht="15.75" customHeight="1" thickBot="1" x14ac:dyDescent="0.4">
      <c r="A72" s="38"/>
      <c r="B72" s="38"/>
      <c r="C72" s="516" t="s">
        <v>48</v>
      </c>
      <c r="D72" s="517"/>
      <c r="E72" s="20">
        <f>SUM(E64:E69)</f>
        <v>0</v>
      </c>
      <c r="F72" s="20">
        <f t="shared" ref="F72:J72" si="6">SUM(F64:F69)</f>
        <v>1610809200</v>
      </c>
      <c r="G72" s="20">
        <f t="shared" si="6"/>
        <v>1610809200</v>
      </c>
      <c r="H72" s="20">
        <f t="shared" si="6"/>
        <v>1610809200</v>
      </c>
      <c r="I72" s="20">
        <f t="shared" si="6"/>
        <v>1610809200</v>
      </c>
      <c r="J72" s="20">
        <f t="shared" si="6"/>
        <v>617760000</v>
      </c>
      <c r="K72" s="20">
        <f>SUM(K64:K69)</f>
        <v>7060996800</v>
      </c>
    </row>
    <row r="73" spans="1:11" ht="15" customHeight="1" x14ac:dyDescent="0.35">
      <c r="A73" s="38"/>
      <c r="B73" s="38"/>
      <c r="C73" s="3"/>
      <c r="D73" s="3"/>
      <c r="E73" s="103"/>
      <c r="F73" s="21"/>
      <c r="G73" s="21"/>
      <c r="H73" s="21"/>
      <c r="I73" s="21"/>
      <c r="J73" s="21"/>
    </row>
    <row r="74" spans="1:11" ht="15" customHeight="1" x14ac:dyDescent="0.35">
      <c r="A74" s="38"/>
      <c r="B74" s="38"/>
      <c r="C74" s="3"/>
      <c r="D74" s="3"/>
      <c r="E74" s="103"/>
      <c r="F74" s="21"/>
      <c r="G74" s="21"/>
      <c r="H74" s="21"/>
      <c r="I74" s="21"/>
      <c r="J74" s="21"/>
    </row>
    <row r="75" spans="1:11" ht="15" customHeight="1" x14ac:dyDescent="0.35">
      <c r="A75" s="38"/>
      <c r="B75" s="38"/>
      <c r="C75" s="3"/>
      <c r="D75" s="3"/>
      <c r="E75" s="103"/>
      <c r="F75" s="21"/>
      <c r="G75" s="21"/>
      <c r="H75" s="21"/>
      <c r="I75" s="21"/>
      <c r="J75" s="21"/>
    </row>
    <row r="76" spans="1:11" ht="15" customHeight="1" x14ac:dyDescent="0.35">
      <c r="A76" s="38"/>
      <c r="B76" s="38"/>
      <c r="C76" s="3"/>
      <c r="D76" s="3"/>
      <c r="E76" s="103"/>
      <c r="F76" s="21"/>
      <c r="G76" s="21"/>
      <c r="H76" s="21"/>
      <c r="I76" s="21"/>
      <c r="J76" s="21"/>
    </row>
    <row r="77" spans="1:11" ht="15.75" customHeight="1" thickBot="1" x14ac:dyDescent="0.4">
      <c r="A77" s="38"/>
      <c r="B77" s="38"/>
      <c r="C77" s="10" t="s">
        <v>54</v>
      </c>
      <c r="D77" s="3"/>
      <c r="E77" s="21"/>
      <c r="F77" s="21"/>
      <c r="G77" s="21"/>
      <c r="H77" s="21"/>
      <c r="I77" s="21"/>
      <c r="J77" s="21"/>
    </row>
    <row r="78" spans="1:11" ht="15.75" customHeight="1" thickBot="1" x14ac:dyDescent="0.4">
      <c r="A78" s="38"/>
      <c r="B78" s="38"/>
      <c r="C78" s="513" t="s">
        <v>106</v>
      </c>
      <c r="D78" s="508"/>
      <c r="E78" s="22">
        <f>F78</f>
        <v>1143316610</v>
      </c>
      <c r="F78" s="22">
        <f>2286633220/2</f>
        <v>1143316610</v>
      </c>
      <c r="G78" s="22"/>
      <c r="H78" s="22"/>
      <c r="I78" s="22"/>
      <c r="J78" s="22"/>
      <c r="K78" s="23">
        <f>SUM(E78:J78)</f>
        <v>2286633220</v>
      </c>
    </row>
    <row r="79" spans="1:11" ht="15.75" customHeight="1" thickBot="1" x14ac:dyDescent="0.4">
      <c r="A79" s="38"/>
      <c r="B79" s="38"/>
      <c r="C79" s="513" t="s">
        <v>105</v>
      </c>
      <c r="D79" s="508"/>
      <c r="E79" s="22"/>
      <c r="F79" s="22">
        <v>110000000</v>
      </c>
      <c r="G79" s="22"/>
      <c r="H79" s="22"/>
      <c r="I79" s="22"/>
      <c r="J79" s="22"/>
      <c r="K79" s="23">
        <f>SUM(F79:J79)</f>
        <v>110000000</v>
      </c>
    </row>
    <row r="80" spans="1:11" ht="15.75" customHeight="1" thickBot="1" x14ac:dyDescent="0.4">
      <c r="A80" s="38"/>
      <c r="B80" s="38"/>
      <c r="C80" s="519" t="s">
        <v>48</v>
      </c>
      <c r="D80" s="520"/>
      <c r="E80" s="24">
        <f>SUM(E78:E79)</f>
        <v>1143316610</v>
      </c>
      <c r="F80" s="24">
        <f>SUM(F78:F79)</f>
        <v>1253316610</v>
      </c>
      <c r="G80" s="24">
        <f t="shared" ref="G80" si="7">SUM(G78:G79)</f>
        <v>0</v>
      </c>
      <c r="H80" s="24">
        <f t="shared" ref="H80:K80" si="8">SUM(H78:H79)</f>
        <v>0</v>
      </c>
      <c r="I80" s="24">
        <f t="shared" si="8"/>
        <v>0</v>
      </c>
      <c r="J80" s="24">
        <f t="shared" si="8"/>
        <v>0</v>
      </c>
      <c r="K80" s="24">
        <f t="shared" si="8"/>
        <v>2396633220</v>
      </c>
    </row>
    <row r="81" spans="1:11" ht="8" customHeight="1" x14ac:dyDescent="0.35">
      <c r="A81" s="38"/>
      <c r="B81" s="38"/>
      <c r="C81" s="3"/>
      <c r="D81" s="3"/>
      <c r="E81" s="21"/>
      <c r="F81" s="21"/>
      <c r="G81" s="21"/>
      <c r="H81" s="21"/>
      <c r="I81" s="21"/>
      <c r="J81" s="21"/>
      <c r="K81" s="21"/>
    </row>
    <row r="82" spans="1:11" ht="15.75" customHeight="1" thickBot="1" x14ac:dyDescent="0.4">
      <c r="A82" s="38"/>
      <c r="B82" s="38"/>
      <c r="C82" s="10" t="s">
        <v>55</v>
      </c>
      <c r="D82" s="3"/>
      <c r="E82" s="21">
        <v>2500000</v>
      </c>
      <c r="F82" s="21">
        <f>E82*1.1</f>
        <v>2750000</v>
      </c>
      <c r="G82" s="21">
        <f t="shared" ref="G82:J82" si="9">F82*1.1</f>
        <v>3025000.0000000005</v>
      </c>
      <c r="H82" s="21">
        <f t="shared" si="9"/>
        <v>3327500.0000000009</v>
      </c>
      <c r="I82" s="21">
        <f t="shared" si="9"/>
        <v>3660250.0000000014</v>
      </c>
      <c r="J82" s="21">
        <f t="shared" si="9"/>
        <v>4026275.0000000019</v>
      </c>
      <c r="K82" s="21"/>
    </row>
    <row r="83" spans="1:11" ht="15.75" customHeight="1" thickBot="1" x14ac:dyDescent="0.4">
      <c r="A83" s="38"/>
      <c r="B83" s="38"/>
      <c r="C83" s="513" t="s">
        <v>14</v>
      </c>
      <c r="D83" s="508"/>
      <c r="E83" s="22">
        <f>E82*12</f>
        <v>30000000</v>
      </c>
      <c r="F83" s="22">
        <f t="shared" ref="F83:J83" si="10">F82*12</f>
        <v>33000000</v>
      </c>
      <c r="G83" s="22">
        <f t="shared" si="10"/>
        <v>36300000.000000007</v>
      </c>
      <c r="H83" s="22">
        <f t="shared" si="10"/>
        <v>39930000.000000015</v>
      </c>
      <c r="I83" s="22">
        <f t="shared" si="10"/>
        <v>43923000.000000015</v>
      </c>
      <c r="J83" s="22">
        <f t="shared" si="10"/>
        <v>48315300.000000022</v>
      </c>
      <c r="K83" s="23">
        <f>SUM(E83:J83)</f>
        <v>231468300.00000003</v>
      </c>
    </row>
    <row r="84" spans="1:11" ht="15.75" customHeight="1" thickBot="1" x14ac:dyDescent="0.4">
      <c r="A84" s="38"/>
      <c r="B84" s="38"/>
      <c r="C84" s="513" t="s">
        <v>18</v>
      </c>
      <c r="D84" s="508"/>
      <c r="E84" s="22">
        <v>0</v>
      </c>
      <c r="F84" s="22">
        <f>E80*2.5%</f>
        <v>28582915.25</v>
      </c>
      <c r="G84" s="22">
        <f>(F84*1.1)+(F80*2.5%)</f>
        <v>62774122.025000006</v>
      </c>
      <c r="H84" s="22">
        <f t="shared" ref="H84:J84" si="11">(G84*1.1)+(G80*2.5%)</f>
        <v>69051534.227500007</v>
      </c>
      <c r="I84" s="22">
        <f t="shared" si="11"/>
        <v>75956687.650250018</v>
      </c>
      <c r="J84" s="22">
        <f t="shared" si="11"/>
        <v>83552356.415275022</v>
      </c>
      <c r="K84" s="23">
        <f>SUM(E84:J84)</f>
        <v>319917615.56802505</v>
      </c>
    </row>
    <row r="85" spans="1:11" ht="15.75" customHeight="1" thickBot="1" x14ac:dyDescent="0.4">
      <c r="A85" s="38"/>
      <c r="B85" s="38"/>
      <c r="C85" s="519" t="s">
        <v>48</v>
      </c>
      <c r="D85" s="520"/>
      <c r="E85" s="24">
        <f>SUM(E83:E84)</f>
        <v>30000000</v>
      </c>
      <c r="F85" s="24">
        <f>SUM(F83:F84)</f>
        <v>61582915.25</v>
      </c>
      <c r="G85" s="24">
        <f t="shared" ref="G85" si="12">SUM(G83:G84)</f>
        <v>99074122.025000006</v>
      </c>
      <c r="H85" s="24">
        <f t="shared" ref="H85:J85" si="13">SUM(H83:H84)</f>
        <v>108981534.22750002</v>
      </c>
      <c r="I85" s="24">
        <f t="shared" si="13"/>
        <v>119879687.65025003</v>
      </c>
      <c r="J85" s="24">
        <f t="shared" si="13"/>
        <v>131867656.41527504</v>
      </c>
      <c r="K85" s="25">
        <f>SUM(K83:K84)</f>
        <v>551385915.56802511</v>
      </c>
    </row>
    <row r="86" spans="1:11" ht="8" customHeight="1" x14ac:dyDescent="0.35">
      <c r="A86" s="38"/>
      <c r="B86" s="38"/>
      <c r="C86" s="3"/>
      <c r="D86" s="3"/>
      <c r="E86" s="21"/>
      <c r="F86" s="21"/>
      <c r="G86" s="21"/>
      <c r="H86" s="21"/>
      <c r="I86" s="21"/>
      <c r="J86" s="21"/>
      <c r="K86" s="21"/>
    </row>
    <row r="87" spans="1:11" ht="15.75" customHeight="1" thickBot="1" x14ac:dyDescent="0.4">
      <c r="A87" s="38"/>
      <c r="B87" s="38"/>
      <c r="C87" s="10" t="s">
        <v>56</v>
      </c>
      <c r="D87" s="3"/>
      <c r="E87" s="21"/>
      <c r="F87" s="21"/>
      <c r="G87" s="21"/>
      <c r="H87" s="21"/>
      <c r="I87" s="21"/>
      <c r="J87" s="21"/>
      <c r="K87" s="21"/>
    </row>
    <row r="88" spans="1:11" ht="15.75" customHeight="1" thickBot="1" x14ac:dyDescent="0.4">
      <c r="A88" s="38"/>
      <c r="B88" s="38"/>
      <c r="C88" s="513" t="s">
        <v>57</v>
      </c>
      <c r="D88" s="508"/>
      <c r="E88" s="22">
        <f>E23</f>
        <v>225000000</v>
      </c>
      <c r="F88" s="22">
        <f>E24</f>
        <v>1275000000</v>
      </c>
      <c r="G88" s="22"/>
      <c r="H88" s="22"/>
      <c r="I88" s="22"/>
      <c r="J88" s="22"/>
      <c r="K88" s="23">
        <f>SUM(E88:G88)</f>
        <v>1500000000</v>
      </c>
    </row>
    <row r="89" spans="1:11" ht="15.75" customHeight="1" thickBot="1" x14ac:dyDescent="0.4">
      <c r="A89" s="38"/>
      <c r="B89" s="38"/>
      <c r="C89" s="513" t="s">
        <v>80</v>
      </c>
      <c r="D89" s="508"/>
      <c r="E89" s="22"/>
      <c r="F89" s="22"/>
      <c r="G89" s="22"/>
      <c r="H89" s="22"/>
      <c r="I89" s="22"/>
      <c r="J89" s="22"/>
      <c r="K89" s="23">
        <f>SUM(E89:G89)</f>
        <v>0</v>
      </c>
    </row>
    <row r="90" spans="1:11" ht="15.75" customHeight="1" thickBot="1" x14ac:dyDescent="0.4">
      <c r="A90" s="38"/>
      <c r="B90" s="38"/>
      <c r="C90" s="513" t="s">
        <v>58</v>
      </c>
      <c r="D90" s="508"/>
      <c r="E90" s="22">
        <f>E26</f>
        <v>50000000</v>
      </c>
      <c r="F90" s="22"/>
      <c r="G90" s="22"/>
      <c r="H90" s="22"/>
      <c r="I90" s="22"/>
      <c r="J90" s="22"/>
      <c r="K90" s="23">
        <f>SUM(E90:G90)</f>
        <v>50000000</v>
      </c>
    </row>
    <row r="91" spans="1:11" ht="15.75" customHeight="1" thickBot="1" x14ac:dyDescent="0.4">
      <c r="A91" s="38"/>
      <c r="B91" s="38"/>
      <c r="C91" s="513" t="s">
        <v>39</v>
      </c>
      <c r="D91" s="508"/>
      <c r="E91" s="26"/>
      <c r="F91" s="26"/>
      <c r="G91" s="26"/>
      <c r="H91" s="26"/>
      <c r="I91" s="26"/>
      <c r="J91" s="26"/>
      <c r="K91" s="23">
        <f>SUM(E91:G91)</f>
        <v>0</v>
      </c>
    </row>
    <row r="92" spans="1:11" ht="15.75" customHeight="1" thickBot="1" x14ac:dyDescent="0.4">
      <c r="A92" s="38"/>
      <c r="B92" s="38"/>
      <c r="C92" s="519" t="s">
        <v>48</v>
      </c>
      <c r="D92" s="520"/>
      <c r="E92" s="24">
        <f t="shared" ref="E92:G92" si="14">SUM(E88:E91)</f>
        <v>275000000</v>
      </c>
      <c r="F92" s="24">
        <f t="shared" si="14"/>
        <v>1275000000</v>
      </c>
      <c r="G92" s="24">
        <f t="shared" si="14"/>
        <v>0</v>
      </c>
      <c r="H92" s="24">
        <f t="shared" ref="H92:J92" si="15">SUM(H88:H91)</f>
        <v>0</v>
      </c>
      <c r="I92" s="24">
        <f t="shared" si="15"/>
        <v>0</v>
      </c>
      <c r="J92" s="24">
        <f t="shared" si="15"/>
        <v>0</v>
      </c>
      <c r="K92" s="25">
        <f>SUM(K88:K91)</f>
        <v>1550000000</v>
      </c>
    </row>
    <row r="93" spans="1:11" ht="15" customHeight="1" x14ac:dyDescent="0.35">
      <c r="A93" s="38"/>
      <c r="B93" s="38"/>
    </row>
    <row r="94" spans="1:11" ht="15.75" customHeight="1" thickBot="1" x14ac:dyDescent="0.4">
      <c r="A94" s="38"/>
      <c r="B94" s="38"/>
      <c r="C94" s="10" t="s">
        <v>59</v>
      </c>
      <c r="D94" s="3"/>
      <c r="E94" s="21"/>
      <c r="F94" s="21"/>
      <c r="G94" s="21"/>
      <c r="H94" s="21"/>
      <c r="I94" s="21"/>
      <c r="J94" s="21"/>
      <c r="K94" s="21"/>
    </row>
    <row r="95" spans="1:11" ht="15.75" customHeight="1" thickBot="1" x14ac:dyDescent="0.4">
      <c r="A95" s="38"/>
      <c r="B95" s="38"/>
      <c r="C95" s="513" t="s">
        <v>60</v>
      </c>
      <c r="D95" s="508"/>
      <c r="E95" s="19">
        <f t="shared" ref="E95:J95" si="16">E72-E80-E85-E92</f>
        <v>-1448316610</v>
      </c>
      <c r="F95" s="19">
        <f t="shared" si="16"/>
        <v>-979090325.25</v>
      </c>
      <c r="G95" s="19">
        <f t="shared" si="16"/>
        <v>1511735077.9749999</v>
      </c>
      <c r="H95" s="19">
        <f t="shared" si="16"/>
        <v>1501827665.7725</v>
      </c>
      <c r="I95" s="19">
        <f t="shared" si="16"/>
        <v>1490929512.34975</v>
      </c>
      <c r="J95" s="19">
        <f t="shared" si="16"/>
        <v>485892343.58472496</v>
      </c>
      <c r="K95" s="35">
        <f>SUM(E95:J95)</f>
        <v>2562977664.4319749</v>
      </c>
    </row>
    <row r="96" spans="1:11" ht="15.75" customHeight="1" thickBot="1" x14ac:dyDescent="0.4">
      <c r="A96" s="38"/>
      <c r="B96" s="38"/>
      <c r="C96" s="513" t="s">
        <v>61</v>
      </c>
      <c r="D96" s="508"/>
      <c r="E96" s="19">
        <f>E95</f>
        <v>-1448316610</v>
      </c>
      <c r="F96" s="19">
        <f>E96+F95</f>
        <v>-2427406935.25</v>
      </c>
      <c r="G96" s="19">
        <f t="shared" ref="G96:J96" si="17">F96+G95</f>
        <v>-915671857.2750001</v>
      </c>
      <c r="H96" s="19">
        <f t="shared" si="17"/>
        <v>586155808.49749994</v>
      </c>
      <c r="I96" s="19">
        <f t="shared" si="17"/>
        <v>2077085320.84725</v>
      </c>
      <c r="J96" s="19">
        <f t="shared" si="17"/>
        <v>2562977664.4319749</v>
      </c>
      <c r="K96" s="49"/>
    </row>
    <row r="97" spans="1:16" ht="15.75" customHeight="1" thickBot="1" x14ac:dyDescent="0.4">
      <c r="A97" s="38"/>
      <c r="B97" s="38"/>
      <c r="C97" s="513" t="s">
        <v>107</v>
      </c>
      <c r="D97" s="508"/>
      <c r="E97" s="19">
        <f>E96*12%</f>
        <v>-173797993.19999999</v>
      </c>
      <c r="F97" s="19">
        <f>F96*12%</f>
        <v>-291288832.22999996</v>
      </c>
      <c r="G97" s="19">
        <f>G96*12%</f>
        <v>-109880622.87300001</v>
      </c>
      <c r="H97" s="51"/>
      <c r="I97" s="51"/>
      <c r="J97" s="51"/>
      <c r="K97" s="35">
        <f>SUM(E97:J97)</f>
        <v>-574967448.30299997</v>
      </c>
      <c r="N97" s="181"/>
    </row>
    <row r="98" spans="1:16" ht="15.75" customHeight="1" thickBot="1" x14ac:dyDescent="0.4">
      <c r="A98" s="38"/>
      <c r="B98" s="38"/>
      <c r="C98" s="519" t="s">
        <v>62</v>
      </c>
      <c r="D98" s="520"/>
      <c r="E98" s="20">
        <f>E95+E97</f>
        <v>-1622114603.2</v>
      </c>
      <c r="F98" s="20">
        <f>F95+F97</f>
        <v>-1270379157.48</v>
      </c>
      <c r="G98" s="20">
        <f>G95+G97</f>
        <v>1401854455.102</v>
      </c>
      <c r="H98" s="20">
        <f t="shared" ref="H98" si="18">H95+H97</f>
        <v>1501827665.7725</v>
      </c>
      <c r="I98" s="20">
        <f t="shared" ref="I98" si="19">I95+I97</f>
        <v>1490929512.34975</v>
      </c>
      <c r="J98" s="20">
        <f t="shared" ref="J98" si="20">J95+J97</f>
        <v>485892343.58472496</v>
      </c>
      <c r="K98" s="27">
        <f>SUM(E98:J98)</f>
        <v>1988010216.1289747</v>
      </c>
      <c r="N98" s="182"/>
    </row>
    <row r="99" spans="1:16" ht="15.75" customHeight="1" thickBot="1" x14ac:dyDescent="0.4">
      <c r="A99" s="38"/>
      <c r="B99" s="38"/>
      <c r="N99" s="57"/>
    </row>
    <row r="100" spans="1:16" ht="15.75" customHeight="1" thickBot="1" x14ac:dyDescent="0.4">
      <c r="A100" s="38"/>
      <c r="B100" s="38"/>
      <c r="C100" s="527" t="s">
        <v>74</v>
      </c>
      <c r="D100" s="528"/>
      <c r="E100" s="94" t="s">
        <v>89</v>
      </c>
      <c r="F100" s="95"/>
      <c r="H100" s="93" t="s">
        <v>94</v>
      </c>
      <c r="I100" s="89" t="s">
        <v>52</v>
      </c>
      <c r="K100" s="107"/>
      <c r="L100" s="108"/>
      <c r="M100" s="523"/>
      <c r="N100" s="524"/>
      <c r="O100" s="91"/>
      <c r="P100" s="91"/>
    </row>
    <row r="101" spans="1:16" ht="15.75" customHeight="1" thickBot="1" x14ac:dyDescent="0.4">
      <c r="A101" s="38"/>
      <c r="B101" s="38"/>
      <c r="C101" s="521">
        <v>0.15</v>
      </c>
      <c r="D101" s="522"/>
      <c r="E101" s="88">
        <f>IRR(E98:J98,C101)</f>
        <v>0.21274370080587102</v>
      </c>
      <c r="H101" s="118">
        <f>IRR(E98:J98,D101)</f>
        <v>0.21274370080587079</v>
      </c>
      <c r="I101" s="90">
        <f>SUM(E98:J98)</f>
        <v>1988010216.1289747</v>
      </c>
      <c r="K101" s="109"/>
      <c r="L101" s="100"/>
      <c r="M101" s="525"/>
      <c r="N101" s="526"/>
      <c r="O101" s="92"/>
      <c r="P101" s="92"/>
    </row>
    <row r="102" spans="1:16" ht="15" customHeight="1" x14ac:dyDescent="0.35">
      <c r="A102" s="38"/>
      <c r="B102" s="38"/>
    </row>
    <row r="103" spans="1:16" ht="15.75" customHeight="1" thickBot="1" x14ac:dyDescent="0.4">
      <c r="A103" s="38"/>
      <c r="B103" s="38"/>
      <c r="C103" s="532" t="s">
        <v>63</v>
      </c>
      <c r="D103" s="532"/>
      <c r="E103" s="28" t="s">
        <v>64</v>
      </c>
      <c r="F103" s="28"/>
      <c r="G103" s="28"/>
      <c r="H103" s="28"/>
      <c r="I103" s="28"/>
      <c r="J103" s="28"/>
      <c r="K103" s="28"/>
      <c r="L103" s="28"/>
    </row>
    <row r="104" spans="1:16" ht="15.75" customHeight="1" thickTop="1" x14ac:dyDescent="0.35">
      <c r="A104" s="38"/>
      <c r="B104" s="38"/>
      <c r="C104" s="29"/>
      <c r="D104" s="30"/>
      <c r="E104" s="29"/>
      <c r="F104" s="30"/>
      <c r="G104" s="29"/>
      <c r="H104" s="30"/>
      <c r="I104" s="29"/>
      <c r="J104" s="30"/>
      <c r="K104" s="29"/>
      <c r="L104" s="30"/>
    </row>
    <row r="105" spans="1:16" ht="15" customHeight="1" x14ac:dyDescent="0.35">
      <c r="A105" s="38"/>
      <c r="B105" s="38"/>
      <c r="C105" s="33"/>
      <c r="D105" s="31"/>
      <c r="E105" s="33"/>
      <c r="F105" s="31"/>
      <c r="G105" s="33"/>
      <c r="H105" s="31"/>
      <c r="I105" s="33"/>
      <c r="J105" s="31"/>
      <c r="K105" s="33"/>
      <c r="L105" s="31"/>
    </row>
    <row r="106" spans="1:16" ht="15.75" customHeight="1" thickBot="1" x14ac:dyDescent="0.4">
      <c r="A106" s="38"/>
      <c r="B106" s="38"/>
      <c r="C106" s="33"/>
      <c r="D106" s="31"/>
      <c r="E106" s="33"/>
      <c r="F106" s="31"/>
      <c r="G106" s="33"/>
      <c r="H106" s="31"/>
      <c r="I106" s="33"/>
      <c r="J106" s="31"/>
      <c r="K106" s="33"/>
      <c r="L106" s="31"/>
    </row>
    <row r="107" spans="1:16" ht="16.5" customHeight="1" thickTop="1" thickBot="1" x14ac:dyDescent="0.4">
      <c r="A107" s="38"/>
      <c r="B107" s="38"/>
      <c r="C107" s="529" t="s">
        <v>65</v>
      </c>
      <c r="D107" s="530"/>
      <c r="E107" s="529" t="s">
        <v>67</v>
      </c>
      <c r="F107" s="530"/>
      <c r="G107" s="529" t="s">
        <v>86</v>
      </c>
      <c r="H107" s="530"/>
      <c r="I107" s="529" t="s">
        <v>87</v>
      </c>
      <c r="J107" s="530"/>
      <c r="K107" s="529" t="s">
        <v>66</v>
      </c>
      <c r="L107" s="530"/>
    </row>
    <row r="108" spans="1:16" ht="16.5" customHeight="1" thickTop="1" thickBot="1" x14ac:dyDescent="0.4">
      <c r="A108" s="38"/>
      <c r="B108" s="38"/>
      <c r="C108" s="529" t="s">
        <v>68</v>
      </c>
      <c r="D108" s="530"/>
      <c r="E108" s="529" t="s">
        <v>69</v>
      </c>
      <c r="F108" s="531"/>
      <c r="G108" s="531"/>
      <c r="H108" s="531"/>
      <c r="I108" s="531"/>
      <c r="J108" s="531"/>
      <c r="K108" s="531"/>
      <c r="L108" s="530"/>
    </row>
    <row r="109" spans="1:16" ht="15.75" customHeight="1" thickTop="1" x14ac:dyDescent="0.35">
      <c r="A109" s="38"/>
      <c r="B109" s="38"/>
      <c r="C109" s="32"/>
      <c r="D109" s="32"/>
      <c r="E109" s="32"/>
      <c r="F109" s="32"/>
      <c r="G109" s="34"/>
      <c r="H109" s="34"/>
      <c r="I109" s="34"/>
      <c r="J109" s="34"/>
      <c r="K109" s="34"/>
      <c r="L109" s="32"/>
    </row>
    <row r="110" spans="1:16" ht="15.75" customHeight="1" thickBot="1" x14ac:dyDescent="0.4">
      <c r="A110" s="38"/>
      <c r="B110" s="38"/>
      <c r="E110" s="28" t="s">
        <v>70</v>
      </c>
      <c r="F110" s="28"/>
      <c r="G110" s="60" t="s">
        <v>71</v>
      </c>
      <c r="H110" s="60"/>
      <c r="I110" s="60"/>
      <c r="J110" s="60"/>
      <c r="K110" s="102"/>
      <c r="L110" s="102"/>
    </row>
    <row r="111" spans="1:16" ht="15.75" customHeight="1" thickTop="1" x14ac:dyDescent="0.35">
      <c r="A111" s="38"/>
      <c r="B111" s="38"/>
      <c r="E111" s="29"/>
      <c r="F111" s="30"/>
      <c r="G111" s="29"/>
      <c r="H111" s="30"/>
      <c r="I111" s="29"/>
      <c r="J111" s="30"/>
      <c r="K111" s="29"/>
      <c r="L111" s="30"/>
    </row>
    <row r="112" spans="1:16" ht="15" customHeight="1" x14ac:dyDescent="0.35">
      <c r="A112" s="38"/>
      <c r="B112" s="38"/>
      <c r="E112" s="33"/>
      <c r="F112" s="31"/>
      <c r="G112" s="61"/>
      <c r="H112" s="31"/>
      <c r="I112" s="61"/>
      <c r="J112" s="31"/>
      <c r="K112" s="116"/>
      <c r="L112" s="31"/>
    </row>
    <row r="113" spans="1:12" ht="15.75" customHeight="1" thickBot="1" x14ac:dyDescent="0.4">
      <c r="A113" s="38"/>
      <c r="B113" s="38"/>
      <c r="E113" s="33"/>
      <c r="F113" s="31"/>
      <c r="G113" s="61"/>
      <c r="H113" s="31"/>
      <c r="I113" s="61"/>
      <c r="J113" s="31"/>
      <c r="K113" s="116"/>
      <c r="L113" s="31"/>
    </row>
    <row r="114" spans="1:12" ht="15.5" thickTop="1" thickBot="1" x14ac:dyDescent="0.4">
      <c r="A114" s="38"/>
      <c r="B114" s="38"/>
      <c r="E114" s="529" t="s">
        <v>88</v>
      </c>
      <c r="F114" s="530"/>
      <c r="G114" s="529" t="s">
        <v>102</v>
      </c>
      <c r="H114" s="530"/>
      <c r="I114" s="529" t="s">
        <v>103</v>
      </c>
      <c r="J114" s="530"/>
      <c r="K114" s="529"/>
      <c r="L114" s="530"/>
    </row>
    <row r="115" spans="1:12" ht="15.5" thickTop="1" thickBot="1" x14ac:dyDescent="0.4">
      <c r="A115" s="38"/>
      <c r="B115" s="38"/>
      <c r="E115" s="529" t="s">
        <v>72</v>
      </c>
      <c r="F115" s="530"/>
      <c r="G115" s="529" t="s">
        <v>73</v>
      </c>
      <c r="H115" s="530"/>
      <c r="I115" s="529" t="s">
        <v>104</v>
      </c>
      <c r="J115" s="530"/>
      <c r="K115" s="529"/>
      <c r="L115" s="530"/>
    </row>
    <row r="116" spans="1:12" ht="15" thickTop="1" x14ac:dyDescent="0.35">
      <c r="A116" s="38"/>
      <c r="B116" s="38"/>
    </row>
  </sheetData>
  <sheetProtection selectLockedCells="1"/>
  <customSheetViews>
    <customSheetView guid="{1CE473C3-FE78-4F6D-A93A-3BB1023F86A7}" scale="115" showPageBreaks="1" printArea="1" hiddenColumns="1" topLeftCell="C18">
      <selection activeCell="I18" sqref="I18"/>
      <pageMargins left="0.7" right="0.7" top="0.75" bottom="0.75" header="0.3" footer="0.3"/>
      <pageSetup scale="80" orientation="portrait" r:id="rId1"/>
    </customSheetView>
  </customSheetViews>
  <mergeCells count="191">
    <mergeCell ref="C42:D42"/>
    <mergeCell ref="G47:H47"/>
    <mergeCell ref="G48:H48"/>
    <mergeCell ref="G49:H49"/>
    <mergeCell ref="G50:H50"/>
    <mergeCell ref="G51:H51"/>
    <mergeCell ref="G52:H52"/>
    <mergeCell ref="G53:H53"/>
    <mergeCell ref="C63:D63"/>
    <mergeCell ref="AB28:AC28"/>
    <mergeCell ref="AD28:AE28"/>
    <mergeCell ref="AF28:AG28"/>
    <mergeCell ref="J25:K25"/>
    <mergeCell ref="J26:K26"/>
    <mergeCell ref="J27:K27"/>
    <mergeCell ref="L25:M25"/>
    <mergeCell ref="L26:M26"/>
    <mergeCell ref="L27:M27"/>
    <mergeCell ref="N25:O25"/>
    <mergeCell ref="N26:O26"/>
    <mergeCell ref="N27:O27"/>
    <mergeCell ref="AB25:AC25"/>
    <mergeCell ref="AD25:AE25"/>
    <mergeCell ref="AF25:AG25"/>
    <mergeCell ref="AB26:AC26"/>
    <mergeCell ref="AD26:AE26"/>
    <mergeCell ref="AF26:AG26"/>
    <mergeCell ref="AB27:AC27"/>
    <mergeCell ref="AD27:AE27"/>
    <mergeCell ref="AF27:AG27"/>
    <mergeCell ref="AB22:AC22"/>
    <mergeCell ref="AD22:AE22"/>
    <mergeCell ref="AF22:AG22"/>
    <mergeCell ref="AB23:AC23"/>
    <mergeCell ref="AD23:AE23"/>
    <mergeCell ref="AF23:AG23"/>
    <mergeCell ref="AB24:AC24"/>
    <mergeCell ref="AD24:AE24"/>
    <mergeCell ref="AF24:AG24"/>
    <mergeCell ref="AB19:AC19"/>
    <mergeCell ref="AD19:AE19"/>
    <mergeCell ref="AF19:AG19"/>
    <mergeCell ref="AB20:AC20"/>
    <mergeCell ref="AD20:AE20"/>
    <mergeCell ref="AF20:AG20"/>
    <mergeCell ref="AB21:AC21"/>
    <mergeCell ref="AD21:AE21"/>
    <mergeCell ref="AF21:AG21"/>
    <mergeCell ref="C7:D7"/>
    <mergeCell ref="E7:F7"/>
    <mergeCell ref="G7:H7"/>
    <mergeCell ref="I7:J7"/>
    <mergeCell ref="K7:L7"/>
    <mergeCell ref="M7:N7"/>
    <mergeCell ref="C8:D8"/>
    <mergeCell ref="E8:F8"/>
    <mergeCell ref="G8:H8"/>
    <mergeCell ref="I8:J8"/>
    <mergeCell ref="K8:L8"/>
    <mergeCell ref="M8:N8"/>
    <mergeCell ref="C11:D11"/>
    <mergeCell ref="E11:F11"/>
    <mergeCell ref="G11:H11"/>
    <mergeCell ref="J11:K11"/>
    <mergeCell ref="L11:M11"/>
    <mergeCell ref="N11:O11"/>
    <mergeCell ref="C13:D13"/>
    <mergeCell ref="E13:F13"/>
    <mergeCell ref="G13:H13"/>
    <mergeCell ref="J13:K13"/>
    <mergeCell ref="L13:M13"/>
    <mergeCell ref="N13:O13"/>
    <mergeCell ref="C12:D12"/>
    <mergeCell ref="E12:F12"/>
    <mergeCell ref="G12:H12"/>
    <mergeCell ref="J12:K12"/>
    <mergeCell ref="L12:M12"/>
    <mergeCell ref="N12:O12"/>
    <mergeCell ref="C14:D14"/>
    <mergeCell ref="E14:F14"/>
    <mergeCell ref="G14:H14"/>
    <mergeCell ref="J14:K14"/>
    <mergeCell ref="N14:O14"/>
    <mergeCell ref="C15:D15"/>
    <mergeCell ref="E15:F15"/>
    <mergeCell ref="G15:H15"/>
    <mergeCell ref="J15:K15"/>
    <mergeCell ref="N15:O15"/>
    <mergeCell ref="C18:D18"/>
    <mergeCell ref="E18:H18"/>
    <mergeCell ref="J18:K18"/>
    <mergeCell ref="L18:M18"/>
    <mergeCell ref="N18:O18"/>
    <mergeCell ref="E19:F19"/>
    <mergeCell ref="J19:K19"/>
    <mergeCell ref="L19:M19"/>
    <mergeCell ref="N19:O19"/>
    <mergeCell ref="J22:K22"/>
    <mergeCell ref="L22:M22"/>
    <mergeCell ref="N22:O22"/>
    <mergeCell ref="E20:F20"/>
    <mergeCell ref="J20:K20"/>
    <mergeCell ref="L20:M20"/>
    <mergeCell ref="N20:O20"/>
    <mergeCell ref="C21:D21"/>
    <mergeCell ref="E21:F21"/>
    <mergeCell ref="G21:H21"/>
    <mergeCell ref="J21:K21"/>
    <mergeCell ref="L21:M21"/>
    <mergeCell ref="N21:O21"/>
    <mergeCell ref="C38:D38"/>
    <mergeCell ref="J24:K24"/>
    <mergeCell ref="L24:M24"/>
    <mergeCell ref="N24:O24"/>
    <mergeCell ref="E23:F23"/>
    <mergeCell ref="G23:H23"/>
    <mergeCell ref="J23:K23"/>
    <mergeCell ref="L23:M23"/>
    <mergeCell ref="N23:O23"/>
    <mergeCell ref="E24:F24"/>
    <mergeCell ref="G24:H24"/>
    <mergeCell ref="E30:E31"/>
    <mergeCell ref="F30:F31"/>
    <mergeCell ref="C64:D64"/>
    <mergeCell ref="C65:D65"/>
    <mergeCell ref="C66:D66"/>
    <mergeCell ref="C67:D67"/>
    <mergeCell ref="C68:D68"/>
    <mergeCell ref="C69:D69"/>
    <mergeCell ref="C70:D70"/>
    <mergeCell ref="C71:D71"/>
    <mergeCell ref="C97:D97"/>
    <mergeCell ref="C80:D80"/>
    <mergeCell ref="C83:D83"/>
    <mergeCell ref="C84:D84"/>
    <mergeCell ref="C85:D85"/>
    <mergeCell ref="C88:D88"/>
    <mergeCell ref="C89:D89"/>
    <mergeCell ref="C72:D72"/>
    <mergeCell ref="C78:D78"/>
    <mergeCell ref="C79:D79"/>
    <mergeCell ref="E115:F115"/>
    <mergeCell ref="C108:D108"/>
    <mergeCell ref="E108:L108"/>
    <mergeCell ref="E114:F114"/>
    <mergeCell ref="C103:D103"/>
    <mergeCell ref="C107:D107"/>
    <mergeCell ref="E107:F107"/>
    <mergeCell ref="G107:H107"/>
    <mergeCell ref="I107:J107"/>
    <mergeCell ref="K107:L107"/>
    <mergeCell ref="G114:H114"/>
    <mergeCell ref="I114:J114"/>
    <mergeCell ref="K114:L114"/>
    <mergeCell ref="G115:H115"/>
    <mergeCell ref="I115:J115"/>
    <mergeCell ref="K115:L115"/>
    <mergeCell ref="C98:D98"/>
    <mergeCell ref="C101:D101"/>
    <mergeCell ref="C90:D90"/>
    <mergeCell ref="C91:D91"/>
    <mergeCell ref="C92:D92"/>
    <mergeCell ref="C95:D95"/>
    <mergeCell ref="C96:D96"/>
    <mergeCell ref="M100:N100"/>
    <mergeCell ref="M101:N101"/>
    <mergeCell ref="C100:D100"/>
    <mergeCell ref="E6:F6"/>
    <mergeCell ref="J45:K45"/>
    <mergeCell ref="L45:M45"/>
    <mergeCell ref="E27:F27"/>
    <mergeCell ref="E25:F25"/>
    <mergeCell ref="C26:D26"/>
    <mergeCell ref="C19:D19"/>
    <mergeCell ref="C20:D20"/>
    <mergeCell ref="C22:D22"/>
    <mergeCell ref="E22:F22"/>
    <mergeCell ref="G22:H22"/>
    <mergeCell ref="E26:F26"/>
    <mergeCell ref="C39:D39"/>
    <mergeCell ref="C30:D31"/>
    <mergeCell ref="J30:K30"/>
    <mergeCell ref="L30:M30"/>
    <mergeCell ref="C40:D40"/>
    <mergeCell ref="C41:D41"/>
    <mergeCell ref="C37:D37"/>
    <mergeCell ref="C34:D34"/>
    <mergeCell ref="C35:D35"/>
    <mergeCell ref="C36:D36"/>
    <mergeCell ref="C32:D32"/>
    <mergeCell ref="C33:D33"/>
  </mergeCells>
  <pageMargins left="0.45" right="0.45" top="0.75" bottom="0.75" header="0.3" footer="0.3"/>
  <pageSetup paperSize="9" scale="80" orientation="portrait"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"NEW BUILDING, EXISTING BUILDING"</xm:f>
          </x14:formula1>
          <xm:sqref>E63377:F63377 JI63377:JJ63377 TE63377:TF63377 ADA63377:ADB63377 AMW63377:AMX63377 AWS63377:AWT63377 BGO63377:BGP63377 BQK63377:BQL63377 CAG63377:CAH63377 CKC63377:CKD63377 CTY63377:CTZ63377 DDU63377:DDV63377 DNQ63377:DNR63377 DXM63377:DXN63377 EHI63377:EHJ63377 ERE63377:ERF63377 FBA63377:FBB63377 FKW63377:FKX63377 FUS63377:FUT63377 GEO63377:GEP63377 GOK63377:GOL63377 GYG63377:GYH63377 HIC63377:HID63377 HRY63377:HRZ63377 IBU63377:IBV63377 ILQ63377:ILR63377 IVM63377:IVN63377 JFI63377:JFJ63377 JPE63377:JPF63377 JZA63377:JZB63377 KIW63377:KIX63377 KSS63377:KST63377 LCO63377:LCP63377 LMK63377:LML63377 LWG63377:LWH63377 MGC63377:MGD63377 MPY63377:MPZ63377 MZU63377:MZV63377 NJQ63377:NJR63377 NTM63377:NTN63377 ODI63377:ODJ63377 ONE63377:ONF63377 OXA63377:OXB63377 PGW63377:PGX63377 PQS63377:PQT63377 QAO63377:QAP63377 QKK63377:QKL63377 QUG63377:QUH63377 REC63377:RED63377 RNY63377:RNZ63377 RXU63377:RXV63377 SHQ63377:SHR63377 SRM63377:SRN63377 TBI63377:TBJ63377 TLE63377:TLF63377 TVA63377:TVB63377 UEW63377:UEX63377 UOS63377:UOT63377 UYO63377:UYP63377 VIK63377:VIL63377 VSG63377:VSH63377 WCC63377:WCD63377 WLY63377:WLZ63377 WVU63377:WVV63377 E128913:F128913 JI128913:JJ128913 TE128913:TF128913 ADA128913:ADB128913 AMW128913:AMX128913 AWS128913:AWT128913 BGO128913:BGP128913 BQK128913:BQL128913 CAG128913:CAH128913 CKC128913:CKD128913 CTY128913:CTZ128913 DDU128913:DDV128913 DNQ128913:DNR128913 DXM128913:DXN128913 EHI128913:EHJ128913 ERE128913:ERF128913 FBA128913:FBB128913 FKW128913:FKX128913 FUS128913:FUT128913 GEO128913:GEP128913 GOK128913:GOL128913 GYG128913:GYH128913 HIC128913:HID128913 HRY128913:HRZ128913 IBU128913:IBV128913 ILQ128913:ILR128913 IVM128913:IVN128913 JFI128913:JFJ128913 JPE128913:JPF128913 JZA128913:JZB128913 KIW128913:KIX128913 KSS128913:KST128913 LCO128913:LCP128913 LMK128913:LML128913 LWG128913:LWH128913 MGC128913:MGD128913 MPY128913:MPZ128913 MZU128913:MZV128913 NJQ128913:NJR128913 NTM128913:NTN128913 ODI128913:ODJ128913 ONE128913:ONF128913 OXA128913:OXB128913 PGW128913:PGX128913 PQS128913:PQT128913 QAO128913:QAP128913 QKK128913:QKL128913 QUG128913:QUH128913 REC128913:RED128913 RNY128913:RNZ128913 RXU128913:RXV128913 SHQ128913:SHR128913 SRM128913:SRN128913 TBI128913:TBJ128913 TLE128913:TLF128913 TVA128913:TVB128913 UEW128913:UEX128913 UOS128913:UOT128913 UYO128913:UYP128913 VIK128913:VIL128913 VSG128913:VSH128913 WCC128913:WCD128913 WLY128913:WLZ128913 WVU128913:WVV128913 E194449:F194449 JI194449:JJ194449 TE194449:TF194449 ADA194449:ADB194449 AMW194449:AMX194449 AWS194449:AWT194449 BGO194449:BGP194449 BQK194449:BQL194449 CAG194449:CAH194449 CKC194449:CKD194449 CTY194449:CTZ194449 DDU194449:DDV194449 DNQ194449:DNR194449 DXM194449:DXN194449 EHI194449:EHJ194449 ERE194449:ERF194449 FBA194449:FBB194449 FKW194449:FKX194449 FUS194449:FUT194449 GEO194449:GEP194449 GOK194449:GOL194449 GYG194449:GYH194449 HIC194449:HID194449 HRY194449:HRZ194449 IBU194449:IBV194449 ILQ194449:ILR194449 IVM194449:IVN194449 JFI194449:JFJ194449 JPE194449:JPF194449 JZA194449:JZB194449 KIW194449:KIX194449 KSS194449:KST194449 LCO194449:LCP194449 LMK194449:LML194449 LWG194449:LWH194449 MGC194449:MGD194449 MPY194449:MPZ194449 MZU194449:MZV194449 NJQ194449:NJR194449 NTM194449:NTN194449 ODI194449:ODJ194449 ONE194449:ONF194449 OXA194449:OXB194449 PGW194449:PGX194449 PQS194449:PQT194449 QAO194449:QAP194449 QKK194449:QKL194449 QUG194449:QUH194449 REC194449:RED194449 RNY194449:RNZ194449 RXU194449:RXV194449 SHQ194449:SHR194449 SRM194449:SRN194449 TBI194449:TBJ194449 TLE194449:TLF194449 TVA194449:TVB194449 UEW194449:UEX194449 UOS194449:UOT194449 UYO194449:UYP194449 VIK194449:VIL194449 VSG194449:VSH194449 WCC194449:WCD194449 WLY194449:WLZ194449 WVU194449:WVV194449 E259985:F259985 JI259985:JJ259985 TE259985:TF259985 ADA259985:ADB259985 AMW259985:AMX259985 AWS259985:AWT259985 BGO259985:BGP259985 BQK259985:BQL259985 CAG259985:CAH259985 CKC259985:CKD259985 CTY259985:CTZ259985 DDU259985:DDV259985 DNQ259985:DNR259985 DXM259985:DXN259985 EHI259985:EHJ259985 ERE259985:ERF259985 FBA259985:FBB259985 FKW259985:FKX259985 FUS259985:FUT259985 GEO259985:GEP259985 GOK259985:GOL259985 GYG259985:GYH259985 HIC259985:HID259985 HRY259985:HRZ259985 IBU259985:IBV259985 ILQ259985:ILR259985 IVM259985:IVN259985 JFI259985:JFJ259985 JPE259985:JPF259985 JZA259985:JZB259985 KIW259985:KIX259985 KSS259985:KST259985 LCO259985:LCP259985 LMK259985:LML259985 LWG259985:LWH259985 MGC259985:MGD259985 MPY259985:MPZ259985 MZU259985:MZV259985 NJQ259985:NJR259985 NTM259985:NTN259985 ODI259985:ODJ259985 ONE259985:ONF259985 OXA259985:OXB259985 PGW259985:PGX259985 PQS259985:PQT259985 QAO259985:QAP259985 QKK259985:QKL259985 QUG259985:QUH259985 REC259985:RED259985 RNY259985:RNZ259985 RXU259985:RXV259985 SHQ259985:SHR259985 SRM259985:SRN259985 TBI259985:TBJ259985 TLE259985:TLF259985 TVA259985:TVB259985 UEW259985:UEX259985 UOS259985:UOT259985 UYO259985:UYP259985 VIK259985:VIL259985 VSG259985:VSH259985 WCC259985:WCD259985 WLY259985:WLZ259985 WVU259985:WVV259985 E325521:F325521 JI325521:JJ325521 TE325521:TF325521 ADA325521:ADB325521 AMW325521:AMX325521 AWS325521:AWT325521 BGO325521:BGP325521 BQK325521:BQL325521 CAG325521:CAH325521 CKC325521:CKD325521 CTY325521:CTZ325521 DDU325521:DDV325521 DNQ325521:DNR325521 DXM325521:DXN325521 EHI325521:EHJ325521 ERE325521:ERF325521 FBA325521:FBB325521 FKW325521:FKX325521 FUS325521:FUT325521 GEO325521:GEP325521 GOK325521:GOL325521 GYG325521:GYH325521 HIC325521:HID325521 HRY325521:HRZ325521 IBU325521:IBV325521 ILQ325521:ILR325521 IVM325521:IVN325521 JFI325521:JFJ325521 JPE325521:JPF325521 JZA325521:JZB325521 KIW325521:KIX325521 KSS325521:KST325521 LCO325521:LCP325521 LMK325521:LML325521 LWG325521:LWH325521 MGC325521:MGD325521 MPY325521:MPZ325521 MZU325521:MZV325521 NJQ325521:NJR325521 NTM325521:NTN325521 ODI325521:ODJ325521 ONE325521:ONF325521 OXA325521:OXB325521 PGW325521:PGX325521 PQS325521:PQT325521 QAO325521:QAP325521 QKK325521:QKL325521 QUG325521:QUH325521 REC325521:RED325521 RNY325521:RNZ325521 RXU325521:RXV325521 SHQ325521:SHR325521 SRM325521:SRN325521 TBI325521:TBJ325521 TLE325521:TLF325521 TVA325521:TVB325521 UEW325521:UEX325521 UOS325521:UOT325521 UYO325521:UYP325521 VIK325521:VIL325521 VSG325521:VSH325521 WCC325521:WCD325521 WLY325521:WLZ325521 WVU325521:WVV325521 E391057:F391057 JI391057:JJ391057 TE391057:TF391057 ADA391057:ADB391057 AMW391057:AMX391057 AWS391057:AWT391057 BGO391057:BGP391057 BQK391057:BQL391057 CAG391057:CAH391057 CKC391057:CKD391057 CTY391057:CTZ391057 DDU391057:DDV391057 DNQ391057:DNR391057 DXM391057:DXN391057 EHI391057:EHJ391057 ERE391057:ERF391057 FBA391057:FBB391057 FKW391057:FKX391057 FUS391057:FUT391057 GEO391057:GEP391057 GOK391057:GOL391057 GYG391057:GYH391057 HIC391057:HID391057 HRY391057:HRZ391057 IBU391057:IBV391057 ILQ391057:ILR391057 IVM391057:IVN391057 JFI391057:JFJ391057 JPE391057:JPF391057 JZA391057:JZB391057 KIW391057:KIX391057 KSS391057:KST391057 LCO391057:LCP391057 LMK391057:LML391057 LWG391057:LWH391057 MGC391057:MGD391057 MPY391057:MPZ391057 MZU391057:MZV391057 NJQ391057:NJR391057 NTM391057:NTN391057 ODI391057:ODJ391057 ONE391057:ONF391057 OXA391057:OXB391057 PGW391057:PGX391057 PQS391057:PQT391057 QAO391057:QAP391057 QKK391057:QKL391057 QUG391057:QUH391057 REC391057:RED391057 RNY391057:RNZ391057 RXU391057:RXV391057 SHQ391057:SHR391057 SRM391057:SRN391057 TBI391057:TBJ391057 TLE391057:TLF391057 TVA391057:TVB391057 UEW391057:UEX391057 UOS391057:UOT391057 UYO391057:UYP391057 VIK391057:VIL391057 VSG391057:VSH391057 WCC391057:WCD391057 WLY391057:WLZ391057 WVU391057:WVV391057 E456593:F456593 JI456593:JJ456593 TE456593:TF456593 ADA456593:ADB456593 AMW456593:AMX456593 AWS456593:AWT456593 BGO456593:BGP456593 BQK456593:BQL456593 CAG456593:CAH456593 CKC456593:CKD456593 CTY456593:CTZ456593 DDU456593:DDV456593 DNQ456593:DNR456593 DXM456593:DXN456593 EHI456593:EHJ456593 ERE456593:ERF456593 FBA456593:FBB456593 FKW456593:FKX456593 FUS456593:FUT456593 GEO456593:GEP456593 GOK456593:GOL456593 GYG456593:GYH456593 HIC456593:HID456593 HRY456593:HRZ456593 IBU456593:IBV456593 ILQ456593:ILR456593 IVM456593:IVN456593 JFI456593:JFJ456593 JPE456593:JPF456593 JZA456593:JZB456593 KIW456593:KIX456593 KSS456593:KST456593 LCO456593:LCP456593 LMK456593:LML456593 LWG456593:LWH456593 MGC456593:MGD456593 MPY456593:MPZ456593 MZU456593:MZV456593 NJQ456593:NJR456593 NTM456593:NTN456593 ODI456593:ODJ456593 ONE456593:ONF456593 OXA456593:OXB456593 PGW456593:PGX456593 PQS456593:PQT456593 QAO456593:QAP456593 QKK456593:QKL456593 QUG456593:QUH456593 REC456593:RED456593 RNY456593:RNZ456593 RXU456593:RXV456593 SHQ456593:SHR456593 SRM456593:SRN456593 TBI456593:TBJ456593 TLE456593:TLF456593 TVA456593:TVB456593 UEW456593:UEX456593 UOS456593:UOT456593 UYO456593:UYP456593 VIK456593:VIL456593 VSG456593:VSH456593 WCC456593:WCD456593 WLY456593:WLZ456593 WVU456593:WVV456593 E522129:F522129 JI522129:JJ522129 TE522129:TF522129 ADA522129:ADB522129 AMW522129:AMX522129 AWS522129:AWT522129 BGO522129:BGP522129 BQK522129:BQL522129 CAG522129:CAH522129 CKC522129:CKD522129 CTY522129:CTZ522129 DDU522129:DDV522129 DNQ522129:DNR522129 DXM522129:DXN522129 EHI522129:EHJ522129 ERE522129:ERF522129 FBA522129:FBB522129 FKW522129:FKX522129 FUS522129:FUT522129 GEO522129:GEP522129 GOK522129:GOL522129 GYG522129:GYH522129 HIC522129:HID522129 HRY522129:HRZ522129 IBU522129:IBV522129 ILQ522129:ILR522129 IVM522129:IVN522129 JFI522129:JFJ522129 JPE522129:JPF522129 JZA522129:JZB522129 KIW522129:KIX522129 KSS522129:KST522129 LCO522129:LCP522129 LMK522129:LML522129 LWG522129:LWH522129 MGC522129:MGD522129 MPY522129:MPZ522129 MZU522129:MZV522129 NJQ522129:NJR522129 NTM522129:NTN522129 ODI522129:ODJ522129 ONE522129:ONF522129 OXA522129:OXB522129 PGW522129:PGX522129 PQS522129:PQT522129 QAO522129:QAP522129 QKK522129:QKL522129 QUG522129:QUH522129 REC522129:RED522129 RNY522129:RNZ522129 RXU522129:RXV522129 SHQ522129:SHR522129 SRM522129:SRN522129 TBI522129:TBJ522129 TLE522129:TLF522129 TVA522129:TVB522129 UEW522129:UEX522129 UOS522129:UOT522129 UYO522129:UYP522129 VIK522129:VIL522129 VSG522129:VSH522129 WCC522129:WCD522129 WLY522129:WLZ522129 WVU522129:WVV522129 E587665:F587665 JI587665:JJ587665 TE587665:TF587665 ADA587665:ADB587665 AMW587665:AMX587665 AWS587665:AWT587665 BGO587665:BGP587665 BQK587665:BQL587665 CAG587665:CAH587665 CKC587665:CKD587665 CTY587665:CTZ587665 DDU587665:DDV587665 DNQ587665:DNR587665 DXM587665:DXN587665 EHI587665:EHJ587665 ERE587665:ERF587665 FBA587665:FBB587665 FKW587665:FKX587665 FUS587665:FUT587665 GEO587665:GEP587665 GOK587665:GOL587665 GYG587665:GYH587665 HIC587665:HID587665 HRY587665:HRZ587665 IBU587665:IBV587665 ILQ587665:ILR587665 IVM587665:IVN587665 JFI587665:JFJ587665 JPE587665:JPF587665 JZA587665:JZB587665 KIW587665:KIX587665 KSS587665:KST587665 LCO587665:LCP587665 LMK587665:LML587665 LWG587665:LWH587665 MGC587665:MGD587665 MPY587665:MPZ587665 MZU587665:MZV587665 NJQ587665:NJR587665 NTM587665:NTN587665 ODI587665:ODJ587665 ONE587665:ONF587665 OXA587665:OXB587665 PGW587665:PGX587665 PQS587665:PQT587665 QAO587665:QAP587665 QKK587665:QKL587665 QUG587665:QUH587665 REC587665:RED587665 RNY587665:RNZ587665 RXU587665:RXV587665 SHQ587665:SHR587665 SRM587665:SRN587665 TBI587665:TBJ587665 TLE587665:TLF587665 TVA587665:TVB587665 UEW587665:UEX587665 UOS587665:UOT587665 UYO587665:UYP587665 VIK587665:VIL587665 VSG587665:VSH587665 WCC587665:WCD587665 WLY587665:WLZ587665 WVU587665:WVV587665 E653201:F653201 JI653201:JJ653201 TE653201:TF653201 ADA653201:ADB653201 AMW653201:AMX653201 AWS653201:AWT653201 BGO653201:BGP653201 BQK653201:BQL653201 CAG653201:CAH653201 CKC653201:CKD653201 CTY653201:CTZ653201 DDU653201:DDV653201 DNQ653201:DNR653201 DXM653201:DXN653201 EHI653201:EHJ653201 ERE653201:ERF653201 FBA653201:FBB653201 FKW653201:FKX653201 FUS653201:FUT653201 GEO653201:GEP653201 GOK653201:GOL653201 GYG653201:GYH653201 HIC653201:HID653201 HRY653201:HRZ653201 IBU653201:IBV653201 ILQ653201:ILR653201 IVM653201:IVN653201 JFI653201:JFJ653201 JPE653201:JPF653201 JZA653201:JZB653201 KIW653201:KIX653201 KSS653201:KST653201 LCO653201:LCP653201 LMK653201:LML653201 LWG653201:LWH653201 MGC653201:MGD653201 MPY653201:MPZ653201 MZU653201:MZV653201 NJQ653201:NJR653201 NTM653201:NTN653201 ODI653201:ODJ653201 ONE653201:ONF653201 OXA653201:OXB653201 PGW653201:PGX653201 PQS653201:PQT653201 QAO653201:QAP653201 QKK653201:QKL653201 QUG653201:QUH653201 REC653201:RED653201 RNY653201:RNZ653201 RXU653201:RXV653201 SHQ653201:SHR653201 SRM653201:SRN653201 TBI653201:TBJ653201 TLE653201:TLF653201 TVA653201:TVB653201 UEW653201:UEX653201 UOS653201:UOT653201 UYO653201:UYP653201 VIK653201:VIL653201 VSG653201:VSH653201 WCC653201:WCD653201 WLY653201:WLZ653201 WVU653201:WVV653201 E718737:F718737 JI718737:JJ718737 TE718737:TF718737 ADA718737:ADB718737 AMW718737:AMX718737 AWS718737:AWT718737 BGO718737:BGP718737 BQK718737:BQL718737 CAG718737:CAH718737 CKC718737:CKD718737 CTY718737:CTZ718737 DDU718737:DDV718737 DNQ718737:DNR718737 DXM718737:DXN718737 EHI718737:EHJ718737 ERE718737:ERF718737 FBA718737:FBB718737 FKW718737:FKX718737 FUS718737:FUT718737 GEO718737:GEP718737 GOK718737:GOL718737 GYG718737:GYH718737 HIC718737:HID718737 HRY718737:HRZ718737 IBU718737:IBV718737 ILQ718737:ILR718737 IVM718737:IVN718737 JFI718737:JFJ718737 JPE718737:JPF718737 JZA718737:JZB718737 KIW718737:KIX718737 KSS718737:KST718737 LCO718737:LCP718737 LMK718737:LML718737 LWG718737:LWH718737 MGC718737:MGD718737 MPY718737:MPZ718737 MZU718737:MZV718737 NJQ718737:NJR718737 NTM718737:NTN718737 ODI718737:ODJ718737 ONE718737:ONF718737 OXA718737:OXB718737 PGW718737:PGX718737 PQS718737:PQT718737 QAO718737:QAP718737 QKK718737:QKL718737 QUG718737:QUH718737 REC718737:RED718737 RNY718737:RNZ718737 RXU718737:RXV718737 SHQ718737:SHR718737 SRM718737:SRN718737 TBI718737:TBJ718737 TLE718737:TLF718737 TVA718737:TVB718737 UEW718737:UEX718737 UOS718737:UOT718737 UYO718737:UYP718737 VIK718737:VIL718737 VSG718737:VSH718737 WCC718737:WCD718737 WLY718737:WLZ718737 WVU718737:WVV718737 E784273:F784273 JI784273:JJ784273 TE784273:TF784273 ADA784273:ADB784273 AMW784273:AMX784273 AWS784273:AWT784273 BGO784273:BGP784273 BQK784273:BQL784273 CAG784273:CAH784273 CKC784273:CKD784273 CTY784273:CTZ784273 DDU784273:DDV784273 DNQ784273:DNR784273 DXM784273:DXN784273 EHI784273:EHJ784273 ERE784273:ERF784273 FBA784273:FBB784273 FKW784273:FKX784273 FUS784273:FUT784273 GEO784273:GEP784273 GOK784273:GOL784273 GYG784273:GYH784273 HIC784273:HID784273 HRY784273:HRZ784273 IBU784273:IBV784273 ILQ784273:ILR784273 IVM784273:IVN784273 JFI784273:JFJ784273 JPE784273:JPF784273 JZA784273:JZB784273 KIW784273:KIX784273 KSS784273:KST784273 LCO784273:LCP784273 LMK784273:LML784273 LWG784273:LWH784273 MGC784273:MGD784273 MPY784273:MPZ784273 MZU784273:MZV784273 NJQ784273:NJR784273 NTM784273:NTN784273 ODI784273:ODJ784273 ONE784273:ONF784273 OXA784273:OXB784273 PGW784273:PGX784273 PQS784273:PQT784273 QAO784273:QAP784273 QKK784273:QKL784273 QUG784273:QUH784273 REC784273:RED784273 RNY784273:RNZ784273 RXU784273:RXV784273 SHQ784273:SHR784273 SRM784273:SRN784273 TBI784273:TBJ784273 TLE784273:TLF784273 TVA784273:TVB784273 UEW784273:UEX784273 UOS784273:UOT784273 UYO784273:UYP784273 VIK784273:VIL784273 VSG784273:VSH784273 WCC784273:WCD784273 WLY784273:WLZ784273 WVU784273:WVV784273 E849809:F849809 JI849809:JJ849809 TE849809:TF849809 ADA849809:ADB849809 AMW849809:AMX849809 AWS849809:AWT849809 BGO849809:BGP849809 BQK849809:BQL849809 CAG849809:CAH849809 CKC849809:CKD849809 CTY849809:CTZ849809 DDU849809:DDV849809 DNQ849809:DNR849809 DXM849809:DXN849809 EHI849809:EHJ849809 ERE849809:ERF849809 FBA849809:FBB849809 FKW849809:FKX849809 FUS849809:FUT849809 GEO849809:GEP849809 GOK849809:GOL849809 GYG849809:GYH849809 HIC849809:HID849809 HRY849809:HRZ849809 IBU849809:IBV849809 ILQ849809:ILR849809 IVM849809:IVN849809 JFI849809:JFJ849809 JPE849809:JPF849809 JZA849809:JZB849809 KIW849809:KIX849809 KSS849809:KST849809 LCO849809:LCP849809 LMK849809:LML849809 LWG849809:LWH849809 MGC849809:MGD849809 MPY849809:MPZ849809 MZU849809:MZV849809 NJQ849809:NJR849809 NTM849809:NTN849809 ODI849809:ODJ849809 ONE849809:ONF849809 OXA849809:OXB849809 PGW849809:PGX849809 PQS849809:PQT849809 QAO849809:QAP849809 QKK849809:QKL849809 QUG849809:QUH849809 REC849809:RED849809 RNY849809:RNZ849809 RXU849809:RXV849809 SHQ849809:SHR849809 SRM849809:SRN849809 TBI849809:TBJ849809 TLE849809:TLF849809 TVA849809:TVB849809 UEW849809:UEX849809 UOS849809:UOT849809 UYO849809:UYP849809 VIK849809:VIL849809 VSG849809:VSH849809 WCC849809:WCD849809 WLY849809:WLZ849809 WVU849809:WVV849809 E915345:F915345 JI915345:JJ915345 TE915345:TF915345 ADA915345:ADB915345 AMW915345:AMX915345 AWS915345:AWT915345 BGO915345:BGP915345 BQK915345:BQL915345 CAG915345:CAH915345 CKC915345:CKD915345 CTY915345:CTZ915345 DDU915345:DDV915345 DNQ915345:DNR915345 DXM915345:DXN915345 EHI915345:EHJ915345 ERE915345:ERF915345 FBA915345:FBB915345 FKW915345:FKX915345 FUS915345:FUT915345 GEO915345:GEP915345 GOK915345:GOL915345 GYG915345:GYH915345 HIC915345:HID915345 HRY915345:HRZ915345 IBU915345:IBV915345 ILQ915345:ILR915345 IVM915345:IVN915345 JFI915345:JFJ915345 JPE915345:JPF915345 JZA915345:JZB915345 KIW915345:KIX915345 KSS915345:KST915345 LCO915345:LCP915345 LMK915345:LML915345 LWG915345:LWH915345 MGC915345:MGD915345 MPY915345:MPZ915345 MZU915345:MZV915345 NJQ915345:NJR915345 NTM915345:NTN915345 ODI915345:ODJ915345 ONE915345:ONF915345 OXA915345:OXB915345 PGW915345:PGX915345 PQS915345:PQT915345 QAO915345:QAP915345 QKK915345:QKL915345 QUG915345:QUH915345 REC915345:RED915345 RNY915345:RNZ915345 RXU915345:RXV915345 SHQ915345:SHR915345 SRM915345:SRN915345 TBI915345:TBJ915345 TLE915345:TLF915345 TVA915345:TVB915345 UEW915345:UEX915345 UOS915345:UOT915345 UYO915345:UYP915345 VIK915345:VIL915345 VSG915345:VSH915345 WCC915345:WCD915345 WLY915345:WLZ915345 WVU915345:WVV915345 E980881:F980881 JI980881:JJ980881 TE980881:TF980881 ADA980881:ADB980881 AMW980881:AMX980881 AWS980881:AWT980881 BGO980881:BGP980881 BQK980881:BQL980881 CAG980881:CAH980881 CKC980881:CKD980881 CTY980881:CTZ980881 DDU980881:DDV980881 DNQ980881:DNR980881 DXM980881:DXN980881 EHI980881:EHJ980881 ERE980881:ERF980881 FBA980881:FBB980881 FKW980881:FKX980881 FUS980881:FUT980881 GEO980881:GEP980881 GOK980881:GOL980881 GYG980881:GYH980881 HIC980881:HID980881 HRY980881:HRZ980881 IBU980881:IBV980881 ILQ980881:ILR980881 IVM980881:IVN980881 JFI980881:JFJ980881 JPE980881:JPF980881 JZA980881:JZB980881 KIW980881:KIX980881 KSS980881:KST980881 LCO980881:LCP980881 LMK980881:LML980881 LWG980881:LWH980881 MGC980881:MGD980881 MPY980881:MPZ980881 MZU980881:MZV980881 NJQ980881:NJR980881 NTM980881:NTN980881 ODI980881:ODJ980881 ONE980881:ONF980881 OXA980881:OXB980881 PGW980881:PGX980881 PQS980881:PQT980881 QAO980881:QAP980881 QKK980881:QKL980881 QUG980881:QUH980881 REC980881:RED980881 RNY980881:RNZ980881 RXU980881:RXV980881 SHQ980881:SHR980881 SRM980881:SRN980881 TBI980881:TBJ980881 TLE980881:TLF980881 TVA980881:TVB980881 UEW980881:UEX980881 UOS980881:UOT980881 UYO980881:UYP980881 VIK980881:VIL980881 VSG980881:VSH980881 WCC980881:WCD980881 WLY980881:WLZ980881 WVU980881:WVV980881 E5 JI5 TE5 ADA5 AMW5 AWS5 BGO5 BQK5 CAG5 CKC5 CTY5 DDU5 DNQ5 DXM5 EHI5 ERE5 FBA5 FKW5 FUS5 GEO5 GOK5 GYG5 HIC5 HRY5 IBU5 ILQ5 IVM5 JFI5 JPE5 JZA5 KIW5 KSS5 LCO5 LMK5 LWG5 MGC5 MPY5 MZU5 NJQ5 NTM5 ODI5 ONE5 OXA5 PGW5 PQS5 QAO5 QKK5 QUG5 REC5 RNY5 RXU5 SHQ5 SRM5 TBI5 TLE5 TVA5 UEW5 UOS5 UYO5 VIK5 VSG5 WCC5 WLY5 WVU5 E63265 JI63265 TE63265 ADA63265 AMW63265 AWS63265 BGO63265 BQK63265 CAG63265 CKC63265 CTY63265 DDU63265 DNQ63265 DXM63265 EHI63265 ERE63265 FBA63265 FKW63265 FUS63265 GEO63265 GOK63265 GYG63265 HIC63265 HRY63265 IBU63265 ILQ63265 IVM63265 JFI63265 JPE63265 JZA63265 KIW63265 KSS63265 LCO63265 LMK63265 LWG63265 MGC63265 MPY63265 MZU63265 NJQ63265 NTM63265 ODI63265 ONE63265 OXA63265 PGW63265 PQS63265 QAO63265 QKK63265 QUG63265 REC63265 RNY63265 RXU63265 SHQ63265 SRM63265 TBI63265 TLE63265 TVA63265 UEW63265 UOS63265 UYO63265 VIK63265 VSG63265 WCC63265 WLY63265 WVU63265 E128801 JI128801 TE128801 ADA128801 AMW128801 AWS128801 BGO128801 BQK128801 CAG128801 CKC128801 CTY128801 DDU128801 DNQ128801 DXM128801 EHI128801 ERE128801 FBA128801 FKW128801 FUS128801 GEO128801 GOK128801 GYG128801 HIC128801 HRY128801 IBU128801 ILQ128801 IVM128801 JFI128801 JPE128801 JZA128801 KIW128801 KSS128801 LCO128801 LMK128801 LWG128801 MGC128801 MPY128801 MZU128801 NJQ128801 NTM128801 ODI128801 ONE128801 OXA128801 PGW128801 PQS128801 QAO128801 QKK128801 QUG128801 REC128801 RNY128801 RXU128801 SHQ128801 SRM128801 TBI128801 TLE128801 TVA128801 UEW128801 UOS128801 UYO128801 VIK128801 VSG128801 WCC128801 WLY128801 WVU128801 E194337 JI194337 TE194337 ADA194337 AMW194337 AWS194337 BGO194337 BQK194337 CAG194337 CKC194337 CTY194337 DDU194337 DNQ194337 DXM194337 EHI194337 ERE194337 FBA194337 FKW194337 FUS194337 GEO194337 GOK194337 GYG194337 HIC194337 HRY194337 IBU194337 ILQ194337 IVM194337 JFI194337 JPE194337 JZA194337 KIW194337 KSS194337 LCO194337 LMK194337 LWG194337 MGC194337 MPY194337 MZU194337 NJQ194337 NTM194337 ODI194337 ONE194337 OXA194337 PGW194337 PQS194337 QAO194337 QKK194337 QUG194337 REC194337 RNY194337 RXU194337 SHQ194337 SRM194337 TBI194337 TLE194337 TVA194337 UEW194337 UOS194337 UYO194337 VIK194337 VSG194337 WCC194337 WLY194337 WVU194337 E259873 JI259873 TE259873 ADA259873 AMW259873 AWS259873 BGO259873 BQK259873 CAG259873 CKC259873 CTY259873 DDU259873 DNQ259873 DXM259873 EHI259873 ERE259873 FBA259873 FKW259873 FUS259873 GEO259873 GOK259873 GYG259873 HIC259873 HRY259873 IBU259873 ILQ259873 IVM259873 JFI259873 JPE259873 JZA259873 KIW259873 KSS259873 LCO259873 LMK259873 LWG259873 MGC259873 MPY259873 MZU259873 NJQ259873 NTM259873 ODI259873 ONE259873 OXA259873 PGW259873 PQS259873 QAO259873 QKK259873 QUG259873 REC259873 RNY259873 RXU259873 SHQ259873 SRM259873 TBI259873 TLE259873 TVA259873 UEW259873 UOS259873 UYO259873 VIK259873 VSG259873 WCC259873 WLY259873 WVU259873 E325409 JI325409 TE325409 ADA325409 AMW325409 AWS325409 BGO325409 BQK325409 CAG325409 CKC325409 CTY325409 DDU325409 DNQ325409 DXM325409 EHI325409 ERE325409 FBA325409 FKW325409 FUS325409 GEO325409 GOK325409 GYG325409 HIC325409 HRY325409 IBU325409 ILQ325409 IVM325409 JFI325409 JPE325409 JZA325409 KIW325409 KSS325409 LCO325409 LMK325409 LWG325409 MGC325409 MPY325409 MZU325409 NJQ325409 NTM325409 ODI325409 ONE325409 OXA325409 PGW325409 PQS325409 QAO325409 QKK325409 QUG325409 REC325409 RNY325409 RXU325409 SHQ325409 SRM325409 TBI325409 TLE325409 TVA325409 UEW325409 UOS325409 UYO325409 VIK325409 VSG325409 WCC325409 WLY325409 WVU325409 E390945 JI390945 TE390945 ADA390945 AMW390945 AWS390945 BGO390945 BQK390945 CAG390945 CKC390945 CTY390945 DDU390945 DNQ390945 DXM390945 EHI390945 ERE390945 FBA390945 FKW390945 FUS390945 GEO390945 GOK390945 GYG390945 HIC390945 HRY390945 IBU390945 ILQ390945 IVM390945 JFI390945 JPE390945 JZA390945 KIW390945 KSS390945 LCO390945 LMK390945 LWG390945 MGC390945 MPY390945 MZU390945 NJQ390945 NTM390945 ODI390945 ONE390945 OXA390945 PGW390945 PQS390945 QAO390945 QKK390945 QUG390945 REC390945 RNY390945 RXU390945 SHQ390945 SRM390945 TBI390945 TLE390945 TVA390945 UEW390945 UOS390945 UYO390945 VIK390945 VSG390945 WCC390945 WLY390945 WVU390945 E456481 JI456481 TE456481 ADA456481 AMW456481 AWS456481 BGO456481 BQK456481 CAG456481 CKC456481 CTY456481 DDU456481 DNQ456481 DXM456481 EHI456481 ERE456481 FBA456481 FKW456481 FUS456481 GEO456481 GOK456481 GYG456481 HIC456481 HRY456481 IBU456481 ILQ456481 IVM456481 JFI456481 JPE456481 JZA456481 KIW456481 KSS456481 LCO456481 LMK456481 LWG456481 MGC456481 MPY456481 MZU456481 NJQ456481 NTM456481 ODI456481 ONE456481 OXA456481 PGW456481 PQS456481 QAO456481 QKK456481 QUG456481 REC456481 RNY456481 RXU456481 SHQ456481 SRM456481 TBI456481 TLE456481 TVA456481 UEW456481 UOS456481 UYO456481 VIK456481 VSG456481 WCC456481 WLY456481 WVU456481 E522017 JI522017 TE522017 ADA522017 AMW522017 AWS522017 BGO522017 BQK522017 CAG522017 CKC522017 CTY522017 DDU522017 DNQ522017 DXM522017 EHI522017 ERE522017 FBA522017 FKW522017 FUS522017 GEO522017 GOK522017 GYG522017 HIC522017 HRY522017 IBU522017 ILQ522017 IVM522017 JFI522017 JPE522017 JZA522017 KIW522017 KSS522017 LCO522017 LMK522017 LWG522017 MGC522017 MPY522017 MZU522017 NJQ522017 NTM522017 ODI522017 ONE522017 OXA522017 PGW522017 PQS522017 QAO522017 QKK522017 QUG522017 REC522017 RNY522017 RXU522017 SHQ522017 SRM522017 TBI522017 TLE522017 TVA522017 UEW522017 UOS522017 UYO522017 VIK522017 VSG522017 WCC522017 WLY522017 WVU522017 E587553 JI587553 TE587553 ADA587553 AMW587553 AWS587553 BGO587553 BQK587553 CAG587553 CKC587553 CTY587553 DDU587553 DNQ587553 DXM587553 EHI587553 ERE587553 FBA587553 FKW587553 FUS587553 GEO587553 GOK587553 GYG587553 HIC587553 HRY587553 IBU587553 ILQ587553 IVM587553 JFI587553 JPE587553 JZA587553 KIW587553 KSS587553 LCO587553 LMK587553 LWG587553 MGC587553 MPY587553 MZU587553 NJQ587553 NTM587553 ODI587553 ONE587553 OXA587553 PGW587553 PQS587553 QAO587553 QKK587553 QUG587553 REC587553 RNY587553 RXU587553 SHQ587553 SRM587553 TBI587553 TLE587553 TVA587553 UEW587553 UOS587553 UYO587553 VIK587553 VSG587553 WCC587553 WLY587553 WVU587553 E653089 JI653089 TE653089 ADA653089 AMW653089 AWS653089 BGO653089 BQK653089 CAG653089 CKC653089 CTY653089 DDU653089 DNQ653089 DXM653089 EHI653089 ERE653089 FBA653089 FKW653089 FUS653089 GEO653089 GOK653089 GYG653089 HIC653089 HRY653089 IBU653089 ILQ653089 IVM653089 JFI653089 JPE653089 JZA653089 KIW653089 KSS653089 LCO653089 LMK653089 LWG653089 MGC653089 MPY653089 MZU653089 NJQ653089 NTM653089 ODI653089 ONE653089 OXA653089 PGW653089 PQS653089 QAO653089 QKK653089 QUG653089 REC653089 RNY653089 RXU653089 SHQ653089 SRM653089 TBI653089 TLE653089 TVA653089 UEW653089 UOS653089 UYO653089 VIK653089 VSG653089 WCC653089 WLY653089 WVU653089 E718625 JI718625 TE718625 ADA718625 AMW718625 AWS718625 BGO718625 BQK718625 CAG718625 CKC718625 CTY718625 DDU718625 DNQ718625 DXM718625 EHI718625 ERE718625 FBA718625 FKW718625 FUS718625 GEO718625 GOK718625 GYG718625 HIC718625 HRY718625 IBU718625 ILQ718625 IVM718625 JFI718625 JPE718625 JZA718625 KIW718625 KSS718625 LCO718625 LMK718625 LWG718625 MGC718625 MPY718625 MZU718625 NJQ718625 NTM718625 ODI718625 ONE718625 OXA718625 PGW718625 PQS718625 QAO718625 QKK718625 QUG718625 REC718625 RNY718625 RXU718625 SHQ718625 SRM718625 TBI718625 TLE718625 TVA718625 UEW718625 UOS718625 UYO718625 VIK718625 VSG718625 WCC718625 WLY718625 WVU718625 E784161 JI784161 TE784161 ADA784161 AMW784161 AWS784161 BGO784161 BQK784161 CAG784161 CKC784161 CTY784161 DDU784161 DNQ784161 DXM784161 EHI784161 ERE784161 FBA784161 FKW784161 FUS784161 GEO784161 GOK784161 GYG784161 HIC784161 HRY784161 IBU784161 ILQ784161 IVM784161 JFI784161 JPE784161 JZA784161 KIW784161 KSS784161 LCO784161 LMK784161 LWG784161 MGC784161 MPY784161 MZU784161 NJQ784161 NTM784161 ODI784161 ONE784161 OXA784161 PGW784161 PQS784161 QAO784161 QKK784161 QUG784161 REC784161 RNY784161 RXU784161 SHQ784161 SRM784161 TBI784161 TLE784161 TVA784161 UEW784161 UOS784161 UYO784161 VIK784161 VSG784161 WCC784161 WLY784161 WVU784161 E849697 JI849697 TE849697 ADA849697 AMW849697 AWS849697 BGO849697 BQK849697 CAG849697 CKC849697 CTY849697 DDU849697 DNQ849697 DXM849697 EHI849697 ERE849697 FBA849697 FKW849697 FUS849697 GEO849697 GOK849697 GYG849697 HIC849697 HRY849697 IBU849697 ILQ849697 IVM849697 JFI849697 JPE849697 JZA849697 KIW849697 KSS849697 LCO849697 LMK849697 LWG849697 MGC849697 MPY849697 MZU849697 NJQ849697 NTM849697 ODI849697 ONE849697 OXA849697 PGW849697 PQS849697 QAO849697 QKK849697 QUG849697 REC849697 RNY849697 RXU849697 SHQ849697 SRM849697 TBI849697 TLE849697 TVA849697 UEW849697 UOS849697 UYO849697 VIK849697 VSG849697 WCC849697 WLY849697 WVU849697 E915233 JI915233 TE915233 ADA915233 AMW915233 AWS915233 BGO915233 BQK915233 CAG915233 CKC915233 CTY915233 DDU915233 DNQ915233 DXM915233 EHI915233 ERE915233 FBA915233 FKW915233 FUS915233 GEO915233 GOK915233 GYG915233 HIC915233 HRY915233 IBU915233 ILQ915233 IVM915233 JFI915233 JPE915233 JZA915233 KIW915233 KSS915233 LCO915233 LMK915233 LWG915233 MGC915233 MPY915233 MZU915233 NJQ915233 NTM915233 ODI915233 ONE915233 OXA915233 PGW915233 PQS915233 QAO915233 QKK915233 QUG915233 REC915233 RNY915233 RXU915233 SHQ915233 SRM915233 TBI915233 TLE915233 TVA915233 UEW915233 UOS915233 UYO915233 VIK915233 VSG915233 WCC915233 WLY915233 WVU915233 E980769 JI980769 TE980769 ADA980769 AMW980769 AWS980769 BGO980769 BQK980769 CAG980769 CKC980769 CTY980769 DDU980769 DNQ980769 DXM980769 EHI980769 ERE980769 FBA980769 FKW980769 FUS980769 GEO980769 GOK980769 GYG980769 HIC980769 HRY980769 IBU980769 ILQ980769 IVM980769 JFI980769 JPE980769 JZA980769 KIW980769 KSS980769 LCO980769 LMK980769 LWG980769 MGC980769 MPY980769 MZU980769 NJQ980769 NTM980769 ODI980769 ONE980769 OXA980769 PGW980769 PQS980769 QAO980769 QKK980769 QUG980769 REC980769 RNY980769 RXU980769 SHQ980769 SRM980769 TBI980769 TLE980769 TVA980769 UEW980769 UOS980769 UYO980769 VIK980769 VSG980769 WCC980769 WLY980769 WVU980769 E63489:I63489 JI63489:JM63489 TE63489:TI63489 ADA63489:ADE63489 AMW63489:ANA63489 AWS63489:AWW63489 BGO63489:BGS63489 BQK63489:BQO63489 CAG63489:CAK63489 CKC63489:CKG63489 CTY63489:CUC63489 DDU63489:DDY63489 DNQ63489:DNU63489 DXM63489:DXQ63489 EHI63489:EHM63489 ERE63489:ERI63489 FBA63489:FBE63489 FKW63489:FLA63489 FUS63489:FUW63489 GEO63489:GES63489 GOK63489:GOO63489 GYG63489:GYK63489 HIC63489:HIG63489 HRY63489:HSC63489 IBU63489:IBY63489 ILQ63489:ILU63489 IVM63489:IVQ63489 JFI63489:JFM63489 JPE63489:JPI63489 JZA63489:JZE63489 KIW63489:KJA63489 KSS63489:KSW63489 LCO63489:LCS63489 LMK63489:LMO63489 LWG63489:LWK63489 MGC63489:MGG63489 MPY63489:MQC63489 MZU63489:MZY63489 NJQ63489:NJU63489 NTM63489:NTQ63489 ODI63489:ODM63489 ONE63489:ONI63489 OXA63489:OXE63489 PGW63489:PHA63489 PQS63489:PQW63489 QAO63489:QAS63489 QKK63489:QKO63489 QUG63489:QUK63489 REC63489:REG63489 RNY63489:ROC63489 RXU63489:RXY63489 SHQ63489:SHU63489 SRM63489:SRQ63489 TBI63489:TBM63489 TLE63489:TLI63489 TVA63489:TVE63489 UEW63489:UFA63489 UOS63489:UOW63489 UYO63489:UYS63489 VIK63489:VIO63489 VSG63489:VSK63489 WCC63489:WCG63489 WLY63489:WMC63489 WVU63489:WVY63489 E129025:I129025 JI129025:JM129025 TE129025:TI129025 ADA129025:ADE129025 AMW129025:ANA129025 AWS129025:AWW129025 BGO129025:BGS129025 BQK129025:BQO129025 CAG129025:CAK129025 CKC129025:CKG129025 CTY129025:CUC129025 DDU129025:DDY129025 DNQ129025:DNU129025 DXM129025:DXQ129025 EHI129025:EHM129025 ERE129025:ERI129025 FBA129025:FBE129025 FKW129025:FLA129025 FUS129025:FUW129025 GEO129025:GES129025 GOK129025:GOO129025 GYG129025:GYK129025 HIC129025:HIG129025 HRY129025:HSC129025 IBU129025:IBY129025 ILQ129025:ILU129025 IVM129025:IVQ129025 JFI129025:JFM129025 JPE129025:JPI129025 JZA129025:JZE129025 KIW129025:KJA129025 KSS129025:KSW129025 LCO129025:LCS129025 LMK129025:LMO129025 LWG129025:LWK129025 MGC129025:MGG129025 MPY129025:MQC129025 MZU129025:MZY129025 NJQ129025:NJU129025 NTM129025:NTQ129025 ODI129025:ODM129025 ONE129025:ONI129025 OXA129025:OXE129025 PGW129025:PHA129025 PQS129025:PQW129025 QAO129025:QAS129025 QKK129025:QKO129025 QUG129025:QUK129025 REC129025:REG129025 RNY129025:ROC129025 RXU129025:RXY129025 SHQ129025:SHU129025 SRM129025:SRQ129025 TBI129025:TBM129025 TLE129025:TLI129025 TVA129025:TVE129025 UEW129025:UFA129025 UOS129025:UOW129025 UYO129025:UYS129025 VIK129025:VIO129025 VSG129025:VSK129025 WCC129025:WCG129025 WLY129025:WMC129025 WVU129025:WVY129025 E194561:I194561 JI194561:JM194561 TE194561:TI194561 ADA194561:ADE194561 AMW194561:ANA194561 AWS194561:AWW194561 BGO194561:BGS194561 BQK194561:BQO194561 CAG194561:CAK194561 CKC194561:CKG194561 CTY194561:CUC194561 DDU194561:DDY194561 DNQ194561:DNU194561 DXM194561:DXQ194561 EHI194561:EHM194561 ERE194561:ERI194561 FBA194561:FBE194561 FKW194561:FLA194561 FUS194561:FUW194561 GEO194561:GES194561 GOK194561:GOO194561 GYG194561:GYK194561 HIC194561:HIG194561 HRY194561:HSC194561 IBU194561:IBY194561 ILQ194561:ILU194561 IVM194561:IVQ194561 JFI194561:JFM194561 JPE194561:JPI194561 JZA194561:JZE194561 KIW194561:KJA194561 KSS194561:KSW194561 LCO194561:LCS194561 LMK194561:LMO194561 LWG194561:LWK194561 MGC194561:MGG194561 MPY194561:MQC194561 MZU194561:MZY194561 NJQ194561:NJU194561 NTM194561:NTQ194561 ODI194561:ODM194561 ONE194561:ONI194561 OXA194561:OXE194561 PGW194561:PHA194561 PQS194561:PQW194561 QAO194561:QAS194561 QKK194561:QKO194561 QUG194561:QUK194561 REC194561:REG194561 RNY194561:ROC194561 RXU194561:RXY194561 SHQ194561:SHU194561 SRM194561:SRQ194561 TBI194561:TBM194561 TLE194561:TLI194561 TVA194561:TVE194561 UEW194561:UFA194561 UOS194561:UOW194561 UYO194561:UYS194561 VIK194561:VIO194561 VSG194561:VSK194561 WCC194561:WCG194561 WLY194561:WMC194561 WVU194561:WVY194561 E260097:I260097 JI260097:JM260097 TE260097:TI260097 ADA260097:ADE260097 AMW260097:ANA260097 AWS260097:AWW260097 BGO260097:BGS260097 BQK260097:BQO260097 CAG260097:CAK260097 CKC260097:CKG260097 CTY260097:CUC260097 DDU260097:DDY260097 DNQ260097:DNU260097 DXM260097:DXQ260097 EHI260097:EHM260097 ERE260097:ERI260097 FBA260097:FBE260097 FKW260097:FLA260097 FUS260097:FUW260097 GEO260097:GES260097 GOK260097:GOO260097 GYG260097:GYK260097 HIC260097:HIG260097 HRY260097:HSC260097 IBU260097:IBY260097 ILQ260097:ILU260097 IVM260097:IVQ260097 JFI260097:JFM260097 JPE260097:JPI260097 JZA260097:JZE260097 KIW260097:KJA260097 KSS260097:KSW260097 LCO260097:LCS260097 LMK260097:LMO260097 LWG260097:LWK260097 MGC260097:MGG260097 MPY260097:MQC260097 MZU260097:MZY260097 NJQ260097:NJU260097 NTM260097:NTQ260097 ODI260097:ODM260097 ONE260097:ONI260097 OXA260097:OXE260097 PGW260097:PHA260097 PQS260097:PQW260097 QAO260097:QAS260097 QKK260097:QKO260097 QUG260097:QUK260097 REC260097:REG260097 RNY260097:ROC260097 RXU260097:RXY260097 SHQ260097:SHU260097 SRM260097:SRQ260097 TBI260097:TBM260097 TLE260097:TLI260097 TVA260097:TVE260097 UEW260097:UFA260097 UOS260097:UOW260097 UYO260097:UYS260097 VIK260097:VIO260097 VSG260097:VSK260097 WCC260097:WCG260097 WLY260097:WMC260097 WVU260097:WVY260097 E325633:I325633 JI325633:JM325633 TE325633:TI325633 ADA325633:ADE325633 AMW325633:ANA325633 AWS325633:AWW325633 BGO325633:BGS325633 BQK325633:BQO325633 CAG325633:CAK325633 CKC325633:CKG325633 CTY325633:CUC325633 DDU325633:DDY325633 DNQ325633:DNU325633 DXM325633:DXQ325633 EHI325633:EHM325633 ERE325633:ERI325633 FBA325633:FBE325633 FKW325633:FLA325633 FUS325633:FUW325633 GEO325633:GES325633 GOK325633:GOO325633 GYG325633:GYK325633 HIC325633:HIG325633 HRY325633:HSC325633 IBU325633:IBY325633 ILQ325633:ILU325633 IVM325633:IVQ325633 JFI325633:JFM325633 JPE325633:JPI325633 JZA325633:JZE325633 KIW325633:KJA325633 KSS325633:KSW325633 LCO325633:LCS325633 LMK325633:LMO325633 LWG325633:LWK325633 MGC325633:MGG325633 MPY325633:MQC325633 MZU325633:MZY325633 NJQ325633:NJU325633 NTM325633:NTQ325633 ODI325633:ODM325633 ONE325633:ONI325633 OXA325633:OXE325633 PGW325633:PHA325633 PQS325633:PQW325633 QAO325633:QAS325633 QKK325633:QKO325633 QUG325633:QUK325633 REC325633:REG325633 RNY325633:ROC325633 RXU325633:RXY325633 SHQ325633:SHU325633 SRM325633:SRQ325633 TBI325633:TBM325633 TLE325633:TLI325633 TVA325633:TVE325633 UEW325633:UFA325633 UOS325633:UOW325633 UYO325633:UYS325633 VIK325633:VIO325633 VSG325633:VSK325633 WCC325633:WCG325633 WLY325633:WMC325633 WVU325633:WVY325633 E391169:I391169 JI391169:JM391169 TE391169:TI391169 ADA391169:ADE391169 AMW391169:ANA391169 AWS391169:AWW391169 BGO391169:BGS391169 BQK391169:BQO391169 CAG391169:CAK391169 CKC391169:CKG391169 CTY391169:CUC391169 DDU391169:DDY391169 DNQ391169:DNU391169 DXM391169:DXQ391169 EHI391169:EHM391169 ERE391169:ERI391169 FBA391169:FBE391169 FKW391169:FLA391169 FUS391169:FUW391169 GEO391169:GES391169 GOK391169:GOO391169 GYG391169:GYK391169 HIC391169:HIG391169 HRY391169:HSC391169 IBU391169:IBY391169 ILQ391169:ILU391169 IVM391169:IVQ391169 JFI391169:JFM391169 JPE391169:JPI391169 JZA391169:JZE391169 KIW391169:KJA391169 KSS391169:KSW391169 LCO391169:LCS391169 LMK391169:LMO391169 LWG391169:LWK391169 MGC391169:MGG391169 MPY391169:MQC391169 MZU391169:MZY391169 NJQ391169:NJU391169 NTM391169:NTQ391169 ODI391169:ODM391169 ONE391169:ONI391169 OXA391169:OXE391169 PGW391169:PHA391169 PQS391169:PQW391169 QAO391169:QAS391169 QKK391169:QKO391169 QUG391169:QUK391169 REC391169:REG391169 RNY391169:ROC391169 RXU391169:RXY391169 SHQ391169:SHU391169 SRM391169:SRQ391169 TBI391169:TBM391169 TLE391169:TLI391169 TVA391169:TVE391169 UEW391169:UFA391169 UOS391169:UOW391169 UYO391169:UYS391169 VIK391169:VIO391169 VSG391169:VSK391169 WCC391169:WCG391169 WLY391169:WMC391169 WVU391169:WVY391169 E456705:I456705 JI456705:JM456705 TE456705:TI456705 ADA456705:ADE456705 AMW456705:ANA456705 AWS456705:AWW456705 BGO456705:BGS456705 BQK456705:BQO456705 CAG456705:CAK456705 CKC456705:CKG456705 CTY456705:CUC456705 DDU456705:DDY456705 DNQ456705:DNU456705 DXM456705:DXQ456705 EHI456705:EHM456705 ERE456705:ERI456705 FBA456705:FBE456705 FKW456705:FLA456705 FUS456705:FUW456705 GEO456705:GES456705 GOK456705:GOO456705 GYG456705:GYK456705 HIC456705:HIG456705 HRY456705:HSC456705 IBU456705:IBY456705 ILQ456705:ILU456705 IVM456705:IVQ456705 JFI456705:JFM456705 JPE456705:JPI456705 JZA456705:JZE456705 KIW456705:KJA456705 KSS456705:KSW456705 LCO456705:LCS456705 LMK456705:LMO456705 LWG456705:LWK456705 MGC456705:MGG456705 MPY456705:MQC456705 MZU456705:MZY456705 NJQ456705:NJU456705 NTM456705:NTQ456705 ODI456705:ODM456705 ONE456705:ONI456705 OXA456705:OXE456705 PGW456705:PHA456705 PQS456705:PQW456705 QAO456705:QAS456705 QKK456705:QKO456705 QUG456705:QUK456705 REC456705:REG456705 RNY456705:ROC456705 RXU456705:RXY456705 SHQ456705:SHU456705 SRM456705:SRQ456705 TBI456705:TBM456705 TLE456705:TLI456705 TVA456705:TVE456705 UEW456705:UFA456705 UOS456705:UOW456705 UYO456705:UYS456705 VIK456705:VIO456705 VSG456705:VSK456705 WCC456705:WCG456705 WLY456705:WMC456705 WVU456705:WVY456705 E522241:I522241 JI522241:JM522241 TE522241:TI522241 ADA522241:ADE522241 AMW522241:ANA522241 AWS522241:AWW522241 BGO522241:BGS522241 BQK522241:BQO522241 CAG522241:CAK522241 CKC522241:CKG522241 CTY522241:CUC522241 DDU522241:DDY522241 DNQ522241:DNU522241 DXM522241:DXQ522241 EHI522241:EHM522241 ERE522241:ERI522241 FBA522241:FBE522241 FKW522241:FLA522241 FUS522241:FUW522241 GEO522241:GES522241 GOK522241:GOO522241 GYG522241:GYK522241 HIC522241:HIG522241 HRY522241:HSC522241 IBU522241:IBY522241 ILQ522241:ILU522241 IVM522241:IVQ522241 JFI522241:JFM522241 JPE522241:JPI522241 JZA522241:JZE522241 KIW522241:KJA522241 KSS522241:KSW522241 LCO522241:LCS522241 LMK522241:LMO522241 LWG522241:LWK522241 MGC522241:MGG522241 MPY522241:MQC522241 MZU522241:MZY522241 NJQ522241:NJU522241 NTM522241:NTQ522241 ODI522241:ODM522241 ONE522241:ONI522241 OXA522241:OXE522241 PGW522241:PHA522241 PQS522241:PQW522241 QAO522241:QAS522241 QKK522241:QKO522241 QUG522241:QUK522241 REC522241:REG522241 RNY522241:ROC522241 RXU522241:RXY522241 SHQ522241:SHU522241 SRM522241:SRQ522241 TBI522241:TBM522241 TLE522241:TLI522241 TVA522241:TVE522241 UEW522241:UFA522241 UOS522241:UOW522241 UYO522241:UYS522241 VIK522241:VIO522241 VSG522241:VSK522241 WCC522241:WCG522241 WLY522241:WMC522241 WVU522241:WVY522241 E587777:I587777 JI587777:JM587777 TE587777:TI587777 ADA587777:ADE587777 AMW587777:ANA587777 AWS587777:AWW587777 BGO587777:BGS587777 BQK587777:BQO587777 CAG587777:CAK587777 CKC587777:CKG587777 CTY587777:CUC587777 DDU587777:DDY587777 DNQ587777:DNU587777 DXM587777:DXQ587777 EHI587777:EHM587777 ERE587777:ERI587777 FBA587777:FBE587777 FKW587777:FLA587777 FUS587777:FUW587777 GEO587777:GES587777 GOK587777:GOO587777 GYG587777:GYK587777 HIC587777:HIG587777 HRY587777:HSC587777 IBU587777:IBY587777 ILQ587777:ILU587777 IVM587777:IVQ587777 JFI587777:JFM587777 JPE587777:JPI587777 JZA587777:JZE587777 KIW587777:KJA587777 KSS587777:KSW587777 LCO587777:LCS587777 LMK587777:LMO587777 LWG587777:LWK587777 MGC587777:MGG587777 MPY587777:MQC587777 MZU587777:MZY587777 NJQ587777:NJU587777 NTM587777:NTQ587777 ODI587777:ODM587777 ONE587777:ONI587777 OXA587777:OXE587777 PGW587777:PHA587777 PQS587777:PQW587777 QAO587777:QAS587777 QKK587777:QKO587777 QUG587777:QUK587777 REC587777:REG587777 RNY587777:ROC587777 RXU587777:RXY587777 SHQ587777:SHU587777 SRM587777:SRQ587777 TBI587777:TBM587777 TLE587777:TLI587777 TVA587777:TVE587777 UEW587777:UFA587777 UOS587777:UOW587777 UYO587777:UYS587777 VIK587777:VIO587777 VSG587777:VSK587777 WCC587777:WCG587777 WLY587777:WMC587777 WVU587777:WVY587777 E653313:I653313 JI653313:JM653313 TE653313:TI653313 ADA653313:ADE653313 AMW653313:ANA653313 AWS653313:AWW653313 BGO653313:BGS653313 BQK653313:BQO653313 CAG653313:CAK653313 CKC653313:CKG653313 CTY653313:CUC653313 DDU653313:DDY653313 DNQ653313:DNU653313 DXM653313:DXQ653313 EHI653313:EHM653313 ERE653313:ERI653313 FBA653313:FBE653313 FKW653313:FLA653313 FUS653313:FUW653313 GEO653313:GES653313 GOK653313:GOO653313 GYG653313:GYK653313 HIC653313:HIG653313 HRY653313:HSC653313 IBU653313:IBY653313 ILQ653313:ILU653313 IVM653313:IVQ653313 JFI653313:JFM653313 JPE653313:JPI653313 JZA653313:JZE653313 KIW653313:KJA653313 KSS653313:KSW653313 LCO653313:LCS653313 LMK653313:LMO653313 LWG653313:LWK653313 MGC653313:MGG653313 MPY653313:MQC653313 MZU653313:MZY653313 NJQ653313:NJU653313 NTM653313:NTQ653313 ODI653313:ODM653313 ONE653313:ONI653313 OXA653313:OXE653313 PGW653313:PHA653313 PQS653313:PQW653313 QAO653313:QAS653313 QKK653313:QKO653313 QUG653313:QUK653313 REC653313:REG653313 RNY653313:ROC653313 RXU653313:RXY653313 SHQ653313:SHU653313 SRM653313:SRQ653313 TBI653313:TBM653313 TLE653313:TLI653313 TVA653313:TVE653313 UEW653313:UFA653313 UOS653313:UOW653313 UYO653313:UYS653313 VIK653313:VIO653313 VSG653313:VSK653313 WCC653313:WCG653313 WLY653313:WMC653313 WVU653313:WVY653313 E718849:I718849 JI718849:JM718849 TE718849:TI718849 ADA718849:ADE718849 AMW718849:ANA718849 AWS718849:AWW718849 BGO718849:BGS718849 BQK718849:BQO718849 CAG718849:CAK718849 CKC718849:CKG718849 CTY718849:CUC718849 DDU718849:DDY718849 DNQ718849:DNU718849 DXM718849:DXQ718849 EHI718849:EHM718849 ERE718849:ERI718849 FBA718849:FBE718849 FKW718849:FLA718849 FUS718849:FUW718849 GEO718849:GES718849 GOK718849:GOO718849 GYG718849:GYK718849 HIC718849:HIG718849 HRY718849:HSC718849 IBU718849:IBY718849 ILQ718849:ILU718849 IVM718849:IVQ718849 JFI718849:JFM718849 JPE718849:JPI718849 JZA718849:JZE718849 KIW718849:KJA718849 KSS718849:KSW718849 LCO718849:LCS718849 LMK718849:LMO718849 LWG718849:LWK718849 MGC718849:MGG718849 MPY718849:MQC718849 MZU718849:MZY718849 NJQ718849:NJU718849 NTM718849:NTQ718849 ODI718849:ODM718849 ONE718849:ONI718849 OXA718849:OXE718849 PGW718849:PHA718849 PQS718849:PQW718849 QAO718849:QAS718849 QKK718849:QKO718849 QUG718849:QUK718849 REC718849:REG718849 RNY718849:ROC718849 RXU718849:RXY718849 SHQ718849:SHU718849 SRM718849:SRQ718849 TBI718849:TBM718849 TLE718849:TLI718849 TVA718849:TVE718849 UEW718849:UFA718849 UOS718849:UOW718849 UYO718849:UYS718849 VIK718849:VIO718849 VSG718849:VSK718849 WCC718849:WCG718849 WLY718849:WMC718849 WVU718849:WVY718849 E784385:I784385 JI784385:JM784385 TE784385:TI784385 ADA784385:ADE784385 AMW784385:ANA784385 AWS784385:AWW784385 BGO784385:BGS784385 BQK784385:BQO784385 CAG784385:CAK784385 CKC784385:CKG784385 CTY784385:CUC784385 DDU784385:DDY784385 DNQ784385:DNU784385 DXM784385:DXQ784385 EHI784385:EHM784385 ERE784385:ERI784385 FBA784385:FBE784385 FKW784385:FLA784385 FUS784385:FUW784385 GEO784385:GES784385 GOK784385:GOO784385 GYG784385:GYK784385 HIC784385:HIG784385 HRY784385:HSC784385 IBU784385:IBY784385 ILQ784385:ILU784385 IVM784385:IVQ784385 JFI784385:JFM784385 JPE784385:JPI784385 JZA784385:JZE784385 KIW784385:KJA784385 KSS784385:KSW784385 LCO784385:LCS784385 LMK784385:LMO784385 LWG784385:LWK784385 MGC784385:MGG784385 MPY784385:MQC784385 MZU784385:MZY784385 NJQ784385:NJU784385 NTM784385:NTQ784385 ODI784385:ODM784385 ONE784385:ONI784385 OXA784385:OXE784385 PGW784385:PHA784385 PQS784385:PQW784385 QAO784385:QAS784385 QKK784385:QKO784385 QUG784385:QUK784385 REC784385:REG784385 RNY784385:ROC784385 RXU784385:RXY784385 SHQ784385:SHU784385 SRM784385:SRQ784385 TBI784385:TBM784385 TLE784385:TLI784385 TVA784385:TVE784385 UEW784385:UFA784385 UOS784385:UOW784385 UYO784385:UYS784385 VIK784385:VIO784385 VSG784385:VSK784385 WCC784385:WCG784385 WLY784385:WMC784385 WVU784385:WVY784385 E849921:I849921 JI849921:JM849921 TE849921:TI849921 ADA849921:ADE849921 AMW849921:ANA849921 AWS849921:AWW849921 BGO849921:BGS849921 BQK849921:BQO849921 CAG849921:CAK849921 CKC849921:CKG849921 CTY849921:CUC849921 DDU849921:DDY849921 DNQ849921:DNU849921 DXM849921:DXQ849921 EHI849921:EHM849921 ERE849921:ERI849921 FBA849921:FBE849921 FKW849921:FLA849921 FUS849921:FUW849921 GEO849921:GES849921 GOK849921:GOO849921 GYG849921:GYK849921 HIC849921:HIG849921 HRY849921:HSC849921 IBU849921:IBY849921 ILQ849921:ILU849921 IVM849921:IVQ849921 JFI849921:JFM849921 JPE849921:JPI849921 JZA849921:JZE849921 KIW849921:KJA849921 KSS849921:KSW849921 LCO849921:LCS849921 LMK849921:LMO849921 LWG849921:LWK849921 MGC849921:MGG849921 MPY849921:MQC849921 MZU849921:MZY849921 NJQ849921:NJU849921 NTM849921:NTQ849921 ODI849921:ODM849921 ONE849921:ONI849921 OXA849921:OXE849921 PGW849921:PHA849921 PQS849921:PQW849921 QAO849921:QAS849921 QKK849921:QKO849921 QUG849921:QUK849921 REC849921:REG849921 RNY849921:ROC849921 RXU849921:RXY849921 SHQ849921:SHU849921 SRM849921:SRQ849921 TBI849921:TBM849921 TLE849921:TLI849921 TVA849921:TVE849921 UEW849921:UFA849921 UOS849921:UOW849921 UYO849921:UYS849921 VIK849921:VIO849921 VSG849921:VSK849921 WCC849921:WCG849921 WLY849921:WMC849921 WVU849921:WVY849921 E915457:I915457 JI915457:JM915457 TE915457:TI915457 ADA915457:ADE915457 AMW915457:ANA915457 AWS915457:AWW915457 BGO915457:BGS915457 BQK915457:BQO915457 CAG915457:CAK915457 CKC915457:CKG915457 CTY915457:CUC915457 DDU915457:DDY915457 DNQ915457:DNU915457 DXM915457:DXQ915457 EHI915457:EHM915457 ERE915457:ERI915457 FBA915457:FBE915457 FKW915457:FLA915457 FUS915457:FUW915457 GEO915457:GES915457 GOK915457:GOO915457 GYG915457:GYK915457 HIC915457:HIG915457 HRY915457:HSC915457 IBU915457:IBY915457 ILQ915457:ILU915457 IVM915457:IVQ915457 JFI915457:JFM915457 JPE915457:JPI915457 JZA915457:JZE915457 KIW915457:KJA915457 KSS915457:KSW915457 LCO915457:LCS915457 LMK915457:LMO915457 LWG915457:LWK915457 MGC915457:MGG915457 MPY915457:MQC915457 MZU915457:MZY915457 NJQ915457:NJU915457 NTM915457:NTQ915457 ODI915457:ODM915457 ONE915457:ONI915457 OXA915457:OXE915457 PGW915457:PHA915457 PQS915457:PQW915457 QAO915457:QAS915457 QKK915457:QKO915457 QUG915457:QUK915457 REC915457:REG915457 RNY915457:ROC915457 RXU915457:RXY915457 SHQ915457:SHU915457 SRM915457:SRQ915457 TBI915457:TBM915457 TLE915457:TLI915457 TVA915457:TVE915457 UEW915457:UFA915457 UOS915457:UOW915457 UYO915457:UYS915457 VIK915457:VIO915457 VSG915457:VSK915457 WCC915457:WCG915457 WLY915457:WMC915457 WVU915457:WVY915457 E980993:I980993 JI980993:JM980993 TE980993:TI980993 ADA980993:ADE980993 AMW980993:ANA980993 AWS980993:AWW980993 BGO980993:BGS980993 BQK980993:BQO980993 CAG980993:CAK980993 CKC980993:CKG980993 CTY980993:CUC980993 DDU980993:DDY980993 DNQ980993:DNU980993 DXM980993:DXQ980993 EHI980993:EHM980993 ERE980993:ERI980993 FBA980993:FBE980993 FKW980993:FLA980993 FUS980993:FUW980993 GEO980993:GES980993 GOK980993:GOO980993 GYG980993:GYK980993 HIC980993:HIG980993 HRY980993:HSC980993 IBU980993:IBY980993 ILQ980993:ILU980993 IVM980993:IVQ980993 JFI980993:JFM980993 JPE980993:JPI980993 JZA980993:JZE980993 KIW980993:KJA980993 KSS980993:KSW980993 LCO980993:LCS980993 LMK980993:LMO980993 LWG980993:LWK980993 MGC980993:MGG980993 MPY980993:MQC980993 MZU980993:MZY980993 NJQ980993:NJU980993 NTM980993:NTQ980993 ODI980993:ODM980993 ONE980993:ONI980993 OXA980993:OXE980993 PGW980993:PHA980993 PQS980993:PQW980993 QAO980993:QAS980993 QKK980993:QKO980993 QUG980993:QUK980993 REC980993:REG980993 RNY980993:ROC980993 RXU980993:RXY980993 SHQ980993:SHU980993 SRM980993:SRQ980993 TBI980993:TBM980993 TLE980993:TLI980993 TVA980993:TVE980993 UEW980993:UFA980993 UOS980993:UOW980993 UYO980993:UYS980993 VIK980993:VIO980993 VSG980993:VSK980993 WCC980993:WCG980993 WLY980993:WMC980993 WVU980993:WVY980993 E63601:I63601 JI63601:JM63601 TE63601:TI63601 ADA63601:ADE63601 AMW63601:ANA63601 AWS63601:AWW63601 BGO63601:BGS63601 BQK63601:BQO63601 CAG63601:CAK63601 CKC63601:CKG63601 CTY63601:CUC63601 DDU63601:DDY63601 DNQ63601:DNU63601 DXM63601:DXQ63601 EHI63601:EHM63601 ERE63601:ERI63601 FBA63601:FBE63601 FKW63601:FLA63601 FUS63601:FUW63601 GEO63601:GES63601 GOK63601:GOO63601 GYG63601:GYK63601 HIC63601:HIG63601 HRY63601:HSC63601 IBU63601:IBY63601 ILQ63601:ILU63601 IVM63601:IVQ63601 JFI63601:JFM63601 JPE63601:JPI63601 JZA63601:JZE63601 KIW63601:KJA63601 KSS63601:KSW63601 LCO63601:LCS63601 LMK63601:LMO63601 LWG63601:LWK63601 MGC63601:MGG63601 MPY63601:MQC63601 MZU63601:MZY63601 NJQ63601:NJU63601 NTM63601:NTQ63601 ODI63601:ODM63601 ONE63601:ONI63601 OXA63601:OXE63601 PGW63601:PHA63601 PQS63601:PQW63601 QAO63601:QAS63601 QKK63601:QKO63601 QUG63601:QUK63601 REC63601:REG63601 RNY63601:ROC63601 RXU63601:RXY63601 SHQ63601:SHU63601 SRM63601:SRQ63601 TBI63601:TBM63601 TLE63601:TLI63601 TVA63601:TVE63601 UEW63601:UFA63601 UOS63601:UOW63601 UYO63601:UYS63601 VIK63601:VIO63601 VSG63601:VSK63601 WCC63601:WCG63601 WLY63601:WMC63601 WVU63601:WVY63601 E129137:I129137 JI129137:JM129137 TE129137:TI129137 ADA129137:ADE129137 AMW129137:ANA129137 AWS129137:AWW129137 BGO129137:BGS129137 BQK129137:BQO129137 CAG129137:CAK129137 CKC129137:CKG129137 CTY129137:CUC129137 DDU129137:DDY129137 DNQ129137:DNU129137 DXM129137:DXQ129137 EHI129137:EHM129137 ERE129137:ERI129137 FBA129137:FBE129137 FKW129137:FLA129137 FUS129137:FUW129137 GEO129137:GES129137 GOK129137:GOO129137 GYG129137:GYK129137 HIC129137:HIG129137 HRY129137:HSC129137 IBU129137:IBY129137 ILQ129137:ILU129137 IVM129137:IVQ129137 JFI129137:JFM129137 JPE129137:JPI129137 JZA129137:JZE129137 KIW129137:KJA129137 KSS129137:KSW129137 LCO129137:LCS129137 LMK129137:LMO129137 LWG129137:LWK129137 MGC129137:MGG129137 MPY129137:MQC129137 MZU129137:MZY129137 NJQ129137:NJU129137 NTM129137:NTQ129137 ODI129137:ODM129137 ONE129137:ONI129137 OXA129137:OXE129137 PGW129137:PHA129137 PQS129137:PQW129137 QAO129137:QAS129137 QKK129137:QKO129137 QUG129137:QUK129137 REC129137:REG129137 RNY129137:ROC129137 RXU129137:RXY129137 SHQ129137:SHU129137 SRM129137:SRQ129137 TBI129137:TBM129137 TLE129137:TLI129137 TVA129137:TVE129137 UEW129137:UFA129137 UOS129137:UOW129137 UYO129137:UYS129137 VIK129137:VIO129137 VSG129137:VSK129137 WCC129137:WCG129137 WLY129137:WMC129137 WVU129137:WVY129137 E194673:I194673 JI194673:JM194673 TE194673:TI194673 ADA194673:ADE194673 AMW194673:ANA194673 AWS194673:AWW194673 BGO194673:BGS194673 BQK194673:BQO194673 CAG194673:CAK194673 CKC194673:CKG194673 CTY194673:CUC194673 DDU194673:DDY194673 DNQ194673:DNU194673 DXM194673:DXQ194673 EHI194673:EHM194673 ERE194673:ERI194673 FBA194673:FBE194673 FKW194673:FLA194673 FUS194673:FUW194673 GEO194673:GES194673 GOK194673:GOO194673 GYG194673:GYK194673 HIC194673:HIG194673 HRY194673:HSC194673 IBU194673:IBY194673 ILQ194673:ILU194673 IVM194673:IVQ194673 JFI194673:JFM194673 JPE194673:JPI194673 JZA194673:JZE194673 KIW194673:KJA194673 KSS194673:KSW194673 LCO194673:LCS194673 LMK194673:LMO194673 LWG194673:LWK194673 MGC194673:MGG194673 MPY194673:MQC194673 MZU194673:MZY194673 NJQ194673:NJU194673 NTM194673:NTQ194673 ODI194673:ODM194673 ONE194673:ONI194673 OXA194673:OXE194673 PGW194673:PHA194673 PQS194673:PQW194673 QAO194673:QAS194673 QKK194673:QKO194673 QUG194673:QUK194673 REC194673:REG194673 RNY194673:ROC194673 RXU194673:RXY194673 SHQ194673:SHU194673 SRM194673:SRQ194673 TBI194673:TBM194673 TLE194673:TLI194673 TVA194673:TVE194673 UEW194673:UFA194673 UOS194673:UOW194673 UYO194673:UYS194673 VIK194673:VIO194673 VSG194673:VSK194673 WCC194673:WCG194673 WLY194673:WMC194673 WVU194673:WVY194673 E260209:I260209 JI260209:JM260209 TE260209:TI260209 ADA260209:ADE260209 AMW260209:ANA260209 AWS260209:AWW260209 BGO260209:BGS260209 BQK260209:BQO260209 CAG260209:CAK260209 CKC260209:CKG260209 CTY260209:CUC260209 DDU260209:DDY260209 DNQ260209:DNU260209 DXM260209:DXQ260209 EHI260209:EHM260209 ERE260209:ERI260209 FBA260209:FBE260209 FKW260209:FLA260209 FUS260209:FUW260209 GEO260209:GES260209 GOK260209:GOO260209 GYG260209:GYK260209 HIC260209:HIG260209 HRY260209:HSC260209 IBU260209:IBY260209 ILQ260209:ILU260209 IVM260209:IVQ260209 JFI260209:JFM260209 JPE260209:JPI260209 JZA260209:JZE260209 KIW260209:KJA260209 KSS260209:KSW260209 LCO260209:LCS260209 LMK260209:LMO260209 LWG260209:LWK260209 MGC260209:MGG260209 MPY260209:MQC260209 MZU260209:MZY260209 NJQ260209:NJU260209 NTM260209:NTQ260209 ODI260209:ODM260209 ONE260209:ONI260209 OXA260209:OXE260209 PGW260209:PHA260209 PQS260209:PQW260209 QAO260209:QAS260209 QKK260209:QKO260209 QUG260209:QUK260209 REC260209:REG260209 RNY260209:ROC260209 RXU260209:RXY260209 SHQ260209:SHU260209 SRM260209:SRQ260209 TBI260209:TBM260209 TLE260209:TLI260209 TVA260209:TVE260209 UEW260209:UFA260209 UOS260209:UOW260209 UYO260209:UYS260209 VIK260209:VIO260209 VSG260209:VSK260209 WCC260209:WCG260209 WLY260209:WMC260209 WVU260209:WVY260209 E325745:I325745 JI325745:JM325745 TE325745:TI325745 ADA325745:ADE325745 AMW325745:ANA325745 AWS325745:AWW325745 BGO325745:BGS325745 BQK325745:BQO325745 CAG325745:CAK325745 CKC325745:CKG325745 CTY325745:CUC325745 DDU325745:DDY325745 DNQ325745:DNU325745 DXM325745:DXQ325745 EHI325745:EHM325745 ERE325745:ERI325745 FBA325745:FBE325745 FKW325745:FLA325745 FUS325745:FUW325745 GEO325745:GES325745 GOK325745:GOO325745 GYG325745:GYK325745 HIC325745:HIG325745 HRY325745:HSC325745 IBU325745:IBY325745 ILQ325745:ILU325745 IVM325745:IVQ325745 JFI325745:JFM325745 JPE325745:JPI325745 JZA325745:JZE325745 KIW325745:KJA325745 KSS325745:KSW325745 LCO325745:LCS325745 LMK325745:LMO325745 LWG325745:LWK325745 MGC325745:MGG325745 MPY325745:MQC325745 MZU325745:MZY325745 NJQ325745:NJU325745 NTM325745:NTQ325745 ODI325745:ODM325745 ONE325745:ONI325745 OXA325745:OXE325745 PGW325745:PHA325745 PQS325745:PQW325745 QAO325745:QAS325745 QKK325745:QKO325745 QUG325745:QUK325745 REC325745:REG325745 RNY325745:ROC325745 RXU325745:RXY325745 SHQ325745:SHU325745 SRM325745:SRQ325745 TBI325745:TBM325745 TLE325745:TLI325745 TVA325745:TVE325745 UEW325745:UFA325745 UOS325745:UOW325745 UYO325745:UYS325745 VIK325745:VIO325745 VSG325745:VSK325745 WCC325745:WCG325745 WLY325745:WMC325745 WVU325745:WVY325745 E391281:I391281 JI391281:JM391281 TE391281:TI391281 ADA391281:ADE391281 AMW391281:ANA391281 AWS391281:AWW391281 BGO391281:BGS391281 BQK391281:BQO391281 CAG391281:CAK391281 CKC391281:CKG391281 CTY391281:CUC391281 DDU391281:DDY391281 DNQ391281:DNU391281 DXM391281:DXQ391281 EHI391281:EHM391281 ERE391281:ERI391281 FBA391281:FBE391281 FKW391281:FLA391281 FUS391281:FUW391281 GEO391281:GES391281 GOK391281:GOO391281 GYG391281:GYK391281 HIC391281:HIG391281 HRY391281:HSC391281 IBU391281:IBY391281 ILQ391281:ILU391281 IVM391281:IVQ391281 JFI391281:JFM391281 JPE391281:JPI391281 JZA391281:JZE391281 KIW391281:KJA391281 KSS391281:KSW391281 LCO391281:LCS391281 LMK391281:LMO391281 LWG391281:LWK391281 MGC391281:MGG391281 MPY391281:MQC391281 MZU391281:MZY391281 NJQ391281:NJU391281 NTM391281:NTQ391281 ODI391281:ODM391281 ONE391281:ONI391281 OXA391281:OXE391281 PGW391281:PHA391281 PQS391281:PQW391281 QAO391281:QAS391281 QKK391281:QKO391281 QUG391281:QUK391281 REC391281:REG391281 RNY391281:ROC391281 RXU391281:RXY391281 SHQ391281:SHU391281 SRM391281:SRQ391281 TBI391281:TBM391281 TLE391281:TLI391281 TVA391281:TVE391281 UEW391281:UFA391281 UOS391281:UOW391281 UYO391281:UYS391281 VIK391281:VIO391281 VSG391281:VSK391281 WCC391281:WCG391281 WLY391281:WMC391281 WVU391281:WVY391281 E456817:I456817 JI456817:JM456817 TE456817:TI456817 ADA456817:ADE456817 AMW456817:ANA456817 AWS456817:AWW456817 BGO456817:BGS456817 BQK456817:BQO456817 CAG456817:CAK456817 CKC456817:CKG456817 CTY456817:CUC456817 DDU456817:DDY456817 DNQ456817:DNU456817 DXM456817:DXQ456817 EHI456817:EHM456817 ERE456817:ERI456817 FBA456817:FBE456817 FKW456817:FLA456817 FUS456817:FUW456817 GEO456817:GES456817 GOK456817:GOO456817 GYG456817:GYK456817 HIC456817:HIG456817 HRY456817:HSC456817 IBU456817:IBY456817 ILQ456817:ILU456817 IVM456817:IVQ456817 JFI456817:JFM456817 JPE456817:JPI456817 JZA456817:JZE456817 KIW456817:KJA456817 KSS456817:KSW456817 LCO456817:LCS456817 LMK456817:LMO456817 LWG456817:LWK456817 MGC456817:MGG456817 MPY456817:MQC456817 MZU456817:MZY456817 NJQ456817:NJU456817 NTM456817:NTQ456817 ODI456817:ODM456817 ONE456817:ONI456817 OXA456817:OXE456817 PGW456817:PHA456817 PQS456817:PQW456817 QAO456817:QAS456817 QKK456817:QKO456817 QUG456817:QUK456817 REC456817:REG456817 RNY456817:ROC456817 RXU456817:RXY456817 SHQ456817:SHU456817 SRM456817:SRQ456817 TBI456817:TBM456817 TLE456817:TLI456817 TVA456817:TVE456817 UEW456817:UFA456817 UOS456817:UOW456817 UYO456817:UYS456817 VIK456817:VIO456817 VSG456817:VSK456817 WCC456817:WCG456817 WLY456817:WMC456817 WVU456817:WVY456817 E522353:I522353 JI522353:JM522353 TE522353:TI522353 ADA522353:ADE522353 AMW522353:ANA522353 AWS522353:AWW522353 BGO522353:BGS522353 BQK522353:BQO522353 CAG522353:CAK522353 CKC522353:CKG522353 CTY522353:CUC522353 DDU522353:DDY522353 DNQ522353:DNU522353 DXM522353:DXQ522353 EHI522353:EHM522353 ERE522353:ERI522353 FBA522353:FBE522353 FKW522353:FLA522353 FUS522353:FUW522353 GEO522353:GES522353 GOK522353:GOO522353 GYG522353:GYK522353 HIC522353:HIG522353 HRY522353:HSC522353 IBU522353:IBY522353 ILQ522353:ILU522353 IVM522353:IVQ522353 JFI522353:JFM522353 JPE522353:JPI522353 JZA522353:JZE522353 KIW522353:KJA522353 KSS522353:KSW522353 LCO522353:LCS522353 LMK522353:LMO522353 LWG522353:LWK522353 MGC522353:MGG522353 MPY522353:MQC522353 MZU522353:MZY522353 NJQ522353:NJU522353 NTM522353:NTQ522353 ODI522353:ODM522353 ONE522353:ONI522353 OXA522353:OXE522353 PGW522353:PHA522353 PQS522353:PQW522353 QAO522353:QAS522353 QKK522353:QKO522353 QUG522353:QUK522353 REC522353:REG522353 RNY522353:ROC522353 RXU522353:RXY522353 SHQ522353:SHU522353 SRM522353:SRQ522353 TBI522353:TBM522353 TLE522353:TLI522353 TVA522353:TVE522353 UEW522353:UFA522353 UOS522353:UOW522353 UYO522353:UYS522353 VIK522353:VIO522353 VSG522353:VSK522353 WCC522353:WCG522353 WLY522353:WMC522353 WVU522353:WVY522353 E587889:I587889 JI587889:JM587889 TE587889:TI587889 ADA587889:ADE587889 AMW587889:ANA587889 AWS587889:AWW587889 BGO587889:BGS587889 BQK587889:BQO587889 CAG587889:CAK587889 CKC587889:CKG587889 CTY587889:CUC587889 DDU587889:DDY587889 DNQ587889:DNU587889 DXM587889:DXQ587889 EHI587889:EHM587889 ERE587889:ERI587889 FBA587889:FBE587889 FKW587889:FLA587889 FUS587889:FUW587889 GEO587889:GES587889 GOK587889:GOO587889 GYG587889:GYK587889 HIC587889:HIG587889 HRY587889:HSC587889 IBU587889:IBY587889 ILQ587889:ILU587889 IVM587889:IVQ587889 JFI587889:JFM587889 JPE587889:JPI587889 JZA587889:JZE587889 KIW587889:KJA587889 KSS587889:KSW587889 LCO587889:LCS587889 LMK587889:LMO587889 LWG587889:LWK587889 MGC587889:MGG587889 MPY587889:MQC587889 MZU587889:MZY587889 NJQ587889:NJU587889 NTM587889:NTQ587889 ODI587889:ODM587889 ONE587889:ONI587889 OXA587889:OXE587889 PGW587889:PHA587889 PQS587889:PQW587889 QAO587889:QAS587889 QKK587889:QKO587889 QUG587889:QUK587889 REC587889:REG587889 RNY587889:ROC587889 RXU587889:RXY587889 SHQ587889:SHU587889 SRM587889:SRQ587889 TBI587889:TBM587889 TLE587889:TLI587889 TVA587889:TVE587889 UEW587889:UFA587889 UOS587889:UOW587889 UYO587889:UYS587889 VIK587889:VIO587889 VSG587889:VSK587889 WCC587889:WCG587889 WLY587889:WMC587889 WVU587889:WVY587889 E653425:I653425 JI653425:JM653425 TE653425:TI653425 ADA653425:ADE653425 AMW653425:ANA653425 AWS653425:AWW653425 BGO653425:BGS653425 BQK653425:BQO653425 CAG653425:CAK653425 CKC653425:CKG653425 CTY653425:CUC653425 DDU653425:DDY653425 DNQ653425:DNU653425 DXM653425:DXQ653425 EHI653425:EHM653425 ERE653425:ERI653425 FBA653425:FBE653425 FKW653425:FLA653425 FUS653425:FUW653425 GEO653425:GES653425 GOK653425:GOO653425 GYG653425:GYK653425 HIC653425:HIG653425 HRY653425:HSC653425 IBU653425:IBY653425 ILQ653425:ILU653425 IVM653425:IVQ653425 JFI653425:JFM653425 JPE653425:JPI653425 JZA653425:JZE653425 KIW653425:KJA653425 KSS653425:KSW653425 LCO653425:LCS653425 LMK653425:LMO653425 LWG653425:LWK653425 MGC653425:MGG653425 MPY653425:MQC653425 MZU653425:MZY653425 NJQ653425:NJU653425 NTM653425:NTQ653425 ODI653425:ODM653425 ONE653425:ONI653425 OXA653425:OXE653425 PGW653425:PHA653425 PQS653425:PQW653425 QAO653425:QAS653425 QKK653425:QKO653425 QUG653425:QUK653425 REC653425:REG653425 RNY653425:ROC653425 RXU653425:RXY653425 SHQ653425:SHU653425 SRM653425:SRQ653425 TBI653425:TBM653425 TLE653425:TLI653425 TVA653425:TVE653425 UEW653425:UFA653425 UOS653425:UOW653425 UYO653425:UYS653425 VIK653425:VIO653425 VSG653425:VSK653425 WCC653425:WCG653425 WLY653425:WMC653425 WVU653425:WVY653425 E718961:I718961 JI718961:JM718961 TE718961:TI718961 ADA718961:ADE718961 AMW718961:ANA718961 AWS718961:AWW718961 BGO718961:BGS718961 BQK718961:BQO718961 CAG718961:CAK718961 CKC718961:CKG718961 CTY718961:CUC718961 DDU718961:DDY718961 DNQ718961:DNU718961 DXM718961:DXQ718961 EHI718961:EHM718961 ERE718961:ERI718961 FBA718961:FBE718961 FKW718961:FLA718961 FUS718961:FUW718961 GEO718961:GES718961 GOK718961:GOO718961 GYG718961:GYK718961 HIC718961:HIG718961 HRY718961:HSC718961 IBU718961:IBY718961 ILQ718961:ILU718961 IVM718961:IVQ718961 JFI718961:JFM718961 JPE718961:JPI718961 JZA718961:JZE718961 KIW718961:KJA718961 KSS718961:KSW718961 LCO718961:LCS718961 LMK718961:LMO718961 LWG718961:LWK718961 MGC718961:MGG718961 MPY718961:MQC718961 MZU718961:MZY718961 NJQ718961:NJU718961 NTM718961:NTQ718961 ODI718961:ODM718961 ONE718961:ONI718961 OXA718961:OXE718961 PGW718961:PHA718961 PQS718961:PQW718961 QAO718961:QAS718961 QKK718961:QKO718961 QUG718961:QUK718961 REC718961:REG718961 RNY718961:ROC718961 RXU718961:RXY718961 SHQ718961:SHU718961 SRM718961:SRQ718961 TBI718961:TBM718961 TLE718961:TLI718961 TVA718961:TVE718961 UEW718961:UFA718961 UOS718961:UOW718961 UYO718961:UYS718961 VIK718961:VIO718961 VSG718961:VSK718961 WCC718961:WCG718961 WLY718961:WMC718961 WVU718961:WVY718961 E784497:I784497 JI784497:JM784497 TE784497:TI784497 ADA784497:ADE784497 AMW784497:ANA784497 AWS784497:AWW784497 BGO784497:BGS784497 BQK784497:BQO784497 CAG784497:CAK784497 CKC784497:CKG784497 CTY784497:CUC784497 DDU784497:DDY784497 DNQ784497:DNU784497 DXM784497:DXQ784497 EHI784497:EHM784497 ERE784497:ERI784497 FBA784497:FBE784497 FKW784497:FLA784497 FUS784497:FUW784497 GEO784497:GES784497 GOK784497:GOO784497 GYG784497:GYK784497 HIC784497:HIG784497 HRY784497:HSC784497 IBU784497:IBY784497 ILQ784497:ILU784497 IVM784497:IVQ784497 JFI784497:JFM784497 JPE784497:JPI784497 JZA784497:JZE784497 KIW784497:KJA784497 KSS784497:KSW784497 LCO784497:LCS784497 LMK784497:LMO784497 LWG784497:LWK784497 MGC784497:MGG784497 MPY784497:MQC784497 MZU784497:MZY784497 NJQ784497:NJU784497 NTM784497:NTQ784497 ODI784497:ODM784497 ONE784497:ONI784497 OXA784497:OXE784497 PGW784497:PHA784497 PQS784497:PQW784497 QAO784497:QAS784497 QKK784497:QKO784497 QUG784497:QUK784497 REC784497:REG784497 RNY784497:ROC784497 RXU784497:RXY784497 SHQ784497:SHU784497 SRM784497:SRQ784497 TBI784497:TBM784497 TLE784497:TLI784497 TVA784497:TVE784497 UEW784497:UFA784497 UOS784497:UOW784497 UYO784497:UYS784497 VIK784497:VIO784497 VSG784497:VSK784497 WCC784497:WCG784497 WLY784497:WMC784497 WVU784497:WVY784497 E850033:I850033 JI850033:JM850033 TE850033:TI850033 ADA850033:ADE850033 AMW850033:ANA850033 AWS850033:AWW850033 BGO850033:BGS850033 BQK850033:BQO850033 CAG850033:CAK850033 CKC850033:CKG850033 CTY850033:CUC850033 DDU850033:DDY850033 DNQ850033:DNU850033 DXM850033:DXQ850033 EHI850033:EHM850033 ERE850033:ERI850033 FBA850033:FBE850033 FKW850033:FLA850033 FUS850033:FUW850033 GEO850033:GES850033 GOK850033:GOO850033 GYG850033:GYK850033 HIC850033:HIG850033 HRY850033:HSC850033 IBU850033:IBY850033 ILQ850033:ILU850033 IVM850033:IVQ850033 JFI850033:JFM850033 JPE850033:JPI850033 JZA850033:JZE850033 KIW850033:KJA850033 KSS850033:KSW850033 LCO850033:LCS850033 LMK850033:LMO850033 LWG850033:LWK850033 MGC850033:MGG850033 MPY850033:MQC850033 MZU850033:MZY850033 NJQ850033:NJU850033 NTM850033:NTQ850033 ODI850033:ODM850033 ONE850033:ONI850033 OXA850033:OXE850033 PGW850033:PHA850033 PQS850033:PQW850033 QAO850033:QAS850033 QKK850033:QKO850033 QUG850033:QUK850033 REC850033:REG850033 RNY850033:ROC850033 RXU850033:RXY850033 SHQ850033:SHU850033 SRM850033:SRQ850033 TBI850033:TBM850033 TLE850033:TLI850033 TVA850033:TVE850033 UEW850033:UFA850033 UOS850033:UOW850033 UYO850033:UYS850033 VIK850033:VIO850033 VSG850033:VSK850033 WCC850033:WCG850033 WLY850033:WMC850033 WVU850033:WVY850033 E915569:I915569 JI915569:JM915569 TE915569:TI915569 ADA915569:ADE915569 AMW915569:ANA915569 AWS915569:AWW915569 BGO915569:BGS915569 BQK915569:BQO915569 CAG915569:CAK915569 CKC915569:CKG915569 CTY915569:CUC915569 DDU915569:DDY915569 DNQ915569:DNU915569 DXM915569:DXQ915569 EHI915569:EHM915569 ERE915569:ERI915569 FBA915569:FBE915569 FKW915569:FLA915569 FUS915569:FUW915569 GEO915569:GES915569 GOK915569:GOO915569 GYG915569:GYK915569 HIC915569:HIG915569 HRY915569:HSC915569 IBU915569:IBY915569 ILQ915569:ILU915569 IVM915569:IVQ915569 JFI915569:JFM915569 JPE915569:JPI915569 JZA915569:JZE915569 KIW915569:KJA915569 KSS915569:KSW915569 LCO915569:LCS915569 LMK915569:LMO915569 LWG915569:LWK915569 MGC915569:MGG915569 MPY915569:MQC915569 MZU915569:MZY915569 NJQ915569:NJU915569 NTM915569:NTQ915569 ODI915569:ODM915569 ONE915569:ONI915569 OXA915569:OXE915569 PGW915569:PHA915569 PQS915569:PQW915569 QAO915569:QAS915569 QKK915569:QKO915569 QUG915569:QUK915569 REC915569:REG915569 RNY915569:ROC915569 RXU915569:RXY915569 SHQ915569:SHU915569 SRM915569:SRQ915569 TBI915569:TBM915569 TLE915569:TLI915569 TVA915569:TVE915569 UEW915569:UFA915569 UOS915569:UOW915569 UYO915569:UYS915569 VIK915569:VIO915569 VSG915569:VSK915569 WCC915569:WCG915569 WLY915569:WMC915569 WVU915569:WVY915569 E981105:I981105 JI981105:JM981105 TE981105:TI981105 ADA981105:ADE981105 AMW981105:ANA981105 AWS981105:AWW981105 BGO981105:BGS981105 BQK981105:BQO981105 CAG981105:CAK981105 CKC981105:CKG981105 CTY981105:CUC981105 DDU981105:DDY981105 DNQ981105:DNU981105 DXM981105:DXQ981105 EHI981105:EHM981105 ERE981105:ERI981105 FBA981105:FBE981105 FKW981105:FLA981105 FUS981105:FUW981105 GEO981105:GES981105 GOK981105:GOO981105 GYG981105:GYK981105 HIC981105:HIG981105 HRY981105:HSC981105 IBU981105:IBY981105 ILQ981105:ILU981105 IVM981105:IVQ981105 JFI981105:JFM981105 JPE981105:JPI981105 JZA981105:JZE981105 KIW981105:KJA981105 KSS981105:KSW981105 LCO981105:LCS981105 LMK981105:LMO981105 LWG981105:LWK981105 MGC981105:MGG981105 MPY981105:MQC981105 MZU981105:MZY981105 NJQ981105:NJU981105 NTM981105:NTQ981105 ODI981105:ODM981105 ONE981105:ONI981105 OXA981105:OXE981105 PGW981105:PHA981105 PQS981105:PQW981105 QAO981105:QAS981105 QKK981105:QKO981105 QUG981105:QUK981105 REC981105:REG981105 RNY981105:ROC981105 RXU981105:RXY981105 SHQ981105:SHU981105 SRM981105:SRQ981105 TBI981105:TBM981105 TLE981105:TLI981105 TVA981105:TVE981105 UEW981105:UFA981105 UOS981105:UOW981105 UYO981105:UYS981105 VIK981105:VIO981105 VSG981105:VSK981105 WCC981105:WCG981105 WLY981105:WMC981105 WVU981105:WVY981105 E63713 JI63713 TE63713 ADA63713 AMW63713 AWS63713 BGO63713 BQK63713 CAG63713 CKC63713 CTY63713 DDU63713 DNQ63713 DXM63713 EHI63713 ERE63713 FBA63713 FKW63713 FUS63713 GEO63713 GOK63713 GYG63713 HIC63713 HRY63713 IBU63713 ILQ63713 IVM63713 JFI63713 JPE63713 JZA63713 KIW63713 KSS63713 LCO63713 LMK63713 LWG63713 MGC63713 MPY63713 MZU63713 NJQ63713 NTM63713 ODI63713 ONE63713 OXA63713 PGW63713 PQS63713 QAO63713 QKK63713 QUG63713 REC63713 RNY63713 RXU63713 SHQ63713 SRM63713 TBI63713 TLE63713 TVA63713 UEW63713 UOS63713 UYO63713 VIK63713 VSG63713 WCC63713 WLY63713 WVU63713 E129249 JI129249 TE129249 ADA129249 AMW129249 AWS129249 BGO129249 BQK129249 CAG129249 CKC129249 CTY129249 DDU129249 DNQ129249 DXM129249 EHI129249 ERE129249 FBA129249 FKW129249 FUS129249 GEO129249 GOK129249 GYG129249 HIC129249 HRY129249 IBU129249 ILQ129249 IVM129249 JFI129249 JPE129249 JZA129249 KIW129249 KSS129249 LCO129249 LMK129249 LWG129249 MGC129249 MPY129249 MZU129249 NJQ129249 NTM129249 ODI129249 ONE129249 OXA129249 PGW129249 PQS129249 QAO129249 QKK129249 QUG129249 REC129249 RNY129249 RXU129249 SHQ129249 SRM129249 TBI129249 TLE129249 TVA129249 UEW129249 UOS129249 UYO129249 VIK129249 VSG129249 WCC129249 WLY129249 WVU129249 E194785 JI194785 TE194785 ADA194785 AMW194785 AWS194785 BGO194785 BQK194785 CAG194785 CKC194785 CTY194785 DDU194785 DNQ194785 DXM194785 EHI194785 ERE194785 FBA194785 FKW194785 FUS194785 GEO194785 GOK194785 GYG194785 HIC194785 HRY194785 IBU194785 ILQ194785 IVM194785 JFI194785 JPE194785 JZA194785 KIW194785 KSS194785 LCO194785 LMK194785 LWG194785 MGC194785 MPY194785 MZU194785 NJQ194785 NTM194785 ODI194785 ONE194785 OXA194785 PGW194785 PQS194785 QAO194785 QKK194785 QUG194785 REC194785 RNY194785 RXU194785 SHQ194785 SRM194785 TBI194785 TLE194785 TVA194785 UEW194785 UOS194785 UYO194785 VIK194785 VSG194785 WCC194785 WLY194785 WVU194785 E260321 JI260321 TE260321 ADA260321 AMW260321 AWS260321 BGO260321 BQK260321 CAG260321 CKC260321 CTY260321 DDU260321 DNQ260321 DXM260321 EHI260321 ERE260321 FBA260321 FKW260321 FUS260321 GEO260321 GOK260321 GYG260321 HIC260321 HRY260321 IBU260321 ILQ260321 IVM260321 JFI260321 JPE260321 JZA260321 KIW260321 KSS260321 LCO260321 LMK260321 LWG260321 MGC260321 MPY260321 MZU260321 NJQ260321 NTM260321 ODI260321 ONE260321 OXA260321 PGW260321 PQS260321 QAO260321 QKK260321 QUG260321 REC260321 RNY260321 RXU260321 SHQ260321 SRM260321 TBI260321 TLE260321 TVA260321 UEW260321 UOS260321 UYO260321 VIK260321 VSG260321 WCC260321 WLY260321 WVU260321 E325857 JI325857 TE325857 ADA325857 AMW325857 AWS325857 BGO325857 BQK325857 CAG325857 CKC325857 CTY325857 DDU325857 DNQ325857 DXM325857 EHI325857 ERE325857 FBA325857 FKW325857 FUS325857 GEO325857 GOK325857 GYG325857 HIC325857 HRY325857 IBU325857 ILQ325857 IVM325857 JFI325857 JPE325857 JZA325857 KIW325857 KSS325857 LCO325857 LMK325857 LWG325857 MGC325857 MPY325857 MZU325857 NJQ325857 NTM325857 ODI325857 ONE325857 OXA325857 PGW325857 PQS325857 QAO325857 QKK325857 QUG325857 REC325857 RNY325857 RXU325857 SHQ325857 SRM325857 TBI325857 TLE325857 TVA325857 UEW325857 UOS325857 UYO325857 VIK325857 VSG325857 WCC325857 WLY325857 WVU325857 E391393 JI391393 TE391393 ADA391393 AMW391393 AWS391393 BGO391393 BQK391393 CAG391393 CKC391393 CTY391393 DDU391393 DNQ391393 DXM391393 EHI391393 ERE391393 FBA391393 FKW391393 FUS391393 GEO391393 GOK391393 GYG391393 HIC391393 HRY391393 IBU391393 ILQ391393 IVM391393 JFI391393 JPE391393 JZA391393 KIW391393 KSS391393 LCO391393 LMK391393 LWG391393 MGC391393 MPY391393 MZU391393 NJQ391393 NTM391393 ODI391393 ONE391393 OXA391393 PGW391393 PQS391393 QAO391393 QKK391393 QUG391393 REC391393 RNY391393 RXU391393 SHQ391393 SRM391393 TBI391393 TLE391393 TVA391393 UEW391393 UOS391393 UYO391393 VIK391393 VSG391393 WCC391393 WLY391393 WVU391393 E456929 JI456929 TE456929 ADA456929 AMW456929 AWS456929 BGO456929 BQK456929 CAG456929 CKC456929 CTY456929 DDU456929 DNQ456929 DXM456929 EHI456929 ERE456929 FBA456929 FKW456929 FUS456929 GEO456929 GOK456929 GYG456929 HIC456929 HRY456929 IBU456929 ILQ456929 IVM456929 JFI456929 JPE456929 JZA456929 KIW456929 KSS456929 LCO456929 LMK456929 LWG456929 MGC456929 MPY456929 MZU456929 NJQ456929 NTM456929 ODI456929 ONE456929 OXA456929 PGW456929 PQS456929 QAO456929 QKK456929 QUG456929 REC456929 RNY456929 RXU456929 SHQ456929 SRM456929 TBI456929 TLE456929 TVA456929 UEW456929 UOS456929 UYO456929 VIK456929 VSG456929 WCC456929 WLY456929 WVU456929 E522465 JI522465 TE522465 ADA522465 AMW522465 AWS522465 BGO522465 BQK522465 CAG522465 CKC522465 CTY522465 DDU522465 DNQ522465 DXM522465 EHI522465 ERE522465 FBA522465 FKW522465 FUS522465 GEO522465 GOK522465 GYG522465 HIC522465 HRY522465 IBU522465 ILQ522465 IVM522465 JFI522465 JPE522465 JZA522465 KIW522465 KSS522465 LCO522465 LMK522465 LWG522465 MGC522465 MPY522465 MZU522465 NJQ522465 NTM522465 ODI522465 ONE522465 OXA522465 PGW522465 PQS522465 QAO522465 QKK522465 QUG522465 REC522465 RNY522465 RXU522465 SHQ522465 SRM522465 TBI522465 TLE522465 TVA522465 UEW522465 UOS522465 UYO522465 VIK522465 VSG522465 WCC522465 WLY522465 WVU522465 E588001 JI588001 TE588001 ADA588001 AMW588001 AWS588001 BGO588001 BQK588001 CAG588001 CKC588001 CTY588001 DDU588001 DNQ588001 DXM588001 EHI588001 ERE588001 FBA588001 FKW588001 FUS588001 GEO588001 GOK588001 GYG588001 HIC588001 HRY588001 IBU588001 ILQ588001 IVM588001 JFI588001 JPE588001 JZA588001 KIW588001 KSS588001 LCO588001 LMK588001 LWG588001 MGC588001 MPY588001 MZU588001 NJQ588001 NTM588001 ODI588001 ONE588001 OXA588001 PGW588001 PQS588001 QAO588001 QKK588001 QUG588001 REC588001 RNY588001 RXU588001 SHQ588001 SRM588001 TBI588001 TLE588001 TVA588001 UEW588001 UOS588001 UYO588001 VIK588001 VSG588001 WCC588001 WLY588001 WVU588001 E653537 JI653537 TE653537 ADA653537 AMW653537 AWS653537 BGO653537 BQK653537 CAG653537 CKC653537 CTY653537 DDU653537 DNQ653537 DXM653537 EHI653537 ERE653537 FBA653537 FKW653537 FUS653537 GEO653537 GOK653537 GYG653537 HIC653537 HRY653537 IBU653537 ILQ653537 IVM653537 JFI653537 JPE653537 JZA653537 KIW653537 KSS653537 LCO653537 LMK653537 LWG653537 MGC653537 MPY653537 MZU653537 NJQ653537 NTM653537 ODI653537 ONE653537 OXA653537 PGW653537 PQS653537 QAO653537 QKK653537 QUG653537 REC653537 RNY653537 RXU653537 SHQ653537 SRM653537 TBI653537 TLE653537 TVA653537 UEW653537 UOS653537 UYO653537 VIK653537 VSG653537 WCC653537 WLY653537 WVU653537 E719073 JI719073 TE719073 ADA719073 AMW719073 AWS719073 BGO719073 BQK719073 CAG719073 CKC719073 CTY719073 DDU719073 DNQ719073 DXM719073 EHI719073 ERE719073 FBA719073 FKW719073 FUS719073 GEO719073 GOK719073 GYG719073 HIC719073 HRY719073 IBU719073 ILQ719073 IVM719073 JFI719073 JPE719073 JZA719073 KIW719073 KSS719073 LCO719073 LMK719073 LWG719073 MGC719073 MPY719073 MZU719073 NJQ719073 NTM719073 ODI719073 ONE719073 OXA719073 PGW719073 PQS719073 QAO719073 QKK719073 QUG719073 REC719073 RNY719073 RXU719073 SHQ719073 SRM719073 TBI719073 TLE719073 TVA719073 UEW719073 UOS719073 UYO719073 VIK719073 VSG719073 WCC719073 WLY719073 WVU719073 E784609 JI784609 TE784609 ADA784609 AMW784609 AWS784609 BGO784609 BQK784609 CAG784609 CKC784609 CTY784609 DDU784609 DNQ784609 DXM784609 EHI784609 ERE784609 FBA784609 FKW784609 FUS784609 GEO784609 GOK784609 GYG784609 HIC784609 HRY784609 IBU784609 ILQ784609 IVM784609 JFI784609 JPE784609 JZA784609 KIW784609 KSS784609 LCO784609 LMK784609 LWG784609 MGC784609 MPY784609 MZU784609 NJQ784609 NTM784609 ODI784609 ONE784609 OXA784609 PGW784609 PQS784609 QAO784609 QKK784609 QUG784609 REC784609 RNY784609 RXU784609 SHQ784609 SRM784609 TBI784609 TLE784609 TVA784609 UEW784609 UOS784609 UYO784609 VIK784609 VSG784609 WCC784609 WLY784609 WVU784609 E850145 JI850145 TE850145 ADA850145 AMW850145 AWS850145 BGO850145 BQK850145 CAG850145 CKC850145 CTY850145 DDU850145 DNQ850145 DXM850145 EHI850145 ERE850145 FBA850145 FKW850145 FUS850145 GEO850145 GOK850145 GYG850145 HIC850145 HRY850145 IBU850145 ILQ850145 IVM850145 JFI850145 JPE850145 JZA850145 KIW850145 KSS850145 LCO850145 LMK850145 LWG850145 MGC850145 MPY850145 MZU850145 NJQ850145 NTM850145 ODI850145 ONE850145 OXA850145 PGW850145 PQS850145 QAO850145 QKK850145 QUG850145 REC850145 RNY850145 RXU850145 SHQ850145 SRM850145 TBI850145 TLE850145 TVA850145 UEW850145 UOS850145 UYO850145 VIK850145 VSG850145 WCC850145 WLY850145 WVU850145 E915681 JI915681 TE915681 ADA915681 AMW915681 AWS915681 BGO915681 BQK915681 CAG915681 CKC915681 CTY915681 DDU915681 DNQ915681 DXM915681 EHI915681 ERE915681 FBA915681 FKW915681 FUS915681 GEO915681 GOK915681 GYG915681 HIC915681 HRY915681 IBU915681 ILQ915681 IVM915681 JFI915681 JPE915681 JZA915681 KIW915681 KSS915681 LCO915681 LMK915681 LWG915681 MGC915681 MPY915681 MZU915681 NJQ915681 NTM915681 ODI915681 ONE915681 OXA915681 PGW915681 PQS915681 QAO915681 QKK915681 QUG915681 REC915681 RNY915681 RXU915681 SHQ915681 SRM915681 TBI915681 TLE915681 TVA915681 UEW915681 UOS915681 UYO915681 VIK915681 VSG915681 WCC915681 WLY915681 WVU915681 E981217 JI981217 TE981217 ADA981217 AMW981217 AWS981217 BGO981217 BQK981217 CAG981217 CKC981217 CTY981217 DDU981217 DNQ981217 DXM981217 EHI981217 ERE981217 FBA981217 FKW981217 FUS981217 GEO981217 GOK981217 GYG981217 HIC981217 HRY981217 IBU981217 ILQ981217 IVM981217 JFI981217 JPE981217 JZA981217 KIW981217 KSS981217 LCO981217 LMK981217 LWG981217 MGC981217 MPY981217 MZU981217 NJQ981217 NTM981217 ODI981217 ONE981217 OXA981217 PGW981217 PQS981217 QAO981217 QKK981217 QUG981217 REC981217 RNY981217 RXU981217 SHQ981217 SRM981217 TBI981217 TLE981217 TVA981217 UEW981217 UOS981217 UYO981217 VIK981217 VSG981217 WCC981217 WLY981217 WVU981217 E63819 JI63819 TE63819 ADA63819 AMW63819 AWS63819 BGO63819 BQK63819 CAG63819 CKC63819 CTY63819 DDU63819 DNQ63819 DXM63819 EHI63819 ERE63819 FBA63819 FKW63819 FUS63819 GEO63819 GOK63819 GYG63819 HIC63819 HRY63819 IBU63819 ILQ63819 IVM63819 JFI63819 JPE63819 JZA63819 KIW63819 KSS63819 LCO63819 LMK63819 LWG63819 MGC63819 MPY63819 MZU63819 NJQ63819 NTM63819 ODI63819 ONE63819 OXA63819 PGW63819 PQS63819 QAO63819 QKK63819 QUG63819 REC63819 RNY63819 RXU63819 SHQ63819 SRM63819 TBI63819 TLE63819 TVA63819 UEW63819 UOS63819 UYO63819 VIK63819 VSG63819 WCC63819 WLY63819 WVU63819 E129355 JI129355 TE129355 ADA129355 AMW129355 AWS129355 BGO129355 BQK129355 CAG129355 CKC129355 CTY129355 DDU129355 DNQ129355 DXM129355 EHI129355 ERE129355 FBA129355 FKW129355 FUS129355 GEO129355 GOK129355 GYG129355 HIC129355 HRY129355 IBU129355 ILQ129355 IVM129355 JFI129355 JPE129355 JZA129355 KIW129355 KSS129355 LCO129355 LMK129355 LWG129355 MGC129355 MPY129355 MZU129355 NJQ129355 NTM129355 ODI129355 ONE129355 OXA129355 PGW129355 PQS129355 QAO129355 QKK129355 QUG129355 REC129355 RNY129355 RXU129355 SHQ129355 SRM129355 TBI129355 TLE129355 TVA129355 UEW129355 UOS129355 UYO129355 VIK129355 VSG129355 WCC129355 WLY129355 WVU129355 E194891 JI194891 TE194891 ADA194891 AMW194891 AWS194891 BGO194891 BQK194891 CAG194891 CKC194891 CTY194891 DDU194891 DNQ194891 DXM194891 EHI194891 ERE194891 FBA194891 FKW194891 FUS194891 GEO194891 GOK194891 GYG194891 HIC194891 HRY194891 IBU194891 ILQ194891 IVM194891 JFI194891 JPE194891 JZA194891 KIW194891 KSS194891 LCO194891 LMK194891 LWG194891 MGC194891 MPY194891 MZU194891 NJQ194891 NTM194891 ODI194891 ONE194891 OXA194891 PGW194891 PQS194891 QAO194891 QKK194891 QUG194891 REC194891 RNY194891 RXU194891 SHQ194891 SRM194891 TBI194891 TLE194891 TVA194891 UEW194891 UOS194891 UYO194891 VIK194891 VSG194891 WCC194891 WLY194891 WVU194891 E260427 JI260427 TE260427 ADA260427 AMW260427 AWS260427 BGO260427 BQK260427 CAG260427 CKC260427 CTY260427 DDU260427 DNQ260427 DXM260427 EHI260427 ERE260427 FBA260427 FKW260427 FUS260427 GEO260427 GOK260427 GYG260427 HIC260427 HRY260427 IBU260427 ILQ260427 IVM260427 JFI260427 JPE260427 JZA260427 KIW260427 KSS260427 LCO260427 LMK260427 LWG260427 MGC260427 MPY260427 MZU260427 NJQ260427 NTM260427 ODI260427 ONE260427 OXA260427 PGW260427 PQS260427 QAO260427 QKK260427 QUG260427 REC260427 RNY260427 RXU260427 SHQ260427 SRM260427 TBI260427 TLE260427 TVA260427 UEW260427 UOS260427 UYO260427 VIK260427 VSG260427 WCC260427 WLY260427 WVU260427 E325963 JI325963 TE325963 ADA325963 AMW325963 AWS325963 BGO325963 BQK325963 CAG325963 CKC325963 CTY325963 DDU325963 DNQ325963 DXM325963 EHI325963 ERE325963 FBA325963 FKW325963 FUS325963 GEO325963 GOK325963 GYG325963 HIC325963 HRY325963 IBU325963 ILQ325963 IVM325963 JFI325963 JPE325963 JZA325963 KIW325963 KSS325963 LCO325963 LMK325963 LWG325963 MGC325963 MPY325963 MZU325963 NJQ325963 NTM325963 ODI325963 ONE325963 OXA325963 PGW325963 PQS325963 QAO325963 QKK325963 QUG325963 REC325963 RNY325963 RXU325963 SHQ325963 SRM325963 TBI325963 TLE325963 TVA325963 UEW325963 UOS325963 UYO325963 VIK325963 VSG325963 WCC325963 WLY325963 WVU325963 E391499 JI391499 TE391499 ADA391499 AMW391499 AWS391499 BGO391499 BQK391499 CAG391499 CKC391499 CTY391499 DDU391499 DNQ391499 DXM391499 EHI391499 ERE391499 FBA391499 FKW391499 FUS391499 GEO391499 GOK391499 GYG391499 HIC391499 HRY391499 IBU391499 ILQ391499 IVM391499 JFI391499 JPE391499 JZA391499 KIW391499 KSS391499 LCO391499 LMK391499 LWG391499 MGC391499 MPY391499 MZU391499 NJQ391499 NTM391499 ODI391499 ONE391499 OXA391499 PGW391499 PQS391499 QAO391499 QKK391499 QUG391499 REC391499 RNY391499 RXU391499 SHQ391499 SRM391499 TBI391499 TLE391499 TVA391499 UEW391499 UOS391499 UYO391499 VIK391499 VSG391499 WCC391499 WLY391499 WVU391499 E457035 JI457035 TE457035 ADA457035 AMW457035 AWS457035 BGO457035 BQK457035 CAG457035 CKC457035 CTY457035 DDU457035 DNQ457035 DXM457035 EHI457035 ERE457035 FBA457035 FKW457035 FUS457035 GEO457035 GOK457035 GYG457035 HIC457035 HRY457035 IBU457035 ILQ457035 IVM457035 JFI457035 JPE457035 JZA457035 KIW457035 KSS457035 LCO457035 LMK457035 LWG457035 MGC457035 MPY457035 MZU457035 NJQ457035 NTM457035 ODI457035 ONE457035 OXA457035 PGW457035 PQS457035 QAO457035 QKK457035 QUG457035 REC457035 RNY457035 RXU457035 SHQ457035 SRM457035 TBI457035 TLE457035 TVA457035 UEW457035 UOS457035 UYO457035 VIK457035 VSG457035 WCC457035 WLY457035 WVU457035 E522571 JI522571 TE522571 ADA522571 AMW522571 AWS522571 BGO522571 BQK522571 CAG522571 CKC522571 CTY522571 DDU522571 DNQ522571 DXM522571 EHI522571 ERE522571 FBA522571 FKW522571 FUS522571 GEO522571 GOK522571 GYG522571 HIC522571 HRY522571 IBU522571 ILQ522571 IVM522571 JFI522571 JPE522571 JZA522571 KIW522571 KSS522571 LCO522571 LMK522571 LWG522571 MGC522571 MPY522571 MZU522571 NJQ522571 NTM522571 ODI522571 ONE522571 OXA522571 PGW522571 PQS522571 QAO522571 QKK522571 QUG522571 REC522571 RNY522571 RXU522571 SHQ522571 SRM522571 TBI522571 TLE522571 TVA522571 UEW522571 UOS522571 UYO522571 VIK522571 VSG522571 WCC522571 WLY522571 WVU522571 E588107 JI588107 TE588107 ADA588107 AMW588107 AWS588107 BGO588107 BQK588107 CAG588107 CKC588107 CTY588107 DDU588107 DNQ588107 DXM588107 EHI588107 ERE588107 FBA588107 FKW588107 FUS588107 GEO588107 GOK588107 GYG588107 HIC588107 HRY588107 IBU588107 ILQ588107 IVM588107 JFI588107 JPE588107 JZA588107 KIW588107 KSS588107 LCO588107 LMK588107 LWG588107 MGC588107 MPY588107 MZU588107 NJQ588107 NTM588107 ODI588107 ONE588107 OXA588107 PGW588107 PQS588107 QAO588107 QKK588107 QUG588107 REC588107 RNY588107 RXU588107 SHQ588107 SRM588107 TBI588107 TLE588107 TVA588107 UEW588107 UOS588107 UYO588107 VIK588107 VSG588107 WCC588107 WLY588107 WVU588107 E653643 JI653643 TE653643 ADA653643 AMW653643 AWS653643 BGO653643 BQK653643 CAG653643 CKC653643 CTY653643 DDU653643 DNQ653643 DXM653643 EHI653643 ERE653643 FBA653643 FKW653643 FUS653643 GEO653643 GOK653643 GYG653643 HIC653643 HRY653643 IBU653643 ILQ653643 IVM653643 JFI653643 JPE653643 JZA653643 KIW653643 KSS653643 LCO653643 LMK653643 LWG653643 MGC653643 MPY653643 MZU653643 NJQ653643 NTM653643 ODI653643 ONE653643 OXA653643 PGW653643 PQS653643 QAO653643 QKK653643 QUG653643 REC653643 RNY653643 RXU653643 SHQ653643 SRM653643 TBI653643 TLE653643 TVA653643 UEW653643 UOS653643 UYO653643 VIK653643 VSG653643 WCC653643 WLY653643 WVU653643 E719179 JI719179 TE719179 ADA719179 AMW719179 AWS719179 BGO719179 BQK719179 CAG719179 CKC719179 CTY719179 DDU719179 DNQ719179 DXM719179 EHI719179 ERE719179 FBA719179 FKW719179 FUS719179 GEO719179 GOK719179 GYG719179 HIC719179 HRY719179 IBU719179 ILQ719179 IVM719179 JFI719179 JPE719179 JZA719179 KIW719179 KSS719179 LCO719179 LMK719179 LWG719179 MGC719179 MPY719179 MZU719179 NJQ719179 NTM719179 ODI719179 ONE719179 OXA719179 PGW719179 PQS719179 QAO719179 QKK719179 QUG719179 REC719179 RNY719179 RXU719179 SHQ719179 SRM719179 TBI719179 TLE719179 TVA719179 UEW719179 UOS719179 UYO719179 VIK719179 VSG719179 WCC719179 WLY719179 WVU719179 E784715 JI784715 TE784715 ADA784715 AMW784715 AWS784715 BGO784715 BQK784715 CAG784715 CKC784715 CTY784715 DDU784715 DNQ784715 DXM784715 EHI784715 ERE784715 FBA784715 FKW784715 FUS784715 GEO784715 GOK784715 GYG784715 HIC784715 HRY784715 IBU784715 ILQ784715 IVM784715 JFI784715 JPE784715 JZA784715 KIW784715 KSS784715 LCO784715 LMK784715 LWG784715 MGC784715 MPY784715 MZU784715 NJQ784715 NTM784715 ODI784715 ONE784715 OXA784715 PGW784715 PQS784715 QAO784715 QKK784715 QUG784715 REC784715 RNY784715 RXU784715 SHQ784715 SRM784715 TBI784715 TLE784715 TVA784715 UEW784715 UOS784715 UYO784715 VIK784715 VSG784715 WCC784715 WLY784715 WVU784715 E850251 JI850251 TE850251 ADA850251 AMW850251 AWS850251 BGO850251 BQK850251 CAG850251 CKC850251 CTY850251 DDU850251 DNQ850251 DXM850251 EHI850251 ERE850251 FBA850251 FKW850251 FUS850251 GEO850251 GOK850251 GYG850251 HIC850251 HRY850251 IBU850251 ILQ850251 IVM850251 JFI850251 JPE850251 JZA850251 KIW850251 KSS850251 LCO850251 LMK850251 LWG850251 MGC850251 MPY850251 MZU850251 NJQ850251 NTM850251 ODI850251 ONE850251 OXA850251 PGW850251 PQS850251 QAO850251 QKK850251 QUG850251 REC850251 RNY850251 RXU850251 SHQ850251 SRM850251 TBI850251 TLE850251 TVA850251 UEW850251 UOS850251 UYO850251 VIK850251 VSG850251 WCC850251 WLY850251 WVU850251 E915787 JI915787 TE915787 ADA915787 AMW915787 AWS915787 BGO915787 BQK915787 CAG915787 CKC915787 CTY915787 DDU915787 DNQ915787 DXM915787 EHI915787 ERE915787 FBA915787 FKW915787 FUS915787 GEO915787 GOK915787 GYG915787 HIC915787 HRY915787 IBU915787 ILQ915787 IVM915787 JFI915787 JPE915787 JZA915787 KIW915787 KSS915787 LCO915787 LMK915787 LWG915787 MGC915787 MPY915787 MZU915787 NJQ915787 NTM915787 ODI915787 ONE915787 OXA915787 PGW915787 PQS915787 QAO915787 QKK915787 QUG915787 REC915787 RNY915787 RXU915787 SHQ915787 SRM915787 TBI915787 TLE915787 TVA915787 UEW915787 UOS915787 UYO915787 VIK915787 VSG915787 WCC915787 WLY915787 WVU915787 E981323 JI981323 TE981323 ADA981323 AMW981323 AWS981323 BGO981323 BQK981323 CAG981323 CKC981323 CTY981323 DDU981323 DNQ981323 DXM981323 EHI981323 ERE981323 FBA981323 FKW981323 FUS981323 GEO981323 GOK981323 GYG981323 HIC981323 HRY981323 IBU981323 ILQ981323 IVM981323 JFI981323 JPE981323 JZA981323 KIW981323 KSS981323 LCO981323 LMK981323 LWG981323 MGC981323 MPY981323 MZU981323 NJQ981323 NTM981323 ODI981323 ONE981323 OXA981323 PGW981323 PQS981323 QAO981323 QKK981323 QUG981323 REC981323 RNY981323 RXU981323 SHQ981323 SRM981323 TBI981323 TLE981323 TVA981323 UEW981323 UOS981323 UYO981323 VIK981323 VSG981323 WCC981323 WLY981323 WVU981323 E63925 JI63925 TE63925 ADA63925 AMW63925 AWS63925 BGO63925 BQK63925 CAG63925 CKC63925 CTY63925 DDU63925 DNQ63925 DXM63925 EHI63925 ERE63925 FBA63925 FKW63925 FUS63925 GEO63925 GOK63925 GYG63925 HIC63925 HRY63925 IBU63925 ILQ63925 IVM63925 JFI63925 JPE63925 JZA63925 KIW63925 KSS63925 LCO63925 LMK63925 LWG63925 MGC63925 MPY63925 MZU63925 NJQ63925 NTM63925 ODI63925 ONE63925 OXA63925 PGW63925 PQS63925 QAO63925 QKK63925 QUG63925 REC63925 RNY63925 RXU63925 SHQ63925 SRM63925 TBI63925 TLE63925 TVA63925 UEW63925 UOS63925 UYO63925 VIK63925 VSG63925 WCC63925 WLY63925 WVU63925 E129461 JI129461 TE129461 ADA129461 AMW129461 AWS129461 BGO129461 BQK129461 CAG129461 CKC129461 CTY129461 DDU129461 DNQ129461 DXM129461 EHI129461 ERE129461 FBA129461 FKW129461 FUS129461 GEO129461 GOK129461 GYG129461 HIC129461 HRY129461 IBU129461 ILQ129461 IVM129461 JFI129461 JPE129461 JZA129461 KIW129461 KSS129461 LCO129461 LMK129461 LWG129461 MGC129461 MPY129461 MZU129461 NJQ129461 NTM129461 ODI129461 ONE129461 OXA129461 PGW129461 PQS129461 QAO129461 QKK129461 QUG129461 REC129461 RNY129461 RXU129461 SHQ129461 SRM129461 TBI129461 TLE129461 TVA129461 UEW129461 UOS129461 UYO129461 VIK129461 VSG129461 WCC129461 WLY129461 WVU129461 E194997 JI194997 TE194997 ADA194997 AMW194997 AWS194997 BGO194997 BQK194997 CAG194997 CKC194997 CTY194997 DDU194997 DNQ194997 DXM194997 EHI194997 ERE194997 FBA194997 FKW194997 FUS194997 GEO194997 GOK194997 GYG194997 HIC194997 HRY194997 IBU194997 ILQ194997 IVM194997 JFI194997 JPE194997 JZA194997 KIW194997 KSS194997 LCO194997 LMK194997 LWG194997 MGC194997 MPY194997 MZU194997 NJQ194997 NTM194997 ODI194997 ONE194997 OXA194997 PGW194997 PQS194997 QAO194997 QKK194997 QUG194997 REC194997 RNY194997 RXU194997 SHQ194997 SRM194997 TBI194997 TLE194997 TVA194997 UEW194997 UOS194997 UYO194997 VIK194997 VSG194997 WCC194997 WLY194997 WVU194997 E260533 JI260533 TE260533 ADA260533 AMW260533 AWS260533 BGO260533 BQK260533 CAG260533 CKC260533 CTY260533 DDU260533 DNQ260533 DXM260533 EHI260533 ERE260533 FBA260533 FKW260533 FUS260533 GEO260533 GOK260533 GYG260533 HIC260533 HRY260533 IBU260533 ILQ260533 IVM260533 JFI260533 JPE260533 JZA260533 KIW260533 KSS260533 LCO260533 LMK260533 LWG260533 MGC260533 MPY260533 MZU260533 NJQ260533 NTM260533 ODI260533 ONE260533 OXA260533 PGW260533 PQS260533 QAO260533 QKK260533 QUG260533 REC260533 RNY260533 RXU260533 SHQ260533 SRM260533 TBI260533 TLE260533 TVA260533 UEW260533 UOS260533 UYO260533 VIK260533 VSG260533 WCC260533 WLY260533 WVU260533 E326069 JI326069 TE326069 ADA326069 AMW326069 AWS326069 BGO326069 BQK326069 CAG326069 CKC326069 CTY326069 DDU326069 DNQ326069 DXM326069 EHI326069 ERE326069 FBA326069 FKW326069 FUS326069 GEO326069 GOK326069 GYG326069 HIC326069 HRY326069 IBU326069 ILQ326069 IVM326069 JFI326069 JPE326069 JZA326069 KIW326069 KSS326069 LCO326069 LMK326069 LWG326069 MGC326069 MPY326069 MZU326069 NJQ326069 NTM326069 ODI326069 ONE326069 OXA326069 PGW326069 PQS326069 QAO326069 QKK326069 QUG326069 REC326069 RNY326069 RXU326069 SHQ326069 SRM326069 TBI326069 TLE326069 TVA326069 UEW326069 UOS326069 UYO326069 VIK326069 VSG326069 WCC326069 WLY326069 WVU326069 E391605 JI391605 TE391605 ADA391605 AMW391605 AWS391605 BGO391605 BQK391605 CAG391605 CKC391605 CTY391605 DDU391605 DNQ391605 DXM391605 EHI391605 ERE391605 FBA391605 FKW391605 FUS391605 GEO391605 GOK391605 GYG391605 HIC391605 HRY391605 IBU391605 ILQ391605 IVM391605 JFI391605 JPE391605 JZA391605 KIW391605 KSS391605 LCO391605 LMK391605 LWG391605 MGC391605 MPY391605 MZU391605 NJQ391605 NTM391605 ODI391605 ONE391605 OXA391605 PGW391605 PQS391605 QAO391605 QKK391605 QUG391605 REC391605 RNY391605 RXU391605 SHQ391605 SRM391605 TBI391605 TLE391605 TVA391605 UEW391605 UOS391605 UYO391605 VIK391605 VSG391605 WCC391605 WLY391605 WVU391605 E457141 JI457141 TE457141 ADA457141 AMW457141 AWS457141 BGO457141 BQK457141 CAG457141 CKC457141 CTY457141 DDU457141 DNQ457141 DXM457141 EHI457141 ERE457141 FBA457141 FKW457141 FUS457141 GEO457141 GOK457141 GYG457141 HIC457141 HRY457141 IBU457141 ILQ457141 IVM457141 JFI457141 JPE457141 JZA457141 KIW457141 KSS457141 LCO457141 LMK457141 LWG457141 MGC457141 MPY457141 MZU457141 NJQ457141 NTM457141 ODI457141 ONE457141 OXA457141 PGW457141 PQS457141 QAO457141 QKK457141 QUG457141 REC457141 RNY457141 RXU457141 SHQ457141 SRM457141 TBI457141 TLE457141 TVA457141 UEW457141 UOS457141 UYO457141 VIK457141 VSG457141 WCC457141 WLY457141 WVU457141 E522677 JI522677 TE522677 ADA522677 AMW522677 AWS522677 BGO522677 BQK522677 CAG522677 CKC522677 CTY522677 DDU522677 DNQ522677 DXM522677 EHI522677 ERE522677 FBA522677 FKW522677 FUS522677 GEO522677 GOK522677 GYG522677 HIC522677 HRY522677 IBU522677 ILQ522677 IVM522677 JFI522677 JPE522677 JZA522677 KIW522677 KSS522677 LCO522677 LMK522677 LWG522677 MGC522677 MPY522677 MZU522677 NJQ522677 NTM522677 ODI522677 ONE522677 OXA522677 PGW522677 PQS522677 QAO522677 QKK522677 QUG522677 REC522677 RNY522677 RXU522677 SHQ522677 SRM522677 TBI522677 TLE522677 TVA522677 UEW522677 UOS522677 UYO522677 VIK522677 VSG522677 WCC522677 WLY522677 WVU522677 E588213 JI588213 TE588213 ADA588213 AMW588213 AWS588213 BGO588213 BQK588213 CAG588213 CKC588213 CTY588213 DDU588213 DNQ588213 DXM588213 EHI588213 ERE588213 FBA588213 FKW588213 FUS588213 GEO588213 GOK588213 GYG588213 HIC588213 HRY588213 IBU588213 ILQ588213 IVM588213 JFI588213 JPE588213 JZA588213 KIW588213 KSS588213 LCO588213 LMK588213 LWG588213 MGC588213 MPY588213 MZU588213 NJQ588213 NTM588213 ODI588213 ONE588213 OXA588213 PGW588213 PQS588213 QAO588213 QKK588213 QUG588213 REC588213 RNY588213 RXU588213 SHQ588213 SRM588213 TBI588213 TLE588213 TVA588213 UEW588213 UOS588213 UYO588213 VIK588213 VSG588213 WCC588213 WLY588213 WVU588213 E653749 JI653749 TE653749 ADA653749 AMW653749 AWS653749 BGO653749 BQK653749 CAG653749 CKC653749 CTY653749 DDU653749 DNQ653749 DXM653749 EHI653749 ERE653749 FBA653749 FKW653749 FUS653749 GEO653749 GOK653749 GYG653749 HIC653749 HRY653749 IBU653749 ILQ653749 IVM653749 JFI653749 JPE653749 JZA653749 KIW653749 KSS653749 LCO653749 LMK653749 LWG653749 MGC653749 MPY653749 MZU653749 NJQ653749 NTM653749 ODI653749 ONE653749 OXA653749 PGW653749 PQS653749 QAO653749 QKK653749 QUG653749 REC653749 RNY653749 RXU653749 SHQ653749 SRM653749 TBI653749 TLE653749 TVA653749 UEW653749 UOS653749 UYO653749 VIK653749 VSG653749 WCC653749 WLY653749 WVU653749 E719285 JI719285 TE719285 ADA719285 AMW719285 AWS719285 BGO719285 BQK719285 CAG719285 CKC719285 CTY719285 DDU719285 DNQ719285 DXM719285 EHI719285 ERE719285 FBA719285 FKW719285 FUS719285 GEO719285 GOK719285 GYG719285 HIC719285 HRY719285 IBU719285 ILQ719285 IVM719285 JFI719285 JPE719285 JZA719285 KIW719285 KSS719285 LCO719285 LMK719285 LWG719285 MGC719285 MPY719285 MZU719285 NJQ719285 NTM719285 ODI719285 ONE719285 OXA719285 PGW719285 PQS719285 QAO719285 QKK719285 QUG719285 REC719285 RNY719285 RXU719285 SHQ719285 SRM719285 TBI719285 TLE719285 TVA719285 UEW719285 UOS719285 UYO719285 VIK719285 VSG719285 WCC719285 WLY719285 WVU719285 E784821 JI784821 TE784821 ADA784821 AMW784821 AWS784821 BGO784821 BQK784821 CAG784821 CKC784821 CTY784821 DDU784821 DNQ784821 DXM784821 EHI784821 ERE784821 FBA784821 FKW784821 FUS784821 GEO784821 GOK784821 GYG784821 HIC784821 HRY784821 IBU784821 ILQ784821 IVM784821 JFI784821 JPE784821 JZA784821 KIW784821 KSS784821 LCO784821 LMK784821 LWG784821 MGC784821 MPY784821 MZU784821 NJQ784821 NTM784821 ODI784821 ONE784821 OXA784821 PGW784821 PQS784821 QAO784821 QKK784821 QUG784821 REC784821 RNY784821 RXU784821 SHQ784821 SRM784821 TBI784821 TLE784821 TVA784821 UEW784821 UOS784821 UYO784821 VIK784821 VSG784821 WCC784821 WLY784821 WVU784821 E850357 JI850357 TE850357 ADA850357 AMW850357 AWS850357 BGO850357 BQK850357 CAG850357 CKC850357 CTY850357 DDU850357 DNQ850357 DXM850357 EHI850357 ERE850357 FBA850357 FKW850357 FUS850357 GEO850357 GOK850357 GYG850357 HIC850357 HRY850357 IBU850357 ILQ850357 IVM850357 JFI850357 JPE850357 JZA850357 KIW850357 KSS850357 LCO850357 LMK850357 LWG850357 MGC850357 MPY850357 MZU850357 NJQ850357 NTM850357 ODI850357 ONE850357 OXA850357 PGW850357 PQS850357 QAO850357 QKK850357 QUG850357 REC850357 RNY850357 RXU850357 SHQ850357 SRM850357 TBI850357 TLE850357 TVA850357 UEW850357 UOS850357 UYO850357 VIK850357 VSG850357 WCC850357 WLY850357 WVU850357 E915893 JI915893 TE915893 ADA915893 AMW915893 AWS915893 BGO915893 BQK915893 CAG915893 CKC915893 CTY915893 DDU915893 DNQ915893 DXM915893 EHI915893 ERE915893 FBA915893 FKW915893 FUS915893 GEO915893 GOK915893 GYG915893 HIC915893 HRY915893 IBU915893 ILQ915893 IVM915893 JFI915893 JPE915893 JZA915893 KIW915893 KSS915893 LCO915893 LMK915893 LWG915893 MGC915893 MPY915893 MZU915893 NJQ915893 NTM915893 ODI915893 ONE915893 OXA915893 PGW915893 PQS915893 QAO915893 QKK915893 QUG915893 REC915893 RNY915893 RXU915893 SHQ915893 SRM915893 TBI915893 TLE915893 TVA915893 UEW915893 UOS915893 UYO915893 VIK915893 VSG915893 WCC915893 WLY915893 WVU915893 E981429 JI981429 TE981429 ADA981429 AMW981429 AWS981429 BGO981429 BQK981429 CAG981429 CKC981429 CTY981429 DDU981429 DNQ981429 DXM981429 EHI981429 ERE981429 FBA981429 FKW981429 FUS981429 GEO981429 GOK981429 GYG981429 HIC981429 HRY981429 IBU981429 ILQ981429 IVM981429 JFI981429 JPE981429 JZA981429 KIW981429 KSS981429 LCO981429 LMK981429 LWG981429 MGC981429 MPY981429 MZU981429 NJQ981429 NTM981429 ODI981429 ONE981429 OXA981429 PGW981429 PQS981429 QAO981429 QKK981429 QUG981429 REC981429 RNY981429 RXU981429 SHQ981429 SRM981429 TBI981429 TLE981429 TVA981429 UEW981429 UOS981429 UYO981429 VIK981429 VSG981429 WCC981429 WLY981429 WVU981429 E64031 JI64031 TE64031 ADA64031 AMW64031 AWS64031 BGO64031 BQK64031 CAG64031 CKC64031 CTY64031 DDU64031 DNQ64031 DXM64031 EHI64031 ERE64031 FBA64031 FKW64031 FUS64031 GEO64031 GOK64031 GYG64031 HIC64031 HRY64031 IBU64031 ILQ64031 IVM64031 JFI64031 JPE64031 JZA64031 KIW64031 KSS64031 LCO64031 LMK64031 LWG64031 MGC64031 MPY64031 MZU64031 NJQ64031 NTM64031 ODI64031 ONE64031 OXA64031 PGW64031 PQS64031 QAO64031 QKK64031 QUG64031 REC64031 RNY64031 RXU64031 SHQ64031 SRM64031 TBI64031 TLE64031 TVA64031 UEW64031 UOS64031 UYO64031 VIK64031 VSG64031 WCC64031 WLY64031 WVU64031 E129567 JI129567 TE129567 ADA129567 AMW129567 AWS129567 BGO129567 BQK129567 CAG129567 CKC129567 CTY129567 DDU129567 DNQ129567 DXM129567 EHI129567 ERE129567 FBA129567 FKW129567 FUS129567 GEO129567 GOK129567 GYG129567 HIC129567 HRY129567 IBU129567 ILQ129567 IVM129567 JFI129567 JPE129567 JZA129567 KIW129567 KSS129567 LCO129567 LMK129567 LWG129567 MGC129567 MPY129567 MZU129567 NJQ129567 NTM129567 ODI129567 ONE129567 OXA129567 PGW129567 PQS129567 QAO129567 QKK129567 QUG129567 REC129567 RNY129567 RXU129567 SHQ129567 SRM129567 TBI129567 TLE129567 TVA129567 UEW129567 UOS129567 UYO129567 VIK129567 VSG129567 WCC129567 WLY129567 WVU129567 E195103 JI195103 TE195103 ADA195103 AMW195103 AWS195103 BGO195103 BQK195103 CAG195103 CKC195103 CTY195103 DDU195103 DNQ195103 DXM195103 EHI195103 ERE195103 FBA195103 FKW195103 FUS195103 GEO195103 GOK195103 GYG195103 HIC195103 HRY195103 IBU195103 ILQ195103 IVM195103 JFI195103 JPE195103 JZA195103 KIW195103 KSS195103 LCO195103 LMK195103 LWG195103 MGC195103 MPY195103 MZU195103 NJQ195103 NTM195103 ODI195103 ONE195103 OXA195103 PGW195103 PQS195103 QAO195103 QKK195103 QUG195103 REC195103 RNY195103 RXU195103 SHQ195103 SRM195103 TBI195103 TLE195103 TVA195103 UEW195103 UOS195103 UYO195103 VIK195103 VSG195103 WCC195103 WLY195103 WVU195103 E260639 JI260639 TE260639 ADA260639 AMW260639 AWS260639 BGO260639 BQK260639 CAG260639 CKC260639 CTY260639 DDU260639 DNQ260639 DXM260639 EHI260639 ERE260639 FBA260639 FKW260639 FUS260639 GEO260639 GOK260639 GYG260639 HIC260639 HRY260639 IBU260639 ILQ260639 IVM260639 JFI260639 JPE260639 JZA260639 KIW260639 KSS260639 LCO260639 LMK260639 LWG260639 MGC260639 MPY260639 MZU260639 NJQ260639 NTM260639 ODI260639 ONE260639 OXA260639 PGW260639 PQS260639 QAO260639 QKK260639 QUG260639 REC260639 RNY260639 RXU260639 SHQ260639 SRM260639 TBI260639 TLE260639 TVA260639 UEW260639 UOS260639 UYO260639 VIK260639 VSG260639 WCC260639 WLY260639 WVU260639 E326175 JI326175 TE326175 ADA326175 AMW326175 AWS326175 BGO326175 BQK326175 CAG326175 CKC326175 CTY326175 DDU326175 DNQ326175 DXM326175 EHI326175 ERE326175 FBA326175 FKW326175 FUS326175 GEO326175 GOK326175 GYG326175 HIC326175 HRY326175 IBU326175 ILQ326175 IVM326175 JFI326175 JPE326175 JZA326175 KIW326175 KSS326175 LCO326175 LMK326175 LWG326175 MGC326175 MPY326175 MZU326175 NJQ326175 NTM326175 ODI326175 ONE326175 OXA326175 PGW326175 PQS326175 QAO326175 QKK326175 QUG326175 REC326175 RNY326175 RXU326175 SHQ326175 SRM326175 TBI326175 TLE326175 TVA326175 UEW326175 UOS326175 UYO326175 VIK326175 VSG326175 WCC326175 WLY326175 WVU326175 E391711 JI391711 TE391711 ADA391711 AMW391711 AWS391711 BGO391711 BQK391711 CAG391711 CKC391711 CTY391711 DDU391711 DNQ391711 DXM391711 EHI391711 ERE391711 FBA391711 FKW391711 FUS391711 GEO391711 GOK391711 GYG391711 HIC391711 HRY391711 IBU391711 ILQ391711 IVM391711 JFI391711 JPE391711 JZA391711 KIW391711 KSS391711 LCO391711 LMK391711 LWG391711 MGC391711 MPY391711 MZU391711 NJQ391711 NTM391711 ODI391711 ONE391711 OXA391711 PGW391711 PQS391711 QAO391711 QKK391711 QUG391711 REC391711 RNY391711 RXU391711 SHQ391711 SRM391711 TBI391711 TLE391711 TVA391711 UEW391711 UOS391711 UYO391711 VIK391711 VSG391711 WCC391711 WLY391711 WVU391711 E457247 JI457247 TE457247 ADA457247 AMW457247 AWS457247 BGO457247 BQK457247 CAG457247 CKC457247 CTY457247 DDU457247 DNQ457247 DXM457247 EHI457247 ERE457247 FBA457247 FKW457247 FUS457247 GEO457247 GOK457247 GYG457247 HIC457247 HRY457247 IBU457247 ILQ457247 IVM457247 JFI457247 JPE457247 JZA457247 KIW457247 KSS457247 LCO457247 LMK457247 LWG457247 MGC457247 MPY457247 MZU457247 NJQ457247 NTM457247 ODI457247 ONE457247 OXA457247 PGW457247 PQS457247 QAO457247 QKK457247 QUG457247 REC457247 RNY457247 RXU457247 SHQ457247 SRM457247 TBI457247 TLE457247 TVA457247 UEW457247 UOS457247 UYO457247 VIK457247 VSG457247 WCC457247 WLY457247 WVU457247 E522783 JI522783 TE522783 ADA522783 AMW522783 AWS522783 BGO522783 BQK522783 CAG522783 CKC522783 CTY522783 DDU522783 DNQ522783 DXM522783 EHI522783 ERE522783 FBA522783 FKW522783 FUS522783 GEO522783 GOK522783 GYG522783 HIC522783 HRY522783 IBU522783 ILQ522783 IVM522783 JFI522783 JPE522783 JZA522783 KIW522783 KSS522783 LCO522783 LMK522783 LWG522783 MGC522783 MPY522783 MZU522783 NJQ522783 NTM522783 ODI522783 ONE522783 OXA522783 PGW522783 PQS522783 QAO522783 QKK522783 QUG522783 REC522783 RNY522783 RXU522783 SHQ522783 SRM522783 TBI522783 TLE522783 TVA522783 UEW522783 UOS522783 UYO522783 VIK522783 VSG522783 WCC522783 WLY522783 WVU522783 E588319 JI588319 TE588319 ADA588319 AMW588319 AWS588319 BGO588319 BQK588319 CAG588319 CKC588319 CTY588319 DDU588319 DNQ588319 DXM588319 EHI588319 ERE588319 FBA588319 FKW588319 FUS588319 GEO588319 GOK588319 GYG588319 HIC588319 HRY588319 IBU588319 ILQ588319 IVM588319 JFI588319 JPE588319 JZA588319 KIW588319 KSS588319 LCO588319 LMK588319 LWG588319 MGC588319 MPY588319 MZU588319 NJQ588319 NTM588319 ODI588319 ONE588319 OXA588319 PGW588319 PQS588319 QAO588319 QKK588319 QUG588319 REC588319 RNY588319 RXU588319 SHQ588319 SRM588319 TBI588319 TLE588319 TVA588319 UEW588319 UOS588319 UYO588319 VIK588319 VSG588319 WCC588319 WLY588319 WVU588319 E653855 JI653855 TE653855 ADA653855 AMW653855 AWS653855 BGO653855 BQK653855 CAG653855 CKC653855 CTY653855 DDU653855 DNQ653855 DXM653855 EHI653855 ERE653855 FBA653855 FKW653855 FUS653855 GEO653855 GOK653855 GYG653855 HIC653855 HRY653855 IBU653855 ILQ653855 IVM653855 JFI653855 JPE653855 JZA653855 KIW653855 KSS653855 LCO653855 LMK653855 LWG653855 MGC653855 MPY653855 MZU653855 NJQ653855 NTM653855 ODI653855 ONE653855 OXA653855 PGW653855 PQS653855 QAO653855 QKK653855 QUG653855 REC653855 RNY653855 RXU653855 SHQ653855 SRM653855 TBI653855 TLE653855 TVA653855 UEW653855 UOS653855 UYO653855 VIK653855 VSG653855 WCC653855 WLY653855 WVU653855 E719391 JI719391 TE719391 ADA719391 AMW719391 AWS719391 BGO719391 BQK719391 CAG719391 CKC719391 CTY719391 DDU719391 DNQ719391 DXM719391 EHI719391 ERE719391 FBA719391 FKW719391 FUS719391 GEO719391 GOK719391 GYG719391 HIC719391 HRY719391 IBU719391 ILQ719391 IVM719391 JFI719391 JPE719391 JZA719391 KIW719391 KSS719391 LCO719391 LMK719391 LWG719391 MGC719391 MPY719391 MZU719391 NJQ719391 NTM719391 ODI719391 ONE719391 OXA719391 PGW719391 PQS719391 QAO719391 QKK719391 QUG719391 REC719391 RNY719391 RXU719391 SHQ719391 SRM719391 TBI719391 TLE719391 TVA719391 UEW719391 UOS719391 UYO719391 VIK719391 VSG719391 WCC719391 WLY719391 WVU719391 E784927 JI784927 TE784927 ADA784927 AMW784927 AWS784927 BGO784927 BQK784927 CAG784927 CKC784927 CTY784927 DDU784927 DNQ784927 DXM784927 EHI784927 ERE784927 FBA784927 FKW784927 FUS784927 GEO784927 GOK784927 GYG784927 HIC784927 HRY784927 IBU784927 ILQ784927 IVM784927 JFI784927 JPE784927 JZA784927 KIW784927 KSS784927 LCO784927 LMK784927 LWG784927 MGC784927 MPY784927 MZU784927 NJQ784927 NTM784927 ODI784927 ONE784927 OXA784927 PGW784927 PQS784927 QAO784927 QKK784927 QUG784927 REC784927 RNY784927 RXU784927 SHQ784927 SRM784927 TBI784927 TLE784927 TVA784927 UEW784927 UOS784927 UYO784927 VIK784927 VSG784927 WCC784927 WLY784927 WVU784927 E850463 JI850463 TE850463 ADA850463 AMW850463 AWS850463 BGO850463 BQK850463 CAG850463 CKC850463 CTY850463 DDU850463 DNQ850463 DXM850463 EHI850463 ERE850463 FBA850463 FKW850463 FUS850463 GEO850463 GOK850463 GYG850463 HIC850463 HRY850463 IBU850463 ILQ850463 IVM850463 JFI850463 JPE850463 JZA850463 KIW850463 KSS850463 LCO850463 LMK850463 LWG850463 MGC850463 MPY850463 MZU850463 NJQ850463 NTM850463 ODI850463 ONE850463 OXA850463 PGW850463 PQS850463 QAO850463 QKK850463 QUG850463 REC850463 RNY850463 RXU850463 SHQ850463 SRM850463 TBI850463 TLE850463 TVA850463 UEW850463 UOS850463 UYO850463 VIK850463 VSG850463 WCC850463 WLY850463 WVU850463 E915999 JI915999 TE915999 ADA915999 AMW915999 AWS915999 BGO915999 BQK915999 CAG915999 CKC915999 CTY915999 DDU915999 DNQ915999 DXM915999 EHI915999 ERE915999 FBA915999 FKW915999 FUS915999 GEO915999 GOK915999 GYG915999 HIC915999 HRY915999 IBU915999 ILQ915999 IVM915999 JFI915999 JPE915999 JZA915999 KIW915999 KSS915999 LCO915999 LMK915999 LWG915999 MGC915999 MPY915999 MZU915999 NJQ915999 NTM915999 ODI915999 ONE915999 OXA915999 PGW915999 PQS915999 QAO915999 QKK915999 QUG915999 REC915999 RNY915999 RXU915999 SHQ915999 SRM915999 TBI915999 TLE915999 TVA915999 UEW915999 UOS915999 UYO915999 VIK915999 VSG915999 WCC915999 WLY915999 WVU915999 E981535 JI981535 TE981535 ADA981535 AMW981535 AWS981535 BGO981535 BQK981535 CAG981535 CKC981535 CTY981535 DDU981535 DNQ981535 DXM981535 EHI981535 ERE981535 FBA981535 FKW981535 FUS981535 GEO981535 GOK981535 GYG981535 HIC981535 HRY981535 IBU981535 ILQ981535 IVM981535 JFI981535 JPE981535 JZA981535 KIW981535 KSS981535 LCO981535 LMK981535 LWG981535 MGC981535 MPY981535 MZU981535 NJQ981535 NTM981535 ODI981535 ONE981535 OXA981535 PGW981535 PQS981535 QAO981535 QKK981535 QUG981535 REC981535 RNY981535 RXU981535 SHQ981535 SRM981535 TBI981535 TLE981535 TVA981535 UEW981535 UOS981535 UYO981535 VIK981535 VSG981535 WCC981535 WLY981535 WVU981535 E64137 JI64137 TE64137 ADA64137 AMW64137 AWS64137 BGO64137 BQK64137 CAG64137 CKC64137 CTY64137 DDU64137 DNQ64137 DXM64137 EHI64137 ERE64137 FBA64137 FKW64137 FUS64137 GEO64137 GOK64137 GYG64137 HIC64137 HRY64137 IBU64137 ILQ64137 IVM64137 JFI64137 JPE64137 JZA64137 KIW64137 KSS64137 LCO64137 LMK64137 LWG64137 MGC64137 MPY64137 MZU64137 NJQ64137 NTM64137 ODI64137 ONE64137 OXA64137 PGW64137 PQS64137 QAO64137 QKK64137 QUG64137 REC64137 RNY64137 RXU64137 SHQ64137 SRM64137 TBI64137 TLE64137 TVA64137 UEW64137 UOS64137 UYO64137 VIK64137 VSG64137 WCC64137 WLY64137 WVU64137 E129673 JI129673 TE129673 ADA129673 AMW129673 AWS129673 BGO129673 BQK129673 CAG129673 CKC129673 CTY129673 DDU129673 DNQ129673 DXM129673 EHI129673 ERE129673 FBA129673 FKW129673 FUS129673 GEO129673 GOK129673 GYG129673 HIC129673 HRY129673 IBU129673 ILQ129673 IVM129673 JFI129673 JPE129673 JZA129673 KIW129673 KSS129673 LCO129673 LMK129673 LWG129673 MGC129673 MPY129673 MZU129673 NJQ129673 NTM129673 ODI129673 ONE129673 OXA129673 PGW129673 PQS129673 QAO129673 QKK129673 QUG129673 REC129673 RNY129673 RXU129673 SHQ129673 SRM129673 TBI129673 TLE129673 TVA129673 UEW129673 UOS129673 UYO129673 VIK129673 VSG129673 WCC129673 WLY129673 WVU129673 E195209 JI195209 TE195209 ADA195209 AMW195209 AWS195209 BGO195209 BQK195209 CAG195209 CKC195209 CTY195209 DDU195209 DNQ195209 DXM195209 EHI195209 ERE195209 FBA195209 FKW195209 FUS195209 GEO195209 GOK195209 GYG195209 HIC195209 HRY195209 IBU195209 ILQ195209 IVM195209 JFI195209 JPE195209 JZA195209 KIW195209 KSS195209 LCO195209 LMK195209 LWG195209 MGC195209 MPY195209 MZU195209 NJQ195209 NTM195209 ODI195209 ONE195209 OXA195209 PGW195209 PQS195209 QAO195209 QKK195209 QUG195209 REC195209 RNY195209 RXU195209 SHQ195209 SRM195209 TBI195209 TLE195209 TVA195209 UEW195209 UOS195209 UYO195209 VIK195209 VSG195209 WCC195209 WLY195209 WVU195209 E260745 JI260745 TE260745 ADA260745 AMW260745 AWS260745 BGO260745 BQK260745 CAG260745 CKC260745 CTY260745 DDU260745 DNQ260745 DXM260745 EHI260745 ERE260745 FBA260745 FKW260745 FUS260745 GEO260745 GOK260745 GYG260745 HIC260745 HRY260745 IBU260745 ILQ260745 IVM260745 JFI260745 JPE260745 JZA260745 KIW260745 KSS260745 LCO260745 LMK260745 LWG260745 MGC260745 MPY260745 MZU260745 NJQ260745 NTM260745 ODI260745 ONE260745 OXA260745 PGW260745 PQS260745 QAO260745 QKK260745 QUG260745 REC260745 RNY260745 RXU260745 SHQ260745 SRM260745 TBI260745 TLE260745 TVA260745 UEW260745 UOS260745 UYO260745 VIK260745 VSG260745 WCC260745 WLY260745 WVU260745 E326281 JI326281 TE326281 ADA326281 AMW326281 AWS326281 BGO326281 BQK326281 CAG326281 CKC326281 CTY326281 DDU326281 DNQ326281 DXM326281 EHI326281 ERE326281 FBA326281 FKW326281 FUS326281 GEO326281 GOK326281 GYG326281 HIC326281 HRY326281 IBU326281 ILQ326281 IVM326281 JFI326281 JPE326281 JZA326281 KIW326281 KSS326281 LCO326281 LMK326281 LWG326281 MGC326281 MPY326281 MZU326281 NJQ326281 NTM326281 ODI326281 ONE326281 OXA326281 PGW326281 PQS326281 QAO326281 QKK326281 QUG326281 REC326281 RNY326281 RXU326281 SHQ326281 SRM326281 TBI326281 TLE326281 TVA326281 UEW326281 UOS326281 UYO326281 VIK326281 VSG326281 WCC326281 WLY326281 WVU326281 E391817 JI391817 TE391817 ADA391817 AMW391817 AWS391817 BGO391817 BQK391817 CAG391817 CKC391817 CTY391817 DDU391817 DNQ391817 DXM391817 EHI391817 ERE391817 FBA391817 FKW391817 FUS391817 GEO391817 GOK391817 GYG391817 HIC391817 HRY391817 IBU391817 ILQ391817 IVM391817 JFI391817 JPE391817 JZA391817 KIW391817 KSS391817 LCO391817 LMK391817 LWG391817 MGC391817 MPY391817 MZU391817 NJQ391817 NTM391817 ODI391817 ONE391817 OXA391817 PGW391817 PQS391817 QAO391817 QKK391817 QUG391817 REC391817 RNY391817 RXU391817 SHQ391817 SRM391817 TBI391817 TLE391817 TVA391817 UEW391817 UOS391817 UYO391817 VIK391817 VSG391817 WCC391817 WLY391817 WVU391817 E457353 JI457353 TE457353 ADA457353 AMW457353 AWS457353 BGO457353 BQK457353 CAG457353 CKC457353 CTY457353 DDU457353 DNQ457353 DXM457353 EHI457353 ERE457353 FBA457353 FKW457353 FUS457353 GEO457353 GOK457353 GYG457353 HIC457353 HRY457353 IBU457353 ILQ457353 IVM457353 JFI457353 JPE457353 JZA457353 KIW457353 KSS457353 LCO457353 LMK457353 LWG457353 MGC457353 MPY457353 MZU457353 NJQ457353 NTM457353 ODI457353 ONE457353 OXA457353 PGW457353 PQS457353 QAO457353 QKK457353 QUG457353 REC457353 RNY457353 RXU457353 SHQ457353 SRM457353 TBI457353 TLE457353 TVA457353 UEW457353 UOS457353 UYO457353 VIK457353 VSG457353 WCC457353 WLY457353 WVU457353 E522889 JI522889 TE522889 ADA522889 AMW522889 AWS522889 BGO522889 BQK522889 CAG522889 CKC522889 CTY522889 DDU522889 DNQ522889 DXM522889 EHI522889 ERE522889 FBA522889 FKW522889 FUS522889 GEO522889 GOK522889 GYG522889 HIC522889 HRY522889 IBU522889 ILQ522889 IVM522889 JFI522889 JPE522889 JZA522889 KIW522889 KSS522889 LCO522889 LMK522889 LWG522889 MGC522889 MPY522889 MZU522889 NJQ522889 NTM522889 ODI522889 ONE522889 OXA522889 PGW522889 PQS522889 QAO522889 QKK522889 QUG522889 REC522889 RNY522889 RXU522889 SHQ522889 SRM522889 TBI522889 TLE522889 TVA522889 UEW522889 UOS522889 UYO522889 VIK522889 VSG522889 WCC522889 WLY522889 WVU522889 E588425 JI588425 TE588425 ADA588425 AMW588425 AWS588425 BGO588425 BQK588425 CAG588425 CKC588425 CTY588425 DDU588425 DNQ588425 DXM588425 EHI588425 ERE588425 FBA588425 FKW588425 FUS588425 GEO588425 GOK588425 GYG588425 HIC588425 HRY588425 IBU588425 ILQ588425 IVM588425 JFI588425 JPE588425 JZA588425 KIW588425 KSS588425 LCO588425 LMK588425 LWG588425 MGC588425 MPY588425 MZU588425 NJQ588425 NTM588425 ODI588425 ONE588425 OXA588425 PGW588425 PQS588425 QAO588425 QKK588425 QUG588425 REC588425 RNY588425 RXU588425 SHQ588425 SRM588425 TBI588425 TLE588425 TVA588425 UEW588425 UOS588425 UYO588425 VIK588425 VSG588425 WCC588425 WLY588425 WVU588425 E653961 JI653961 TE653961 ADA653961 AMW653961 AWS653961 BGO653961 BQK653961 CAG653961 CKC653961 CTY653961 DDU653961 DNQ653961 DXM653961 EHI653961 ERE653961 FBA653961 FKW653961 FUS653961 GEO653961 GOK653961 GYG653961 HIC653961 HRY653961 IBU653961 ILQ653961 IVM653961 JFI653961 JPE653961 JZA653961 KIW653961 KSS653961 LCO653961 LMK653961 LWG653961 MGC653961 MPY653961 MZU653961 NJQ653961 NTM653961 ODI653961 ONE653961 OXA653961 PGW653961 PQS653961 QAO653961 QKK653961 QUG653961 REC653961 RNY653961 RXU653961 SHQ653961 SRM653961 TBI653961 TLE653961 TVA653961 UEW653961 UOS653961 UYO653961 VIK653961 VSG653961 WCC653961 WLY653961 WVU653961 E719497 JI719497 TE719497 ADA719497 AMW719497 AWS719497 BGO719497 BQK719497 CAG719497 CKC719497 CTY719497 DDU719497 DNQ719497 DXM719497 EHI719497 ERE719497 FBA719497 FKW719497 FUS719497 GEO719497 GOK719497 GYG719497 HIC719497 HRY719497 IBU719497 ILQ719497 IVM719497 JFI719497 JPE719497 JZA719497 KIW719497 KSS719497 LCO719497 LMK719497 LWG719497 MGC719497 MPY719497 MZU719497 NJQ719497 NTM719497 ODI719497 ONE719497 OXA719497 PGW719497 PQS719497 QAO719497 QKK719497 QUG719497 REC719497 RNY719497 RXU719497 SHQ719497 SRM719497 TBI719497 TLE719497 TVA719497 UEW719497 UOS719497 UYO719497 VIK719497 VSG719497 WCC719497 WLY719497 WVU719497 E785033 JI785033 TE785033 ADA785033 AMW785033 AWS785033 BGO785033 BQK785033 CAG785033 CKC785033 CTY785033 DDU785033 DNQ785033 DXM785033 EHI785033 ERE785033 FBA785033 FKW785033 FUS785033 GEO785033 GOK785033 GYG785033 HIC785033 HRY785033 IBU785033 ILQ785033 IVM785033 JFI785033 JPE785033 JZA785033 KIW785033 KSS785033 LCO785033 LMK785033 LWG785033 MGC785033 MPY785033 MZU785033 NJQ785033 NTM785033 ODI785033 ONE785033 OXA785033 PGW785033 PQS785033 QAO785033 QKK785033 QUG785033 REC785033 RNY785033 RXU785033 SHQ785033 SRM785033 TBI785033 TLE785033 TVA785033 UEW785033 UOS785033 UYO785033 VIK785033 VSG785033 WCC785033 WLY785033 WVU785033 E850569 JI850569 TE850569 ADA850569 AMW850569 AWS850569 BGO850569 BQK850569 CAG850569 CKC850569 CTY850569 DDU850569 DNQ850569 DXM850569 EHI850569 ERE850569 FBA850569 FKW850569 FUS850569 GEO850569 GOK850569 GYG850569 HIC850569 HRY850569 IBU850569 ILQ850569 IVM850569 JFI850569 JPE850569 JZA850569 KIW850569 KSS850569 LCO850569 LMK850569 LWG850569 MGC850569 MPY850569 MZU850569 NJQ850569 NTM850569 ODI850569 ONE850569 OXA850569 PGW850569 PQS850569 QAO850569 QKK850569 QUG850569 REC850569 RNY850569 RXU850569 SHQ850569 SRM850569 TBI850569 TLE850569 TVA850569 UEW850569 UOS850569 UYO850569 VIK850569 VSG850569 WCC850569 WLY850569 WVU850569 E916105 JI916105 TE916105 ADA916105 AMW916105 AWS916105 BGO916105 BQK916105 CAG916105 CKC916105 CTY916105 DDU916105 DNQ916105 DXM916105 EHI916105 ERE916105 FBA916105 FKW916105 FUS916105 GEO916105 GOK916105 GYG916105 HIC916105 HRY916105 IBU916105 ILQ916105 IVM916105 JFI916105 JPE916105 JZA916105 KIW916105 KSS916105 LCO916105 LMK916105 LWG916105 MGC916105 MPY916105 MZU916105 NJQ916105 NTM916105 ODI916105 ONE916105 OXA916105 PGW916105 PQS916105 QAO916105 QKK916105 QUG916105 REC916105 RNY916105 RXU916105 SHQ916105 SRM916105 TBI916105 TLE916105 TVA916105 UEW916105 UOS916105 UYO916105 VIK916105 VSG916105 WCC916105 WLY916105 WVU916105 E981641 JI981641 TE981641 ADA981641 AMW981641 AWS981641 BGO981641 BQK981641 CAG981641 CKC981641 CTY981641 DDU981641 DNQ981641 DXM981641 EHI981641 ERE981641 FBA981641 FKW981641 FUS981641 GEO981641 GOK981641 GYG981641 HIC981641 HRY981641 IBU981641 ILQ981641 IVM981641 JFI981641 JPE981641 JZA981641 KIW981641 KSS981641 LCO981641 LMK981641 LWG981641 MGC981641 MPY981641 MZU981641 NJQ981641 NTM981641 ODI981641 ONE981641 OXA981641 PGW981641 PQS981641 QAO981641 QKK981641 QUG981641 REC981641 RNY981641 RXU981641 SHQ981641 SRM981641 TBI981641 TLE981641 TVA981641 UEW981641 UOS981641 UYO981641 VIK981641 VSG981641 WCC981641 WLY981641 WVU981641 E64243:I64243 JI64243:JM64243 TE64243:TI64243 ADA64243:ADE64243 AMW64243:ANA64243 AWS64243:AWW64243 BGO64243:BGS64243 BQK64243:BQO64243 CAG64243:CAK64243 CKC64243:CKG64243 CTY64243:CUC64243 DDU64243:DDY64243 DNQ64243:DNU64243 DXM64243:DXQ64243 EHI64243:EHM64243 ERE64243:ERI64243 FBA64243:FBE64243 FKW64243:FLA64243 FUS64243:FUW64243 GEO64243:GES64243 GOK64243:GOO64243 GYG64243:GYK64243 HIC64243:HIG64243 HRY64243:HSC64243 IBU64243:IBY64243 ILQ64243:ILU64243 IVM64243:IVQ64243 JFI64243:JFM64243 JPE64243:JPI64243 JZA64243:JZE64243 KIW64243:KJA64243 KSS64243:KSW64243 LCO64243:LCS64243 LMK64243:LMO64243 LWG64243:LWK64243 MGC64243:MGG64243 MPY64243:MQC64243 MZU64243:MZY64243 NJQ64243:NJU64243 NTM64243:NTQ64243 ODI64243:ODM64243 ONE64243:ONI64243 OXA64243:OXE64243 PGW64243:PHA64243 PQS64243:PQW64243 QAO64243:QAS64243 QKK64243:QKO64243 QUG64243:QUK64243 REC64243:REG64243 RNY64243:ROC64243 RXU64243:RXY64243 SHQ64243:SHU64243 SRM64243:SRQ64243 TBI64243:TBM64243 TLE64243:TLI64243 TVA64243:TVE64243 UEW64243:UFA64243 UOS64243:UOW64243 UYO64243:UYS64243 VIK64243:VIO64243 VSG64243:VSK64243 WCC64243:WCG64243 WLY64243:WMC64243 WVU64243:WVY64243 E129779:I129779 JI129779:JM129779 TE129779:TI129779 ADA129779:ADE129779 AMW129779:ANA129779 AWS129779:AWW129779 BGO129779:BGS129779 BQK129779:BQO129779 CAG129779:CAK129779 CKC129779:CKG129779 CTY129779:CUC129779 DDU129779:DDY129779 DNQ129779:DNU129779 DXM129779:DXQ129779 EHI129779:EHM129779 ERE129779:ERI129779 FBA129779:FBE129779 FKW129779:FLA129779 FUS129779:FUW129779 GEO129779:GES129779 GOK129779:GOO129779 GYG129779:GYK129779 HIC129779:HIG129779 HRY129779:HSC129779 IBU129779:IBY129779 ILQ129779:ILU129779 IVM129779:IVQ129779 JFI129779:JFM129779 JPE129779:JPI129779 JZA129779:JZE129779 KIW129779:KJA129779 KSS129779:KSW129779 LCO129779:LCS129779 LMK129779:LMO129779 LWG129779:LWK129779 MGC129779:MGG129779 MPY129779:MQC129779 MZU129779:MZY129779 NJQ129779:NJU129779 NTM129779:NTQ129779 ODI129779:ODM129779 ONE129779:ONI129779 OXA129779:OXE129779 PGW129779:PHA129779 PQS129779:PQW129779 QAO129779:QAS129779 QKK129779:QKO129779 QUG129779:QUK129779 REC129779:REG129779 RNY129779:ROC129779 RXU129779:RXY129779 SHQ129779:SHU129779 SRM129779:SRQ129779 TBI129779:TBM129779 TLE129779:TLI129779 TVA129779:TVE129779 UEW129779:UFA129779 UOS129779:UOW129779 UYO129779:UYS129779 VIK129779:VIO129779 VSG129779:VSK129779 WCC129779:WCG129779 WLY129779:WMC129779 WVU129779:WVY129779 E195315:I195315 JI195315:JM195315 TE195315:TI195315 ADA195315:ADE195315 AMW195315:ANA195315 AWS195315:AWW195315 BGO195315:BGS195315 BQK195315:BQO195315 CAG195315:CAK195315 CKC195315:CKG195315 CTY195315:CUC195315 DDU195315:DDY195315 DNQ195315:DNU195315 DXM195315:DXQ195315 EHI195315:EHM195315 ERE195315:ERI195315 FBA195315:FBE195315 FKW195315:FLA195315 FUS195315:FUW195315 GEO195315:GES195315 GOK195315:GOO195315 GYG195315:GYK195315 HIC195315:HIG195315 HRY195315:HSC195315 IBU195315:IBY195315 ILQ195315:ILU195315 IVM195315:IVQ195315 JFI195315:JFM195315 JPE195315:JPI195315 JZA195315:JZE195315 KIW195315:KJA195315 KSS195315:KSW195315 LCO195315:LCS195315 LMK195315:LMO195315 LWG195315:LWK195315 MGC195315:MGG195315 MPY195315:MQC195315 MZU195315:MZY195315 NJQ195315:NJU195315 NTM195315:NTQ195315 ODI195315:ODM195315 ONE195315:ONI195315 OXA195315:OXE195315 PGW195315:PHA195315 PQS195315:PQW195315 QAO195315:QAS195315 QKK195315:QKO195315 QUG195315:QUK195315 REC195315:REG195315 RNY195315:ROC195315 RXU195315:RXY195315 SHQ195315:SHU195315 SRM195315:SRQ195315 TBI195315:TBM195315 TLE195315:TLI195315 TVA195315:TVE195315 UEW195315:UFA195315 UOS195315:UOW195315 UYO195315:UYS195315 VIK195315:VIO195315 VSG195315:VSK195315 WCC195315:WCG195315 WLY195315:WMC195315 WVU195315:WVY195315 E260851:I260851 JI260851:JM260851 TE260851:TI260851 ADA260851:ADE260851 AMW260851:ANA260851 AWS260851:AWW260851 BGO260851:BGS260851 BQK260851:BQO260851 CAG260851:CAK260851 CKC260851:CKG260851 CTY260851:CUC260851 DDU260851:DDY260851 DNQ260851:DNU260851 DXM260851:DXQ260851 EHI260851:EHM260851 ERE260851:ERI260851 FBA260851:FBE260851 FKW260851:FLA260851 FUS260851:FUW260851 GEO260851:GES260851 GOK260851:GOO260851 GYG260851:GYK260851 HIC260851:HIG260851 HRY260851:HSC260851 IBU260851:IBY260851 ILQ260851:ILU260851 IVM260851:IVQ260851 JFI260851:JFM260851 JPE260851:JPI260851 JZA260851:JZE260851 KIW260851:KJA260851 KSS260851:KSW260851 LCO260851:LCS260851 LMK260851:LMO260851 LWG260851:LWK260851 MGC260851:MGG260851 MPY260851:MQC260851 MZU260851:MZY260851 NJQ260851:NJU260851 NTM260851:NTQ260851 ODI260851:ODM260851 ONE260851:ONI260851 OXA260851:OXE260851 PGW260851:PHA260851 PQS260851:PQW260851 QAO260851:QAS260851 QKK260851:QKO260851 QUG260851:QUK260851 REC260851:REG260851 RNY260851:ROC260851 RXU260851:RXY260851 SHQ260851:SHU260851 SRM260851:SRQ260851 TBI260851:TBM260851 TLE260851:TLI260851 TVA260851:TVE260851 UEW260851:UFA260851 UOS260851:UOW260851 UYO260851:UYS260851 VIK260851:VIO260851 VSG260851:VSK260851 WCC260851:WCG260851 WLY260851:WMC260851 WVU260851:WVY260851 E326387:I326387 JI326387:JM326387 TE326387:TI326387 ADA326387:ADE326387 AMW326387:ANA326387 AWS326387:AWW326387 BGO326387:BGS326387 BQK326387:BQO326387 CAG326387:CAK326387 CKC326387:CKG326387 CTY326387:CUC326387 DDU326387:DDY326387 DNQ326387:DNU326387 DXM326387:DXQ326387 EHI326387:EHM326387 ERE326387:ERI326387 FBA326387:FBE326387 FKW326387:FLA326387 FUS326387:FUW326387 GEO326387:GES326387 GOK326387:GOO326387 GYG326387:GYK326387 HIC326387:HIG326387 HRY326387:HSC326387 IBU326387:IBY326387 ILQ326387:ILU326387 IVM326387:IVQ326387 JFI326387:JFM326387 JPE326387:JPI326387 JZA326387:JZE326387 KIW326387:KJA326387 KSS326387:KSW326387 LCO326387:LCS326387 LMK326387:LMO326387 LWG326387:LWK326387 MGC326387:MGG326387 MPY326387:MQC326387 MZU326387:MZY326387 NJQ326387:NJU326387 NTM326387:NTQ326387 ODI326387:ODM326387 ONE326387:ONI326387 OXA326387:OXE326387 PGW326387:PHA326387 PQS326387:PQW326387 QAO326387:QAS326387 QKK326387:QKO326387 QUG326387:QUK326387 REC326387:REG326387 RNY326387:ROC326387 RXU326387:RXY326387 SHQ326387:SHU326387 SRM326387:SRQ326387 TBI326387:TBM326387 TLE326387:TLI326387 TVA326387:TVE326387 UEW326387:UFA326387 UOS326387:UOW326387 UYO326387:UYS326387 VIK326387:VIO326387 VSG326387:VSK326387 WCC326387:WCG326387 WLY326387:WMC326387 WVU326387:WVY326387 E391923:I391923 JI391923:JM391923 TE391923:TI391923 ADA391923:ADE391923 AMW391923:ANA391923 AWS391923:AWW391923 BGO391923:BGS391923 BQK391923:BQO391923 CAG391923:CAK391923 CKC391923:CKG391923 CTY391923:CUC391923 DDU391923:DDY391923 DNQ391923:DNU391923 DXM391923:DXQ391923 EHI391923:EHM391923 ERE391923:ERI391923 FBA391923:FBE391923 FKW391923:FLA391923 FUS391923:FUW391923 GEO391923:GES391923 GOK391923:GOO391923 GYG391923:GYK391923 HIC391923:HIG391923 HRY391923:HSC391923 IBU391923:IBY391923 ILQ391923:ILU391923 IVM391923:IVQ391923 JFI391923:JFM391923 JPE391923:JPI391923 JZA391923:JZE391923 KIW391923:KJA391923 KSS391923:KSW391923 LCO391923:LCS391923 LMK391923:LMO391923 LWG391923:LWK391923 MGC391923:MGG391923 MPY391923:MQC391923 MZU391923:MZY391923 NJQ391923:NJU391923 NTM391923:NTQ391923 ODI391923:ODM391923 ONE391923:ONI391923 OXA391923:OXE391923 PGW391923:PHA391923 PQS391923:PQW391923 QAO391923:QAS391923 QKK391923:QKO391923 QUG391923:QUK391923 REC391923:REG391923 RNY391923:ROC391923 RXU391923:RXY391923 SHQ391923:SHU391923 SRM391923:SRQ391923 TBI391923:TBM391923 TLE391923:TLI391923 TVA391923:TVE391923 UEW391923:UFA391923 UOS391923:UOW391923 UYO391923:UYS391923 VIK391923:VIO391923 VSG391923:VSK391923 WCC391923:WCG391923 WLY391923:WMC391923 WVU391923:WVY391923 E457459:I457459 JI457459:JM457459 TE457459:TI457459 ADA457459:ADE457459 AMW457459:ANA457459 AWS457459:AWW457459 BGO457459:BGS457459 BQK457459:BQO457459 CAG457459:CAK457459 CKC457459:CKG457459 CTY457459:CUC457459 DDU457459:DDY457459 DNQ457459:DNU457459 DXM457459:DXQ457459 EHI457459:EHM457459 ERE457459:ERI457459 FBA457459:FBE457459 FKW457459:FLA457459 FUS457459:FUW457459 GEO457459:GES457459 GOK457459:GOO457459 GYG457459:GYK457459 HIC457459:HIG457459 HRY457459:HSC457459 IBU457459:IBY457459 ILQ457459:ILU457459 IVM457459:IVQ457459 JFI457459:JFM457459 JPE457459:JPI457459 JZA457459:JZE457459 KIW457459:KJA457459 KSS457459:KSW457459 LCO457459:LCS457459 LMK457459:LMO457459 LWG457459:LWK457459 MGC457459:MGG457459 MPY457459:MQC457459 MZU457459:MZY457459 NJQ457459:NJU457459 NTM457459:NTQ457459 ODI457459:ODM457459 ONE457459:ONI457459 OXA457459:OXE457459 PGW457459:PHA457459 PQS457459:PQW457459 QAO457459:QAS457459 QKK457459:QKO457459 QUG457459:QUK457459 REC457459:REG457459 RNY457459:ROC457459 RXU457459:RXY457459 SHQ457459:SHU457459 SRM457459:SRQ457459 TBI457459:TBM457459 TLE457459:TLI457459 TVA457459:TVE457459 UEW457459:UFA457459 UOS457459:UOW457459 UYO457459:UYS457459 VIK457459:VIO457459 VSG457459:VSK457459 WCC457459:WCG457459 WLY457459:WMC457459 WVU457459:WVY457459 E522995:I522995 JI522995:JM522995 TE522995:TI522995 ADA522995:ADE522995 AMW522995:ANA522995 AWS522995:AWW522995 BGO522995:BGS522995 BQK522995:BQO522995 CAG522995:CAK522995 CKC522995:CKG522995 CTY522995:CUC522995 DDU522995:DDY522995 DNQ522995:DNU522995 DXM522995:DXQ522995 EHI522995:EHM522995 ERE522995:ERI522995 FBA522995:FBE522995 FKW522995:FLA522995 FUS522995:FUW522995 GEO522995:GES522995 GOK522995:GOO522995 GYG522995:GYK522995 HIC522995:HIG522995 HRY522995:HSC522995 IBU522995:IBY522995 ILQ522995:ILU522995 IVM522995:IVQ522995 JFI522995:JFM522995 JPE522995:JPI522995 JZA522995:JZE522995 KIW522995:KJA522995 KSS522995:KSW522995 LCO522995:LCS522995 LMK522995:LMO522995 LWG522995:LWK522995 MGC522995:MGG522995 MPY522995:MQC522995 MZU522995:MZY522995 NJQ522995:NJU522995 NTM522995:NTQ522995 ODI522995:ODM522995 ONE522995:ONI522995 OXA522995:OXE522995 PGW522995:PHA522995 PQS522995:PQW522995 QAO522995:QAS522995 QKK522995:QKO522995 QUG522995:QUK522995 REC522995:REG522995 RNY522995:ROC522995 RXU522995:RXY522995 SHQ522995:SHU522995 SRM522995:SRQ522995 TBI522995:TBM522995 TLE522995:TLI522995 TVA522995:TVE522995 UEW522995:UFA522995 UOS522995:UOW522995 UYO522995:UYS522995 VIK522995:VIO522995 VSG522995:VSK522995 WCC522995:WCG522995 WLY522995:WMC522995 WVU522995:WVY522995 E588531:I588531 JI588531:JM588531 TE588531:TI588531 ADA588531:ADE588531 AMW588531:ANA588531 AWS588531:AWW588531 BGO588531:BGS588531 BQK588531:BQO588531 CAG588531:CAK588531 CKC588531:CKG588531 CTY588531:CUC588531 DDU588531:DDY588531 DNQ588531:DNU588531 DXM588531:DXQ588531 EHI588531:EHM588531 ERE588531:ERI588531 FBA588531:FBE588531 FKW588531:FLA588531 FUS588531:FUW588531 GEO588531:GES588531 GOK588531:GOO588531 GYG588531:GYK588531 HIC588531:HIG588531 HRY588531:HSC588531 IBU588531:IBY588531 ILQ588531:ILU588531 IVM588531:IVQ588531 JFI588531:JFM588531 JPE588531:JPI588531 JZA588531:JZE588531 KIW588531:KJA588531 KSS588531:KSW588531 LCO588531:LCS588531 LMK588531:LMO588531 LWG588531:LWK588531 MGC588531:MGG588531 MPY588531:MQC588531 MZU588531:MZY588531 NJQ588531:NJU588531 NTM588531:NTQ588531 ODI588531:ODM588531 ONE588531:ONI588531 OXA588531:OXE588531 PGW588531:PHA588531 PQS588531:PQW588531 QAO588531:QAS588531 QKK588531:QKO588531 QUG588531:QUK588531 REC588531:REG588531 RNY588531:ROC588531 RXU588531:RXY588531 SHQ588531:SHU588531 SRM588531:SRQ588531 TBI588531:TBM588531 TLE588531:TLI588531 TVA588531:TVE588531 UEW588531:UFA588531 UOS588531:UOW588531 UYO588531:UYS588531 VIK588531:VIO588531 VSG588531:VSK588531 WCC588531:WCG588531 WLY588531:WMC588531 WVU588531:WVY588531 E654067:I654067 JI654067:JM654067 TE654067:TI654067 ADA654067:ADE654067 AMW654067:ANA654067 AWS654067:AWW654067 BGO654067:BGS654067 BQK654067:BQO654067 CAG654067:CAK654067 CKC654067:CKG654067 CTY654067:CUC654067 DDU654067:DDY654067 DNQ654067:DNU654067 DXM654067:DXQ654067 EHI654067:EHM654067 ERE654067:ERI654067 FBA654067:FBE654067 FKW654067:FLA654067 FUS654067:FUW654067 GEO654067:GES654067 GOK654067:GOO654067 GYG654067:GYK654067 HIC654067:HIG654067 HRY654067:HSC654067 IBU654067:IBY654067 ILQ654067:ILU654067 IVM654067:IVQ654067 JFI654067:JFM654067 JPE654067:JPI654067 JZA654067:JZE654067 KIW654067:KJA654067 KSS654067:KSW654067 LCO654067:LCS654067 LMK654067:LMO654067 LWG654067:LWK654067 MGC654067:MGG654067 MPY654067:MQC654067 MZU654067:MZY654067 NJQ654067:NJU654067 NTM654067:NTQ654067 ODI654067:ODM654067 ONE654067:ONI654067 OXA654067:OXE654067 PGW654067:PHA654067 PQS654067:PQW654067 QAO654067:QAS654067 QKK654067:QKO654067 QUG654067:QUK654067 REC654067:REG654067 RNY654067:ROC654067 RXU654067:RXY654067 SHQ654067:SHU654067 SRM654067:SRQ654067 TBI654067:TBM654067 TLE654067:TLI654067 TVA654067:TVE654067 UEW654067:UFA654067 UOS654067:UOW654067 UYO654067:UYS654067 VIK654067:VIO654067 VSG654067:VSK654067 WCC654067:WCG654067 WLY654067:WMC654067 WVU654067:WVY654067 E719603:I719603 JI719603:JM719603 TE719603:TI719603 ADA719603:ADE719603 AMW719603:ANA719603 AWS719603:AWW719603 BGO719603:BGS719603 BQK719603:BQO719603 CAG719603:CAK719603 CKC719603:CKG719603 CTY719603:CUC719603 DDU719603:DDY719603 DNQ719603:DNU719603 DXM719603:DXQ719603 EHI719603:EHM719603 ERE719603:ERI719603 FBA719603:FBE719603 FKW719603:FLA719603 FUS719603:FUW719603 GEO719603:GES719603 GOK719603:GOO719603 GYG719603:GYK719603 HIC719603:HIG719603 HRY719603:HSC719603 IBU719603:IBY719603 ILQ719603:ILU719603 IVM719603:IVQ719603 JFI719603:JFM719603 JPE719603:JPI719603 JZA719603:JZE719603 KIW719603:KJA719603 KSS719603:KSW719603 LCO719603:LCS719603 LMK719603:LMO719603 LWG719603:LWK719603 MGC719603:MGG719603 MPY719603:MQC719603 MZU719603:MZY719603 NJQ719603:NJU719603 NTM719603:NTQ719603 ODI719603:ODM719603 ONE719603:ONI719603 OXA719603:OXE719603 PGW719603:PHA719603 PQS719603:PQW719603 QAO719603:QAS719603 QKK719603:QKO719603 QUG719603:QUK719603 REC719603:REG719603 RNY719603:ROC719603 RXU719603:RXY719603 SHQ719603:SHU719603 SRM719603:SRQ719603 TBI719603:TBM719603 TLE719603:TLI719603 TVA719603:TVE719603 UEW719603:UFA719603 UOS719603:UOW719603 UYO719603:UYS719603 VIK719603:VIO719603 VSG719603:VSK719603 WCC719603:WCG719603 WLY719603:WMC719603 WVU719603:WVY719603 E785139:I785139 JI785139:JM785139 TE785139:TI785139 ADA785139:ADE785139 AMW785139:ANA785139 AWS785139:AWW785139 BGO785139:BGS785139 BQK785139:BQO785139 CAG785139:CAK785139 CKC785139:CKG785139 CTY785139:CUC785139 DDU785139:DDY785139 DNQ785139:DNU785139 DXM785139:DXQ785139 EHI785139:EHM785139 ERE785139:ERI785139 FBA785139:FBE785139 FKW785139:FLA785139 FUS785139:FUW785139 GEO785139:GES785139 GOK785139:GOO785139 GYG785139:GYK785139 HIC785139:HIG785139 HRY785139:HSC785139 IBU785139:IBY785139 ILQ785139:ILU785139 IVM785139:IVQ785139 JFI785139:JFM785139 JPE785139:JPI785139 JZA785139:JZE785139 KIW785139:KJA785139 KSS785139:KSW785139 LCO785139:LCS785139 LMK785139:LMO785139 LWG785139:LWK785139 MGC785139:MGG785139 MPY785139:MQC785139 MZU785139:MZY785139 NJQ785139:NJU785139 NTM785139:NTQ785139 ODI785139:ODM785139 ONE785139:ONI785139 OXA785139:OXE785139 PGW785139:PHA785139 PQS785139:PQW785139 QAO785139:QAS785139 QKK785139:QKO785139 QUG785139:QUK785139 REC785139:REG785139 RNY785139:ROC785139 RXU785139:RXY785139 SHQ785139:SHU785139 SRM785139:SRQ785139 TBI785139:TBM785139 TLE785139:TLI785139 TVA785139:TVE785139 UEW785139:UFA785139 UOS785139:UOW785139 UYO785139:UYS785139 VIK785139:VIO785139 VSG785139:VSK785139 WCC785139:WCG785139 WLY785139:WMC785139 WVU785139:WVY785139 E850675:I850675 JI850675:JM850675 TE850675:TI850675 ADA850675:ADE850675 AMW850675:ANA850675 AWS850675:AWW850675 BGO850675:BGS850675 BQK850675:BQO850675 CAG850675:CAK850675 CKC850675:CKG850675 CTY850675:CUC850675 DDU850675:DDY850675 DNQ850675:DNU850675 DXM850675:DXQ850675 EHI850675:EHM850675 ERE850675:ERI850675 FBA850675:FBE850675 FKW850675:FLA850675 FUS850675:FUW850675 GEO850675:GES850675 GOK850675:GOO850675 GYG850675:GYK850675 HIC850675:HIG850675 HRY850675:HSC850675 IBU850675:IBY850675 ILQ850675:ILU850675 IVM850675:IVQ850675 JFI850675:JFM850675 JPE850675:JPI850675 JZA850675:JZE850675 KIW850675:KJA850675 KSS850675:KSW850675 LCO850675:LCS850675 LMK850675:LMO850675 LWG850675:LWK850675 MGC850675:MGG850675 MPY850675:MQC850675 MZU850675:MZY850675 NJQ850675:NJU850675 NTM850675:NTQ850675 ODI850675:ODM850675 ONE850675:ONI850675 OXA850675:OXE850675 PGW850675:PHA850675 PQS850675:PQW850675 QAO850675:QAS850675 QKK850675:QKO850675 QUG850675:QUK850675 REC850675:REG850675 RNY850675:ROC850675 RXU850675:RXY850675 SHQ850675:SHU850675 SRM850675:SRQ850675 TBI850675:TBM850675 TLE850675:TLI850675 TVA850675:TVE850675 UEW850675:UFA850675 UOS850675:UOW850675 UYO850675:UYS850675 VIK850675:VIO850675 VSG850675:VSK850675 WCC850675:WCG850675 WLY850675:WMC850675 WVU850675:WVY850675 E916211:I916211 JI916211:JM916211 TE916211:TI916211 ADA916211:ADE916211 AMW916211:ANA916211 AWS916211:AWW916211 BGO916211:BGS916211 BQK916211:BQO916211 CAG916211:CAK916211 CKC916211:CKG916211 CTY916211:CUC916211 DDU916211:DDY916211 DNQ916211:DNU916211 DXM916211:DXQ916211 EHI916211:EHM916211 ERE916211:ERI916211 FBA916211:FBE916211 FKW916211:FLA916211 FUS916211:FUW916211 GEO916211:GES916211 GOK916211:GOO916211 GYG916211:GYK916211 HIC916211:HIG916211 HRY916211:HSC916211 IBU916211:IBY916211 ILQ916211:ILU916211 IVM916211:IVQ916211 JFI916211:JFM916211 JPE916211:JPI916211 JZA916211:JZE916211 KIW916211:KJA916211 KSS916211:KSW916211 LCO916211:LCS916211 LMK916211:LMO916211 LWG916211:LWK916211 MGC916211:MGG916211 MPY916211:MQC916211 MZU916211:MZY916211 NJQ916211:NJU916211 NTM916211:NTQ916211 ODI916211:ODM916211 ONE916211:ONI916211 OXA916211:OXE916211 PGW916211:PHA916211 PQS916211:PQW916211 QAO916211:QAS916211 QKK916211:QKO916211 QUG916211:QUK916211 REC916211:REG916211 RNY916211:ROC916211 RXU916211:RXY916211 SHQ916211:SHU916211 SRM916211:SRQ916211 TBI916211:TBM916211 TLE916211:TLI916211 TVA916211:TVE916211 UEW916211:UFA916211 UOS916211:UOW916211 UYO916211:UYS916211 VIK916211:VIO916211 VSG916211:VSK916211 WCC916211:WCG916211 WLY916211:WMC916211 WVU916211:WVY916211 E981747:I981747 JI981747:JM981747 TE981747:TI981747 ADA981747:ADE981747 AMW981747:ANA981747 AWS981747:AWW981747 BGO981747:BGS981747 BQK981747:BQO981747 CAG981747:CAK981747 CKC981747:CKG981747 CTY981747:CUC981747 DDU981747:DDY981747 DNQ981747:DNU981747 DXM981747:DXQ981747 EHI981747:EHM981747 ERE981747:ERI981747 FBA981747:FBE981747 FKW981747:FLA981747 FUS981747:FUW981747 GEO981747:GES981747 GOK981747:GOO981747 GYG981747:GYK981747 HIC981747:HIG981747 HRY981747:HSC981747 IBU981747:IBY981747 ILQ981747:ILU981747 IVM981747:IVQ981747 JFI981747:JFM981747 JPE981747:JPI981747 JZA981747:JZE981747 KIW981747:KJA981747 KSS981747:KSW981747 LCO981747:LCS981747 LMK981747:LMO981747 LWG981747:LWK981747 MGC981747:MGG981747 MPY981747:MQC981747 MZU981747:MZY981747 NJQ981747:NJU981747 NTM981747:NTQ981747 ODI981747:ODM981747 ONE981747:ONI981747 OXA981747:OXE981747 PGW981747:PHA981747 PQS981747:PQW981747 QAO981747:QAS981747 QKK981747:QKO981747 QUG981747:QUK981747 REC981747:REG981747 RNY981747:ROC981747 RXU981747:RXY981747 SHQ981747:SHU981747 SRM981747:SRQ981747 TBI981747:TBM981747 TLE981747:TLI981747 TVA981747:TVE981747 UEW981747:UFA981747 UOS981747:UOW981747 UYO981747:UYS981747 VIK981747:VIO981747 VSG981747:VSK981747 WCC981747:WCG981747 WLY981747:WMC981747 WVU981747:WVY981747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32"/>
  <sheetViews>
    <sheetView workbookViewId="0">
      <selection activeCell="F2" sqref="F2"/>
    </sheetView>
  </sheetViews>
  <sheetFormatPr defaultRowHeight="14.5" x14ac:dyDescent="0.35"/>
  <cols>
    <col min="1" max="1" width="9.54296875" bestFit="1" customWidth="1"/>
    <col min="3" max="3" width="14.90625" bestFit="1" customWidth="1"/>
    <col min="4" max="4" width="17" bestFit="1" customWidth="1"/>
    <col min="5" max="5" width="16.54296875" customWidth="1"/>
    <col min="6" max="7" width="14.90625" customWidth="1"/>
    <col min="8" max="13" width="10.36328125" bestFit="1" customWidth="1"/>
  </cols>
  <sheetData>
    <row r="1" spans="1:13" ht="26" x14ac:dyDescent="0.6">
      <c r="A1" s="216" t="s">
        <v>245</v>
      </c>
    </row>
    <row r="2" spans="1:13" ht="26" x14ac:dyDescent="0.6">
      <c r="A2" s="216" t="s">
        <v>246</v>
      </c>
    </row>
    <row r="3" spans="1:13" ht="26" x14ac:dyDescent="0.6">
      <c r="A3" s="216">
        <v>2014</v>
      </c>
    </row>
    <row r="4" spans="1:13" ht="26.5" thickBot="1" x14ac:dyDescent="0.65">
      <c r="A4" s="216"/>
    </row>
    <row r="5" spans="1:13" ht="31.5" customHeight="1" thickBot="1" x14ac:dyDescent="0.4">
      <c r="B5" s="217" t="s">
        <v>115</v>
      </c>
      <c r="C5" s="217" t="s">
        <v>114</v>
      </c>
      <c r="D5" s="218" t="s">
        <v>247</v>
      </c>
      <c r="E5" s="218" t="s">
        <v>248</v>
      </c>
      <c r="F5" s="217" t="s">
        <v>249</v>
      </c>
      <c r="G5" s="217" t="s">
        <v>250</v>
      </c>
      <c r="H5" s="217">
        <v>2014</v>
      </c>
      <c r="I5" s="217">
        <f>H5+1</f>
        <v>2015</v>
      </c>
      <c r="J5" s="217">
        <f t="shared" ref="J5:M5" si="0">I5+1</f>
        <v>2016</v>
      </c>
      <c r="K5" s="217">
        <f>J5+1</f>
        <v>2017</v>
      </c>
      <c r="L5" s="217">
        <f>K5+1</f>
        <v>2018</v>
      </c>
      <c r="M5" s="217">
        <f t="shared" si="0"/>
        <v>2019</v>
      </c>
    </row>
    <row r="6" spans="1:13" x14ac:dyDescent="0.35">
      <c r="B6" s="133">
        <v>1</v>
      </c>
      <c r="C6" s="134" t="s">
        <v>109</v>
      </c>
      <c r="D6" s="134">
        <v>50</v>
      </c>
      <c r="E6" s="134">
        <v>100</v>
      </c>
      <c r="F6" s="133" t="s">
        <v>251</v>
      </c>
      <c r="G6" s="133" t="s">
        <v>252</v>
      </c>
      <c r="H6" s="192"/>
      <c r="I6" s="192"/>
      <c r="J6" s="192"/>
      <c r="K6" s="192"/>
      <c r="L6" s="192"/>
      <c r="M6" s="192"/>
    </row>
    <row r="7" spans="1:13" x14ac:dyDescent="0.35">
      <c r="B7" s="135">
        <v>2</v>
      </c>
      <c r="C7" s="136" t="s">
        <v>110</v>
      </c>
      <c r="D7" s="136">
        <v>50</v>
      </c>
      <c r="E7" s="136">
        <v>100</v>
      </c>
      <c r="F7" s="135" t="s">
        <v>251</v>
      </c>
      <c r="G7" s="135" t="s">
        <v>252</v>
      </c>
      <c r="H7" s="193"/>
      <c r="I7" s="193"/>
      <c r="J7" s="193"/>
      <c r="K7" s="193"/>
      <c r="L7" s="193"/>
      <c r="M7" s="193"/>
    </row>
    <row r="8" spans="1:13" x14ac:dyDescent="0.35">
      <c r="B8" s="135">
        <v>3</v>
      </c>
      <c r="C8" s="136" t="s">
        <v>45</v>
      </c>
      <c r="D8" s="136">
        <v>50</v>
      </c>
      <c r="E8" s="136">
        <v>100</v>
      </c>
      <c r="F8" s="135" t="s">
        <v>251</v>
      </c>
      <c r="G8" s="135" t="s">
        <v>252</v>
      </c>
      <c r="H8" s="193"/>
      <c r="I8" s="193"/>
      <c r="J8" s="193"/>
      <c r="K8" s="193"/>
      <c r="L8" s="193"/>
      <c r="M8" s="193"/>
    </row>
    <row r="9" spans="1:13" x14ac:dyDescent="0.35">
      <c r="B9" s="135">
        <v>4</v>
      </c>
      <c r="C9" s="136" t="s">
        <v>98</v>
      </c>
      <c r="D9" s="136">
        <v>50</v>
      </c>
      <c r="E9" s="136">
        <v>100</v>
      </c>
      <c r="F9" s="135" t="s">
        <v>251</v>
      </c>
      <c r="G9" s="135" t="s">
        <v>252</v>
      </c>
      <c r="H9" s="193"/>
      <c r="I9" s="193"/>
      <c r="J9" s="193"/>
      <c r="K9" s="193"/>
      <c r="L9" s="193"/>
      <c r="M9" s="193"/>
    </row>
    <row r="10" spans="1:13" x14ac:dyDescent="0.35">
      <c r="B10" s="135">
        <v>5</v>
      </c>
      <c r="C10" s="136" t="s">
        <v>113</v>
      </c>
      <c r="D10" s="136">
        <v>50</v>
      </c>
      <c r="E10" s="136">
        <v>100</v>
      </c>
      <c r="F10" s="135" t="s">
        <v>251</v>
      </c>
      <c r="G10" s="135" t="s">
        <v>252</v>
      </c>
      <c r="H10" s="193"/>
      <c r="I10" s="193"/>
      <c r="J10" s="193"/>
      <c r="K10" s="193"/>
      <c r="L10" s="193"/>
      <c r="M10" s="193"/>
    </row>
    <row r="11" spans="1:13" x14ac:dyDescent="0.35">
      <c r="B11" s="135">
        <v>6</v>
      </c>
      <c r="C11" s="136" t="s">
        <v>42</v>
      </c>
      <c r="D11" s="136">
        <v>50</v>
      </c>
      <c r="E11" s="136">
        <v>100</v>
      </c>
      <c r="F11" s="135" t="s">
        <v>251</v>
      </c>
      <c r="G11" s="135" t="s">
        <v>252</v>
      </c>
      <c r="H11" s="193"/>
      <c r="I11" s="193"/>
      <c r="J11" s="193"/>
      <c r="K11" s="193"/>
      <c r="L11" s="193"/>
      <c r="M11" s="193"/>
    </row>
    <row r="12" spans="1:13" x14ac:dyDescent="0.35">
      <c r="B12" s="135">
        <v>7</v>
      </c>
      <c r="C12" s="136" t="s">
        <v>111</v>
      </c>
      <c r="D12" s="136">
        <v>50</v>
      </c>
      <c r="E12" s="136">
        <v>100</v>
      </c>
      <c r="F12" s="135" t="s">
        <v>251</v>
      </c>
      <c r="G12" s="135" t="s">
        <v>252</v>
      </c>
      <c r="H12" s="193"/>
      <c r="I12" s="193"/>
      <c r="J12" s="193"/>
      <c r="K12" s="193"/>
      <c r="L12" s="193"/>
      <c r="M12" s="193"/>
    </row>
    <row r="13" spans="1:13" x14ac:dyDescent="0.35">
      <c r="B13" s="135">
        <v>8</v>
      </c>
      <c r="C13" s="136" t="s">
        <v>46</v>
      </c>
      <c r="D13" s="136">
        <v>50</v>
      </c>
      <c r="E13" s="136">
        <v>100</v>
      </c>
      <c r="F13" s="135" t="s">
        <v>251</v>
      </c>
      <c r="G13" s="135" t="s">
        <v>252</v>
      </c>
      <c r="H13" s="193"/>
      <c r="I13" s="193"/>
      <c r="J13" s="193"/>
      <c r="K13" s="193"/>
      <c r="L13" s="193"/>
      <c r="M13" s="193"/>
    </row>
    <row r="14" spans="1:13" ht="15" thickBot="1" x14ac:dyDescent="0.4">
      <c r="B14" s="137">
        <v>9</v>
      </c>
      <c r="C14" s="138" t="s">
        <v>112</v>
      </c>
      <c r="D14" s="138">
        <v>50</v>
      </c>
      <c r="E14" s="138">
        <v>100</v>
      </c>
      <c r="F14" s="137" t="s">
        <v>251</v>
      </c>
      <c r="G14" s="137" t="s">
        <v>252</v>
      </c>
      <c r="H14" s="194"/>
      <c r="I14" s="194"/>
      <c r="J14" s="194"/>
      <c r="K14" s="194"/>
      <c r="L14" s="194"/>
      <c r="M14" s="194"/>
    </row>
    <row r="15" spans="1:13" x14ac:dyDescent="0.35">
      <c r="B15" s="133">
        <v>1</v>
      </c>
      <c r="C15" s="134" t="s">
        <v>109</v>
      </c>
      <c r="D15" s="134">
        <v>101</v>
      </c>
      <c r="E15" s="134">
        <v>200</v>
      </c>
      <c r="F15" s="133" t="s">
        <v>253</v>
      </c>
      <c r="G15" s="133" t="s">
        <v>254</v>
      </c>
      <c r="H15" s="192"/>
      <c r="I15" s="192"/>
      <c r="J15" s="192"/>
      <c r="K15" s="192"/>
      <c r="L15" s="192"/>
      <c r="M15" s="192"/>
    </row>
    <row r="16" spans="1:13" x14ac:dyDescent="0.35">
      <c r="B16" s="135">
        <v>2</v>
      </c>
      <c r="C16" s="136" t="s">
        <v>110</v>
      </c>
      <c r="D16" s="136">
        <v>101</v>
      </c>
      <c r="E16" s="136">
        <v>200</v>
      </c>
      <c r="F16" s="135" t="s">
        <v>253</v>
      </c>
      <c r="G16" s="135" t="s">
        <v>254</v>
      </c>
      <c r="H16" s="193"/>
      <c r="I16" s="193"/>
      <c r="J16" s="193"/>
      <c r="K16" s="193"/>
      <c r="L16" s="193"/>
      <c r="M16" s="193"/>
    </row>
    <row r="17" spans="2:13" x14ac:dyDescent="0.35">
      <c r="B17" s="135">
        <v>3</v>
      </c>
      <c r="C17" s="136" t="s">
        <v>45</v>
      </c>
      <c r="D17" s="136">
        <v>101</v>
      </c>
      <c r="E17" s="136">
        <v>200</v>
      </c>
      <c r="F17" s="135" t="s">
        <v>253</v>
      </c>
      <c r="G17" s="135" t="s">
        <v>254</v>
      </c>
      <c r="H17" s="193"/>
      <c r="I17" s="193"/>
      <c r="J17" s="193"/>
      <c r="K17" s="193"/>
      <c r="L17" s="193"/>
      <c r="M17" s="193"/>
    </row>
    <row r="18" spans="2:13" x14ac:dyDescent="0.35">
      <c r="B18" s="135">
        <v>4</v>
      </c>
      <c r="C18" s="136" t="s">
        <v>98</v>
      </c>
      <c r="D18" s="136">
        <v>101</v>
      </c>
      <c r="E18" s="136">
        <v>200</v>
      </c>
      <c r="F18" s="135" t="s">
        <v>253</v>
      </c>
      <c r="G18" s="135" t="s">
        <v>254</v>
      </c>
      <c r="H18" s="193"/>
      <c r="I18" s="193"/>
      <c r="J18" s="193"/>
      <c r="K18" s="193"/>
      <c r="L18" s="193"/>
      <c r="M18" s="193"/>
    </row>
    <row r="19" spans="2:13" x14ac:dyDescent="0.35">
      <c r="B19" s="135">
        <v>5</v>
      </c>
      <c r="C19" s="136" t="s">
        <v>113</v>
      </c>
      <c r="D19" s="136">
        <v>101</v>
      </c>
      <c r="E19" s="136">
        <v>200</v>
      </c>
      <c r="F19" s="135" t="s">
        <v>253</v>
      </c>
      <c r="G19" s="135" t="s">
        <v>254</v>
      </c>
      <c r="H19" s="193"/>
      <c r="I19" s="193"/>
      <c r="J19" s="193"/>
      <c r="K19" s="193"/>
      <c r="L19" s="193"/>
      <c r="M19" s="193"/>
    </row>
    <row r="20" spans="2:13" x14ac:dyDescent="0.35">
      <c r="B20" s="135">
        <v>6</v>
      </c>
      <c r="C20" s="136" t="s">
        <v>42</v>
      </c>
      <c r="D20" s="136">
        <v>101</v>
      </c>
      <c r="E20" s="136">
        <v>200</v>
      </c>
      <c r="F20" s="135" t="s">
        <v>253</v>
      </c>
      <c r="G20" s="135" t="s">
        <v>254</v>
      </c>
      <c r="H20" s="193"/>
      <c r="I20" s="193"/>
      <c r="J20" s="193"/>
      <c r="K20" s="193"/>
      <c r="L20" s="193"/>
      <c r="M20" s="193"/>
    </row>
    <row r="21" spans="2:13" x14ac:dyDescent="0.35">
      <c r="B21" s="135">
        <v>7</v>
      </c>
      <c r="C21" s="136" t="s">
        <v>111</v>
      </c>
      <c r="D21" s="136">
        <v>101</v>
      </c>
      <c r="E21" s="136">
        <v>200</v>
      </c>
      <c r="F21" s="135" t="s">
        <v>253</v>
      </c>
      <c r="G21" s="135" t="s">
        <v>254</v>
      </c>
      <c r="H21" s="193"/>
      <c r="I21" s="193"/>
      <c r="J21" s="193"/>
      <c r="K21" s="193"/>
      <c r="L21" s="193"/>
      <c r="M21" s="193"/>
    </row>
    <row r="22" spans="2:13" x14ac:dyDescent="0.35">
      <c r="B22" s="135">
        <v>8</v>
      </c>
      <c r="C22" s="136" t="s">
        <v>46</v>
      </c>
      <c r="D22" s="136">
        <v>101</v>
      </c>
      <c r="E22" s="136">
        <v>200</v>
      </c>
      <c r="F22" s="135" t="s">
        <v>253</v>
      </c>
      <c r="G22" s="135" t="s">
        <v>254</v>
      </c>
      <c r="H22" s="193"/>
      <c r="I22" s="193"/>
      <c r="J22" s="193"/>
      <c r="K22" s="193"/>
      <c r="L22" s="193"/>
      <c r="M22" s="193"/>
    </row>
    <row r="23" spans="2:13" ht="15" thickBot="1" x14ac:dyDescent="0.4">
      <c r="B23" s="137">
        <v>9</v>
      </c>
      <c r="C23" s="138" t="s">
        <v>112</v>
      </c>
      <c r="D23" s="138">
        <v>101</v>
      </c>
      <c r="E23" s="138">
        <v>200</v>
      </c>
      <c r="F23" s="137" t="s">
        <v>253</v>
      </c>
      <c r="G23" s="137" t="s">
        <v>254</v>
      </c>
      <c r="H23" s="194"/>
      <c r="I23" s="194"/>
      <c r="J23" s="194"/>
      <c r="K23" s="194"/>
      <c r="L23" s="194"/>
      <c r="M23" s="194"/>
    </row>
    <row r="24" spans="2:13" x14ac:dyDescent="0.35">
      <c r="B24" s="133">
        <v>1</v>
      </c>
      <c r="C24" s="134" t="s">
        <v>109</v>
      </c>
      <c r="D24" s="219" t="s">
        <v>255</v>
      </c>
      <c r="E24" s="134"/>
      <c r="F24" s="133" t="s">
        <v>256</v>
      </c>
      <c r="G24" s="133" t="s">
        <v>257</v>
      </c>
      <c r="H24" s="192"/>
      <c r="I24" s="192"/>
      <c r="J24" s="192"/>
      <c r="K24" s="192"/>
      <c r="L24" s="192"/>
      <c r="M24" s="192"/>
    </row>
    <row r="25" spans="2:13" x14ac:dyDescent="0.35">
      <c r="B25" s="135">
        <v>2</v>
      </c>
      <c r="C25" s="136" t="s">
        <v>110</v>
      </c>
      <c r="D25" s="220" t="s">
        <v>255</v>
      </c>
      <c r="E25" s="136"/>
      <c r="F25" s="135" t="s">
        <v>256</v>
      </c>
      <c r="G25" s="135" t="s">
        <v>257</v>
      </c>
      <c r="H25" s="193"/>
      <c r="I25" s="193"/>
      <c r="J25" s="193"/>
      <c r="K25" s="193"/>
      <c r="L25" s="193"/>
      <c r="M25" s="193"/>
    </row>
    <row r="26" spans="2:13" x14ac:dyDescent="0.35">
      <c r="B26" s="135">
        <v>3</v>
      </c>
      <c r="C26" s="136" t="s">
        <v>45</v>
      </c>
      <c r="D26" s="220" t="s">
        <v>255</v>
      </c>
      <c r="E26" s="136"/>
      <c r="F26" s="135" t="s">
        <v>256</v>
      </c>
      <c r="G26" s="135" t="s">
        <v>257</v>
      </c>
      <c r="H26" s="193"/>
      <c r="I26" s="193"/>
      <c r="J26" s="193"/>
      <c r="K26" s="193"/>
      <c r="L26" s="193"/>
      <c r="M26" s="193"/>
    </row>
    <row r="27" spans="2:13" x14ac:dyDescent="0.35">
      <c r="B27" s="135">
        <v>4</v>
      </c>
      <c r="C27" s="136" t="s">
        <v>98</v>
      </c>
      <c r="D27" s="220" t="s">
        <v>255</v>
      </c>
      <c r="E27" s="136"/>
      <c r="F27" s="135" t="s">
        <v>256</v>
      </c>
      <c r="G27" s="135" t="s">
        <v>257</v>
      </c>
      <c r="H27" s="193"/>
      <c r="I27" s="193"/>
      <c r="J27" s="193"/>
      <c r="K27" s="193"/>
      <c r="L27" s="193"/>
      <c r="M27" s="193"/>
    </row>
    <row r="28" spans="2:13" x14ac:dyDescent="0.35">
      <c r="B28" s="135">
        <v>5</v>
      </c>
      <c r="C28" s="136" t="s">
        <v>113</v>
      </c>
      <c r="D28" s="220" t="s">
        <v>255</v>
      </c>
      <c r="E28" s="136"/>
      <c r="F28" s="135" t="s">
        <v>256</v>
      </c>
      <c r="G28" s="135" t="s">
        <v>257</v>
      </c>
      <c r="H28" s="193"/>
      <c r="I28" s="193"/>
      <c r="J28" s="193"/>
      <c r="K28" s="193"/>
      <c r="L28" s="193"/>
      <c r="M28" s="193"/>
    </row>
    <row r="29" spans="2:13" x14ac:dyDescent="0.35">
      <c r="B29" s="135">
        <v>6</v>
      </c>
      <c r="C29" s="136" t="s">
        <v>42</v>
      </c>
      <c r="D29" s="220" t="s">
        <v>255</v>
      </c>
      <c r="E29" s="136"/>
      <c r="F29" s="135" t="s">
        <v>256</v>
      </c>
      <c r="G29" s="135" t="s">
        <v>257</v>
      </c>
      <c r="H29" s="193"/>
      <c r="I29" s="193"/>
      <c r="J29" s="193"/>
      <c r="K29" s="193"/>
      <c r="L29" s="193"/>
      <c r="M29" s="193"/>
    </row>
    <row r="30" spans="2:13" x14ac:dyDescent="0.35">
      <c r="B30" s="135">
        <v>7</v>
      </c>
      <c r="C30" s="136" t="s">
        <v>111</v>
      </c>
      <c r="D30" s="220" t="s">
        <v>255</v>
      </c>
      <c r="E30" s="136"/>
      <c r="F30" s="135" t="s">
        <v>256</v>
      </c>
      <c r="G30" s="135" t="s">
        <v>257</v>
      </c>
      <c r="H30" s="193"/>
      <c r="I30" s="193"/>
      <c r="J30" s="193"/>
      <c r="K30" s="193"/>
      <c r="L30" s="193"/>
      <c r="M30" s="193"/>
    </row>
    <row r="31" spans="2:13" x14ac:dyDescent="0.35">
      <c r="B31" s="135">
        <v>8</v>
      </c>
      <c r="C31" s="136" t="s">
        <v>46</v>
      </c>
      <c r="D31" s="220" t="s">
        <v>255</v>
      </c>
      <c r="E31" s="136"/>
      <c r="F31" s="135" t="s">
        <v>256</v>
      </c>
      <c r="G31" s="135" t="s">
        <v>257</v>
      </c>
      <c r="H31" s="193"/>
      <c r="I31" s="193"/>
      <c r="J31" s="193"/>
      <c r="K31" s="193"/>
      <c r="L31" s="193"/>
      <c r="M31" s="193"/>
    </row>
    <row r="32" spans="2:13" ht="15" thickBot="1" x14ac:dyDescent="0.4">
      <c r="B32" s="137">
        <v>9</v>
      </c>
      <c r="C32" s="138" t="s">
        <v>112</v>
      </c>
      <c r="D32" s="221" t="s">
        <v>255</v>
      </c>
      <c r="E32" s="138"/>
      <c r="F32" s="137" t="s">
        <v>256</v>
      </c>
      <c r="G32" s="137" t="s">
        <v>257</v>
      </c>
      <c r="H32" s="194"/>
      <c r="I32" s="194"/>
      <c r="J32" s="194"/>
      <c r="K32" s="194"/>
      <c r="L32" s="194"/>
      <c r="M32" s="194"/>
    </row>
  </sheetData>
  <conditionalFormatting sqref="H6:M14">
    <cfRule type="cellIs" dxfId="21" priority="3" operator="lessThan">
      <formula>0</formula>
    </cfRule>
  </conditionalFormatting>
  <conditionalFormatting sqref="H15:M23">
    <cfRule type="cellIs" dxfId="20" priority="2" operator="lessThan">
      <formula>0</formula>
    </cfRule>
  </conditionalFormatting>
  <conditionalFormatting sqref="H24:M32">
    <cfRule type="cellIs" dxfId="19" priority="1" operator="lessThan">
      <formula>0</formula>
    </cfRule>
  </conditionalFormatting>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8A9A4-DF53-4465-975E-0331CEE77BF2}">
  <sheetPr>
    <pageSetUpPr fitToPage="1"/>
  </sheetPr>
  <dimension ref="B1:R34"/>
  <sheetViews>
    <sheetView showGridLines="0" tabSelected="1" zoomScale="90" zoomScaleNormal="90" workbookViewId="0">
      <selection activeCell="P7" sqref="P7:P21"/>
    </sheetView>
  </sheetViews>
  <sheetFormatPr defaultColWidth="9.54296875" defaultRowHeight="15.5" x14ac:dyDescent="0.35"/>
  <cols>
    <col min="1" max="1" width="4.54296875" style="359" customWidth="1"/>
    <col min="2" max="2" width="4.453125" style="359" customWidth="1"/>
    <col min="3" max="3" width="18.453125" style="359" customWidth="1"/>
    <col min="4" max="4" width="26.36328125" style="359" customWidth="1"/>
    <col min="5" max="5" width="4.6328125" style="359" customWidth="1"/>
    <col min="6" max="6" width="5.453125" style="359" customWidth="1"/>
    <col min="7" max="7" width="11.81640625" style="359" customWidth="1"/>
    <col min="8" max="8" width="9.36328125" style="359" customWidth="1"/>
    <col min="9" max="9" width="6" style="359" customWidth="1"/>
    <col min="10" max="10" width="2.36328125" style="359" customWidth="1"/>
    <col min="11" max="11" width="5.6328125" style="359" customWidth="1"/>
    <col min="12" max="12" width="20.453125" style="359" bestFit="1" customWidth="1"/>
    <col min="13" max="13" width="18.36328125" style="359" customWidth="1"/>
    <col min="14" max="14" width="2.36328125" style="359" customWidth="1"/>
    <col min="15" max="15" width="4" style="359" customWidth="1"/>
    <col min="16" max="16" width="13.90625" style="359" bestFit="1" customWidth="1"/>
    <col min="17" max="16384" width="9.54296875" style="359"/>
  </cols>
  <sheetData>
    <row r="1" spans="2:16" ht="8.4" customHeight="1" x14ac:dyDescent="0.35"/>
    <row r="2" spans="2:16" ht="16.25" customHeight="1" x14ac:dyDescent="0.55000000000000004">
      <c r="B2" s="359" t="s">
        <v>258</v>
      </c>
      <c r="C2" s="360" t="s">
        <v>506</v>
      </c>
      <c r="M2" s="361"/>
      <c r="N2" s="362" t="s">
        <v>505</v>
      </c>
    </row>
    <row r="3" spans="2:16" ht="18.5" x14ac:dyDescent="0.45">
      <c r="C3" s="363" t="s">
        <v>413</v>
      </c>
      <c r="D3" s="360" t="s">
        <v>414</v>
      </c>
      <c r="J3" s="363" t="s">
        <v>415</v>
      </c>
      <c r="K3" s="363"/>
      <c r="L3" s="363"/>
      <c r="M3" s="364">
        <v>45495</v>
      </c>
    </row>
    <row r="4" spans="2:16" ht="18.5" x14ac:dyDescent="0.45">
      <c r="C4" s="363" t="s">
        <v>416</v>
      </c>
      <c r="D4" s="360" t="s">
        <v>417</v>
      </c>
    </row>
    <row r="5" spans="2:16" ht="0.9" customHeight="1" thickBot="1" x14ac:dyDescent="0.4">
      <c r="C5" s="360"/>
    </row>
    <row r="6" spans="2:16" s="365" customFormat="1" ht="19" thickBot="1" x14ac:dyDescent="0.5">
      <c r="B6" s="590" t="s">
        <v>418</v>
      </c>
      <c r="C6" s="591"/>
      <c r="D6" s="592"/>
      <c r="E6" s="590" t="s">
        <v>419</v>
      </c>
      <c r="F6" s="591"/>
      <c r="G6" s="591"/>
      <c r="H6" s="591"/>
      <c r="I6" s="591"/>
      <c r="J6" s="590" t="s">
        <v>420</v>
      </c>
      <c r="K6" s="591"/>
      <c r="L6" s="591"/>
      <c r="M6" s="591"/>
      <c r="N6" s="592"/>
    </row>
    <row r="7" spans="2:16" x14ac:dyDescent="0.35">
      <c r="B7" s="593" t="s">
        <v>421</v>
      </c>
      <c r="C7" s="594"/>
      <c r="D7" s="366" t="s">
        <v>507</v>
      </c>
      <c r="E7" s="595" t="s">
        <v>330</v>
      </c>
      <c r="F7" s="595"/>
      <c r="G7" s="595"/>
      <c r="H7" s="595"/>
      <c r="I7" s="595"/>
      <c r="J7" s="367"/>
      <c r="K7" s="594" t="s">
        <v>422</v>
      </c>
      <c r="L7" s="594"/>
      <c r="M7" s="368">
        <v>803133997.75</v>
      </c>
      <c r="N7" s="366"/>
      <c r="P7" s="359" t="s">
        <v>517</v>
      </c>
    </row>
    <row r="8" spans="2:16" x14ac:dyDescent="0.35">
      <c r="B8" s="598" t="s">
        <v>423</v>
      </c>
      <c r="C8" s="599"/>
      <c r="D8" s="369"/>
      <c r="E8" s="597" t="s">
        <v>424</v>
      </c>
      <c r="F8" s="597"/>
      <c r="G8" s="597"/>
      <c r="H8" s="370">
        <v>92</v>
      </c>
      <c r="J8" s="371"/>
      <c r="K8" s="597" t="s">
        <v>425</v>
      </c>
      <c r="L8" s="597"/>
      <c r="M8" s="372">
        <f>M7/H9</f>
        <v>8729717.3668478262</v>
      </c>
      <c r="N8" s="373"/>
    </row>
    <row r="9" spans="2:16" x14ac:dyDescent="0.35">
      <c r="B9" s="598"/>
      <c r="C9" s="599"/>
      <c r="D9" s="373"/>
      <c r="E9" s="597" t="s">
        <v>426</v>
      </c>
      <c r="F9" s="597"/>
      <c r="G9" s="597"/>
      <c r="H9" s="370">
        <v>92</v>
      </c>
      <c r="J9" s="371"/>
      <c r="K9" s="597" t="s">
        <v>427</v>
      </c>
      <c r="L9" s="597"/>
      <c r="M9" s="374">
        <v>1</v>
      </c>
      <c r="N9" s="373"/>
    </row>
    <row r="10" spans="2:16" x14ac:dyDescent="0.35">
      <c r="B10" s="375" t="s">
        <v>428</v>
      </c>
      <c r="C10" s="376"/>
      <c r="D10" s="373"/>
      <c r="E10" s="597" t="s">
        <v>296</v>
      </c>
      <c r="F10" s="597"/>
      <c r="G10" s="597"/>
      <c r="H10" s="377">
        <v>0</v>
      </c>
      <c r="J10" s="371"/>
      <c r="K10" s="378" t="s">
        <v>429</v>
      </c>
      <c r="L10" s="378"/>
      <c r="M10" s="379">
        <f>[3]IRR!F3</f>
        <v>0.1</v>
      </c>
      <c r="N10" s="373"/>
    </row>
    <row r="11" spans="2:16" x14ac:dyDescent="0.35">
      <c r="B11" s="380" t="s">
        <v>430</v>
      </c>
      <c r="C11" s="378"/>
      <c r="D11" s="373" t="s">
        <v>508</v>
      </c>
      <c r="E11" s="600" t="s">
        <v>431</v>
      </c>
      <c r="F11" s="600"/>
      <c r="G11" s="600"/>
      <c r="H11" s="600"/>
      <c r="I11" s="600"/>
      <c r="J11" s="381"/>
      <c r="K11" s="597" t="s">
        <v>432</v>
      </c>
      <c r="L11" s="597"/>
      <c r="M11" s="368">
        <f>IRR!Q17</f>
        <v>750000000</v>
      </c>
      <c r="N11" s="373"/>
    </row>
    <row r="12" spans="2:16" x14ac:dyDescent="0.35">
      <c r="B12" s="380" t="s">
        <v>167</v>
      </c>
      <c r="C12" s="378"/>
      <c r="D12" s="373" t="s">
        <v>328</v>
      </c>
      <c r="E12" s="596" t="s">
        <v>433</v>
      </c>
      <c r="F12" s="596"/>
      <c r="G12" s="596"/>
      <c r="H12" s="382">
        <v>0</v>
      </c>
      <c r="J12" s="371"/>
      <c r="K12" s="597" t="s">
        <v>434</v>
      </c>
      <c r="L12" s="597"/>
      <c r="M12" s="368">
        <f>IRR!G9</f>
        <v>495433934.80468744</v>
      </c>
      <c r="N12" s="373"/>
    </row>
    <row r="13" spans="2:16" x14ac:dyDescent="0.35">
      <c r="B13" s="380" t="s">
        <v>435</v>
      </c>
      <c r="C13" s="378"/>
      <c r="D13" s="383"/>
      <c r="E13" s="596" t="s">
        <v>436</v>
      </c>
      <c r="F13" s="596"/>
      <c r="G13" s="596"/>
      <c r="H13" s="382">
        <v>0</v>
      </c>
      <c r="J13" s="371"/>
      <c r="K13" s="597" t="s">
        <v>437</v>
      </c>
      <c r="L13" s="597"/>
      <c r="M13" s="368">
        <f>IRR!Q20</f>
        <v>150000000</v>
      </c>
      <c r="N13" s="373"/>
    </row>
    <row r="14" spans="2:16" x14ac:dyDescent="0.35">
      <c r="B14" s="380" t="s">
        <v>438</v>
      </c>
      <c r="C14" s="378"/>
      <c r="D14" s="383"/>
      <c r="E14" s="596" t="s">
        <v>439</v>
      </c>
      <c r="F14" s="596"/>
      <c r="G14" s="596"/>
      <c r="H14" s="382">
        <v>0</v>
      </c>
      <c r="J14" s="371"/>
      <c r="K14" s="597" t="s">
        <v>440</v>
      </c>
      <c r="L14" s="597"/>
      <c r="M14" s="372">
        <f>IRR!Q21+IRR!Q22+IRR!Q23</f>
        <v>112500000</v>
      </c>
      <c r="N14" s="373"/>
    </row>
    <row r="15" spans="2:16" ht="16" thickBot="1" x14ac:dyDescent="0.4">
      <c r="B15" s="380" t="s">
        <v>441</v>
      </c>
      <c r="C15" s="378"/>
      <c r="D15" s="384"/>
      <c r="E15" s="385"/>
      <c r="F15" s="385"/>
      <c r="G15" s="385"/>
      <c r="H15" s="382"/>
      <c r="J15" s="371"/>
      <c r="K15" s="378"/>
      <c r="L15" s="378"/>
      <c r="N15" s="373"/>
    </row>
    <row r="16" spans="2:16" x14ac:dyDescent="0.35">
      <c r="B16" s="371"/>
      <c r="D16" s="373"/>
      <c r="E16" s="600" t="s">
        <v>442</v>
      </c>
      <c r="F16" s="600"/>
      <c r="G16" s="600"/>
      <c r="H16" s="600"/>
      <c r="I16" s="600"/>
      <c r="J16" s="386"/>
      <c r="K16" s="606" t="s">
        <v>268</v>
      </c>
      <c r="L16" s="607"/>
      <c r="M16" s="489">
        <f>IRR!F38</f>
        <v>-6.1073004548168663E-2</v>
      </c>
      <c r="N16" s="373"/>
    </row>
    <row r="17" spans="2:18" x14ac:dyDescent="0.35">
      <c r="B17" s="371"/>
      <c r="D17" s="373"/>
      <c r="J17" s="387"/>
      <c r="K17" s="608" t="s">
        <v>267</v>
      </c>
      <c r="L17" s="609"/>
      <c r="M17" s="494">
        <f>IRR!F39</f>
        <v>-142602001.98435128</v>
      </c>
      <c r="N17" s="373"/>
    </row>
    <row r="18" spans="2:18" x14ac:dyDescent="0.35">
      <c r="B18" s="371"/>
      <c r="D18" s="373"/>
      <c r="J18" s="387"/>
      <c r="K18" s="608" t="s">
        <v>443</v>
      </c>
      <c r="L18" s="609"/>
      <c r="M18" s="388">
        <f>IRR!F40</f>
        <v>0.65</v>
      </c>
      <c r="N18" s="373"/>
      <c r="R18" s="359" t="s">
        <v>444</v>
      </c>
    </row>
    <row r="19" spans="2:18" ht="16" thickBot="1" x14ac:dyDescent="0.4">
      <c r="B19" s="371"/>
      <c r="D19" s="373"/>
      <c r="J19" s="387"/>
      <c r="K19" s="601" t="s">
        <v>445</v>
      </c>
      <c r="L19" s="602"/>
      <c r="M19" s="389">
        <f>IRR!F41</f>
        <v>0</v>
      </c>
      <c r="N19" s="373"/>
      <c r="Q19" s="359" t="s">
        <v>444</v>
      </c>
    </row>
    <row r="20" spans="2:18" ht="16" thickBot="1" x14ac:dyDescent="0.4">
      <c r="B20" s="390"/>
      <c r="C20" s="391"/>
      <c r="D20" s="392"/>
      <c r="E20" s="391"/>
      <c r="F20" s="391" t="s">
        <v>444</v>
      </c>
      <c r="G20" s="391"/>
      <c r="H20" s="391"/>
      <c r="I20" s="391"/>
      <c r="J20" s="371"/>
      <c r="K20" s="393"/>
      <c r="L20" s="378"/>
      <c r="M20" s="378"/>
      <c r="N20" s="373"/>
    </row>
    <row r="21" spans="2:18" x14ac:dyDescent="0.35">
      <c r="B21" s="394" t="s">
        <v>446</v>
      </c>
      <c r="C21" s="395"/>
      <c r="D21" s="395"/>
      <c r="E21" s="395"/>
      <c r="F21" s="395"/>
      <c r="G21" s="395"/>
      <c r="H21" s="395"/>
      <c r="I21" s="395"/>
      <c r="J21" s="395"/>
      <c r="L21" s="605" t="s">
        <v>447</v>
      </c>
      <c r="M21" s="605"/>
      <c r="N21" s="366"/>
    </row>
    <row r="22" spans="2:18" x14ac:dyDescent="0.35">
      <c r="B22" s="371" t="s">
        <v>448</v>
      </c>
      <c r="D22" s="359" t="s">
        <v>515</v>
      </c>
      <c r="L22" s="603" t="s">
        <v>449</v>
      </c>
      <c r="M22" s="604"/>
      <c r="N22" s="373"/>
    </row>
    <row r="23" spans="2:18" x14ac:dyDescent="0.35">
      <c r="B23" s="371"/>
      <c r="D23" s="359" t="s">
        <v>516</v>
      </c>
      <c r="N23" s="373"/>
    </row>
    <row r="24" spans="2:18" x14ac:dyDescent="0.35">
      <c r="B24" s="371"/>
      <c r="N24" s="373"/>
    </row>
    <row r="25" spans="2:18" x14ac:dyDescent="0.35">
      <c r="B25" s="371"/>
      <c r="N25" s="373"/>
    </row>
    <row r="26" spans="2:18" ht="16" thickBot="1" x14ac:dyDescent="0.4">
      <c r="B26" s="390"/>
      <c r="C26" s="391"/>
      <c r="D26" s="391"/>
      <c r="E26" s="391"/>
      <c r="F26" s="391"/>
      <c r="G26" s="391"/>
      <c r="H26" s="391"/>
      <c r="I26" s="391"/>
      <c r="J26" s="391"/>
      <c r="K26" s="391"/>
      <c r="L26" s="391"/>
      <c r="M26" s="391"/>
      <c r="N26" s="392"/>
    </row>
    <row r="27" spans="2:18" ht="5.4" customHeight="1" x14ac:dyDescent="0.35"/>
    <row r="28" spans="2:18" x14ac:dyDescent="0.35">
      <c r="B28" s="360" t="s">
        <v>450</v>
      </c>
    </row>
    <row r="29" spans="2:18" x14ac:dyDescent="0.35">
      <c r="B29" s="396"/>
      <c r="C29" s="396"/>
      <c r="D29" s="396"/>
      <c r="E29" s="396"/>
      <c r="F29" s="396"/>
      <c r="G29" s="396"/>
      <c r="H29" s="396"/>
      <c r="I29" s="396"/>
      <c r="J29" s="396"/>
      <c r="K29" s="396"/>
      <c r="L29" s="396"/>
      <c r="M29" s="396"/>
      <c r="N29" s="396"/>
      <c r="O29" s="396"/>
    </row>
    <row r="30" spans="2:18" x14ac:dyDescent="0.35">
      <c r="B30" s="396"/>
      <c r="C30" s="396"/>
      <c r="D30" s="396"/>
      <c r="E30" s="396"/>
      <c r="F30" s="396"/>
      <c r="G30" s="396"/>
      <c r="H30" s="396"/>
      <c r="I30" s="396"/>
      <c r="J30" s="396"/>
      <c r="K30" s="396"/>
      <c r="L30" s="396"/>
      <c r="M30" s="396"/>
      <c r="N30" s="396"/>
      <c r="O30" s="396"/>
    </row>
    <row r="31" spans="2:18" x14ac:dyDescent="0.35">
      <c r="B31" s="396"/>
      <c r="C31" s="396"/>
      <c r="D31" s="396"/>
      <c r="E31" s="396"/>
      <c r="F31" s="396"/>
      <c r="G31" s="396"/>
      <c r="H31" s="396"/>
      <c r="I31" s="396"/>
      <c r="J31" s="396"/>
      <c r="K31" s="396"/>
      <c r="L31" s="396"/>
      <c r="M31" s="396"/>
      <c r="N31" s="396"/>
      <c r="O31" s="396"/>
    </row>
    <row r="32" spans="2:18" x14ac:dyDescent="0.35">
      <c r="B32" s="396"/>
      <c r="C32" s="396"/>
      <c r="D32" s="396"/>
      <c r="E32" s="396"/>
      <c r="F32" s="396"/>
      <c r="G32" s="396"/>
      <c r="H32" s="396"/>
      <c r="I32" s="396"/>
      <c r="J32" s="396"/>
      <c r="K32" s="396"/>
      <c r="L32" s="396"/>
      <c r="M32" s="396"/>
      <c r="N32" s="396"/>
      <c r="O32" s="396"/>
    </row>
    <row r="33" spans="2:15" x14ac:dyDescent="0.35">
      <c r="B33" s="396"/>
      <c r="C33" s="396"/>
      <c r="D33" s="396"/>
      <c r="E33" s="396"/>
      <c r="F33" s="396"/>
      <c r="G33" s="396"/>
      <c r="H33" s="396"/>
      <c r="I33" s="396"/>
      <c r="J33" s="396"/>
      <c r="K33" s="396"/>
      <c r="L33" s="396"/>
      <c r="M33" s="396"/>
      <c r="N33" s="396"/>
      <c r="O33" s="396"/>
    </row>
    <row r="34" spans="2:15" x14ac:dyDescent="0.35">
      <c r="B34" s="396"/>
      <c r="C34" s="396"/>
      <c r="D34" s="396"/>
      <c r="E34" s="396"/>
      <c r="F34" s="396"/>
      <c r="G34" s="396"/>
      <c r="H34" s="396"/>
      <c r="I34" s="396"/>
      <c r="J34" s="396"/>
      <c r="K34" s="396"/>
      <c r="L34" s="396"/>
      <c r="M34" s="396"/>
      <c r="N34" s="396"/>
      <c r="O34" s="396"/>
    </row>
  </sheetData>
  <mergeCells count="28">
    <mergeCell ref="K19:L19"/>
    <mergeCell ref="L22:M22"/>
    <mergeCell ref="L21:M21"/>
    <mergeCell ref="E14:G14"/>
    <mergeCell ref="K14:L14"/>
    <mergeCell ref="E16:I16"/>
    <mergeCell ref="K16:L16"/>
    <mergeCell ref="K17:L17"/>
    <mergeCell ref="K18:L18"/>
    <mergeCell ref="E13:G13"/>
    <mergeCell ref="K13:L13"/>
    <mergeCell ref="B8:C8"/>
    <mergeCell ref="E8:G8"/>
    <mergeCell ref="K8:L8"/>
    <mergeCell ref="B9:C9"/>
    <mergeCell ref="E9:G9"/>
    <mergeCell ref="K9:L9"/>
    <mergeCell ref="E10:G10"/>
    <mergeCell ref="E11:I11"/>
    <mergeCell ref="K11:L11"/>
    <mergeCell ref="E12:G12"/>
    <mergeCell ref="K12:L12"/>
    <mergeCell ref="B6:D6"/>
    <mergeCell ref="E6:I6"/>
    <mergeCell ref="J6:N6"/>
    <mergeCell ref="B7:C7"/>
    <mergeCell ref="E7:I7"/>
    <mergeCell ref="K7:L7"/>
  </mergeCells>
  <pageMargins left="0.7" right="0.7" top="0.75" bottom="0.75" header="0.3" footer="0.3"/>
  <pageSetup paperSize="9" scale="96" fitToWidth="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ECF04-C9F1-47DD-882B-BF9F0885B21F}">
  <sheetPr>
    <pageSetUpPr fitToPage="1"/>
  </sheetPr>
  <dimension ref="B1:Y54"/>
  <sheetViews>
    <sheetView showGridLines="0" zoomScale="86" zoomScaleNormal="86" workbookViewId="0">
      <selection activeCell="Q22" sqref="Q22:Q23"/>
    </sheetView>
  </sheetViews>
  <sheetFormatPr defaultColWidth="11.81640625" defaultRowHeight="15.5" x14ac:dyDescent="0.35"/>
  <cols>
    <col min="1" max="1" width="4.54296875" style="359" customWidth="1"/>
    <col min="2" max="2" width="4" style="359" customWidth="1"/>
    <col min="3" max="3" width="5.08984375" style="359" customWidth="1"/>
    <col min="4" max="4" width="21" style="359" customWidth="1"/>
    <col min="5" max="5" width="13.36328125" style="359" customWidth="1"/>
    <col min="6" max="6" width="18.81640625" style="359" customWidth="1"/>
    <col min="7" max="7" width="19.54296875" style="397" customWidth="1"/>
    <col min="8" max="8" width="19.90625" style="359" customWidth="1"/>
    <col min="9" max="10" width="17.36328125" style="359" bestFit="1" customWidth="1"/>
    <col min="11" max="11" width="17.81640625" style="359" bestFit="1" customWidth="1"/>
    <col min="12" max="16" width="17.81640625" style="359" hidden="1" customWidth="1"/>
    <col min="17" max="17" width="16.36328125" style="359" customWidth="1"/>
    <col min="18" max="18" width="17.6328125" style="359" customWidth="1"/>
    <col min="19" max="22" width="16.6328125" style="359" bestFit="1" customWidth="1"/>
    <col min="23" max="23" width="17.36328125" style="359" bestFit="1" customWidth="1"/>
    <col min="24" max="24" width="13" style="359" bestFit="1" customWidth="1"/>
    <col min="25" max="16384" width="11.81640625" style="359"/>
  </cols>
  <sheetData>
    <row r="1" spans="2:25" ht="23.5" x14ac:dyDescent="0.55000000000000004">
      <c r="B1" s="359" t="s">
        <v>451</v>
      </c>
      <c r="C1" s="359" t="s">
        <v>506</v>
      </c>
      <c r="Q1" s="362" t="s">
        <v>505</v>
      </c>
    </row>
    <row r="2" spans="2:25" x14ac:dyDescent="0.35">
      <c r="B2" s="398" t="s">
        <v>452</v>
      </c>
      <c r="I2" s="399" t="s">
        <v>453</v>
      </c>
      <c r="J2" s="400" t="s">
        <v>454</v>
      </c>
    </row>
    <row r="3" spans="2:25" x14ac:dyDescent="0.35">
      <c r="C3" s="359" t="s">
        <v>455</v>
      </c>
      <c r="E3" s="401">
        <v>0.02</v>
      </c>
      <c r="I3" s="402"/>
      <c r="J3" s="403"/>
      <c r="L3" s="403"/>
      <c r="M3" s="403"/>
      <c r="N3" s="403"/>
      <c r="O3" s="403"/>
      <c r="P3" s="403"/>
      <c r="R3" s="404"/>
      <c r="S3" s="404"/>
    </row>
    <row r="4" spans="2:25" x14ac:dyDescent="0.35">
      <c r="C4" s="359" t="s">
        <v>456</v>
      </c>
      <c r="E4" s="401">
        <v>0.1</v>
      </c>
      <c r="I4" s="402"/>
      <c r="J4" s="403"/>
      <c r="L4" s="403"/>
      <c r="M4" s="403"/>
      <c r="N4" s="403"/>
      <c r="O4" s="403"/>
      <c r="P4" s="403"/>
      <c r="R4" s="404"/>
      <c r="S4" s="404"/>
    </row>
    <row r="5" spans="2:25" x14ac:dyDescent="0.35">
      <c r="C5" s="359" t="s">
        <v>382</v>
      </c>
      <c r="E5" s="401">
        <v>0.05</v>
      </c>
      <c r="F5" s="397" t="s">
        <v>457</v>
      </c>
      <c r="I5" s="402"/>
      <c r="J5" s="359" t="s">
        <v>458</v>
      </c>
      <c r="S5" s="405"/>
      <c r="T5" s="405"/>
      <c r="U5" s="405"/>
      <c r="V5" s="405"/>
    </row>
    <row r="6" spans="2:25" x14ac:dyDescent="0.35">
      <c r="C6" s="359" t="s">
        <v>459</v>
      </c>
      <c r="E6" s="406">
        <v>0</v>
      </c>
      <c r="F6" s="397" t="s">
        <v>457</v>
      </c>
      <c r="I6" s="402"/>
      <c r="J6" s="359" t="s">
        <v>458</v>
      </c>
    </row>
    <row r="7" spans="2:25" x14ac:dyDescent="0.35">
      <c r="F7" s="401"/>
    </row>
    <row r="8" spans="2:25" ht="14.4" customHeight="1" x14ac:dyDescent="0.35">
      <c r="B8" s="360"/>
      <c r="G8" s="407" t="s">
        <v>90</v>
      </c>
      <c r="H8" s="407" t="s">
        <v>91</v>
      </c>
      <c r="I8" s="407" t="s">
        <v>460</v>
      </c>
      <c r="J8" s="407" t="s">
        <v>461</v>
      </c>
      <c r="K8" s="407" t="s">
        <v>462</v>
      </c>
      <c r="L8" s="407" t="s">
        <v>463</v>
      </c>
      <c r="M8" s="407" t="s">
        <v>464</v>
      </c>
      <c r="N8" s="407" t="s">
        <v>465</v>
      </c>
      <c r="O8" s="407" t="s">
        <v>466</v>
      </c>
      <c r="P8" s="407" t="s">
        <v>467</v>
      </c>
      <c r="R8" s="408"/>
      <c r="W8" s="408"/>
      <c r="X8" s="408"/>
      <c r="Y8" s="408"/>
    </row>
    <row r="9" spans="2:25" s="410" customFormat="1" ht="16" thickBot="1" x14ac:dyDescent="0.4">
      <c r="B9" s="409" t="s">
        <v>468</v>
      </c>
      <c r="E9" s="410" t="s">
        <v>31</v>
      </c>
      <c r="F9" s="411"/>
      <c r="G9" s="412">
        <v>495433934.80468744</v>
      </c>
      <c r="H9" s="412">
        <v>0</v>
      </c>
      <c r="I9" s="412">
        <v>0</v>
      </c>
      <c r="J9" s="412">
        <v>0</v>
      </c>
      <c r="K9" s="412"/>
      <c r="L9" s="412"/>
      <c r="M9" s="412"/>
      <c r="N9" s="412"/>
      <c r="O9" s="412"/>
      <c r="P9" s="412"/>
      <c r="Q9" s="411"/>
      <c r="R9" s="411"/>
      <c r="S9" s="359"/>
      <c r="T9" s="359"/>
      <c r="U9" s="359"/>
      <c r="V9" s="359"/>
      <c r="W9" s="411"/>
      <c r="X9" s="411"/>
      <c r="Y9" s="411"/>
    </row>
    <row r="10" spans="2:25" s="410" customFormat="1" ht="16" thickTop="1" x14ac:dyDescent="0.35">
      <c r="B10" s="409"/>
      <c r="E10" s="410" t="s">
        <v>237</v>
      </c>
      <c r="F10" s="411"/>
      <c r="G10" s="411"/>
      <c r="H10" s="411"/>
      <c r="I10" s="411"/>
      <c r="J10" s="411"/>
      <c r="K10" s="411"/>
      <c r="L10" s="411"/>
      <c r="M10" s="411"/>
      <c r="N10" s="411"/>
      <c r="O10" s="411"/>
      <c r="P10" s="411"/>
      <c r="Q10" s="411"/>
      <c r="R10" s="411"/>
      <c r="S10" s="359"/>
      <c r="T10" s="359"/>
      <c r="U10" s="359"/>
      <c r="V10" s="359"/>
      <c r="W10" s="411"/>
      <c r="X10" s="411"/>
      <c r="Y10" s="411"/>
    </row>
    <row r="11" spans="2:25" x14ac:dyDescent="0.35">
      <c r="F11" s="413"/>
      <c r="G11" s="414">
        <v>2024</v>
      </c>
      <c r="H11" s="414">
        <f>G11+1</f>
        <v>2025</v>
      </c>
      <c r="I11" s="414">
        <f t="shared" ref="I11:P11" si="0">H11+1</f>
        <v>2026</v>
      </c>
      <c r="J11" s="414">
        <f t="shared" si="0"/>
        <v>2027</v>
      </c>
      <c r="K11" s="414">
        <f t="shared" si="0"/>
        <v>2028</v>
      </c>
      <c r="L11" s="414">
        <f t="shared" si="0"/>
        <v>2029</v>
      </c>
      <c r="M11" s="414">
        <f t="shared" si="0"/>
        <v>2030</v>
      </c>
      <c r="N11" s="414">
        <f t="shared" si="0"/>
        <v>2031</v>
      </c>
      <c r="O11" s="414">
        <f t="shared" si="0"/>
        <v>2032</v>
      </c>
      <c r="P11" s="414">
        <f t="shared" si="0"/>
        <v>2033</v>
      </c>
      <c r="Q11" s="414"/>
    </row>
    <row r="12" spans="2:25" ht="16" thickBot="1" x14ac:dyDescent="0.4">
      <c r="B12" s="415" t="s">
        <v>469</v>
      </c>
      <c r="C12" s="391"/>
      <c r="D12" s="391"/>
      <c r="E12" s="391"/>
      <c r="F12" s="416" t="s">
        <v>470</v>
      </c>
      <c r="G12" s="416" t="s">
        <v>471</v>
      </c>
      <c r="H12" s="417" t="s">
        <v>472</v>
      </c>
      <c r="I12" s="416" t="s">
        <v>473</v>
      </c>
      <c r="J12" s="417" t="s">
        <v>474</v>
      </c>
      <c r="K12" s="416" t="s">
        <v>475</v>
      </c>
      <c r="L12" s="416" t="s">
        <v>476</v>
      </c>
      <c r="M12" s="416" t="s">
        <v>477</v>
      </c>
      <c r="N12" s="416" t="s">
        <v>478</v>
      </c>
      <c r="O12" s="416" t="s">
        <v>479</v>
      </c>
      <c r="P12" s="416" t="s">
        <v>480</v>
      </c>
      <c r="Q12" s="418" t="s">
        <v>481</v>
      </c>
      <c r="R12" s="405"/>
      <c r="S12" s="419"/>
      <c r="T12" s="419"/>
      <c r="U12" s="419"/>
      <c r="V12" s="419"/>
      <c r="W12" s="405"/>
    </row>
    <row r="13" spans="2:25" x14ac:dyDescent="0.35">
      <c r="B13" s="359" t="s">
        <v>482</v>
      </c>
      <c r="G13" s="414">
        <v>12</v>
      </c>
      <c r="H13" s="414">
        <v>12</v>
      </c>
      <c r="I13" s="414">
        <v>12</v>
      </c>
      <c r="J13" s="414">
        <v>12</v>
      </c>
      <c r="K13" s="414">
        <v>12</v>
      </c>
      <c r="L13" s="414"/>
      <c r="M13" s="414"/>
      <c r="N13" s="414"/>
      <c r="O13" s="414"/>
      <c r="P13" s="414"/>
      <c r="Q13" s="420"/>
      <c r="S13" s="404"/>
      <c r="T13" s="404"/>
      <c r="U13" s="404"/>
      <c r="V13" s="404"/>
    </row>
    <row r="14" spans="2:25" ht="6.65" customHeight="1" x14ac:dyDescent="0.35">
      <c r="Q14" s="420"/>
      <c r="S14" s="421"/>
      <c r="T14" s="421"/>
      <c r="U14" s="421"/>
      <c r="V14" s="421"/>
    </row>
    <row r="15" spans="2:25" x14ac:dyDescent="0.35">
      <c r="B15" s="360" t="s">
        <v>483</v>
      </c>
      <c r="E15" s="422"/>
      <c r="G15" s="423"/>
      <c r="H15" s="424"/>
      <c r="I15" s="425"/>
      <c r="J15" s="425"/>
      <c r="K15" s="425"/>
      <c r="L15" s="425"/>
      <c r="M15" s="425"/>
      <c r="N15" s="425"/>
      <c r="O15" s="425"/>
      <c r="P15" s="425"/>
      <c r="Q15" s="420"/>
      <c r="S15" s="419"/>
      <c r="T15" s="419"/>
      <c r="U15" s="419"/>
      <c r="V15" s="419"/>
    </row>
    <row r="16" spans="2:25" x14ac:dyDescent="0.35">
      <c r="B16" s="360"/>
      <c r="C16" s="359" t="s">
        <v>45</v>
      </c>
      <c r="E16" s="422"/>
      <c r="G16" s="424">
        <v>150000000</v>
      </c>
      <c r="H16" s="424">
        <f>G16</f>
        <v>150000000</v>
      </c>
      <c r="I16" s="424">
        <f t="shared" ref="I16:K16" si="1">H16</f>
        <v>150000000</v>
      </c>
      <c r="J16" s="424">
        <f t="shared" si="1"/>
        <v>150000000</v>
      </c>
      <c r="K16" s="424">
        <f t="shared" si="1"/>
        <v>150000000</v>
      </c>
      <c r="L16" s="424"/>
      <c r="M16" s="424"/>
      <c r="N16" s="424"/>
      <c r="O16" s="424"/>
      <c r="P16" s="424"/>
      <c r="Q16" s="426">
        <f>SUM(G16:K16)</f>
        <v>750000000</v>
      </c>
      <c r="S16" s="419"/>
      <c r="T16" s="419"/>
      <c r="U16" s="419"/>
      <c r="V16" s="419"/>
    </row>
    <row r="17" spans="2:24" x14ac:dyDescent="0.35">
      <c r="B17" s="429" t="s">
        <v>484</v>
      </c>
      <c r="C17" s="429"/>
      <c r="D17" s="429"/>
      <c r="E17" s="610"/>
      <c r="F17" s="611"/>
      <c r="G17" s="430">
        <f>SUM(G16:G16)</f>
        <v>150000000</v>
      </c>
      <c r="H17" s="430">
        <f>SUM(H16:H16)</f>
        <v>150000000</v>
      </c>
      <c r="I17" s="430">
        <f>SUM(I16:I16)</f>
        <v>150000000</v>
      </c>
      <c r="J17" s="430">
        <f>SUM(J16:J16)</f>
        <v>150000000</v>
      </c>
      <c r="K17" s="430">
        <f>SUM(K16:K16)</f>
        <v>150000000</v>
      </c>
      <c r="L17" s="430"/>
      <c r="M17" s="430"/>
      <c r="N17" s="430"/>
      <c r="O17" s="430"/>
      <c r="P17" s="430"/>
      <c r="Q17" s="431">
        <f>SUM(G17:K17)</f>
        <v>750000000</v>
      </c>
      <c r="R17" s="419"/>
      <c r="S17" s="432"/>
      <c r="T17" s="432"/>
      <c r="U17" s="432"/>
      <c r="V17" s="432"/>
      <c r="W17" s="419"/>
      <c r="X17" s="404"/>
    </row>
    <row r="18" spans="2:24" ht="6.65" customHeight="1" x14ac:dyDescent="0.35">
      <c r="Q18" s="420"/>
      <c r="R18" s="404"/>
      <c r="S18" s="432"/>
      <c r="T18" s="432"/>
      <c r="U18" s="432"/>
      <c r="V18" s="432"/>
      <c r="W18" s="404"/>
      <c r="X18" s="404"/>
    </row>
    <row r="19" spans="2:24" x14ac:dyDescent="0.35">
      <c r="B19" s="360" t="s">
        <v>56</v>
      </c>
      <c r="E19" s="422"/>
      <c r="F19" s="422"/>
      <c r="G19" s="423"/>
      <c r="H19" s="422"/>
      <c r="I19" s="425"/>
      <c r="J19" s="425"/>
      <c r="K19" s="425"/>
      <c r="L19" s="425"/>
      <c r="M19" s="425"/>
      <c r="N19" s="425"/>
      <c r="O19" s="425"/>
      <c r="P19" s="425"/>
      <c r="Q19" s="433"/>
      <c r="R19" s="421"/>
      <c r="S19" s="434"/>
      <c r="T19" s="434"/>
      <c r="U19" s="434"/>
      <c r="V19" s="434"/>
      <c r="W19" s="404"/>
      <c r="X19" s="404"/>
    </row>
    <row r="20" spans="2:24" x14ac:dyDescent="0.35">
      <c r="C20" s="359" t="s">
        <v>485</v>
      </c>
      <c r="E20" s="435"/>
      <c r="G20" s="436">
        <v>30000000</v>
      </c>
      <c r="H20" s="436">
        <v>30000000</v>
      </c>
      <c r="I20" s="436">
        <v>30000000</v>
      </c>
      <c r="J20" s="436">
        <v>30000000</v>
      </c>
      <c r="K20" s="436">
        <v>30000000</v>
      </c>
      <c r="L20" s="436"/>
      <c r="M20" s="436"/>
      <c r="N20" s="436"/>
      <c r="O20" s="436"/>
      <c r="P20" s="436"/>
      <c r="Q20" s="437">
        <f>SUM(G20:K20)</f>
        <v>150000000</v>
      </c>
      <c r="R20" s="419" t="s">
        <v>444</v>
      </c>
      <c r="S20" s="419"/>
      <c r="T20" s="419"/>
      <c r="U20" s="419"/>
      <c r="V20" s="419"/>
      <c r="W20" s="438"/>
      <c r="X20" s="404"/>
    </row>
    <row r="21" spans="2:24" x14ac:dyDescent="0.35">
      <c r="C21" s="359" t="s">
        <v>486</v>
      </c>
      <c r="F21" s="439"/>
      <c r="G21" s="436"/>
      <c r="H21" s="436"/>
      <c r="I21" s="436"/>
      <c r="J21" s="436"/>
      <c r="K21" s="436"/>
      <c r="L21" s="436"/>
      <c r="M21" s="436"/>
      <c r="N21" s="436"/>
      <c r="O21" s="436"/>
      <c r="P21" s="436"/>
      <c r="Q21" s="437">
        <f>SUM(G21:K21)</f>
        <v>0</v>
      </c>
      <c r="R21" s="419"/>
      <c r="S21" s="440"/>
      <c r="T21" s="440"/>
      <c r="U21" s="440"/>
      <c r="V21" s="440"/>
      <c r="W21" s="438"/>
      <c r="X21" s="404"/>
    </row>
    <row r="22" spans="2:24" x14ac:dyDescent="0.35">
      <c r="C22" s="359" t="s">
        <v>487</v>
      </c>
      <c r="G22" s="441">
        <v>15000000</v>
      </c>
      <c r="H22" s="441">
        <f>G22</f>
        <v>15000000</v>
      </c>
      <c r="I22" s="441">
        <f t="shared" ref="I22:K22" si="2">H22</f>
        <v>15000000</v>
      </c>
      <c r="J22" s="441">
        <f t="shared" si="2"/>
        <v>15000000</v>
      </c>
      <c r="K22" s="441">
        <f t="shared" si="2"/>
        <v>15000000</v>
      </c>
      <c r="L22" s="441"/>
      <c r="M22" s="441"/>
      <c r="N22" s="441"/>
      <c r="O22" s="441"/>
      <c r="P22" s="441"/>
      <c r="Q22" s="437">
        <f t="shared" ref="Q22:Q23" si="3">SUM(G22:K22)</f>
        <v>75000000</v>
      </c>
      <c r="R22" s="419"/>
      <c r="S22" s="440"/>
      <c r="T22" s="440"/>
      <c r="U22" s="440"/>
      <c r="V22" s="440"/>
      <c r="W22" s="438"/>
      <c r="X22" s="404"/>
    </row>
    <row r="23" spans="2:24" x14ac:dyDescent="0.35">
      <c r="B23" s="442"/>
      <c r="C23" s="442" t="s">
        <v>382</v>
      </c>
      <c r="D23" s="442"/>
      <c r="E23" s="442"/>
      <c r="F23" s="442"/>
      <c r="G23" s="492">
        <f>G17*$E$5</f>
        <v>7500000</v>
      </c>
      <c r="H23" s="492">
        <f>H17*$E$5</f>
        <v>7500000</v>
      </c>
      <c r="I23" s="492">
        <f>I17*$E$5</f>
        <v>7500000</v>
      </c>
      <c r="J23" s="492">
        <f>J17*$E$5</f>
        <v>7500000</v>
      </c>
      <c r="K23" s="492">
        <f>K17*$E$5</f>
        <v>7500000</v>
      </c>
      <c r="L23" s="493"/>
      <c r="M23" s="493"/>
      <c r="N23" s="493"/>
      <c r="O23" s="493"/>
      <c r="P23" s="493"/>
      <c r="Q23" s="437">
        <f t="shared" si="3"/>
        <v>37500000</v>
      </c>
      <c r="R23" s="428"/>
      <c r="S23" s="440"/>
      <c r="T23" s="440"/>
      <c r="U23" s="440"/>
      <c r="V23" s="440"/>
      <c r="W23" s="438"/>
      <c r="X23" s="404"/>
    </row>
    <row r="24" spans="2:24" s="360" customFormat="1" x14ac:dyDescent="0.35">
      <c r="B24" s="429" t="s">
        <v>488</v>
      </c>
      <c r="C24" s="429"/>
      <c r="D24" s="429"/>
      <c r="E24" s="429"/>
      <c r="F24" s="429"/>
      <c r="G24" s="430">
        <f>SUM(G20:G23)</f>
        <v>52500000</v>
      </c>
      <c r="H24" s="430">
        <f t="shared" ref="H24:K24" si="4">SUM(H20:H23)</f>
        <v>52500000</v>
      </c>
      <c r="I24" s="430">
        <f t="shared" si="4"/>
        <v>52500000</v>
      </c>
      <c r="J24" s="430">
        <f t="shared" si="4"/>
        <v>52500000</v>
      </c>
      <c r="K24" s="430">
        <f t="shared" si="4"/>
        <v>52500000</v>
      </c>
      <c r="L24" s="430"/>
      <c r="M24" s="430"/>
      <c r="N24" s="430"/>
      <c r="O24" s="430"/>
      <c r="P24" s="430"/>
      <c r="Q24" s="443">
        <f>SUM(Q20:Q23)</f>
        <v>262500000</v>
      </c>
      <c r="R24" s="432"/>
      <c r="S24" s="444"/>
      <c r="T24" s="444"/>
      <c r="U24" s="444"/>
      <c r="V24" s="444"/>
      <c r="W24" s="432"/>
      <c r="X24" s="445"/>
    </row>
    <row r="25" spans="2:24" s="360" customFormat="1" x14ac:dyDescent="0.35">
      <c r="B25" s="360" t="s">
        <v>489</v>
      </c>
      <c r="G25" s="455">
        <f>G17-G24</f>
        <v>97500000</v>
      </c>
      <c r="H25" s="446">
        <f>H17-H24</f>
        <v>97500000</v>
      </c>
      <c r="I25" s="446">
        <f t="shared" ref="I25:K25" si="5">I17-I24</f>
        <v>97500000</v>
      </c>
      <c r="J25" s="446">
        <f t="shared" si="5"/>
        <v>97500000</v>
      </c>
      <c r="K25" s="446">
        <f t="shared" si="5"/>
        <v>97500000</v>
      </c>
      <c r="L25" s="446"/>
      <c r="M25" s="446"/>
      <c r="N25" s="446"/>
      <c r="O25" s="446"/>
      <c r="P25" s="446"/>
      <c r="Q25" s="447">
        <f>Q17-Q24</f>
        <v>487500000</v>
      </c>
      <c r="R25" s="432"/>
      <c r="S25" s="440"/>
      <c r="T25" s="440"/>
      <c r="U25" s="440"/>
      <c r="V25" s="440"/>
      <c r="W25" s="432"/>
      <c r="X25" s="445"/>
    </row>
    <row r="26" spans="2:24" s="360" customFormat="1" x14ac:dyDescent="0.35">
      <c r="B26" s="448" t="s">
        <v>490</v>
      </c>
      <c r="C26" s="449"/>
      <c r="D26" s="449"/>
      <c r="E26" s="449"/>
      <c r="F26" s="449"/>
      <c r="G26" s="450">
        <v>0</v>
      </c>
      <c r="H26" s="450">
        <f>H25/H17</f>
        <v>0.65</v>
      </c>
      <c r="I26" s="450">
        <f t="shared" ref="I26:K26" si="6">I25/I17</f>
        <v>0.65</v>
      </c>
      <c r="J26" s="450">
        <f t="shared" si="6"/>
        <v>0.65</v>
      </c>
      <c r="K26" s="450">
        <f t="shared" si="6"/>
        <v>0.65</v>
      </c>
      <c r="L26" s="450"/>
      <c r="M26" s="450"/>
      <c r="N26" s="450"/>
      <c r="O26" s="450"/>
      <c r="P26" s="450"/>
      <c r="Q26" s="451">
        <f>Q25/Q17</f>
        <v>0.65</v>
      </c>
      <c r="R26" s="434"/>
      <c r="S26" s="404"/>
      <c r="T26" s="404"/>
      <c r="U26" s="404"/>
      <c r="V26" s="404"/>
      <c r="W26" s="434"/>
      <c r="X26" s="445"/>
    </row>
    <row r="27" spans="2:24" x14ac:dyDescent="0.35">
      <c r="B27" s="442" t="s">
        <v>491</v>
      </c>
      <c r="C27" s="442"/>
      <c r="D27" s="442"/>
      <c r="E27" s="442"/>
      <c r="F27" s="442"/>
      <c r="G27" s="452">
        <f>G49</f>
        <v>99086786.960937485</v>
      </c>
      <c r="H27" s="452">
        <f>H49</f>
        <v>99086786.960937485</v>
      </c>
      <c r="I27" s="452">
        <f>I49</f>
        <v>99086786.960937485</v>
      </c>
      <c r="J27" s="452">
        <f>J49</f>
        <v>99086786.960937485</v>
      </c>
      <c r="K27" s="452">
        <f>K49</f>
        <v>99086786.960937485</v>
      </c>
      <c r="L27" s="452"/>
      <c r="M27" s="452"/>
      <c r="N27" s="452"/>
      <c r="O27" s="452"/>
      <c r="P27" s="452"/>
      <c r="Q27" s="453">
        <f>SUM(G27:K27)</f>
        <v>495433934.80468744</v>
      </c>
      <c r="R27" s="419"/>
      <c r="S27" s="454"/>
      <c r="T27" s="454"/>
      <c r="U27" s="454"/>
      <c r="V27" s="454"/>
      <c r="W27" s="419"/>
      <c r="X27" s="404"/>
    </row>
    <row r="28" spans="2:24" x14ac:dyDescent="0.35">
      <c r="B28" s="359" t="s">
        <v>492</v>
      </c>
      <c r="G28" s="455">
        <f t="shared" ref="G28:Q28" si="7">G25-G27</f>
        <v>-1586786.9609374851</v>
      </c>
      <c r="H28" s="455">
        <f t="shared" si="7"/>
        <v>-1586786.9609374851</v>
      </c>
      <c r="I28" s="455">
        <f t="shared" si="7"/>
        <v>-1586786.9609374851</v>
      </c>
      <c r="J28" s="455">
        <f t="shared" si="7"/>
        <v>-1586786.9609374851</v>
      </c>
      <c r="K28" s="455">
        <f t="shared" si="7"/>
        <v>-1586786.9609374851</v>
      </c>
      <c r="L28" s="455"/>
      <c r="M28" s="455"/>
      <c r="N28" s="455"/>
      <c r="O28" s="455"/>
      <c r="P28" s="455"/>
      <c r="Q28" s="456">
        <f t="shared" si="7"/>
        <v>-7933934.8046874404</v>
      </c>
      <c r="R28" s="440"/>
      <c r="S28" s="454"/>
      <c r="T28" s="454"/>
      <c r="U28" s="454"/>
      <c r="V28" s="454"/>
      <c r="W28" s="440"/>
      <c r="X28" s="404"/>
    </row>
    <row r="29" spans="2:24" x14ac:dyDescent="0.35">
      <c r="B29" s="359" t="s">
        <v>493</v>
      </c>
      <c r="G29" s="457">
        <f>Parameter!G16</f>
        <v>32401171.532500006</v>
      </c>
      <c r="H29" s="457">
        <f>Parameter!H16</f>
        <v>15912202.9375</v>
      </c>
      <c r="I29" s="457">
        <f>Parameter!I16</f>
        <v>4754002.32</v>
      </c>
      <c r="J29" s="457">
        <f>Parameter!J16</f>
        <v>2518810</v>
      </c>
      <c r="K29" s="457">
        <f>Parameter!K16</f>
        <v>1525286</v>
      </c>
      <c r="L29" s="457"/>
      <c r="M29" s="457"/>
      <c r="N29" s="457"/>
      <c r="O29" s="457"/>
      <c r="P29" s="457"/>
      <c r="Q29" s="458">
        <f>SUM(G29:K29)</f>
        <v>57111472.790000007</v>
      </c>
      <c r="R29" s="440"/>
      <c r="S29" s="454"/>
      <c r="T29" s="454"/>
      <c r="U29" s="454"/>
      <c r="V29" s="454"/>
      <c r="W29" s="440"/>
      <c r="X29" s="404"/>
    </row>
    <row r="30" spans="2:24" x14ac:dyDescent="0.35">
      <c r="B30" s="359" t="s">
        <v>494</v>
      </c>
      <c r="G30" s="459">
        <f t="shared" ref="G30:K30" si="8">G28-G29</f>
        <v>-33987958.493437491</v>
      </c>
      <c r="H30" s="459">
        <f t="shared" si="8"/>
        <v>-17498989.898437485</v>
      </c>
      <c r="I30" s="459">
        <f t="shared" si="8"/>
        <v>-6340789.2809374854</v>
      </c>
      <c r="J30" s="459">
        <f t="shared" si="8"/>
        <v>-4105596.9609374851</v>
      </c>
      <c r="K30" s="459">
        <f t="shared" si="8"/>
        <v>-3112072.9609374851</v>
      </c>
      <c r="L30" s="457"/>
      <c r="M30" s="457"/>
      <c r="N30" s="457"/>
      <c r="O30" s="457"/>
      <c r="P30" s="457"/>
      <c r="Q30" s="458">
        <f>SUM(G30:K30)</f>
        <v>-65045407.594687432</v>
      </c>
      <c r="R30" s="440"/>
      <c r="S30" s="460"/>
      <c r="T30" s="460"/>
      <c r="U30" s="460"/>
      <c r="V30" s="460"/>
      <c r="W30" s="440"/>
      <c r="X30" s="404"/>
    </row>
    <row r="31" spans="2:24" x14ac:dyDescent="0.35">
      <c r="B31" s="442" t="s">
        <v>495</v>
      </c>
      <c r="C31" s="442"/>
      <c r="D31" s="442"/>
      <c r="E31" s="442"/>
      <c r="F31" s="442"/>
      <c r="G31" s="461">
        <f>IF(G30&lt;0,0,G30*$E$3)</f>
        <v>0</v>
      </c>
      <c r="H31" s="461">
        <f>IF(H30&lt;0,0,H30*$E$3)</f>
        <v>0</v>
      </c>
      <c r="I31" s="461">
        <f>IF(I30&lt;0,0,I30*$E$3)</f>
        <v>0</v>
      </c>
      <c r="J31" s="461">
        <f>IF(J30&lt;0,0,J30*$E$3)</f>
        <v>0</v>
      </c>
      <c r="K31" s="461">
        <f>IF(K30&lt;0,0,K30*$E$3)</f>
        <v>0</v>
      </c>
      <c r="L31" s="461"/>
      <c r="M31" s="461"/>
      <c r="N31" s="461"/>
      <c r="O31" s="461"/>
      <c r="P31" s="461"/>
      <c r="Q31" s="462">
        <f>SUM(G31:K31)</f>
        <v>0</v>
      </c>
      <c r="R31" s="444"/>
      <c r="W31" s="454"/>
      <c r="X31" s="404"/>
    </row>
    <row r="32" spans="2:24" ht="16" thickBot="1" x14ac:dyDescent="0.4">
      <c r="B32" s="463" t="s">
        <v>496</v>
      </c>
      <c r="C32" s="463"/>
      <c r="D32" s="463"/>
      <c r="E32" s="463"/>
      <c r="F32" s="463"/>
      <c r="G32" s="464">
        <f>G30-G31</f>
        <v>-33987958.493437491</v>
      </c>
      <c r="H32" s="464">
        <f t="shared" ref="H32:K32" si="9">H30-H31</f>
        <v>-17498989.898437485</v>
      </c>
      <c r="I32" s="464">
        <f t="shared" si="9"/>
        <v>-6340789.2809374854</v>
      </c>
      <c r="J32" s="464">
        <f t="shared" si="9"/>
        <v>-4105596.9609374851</v>
      </c>
      <c r="K32" s="464">
        <f t="shared" si="9"/>
        <v>-3112072.9609374851</v>
      </c>
      <c r="L32" s="464"/>
      <c r="M32" s="464"/>
      <c r="N32" s="464"/>
      <c r="O32" s="464"/>
      <c r="P32" s="464"/>
      <c r="Q32" s="465">
        <f>Q28-Q31</f>
        <v>-7933934.8046874404</v>
      </c>
      <c r="R32" s="440"/>
      <c r="W32" s="440"/>
      <c r="X32" s="404"/>
    </row>
    <row r="33" spans="2:24" x14ac:dyDescent="0.35">
      <c r="Q33" s="420"/>
      <c r="R33" s="404"/>
      <c r="W33" s="404"/>
      <c r="X33" s="404"/>
    </row>
    <row r="34" spans="2:24" x14ac:dyDescent="0.35">
      <c r="B34" s="442" t="s">
        <v>497</v>
      </c>
      <c r="C34" s="442"/>
      <c r="D34" s="442"/>
      <c r="E34" s="442"/>
      <c r="F34" s="442"/>
      <c r="G34" s="466">
        <f>-G9+-G10</f>
        <v>-495433934.80468744</v>
      </c>
      <c r="H34" s="466">
        <f>-I9+-I10</f>
        <v>0</v>
      </c>
      <c r="I34" s="466">
        <f>-J9+-J10</f>
        <v>0</v>
      </c>
      <c r="J34" s="466">
        <f>-K9+-K10</f>
        <v>0</v>
      </c>
      <c r="K34" s="466">
        <f>-Q9+-Q10</f>
        <v>0</v>
      </c>
      <c r="L34" s="466"/>
      <c r="M34" s="466"/>
      <c r="N34" s="466"/>
      <c r="O34" s="466"/>
      <c r="P34" s="466"/>
      <c r="Q34" s="467"/>
      <c r="R34" s="454"/>
      <c r="W34" s="454"/>
      <c r="X34" s="404"/>
    </row>
    <row r="35" spans="2:24" x14ac:dyDescent="0.35">
      <c r="B35" s="359" t="s">
        <v>498</v>
      </c>
      <c r="F35" s="468"/>
      <c r="G35" s="468">
        <f>G34+G32+G27</f>
        <v>-430335106.33718741</v>
      </c>
      <c r="H35" s="468">
        <f>H34+H32+H27</f>
        <v>81587797.0625</v>
      </c>
      <c r="I35" s="468">
        <f t="shared" ref="I35:J35" si="10">I34+I32+I27</f>
        <v>92745997.680000007</v>
      </c>
      <c r="J35" s="468">
        <f t="shared" si="10"/>
        <v>94981190</v>
      </c>
      <c r="K35" s="468">
        <f>K34+K32+K27</f>
        <v>95974714</v>
      </c>
      <c r="L35" s="468"/>
      <c r="M35" s="468"/>
      <c r="N35" s="468"/>
      <c r="O35" s="468"/>
      <c r="P35" s="468"/>
      <c r="Q35" s="469">
        <f>SUM(F35:K35)</f>
        <v>-65045407.594687402</v>
      </c>
      <c r="R35" s="454"/>
      <c r="S35" s="407"/>
      <c r="T35" s="414"/>
      <c r="U35" s="407"/>
      <c r="V35" s="414"/>
      <c r="W35" s="454"/>
      <c r="X35" s="404"/>
    </row>
    <row r="36" spans="2:24" x14ac:dyDescent="0.35">
      <c r="B36" s="359" t="s">
        <v>499</v>
      </c>
      <c r="F36" s="468"/>
      <c r="G36" s="468">
        <f>F36+G35</f>
        <v>-430335106.33718741</v>
      </c>
      <c r="H36" s="468">
        <f t="shared" ref="H36:K36" si="11">G36+H35</f>
        <v>-348747309.27468741</v>
      </c>
      <c r="I36" s="468">
        <f t="shared" si="11"/>
        <v>-256001311.5946874</v>
      </c>
      <c r="J36" s="468">
        <f t="shared" si="11"/>
        <v>-161020121.5946874</v>
      </c>
      <c r="K36" s="468">
        <f t="shared" si="11"/>
        <v>-65045407.594687402</v>
      </c>
      <c r="L36" s="468"/>
      <c r="M36" s="468"/>
      <c r="N36" s="468"/>
      <c r="O36" s="468"/>
      <c r="P36" s="468"/>
      <c r="Q36" s="469"/>
      <c r="R36" s="454"/>
      <c r="S36" s="470"/>
      <c r="T36" s="470"/>
      <c r="U36" s="470"/>
      <c r="V36" s="470"/>
      <c r="W36" s="454"/>
      <c r="X36" s="404"/>
    </row>
    <row r="37" spans="2:24" x14ac:dyDescent="0.35">
      <c r="B37" s="359" t="s">
        <v>500</v>
      </c>
      <c r="F37" s="468"/>
      <c r="G37" s="460">
        <f>IF(AND(F36&lt;0,G36&gt;0),G42-(G36/G35),0)</f>
        <v>0</v>
      </c>
      <c r="H37" s="460">
        <f t="shared" ref="H37:K37" si="12">IF(AND(G36&lt;0,H36&gt;0),H42-(H36/H35),0)</f>
        <v>0</v>
      </c>
      <c r="I37" s="460">
        <f t="shared" si="12"/>
        <v>0</v>
      </c>
      <c r="J37" s="460">
        <f t="shared" si="12"/>
        <v>0</v>
      </c>
      <c r="K37" s="460">
        <f t="shared" si="12"/>
        <v>0</v>
      </c>
      <c r="L37" s="460"/>
      <c r="M37" s="460"/>
      <c r="N37" s="460"/>
      <c r="O37" s="460"/>
      <c r="P37" s="460"/>
      <c r="Q37" s="471"/>
      <c r="R37" s="460"/>
      <c r="S37" s="472"/>
      <c r="T37" s="472"/>
      <c r="U37" s="472"/>
      <c r="V37" s="472"/>
      <c r="W37" s="460"/>
    </row>
    <row r="38" spans="2:24" x14ac:dyDescent="0.35">
      <c r="B38" s="473" t="s">
        <v>268</v>
      </c>
      <c r="C38" s="474"/>
      <c r="D38" s="474"/>
      <c r="E38" s="474"/>
      <c r="F38" s="495">
        <f>IRR(G35:K35)</f>
        <v>-6.1073004548168663E-2</v>
      </c>
      <c r="S38" s="472"/>
      <c r="T38" s="472"/>
      <c r="U38" s="472"/>
      <c r="V38" s="472"/>
    </row>
    <row r="39" spans="2:24" x14ac:dyDescent="0.35">
      <c r="B39" s="475" t="s">
        <v>267</v>
      </c>
      <c r="C39" s="409"/>
      <c r="D39" s="409"/>
      <c r="E39" s="409"/>
      <c r="F39" s="496">
        <f>NPV(E4,H35:K35)+G35</f>
        <v>-142602001.98435128</v>
      </c>
      <c r="H39" s="476"/>
      <c r="I39" s="477"/>
      <c r="S39" s="472"/>
      <c r="T39" s="472"/>
      <c r="U39" s="472"/>
      <c r="V39" s="472"/>
    </row>
    <row r="40" spans="2:24" x14ac:dyDescent="0.35">
      <c r="B40" s="475" t="s">
        <v>443</v>
      </c>
      <c r="C40" s="409"/>
      <c r="D40" s="409"/>
      <c r="E40" s="409"/>
      <c r="F40" s="478">
        <f>Q26</f>
        <v>0.65</v>
      </c>
      <c r="H40" s="427"/>
      <c r="S40" s="472"/>
      <c r="T40" s="472"/>
      <c r="U40" s="472"/>
      <c r="V40" s="472"/>
    </row>
    <row r="41" spans="2:24" x14ac:dyDescent="0.35">
      <c r="B41" s="479" t="s">
        <v>501</v>
      </c>
      <c r="C41" s="480"/>
      <c r="D41" s="480"/>
      <c r="E41" s="480"/>
      <c r="F41" s="481">
        <f>SUM(F37:K37)</f>
        <v>0</v>
      </c>
      <c r="S41" s="472"/>
      <c r="T41" s="472"/>
      <c r="U41" s="472"/>
      <c r="V41" s="472"/>
    </row>
    <row r="42" spans="2:24" ht="9.65" customHeight="1" x14ac:dyDescent="0.35">
      <c r="G42" s="414">
        <v>1</v>
      </c>
      <c r="H42" s="407">
        <v>2</v>
      </c>
      <c r="I42" s="414">
        <v>3</v>
      </c>
      <c r="J42" s="407">
        <v>4</v>
      </c>
      <c r="K42" s="414">
        <v>5</v>
      </c>
      <c r="L42" s="414"/>
      <c r="M42" s="414"/>
      <c r="N42" s="414"/>
      <c r="O42" s="414"/>
      <c r="P42" s="414"/>
      <c r="Q42" s="407"/>
      <c r="R42" s="414"/>
      <c r="S42" s="482"/>
      <c r="T42" s="482"/>
      <c r="U42" s="482"/>
      <c r="V42" s="482"/>
    </row>
    <row r="43" spans="2:24" x14ac:dyDescent="0.35">
      <c r="B43" s="483" t="s">
        <v>502</v>
      </c>
      <c r="E43" s="470" t="s">
        <v>503</v>
      </c>
      <c r="G43" s="470" t="str">
        <f>G12</f>
        <v>Year 1</v>
      </c>
      <c r="H43" s="470" t="str">
        <f>H12</f>
        <v>Year 2</v>
      </c>
      <c r="I43" s="470" t="str">
        <f>I12</f>
        <v>Year 3</v>
      </c>
      <c r="J43" s="470" t="str">
        <f>J12</f>
        <v>Year 4</v>
      </c>
      <c r="K43" s="470" t="str">
        <f>K12</f>
        <v>Year 5</v>
      </c>
      <c r="L43" s="470"/>
      <c r="M43" s="470"/>
      <c r="N43" s="470"/>
      <c r="O43" s="470"/>
      <c r="P43" s="470"/>
      <c r="Q43" s="470"/>
      <c r="R43" s="470"/>
      <c r="W43" s="470"/>
    </row>
    <row r="44" spans="2:24" x14ac:dyDescent="0.35">
      <c r="D44" s="359" t="s">
        <v>471</v>
      </c>
      <c r="E44" s="359">
        <v>5</v>
      </c>
      <c r="G44" s="484">
        <f>SUM(G9:G10)/$E44</f>
        <v>99086786.960937485</v>
      </c>
      <c r="H44" s="472">
        <f>G44</f>
        <v>99086786.960937485</v>
      </c>
      <c r="I44" s="472">
        <f t="shared" ref="I44:K45" si="13">H44</f>
        <v>99086786.960937485</v>
      </c>
      <c r="J44" s="472">
        <f t="shared" si="13"/>
        <v>99086786.960937485</v>
      </c>
      <c r="K44" s="472">
        <f t="shared" si="13"/>
        <v>99086786.960937485</v>
      </c>
      <c r="L44" s="472"/>
      <c r="M44" s="472"/>
      <c r="N44" s="472"/>
      <c r="O44" s="472"/>
      <c r="P44" s="472"/>
      <c r="Q44" s="472"/>
      <c r="R44" s="472"/>
      <c r="W44" s="485"/>
    </row>
    <row r="45" spans="2:24" hidden="1" x14ac:dyDescent="0.35">
      <c r="D45" s="359" t="s">
        <v>473</v>
      </c>
      <c r="E45" s="359">
        <v>4</v>
      </c>
      <c r="H45" s="484">
        <f>I$10/$E45</f>
        <v>0</v>
      </c>
      <c r="J45" s="472">
        <f>H45</f>
        <v>0</v>
      </c>
      <c r="K45" s="472">
        <f t="shared" si="13"/>
        <v>0</v>
      </c>
      <c r="L45" s="472"/>
      <c r="M45" s="472"/>
      <c r="N45" s="472"/>
      <c r="O45" s="472"/>
      <c r="P45" s="472"/>
      <c r="Q45" s="472"/>
      <c r="R45" s="472"/>
      <c r="W45" s="485"/>
    </row>
    <row r="46" spans="2:24" hidden="1" x14ac:dyDescent="0.35">
      <c r="D46" s="359" t="s">
        <v>474</v>
      </c>
      <c r="E46" s="359">
        <v>3</v>
      </c>
      <c r="I46" s="484">
        <f>J$9/$E46</f>
        <v>0</v>
      </c>
      <c r="K46" s="472">
        <f>I46</f>
        <v>0</v>
      </c>
      <c r="L46" s="472"/>
      <c r="M46" s="472"/>
      <c r="N46" s="472"/>
      <c r="O46" s="472"/>
      <c r="P46" s="472"/>
      <c r="Q46" s="472"/>
      <c r="R46" s="472"/>
      <c r="W46" s="485"/>
    </row>
    <row r="47" spans="2:24" hidden="1" x14ac:dyDescent="0.35">
      <c r="D47" s="359" t="s">
        <v>475</v>
      </c>
      <c r="E47" s="359">
        <v>2</v>
      </c>
      <c r="J47" s="484"/>
      <c r="Q47" s="472"/>
      <c r="R47" s="472"/>
      <c r="W47" s="485"/>
    </row>
    <row r="48" spans="2:24" hidden="1" x14ac:dyDescent="0.35">
      <c r="D48" s="359" t="s">
        <v>476</v>
      </c>
      <c r="E48" s="359">
        <v>1</v>
      </c>
      <c r="K48" s="484"/>
      <c r="L48" s="484"/>
      <c r="M48" s="484"/>
      <c r="N48" s="484"/>
      <c r="O48" s="484"/>
      <c r="P48" s="484"/>
      <c r="Q48" s="472"/>
      <c r="R48" s="472"/>
      <c r="W48" s="485"/>
    </row>
    <row r="49" spans="2:23" ht="16" thickBot="1" x14ac:dyDescent="0.4">
      <c r="B49" s="486" t="s">
        <v>504</v>
      </c>
      <c r="C49" s="487"/>
      <c r="D49" s="487"/>
      <c r="E49" s="487"/>
      <c r="F49" s="487"/>
      <c r="G49" s="488">
        <f>SUM(G44:G47)</f>
        <v>99086786.960937485</v>
      </c>
      <c r="H49" s="488">
        <f>SUM(H44:H47)</f>
        <v>99086786.960937485</v>
      </c>
      <c r="I49" s="488">
        <f>SUM(I44:I47)</f>
        <v>99086786.960937485</v>
      </c>
      <c r="J49" s="488">
        <f>SUM(J44:J47)</f>
        <v>99086786.960937485</v>
      </c>
      <c r="K49" s="488">
        <f>SUM(K44:K47)</f>
        <v>99086786.960937485</v>
      </c>
      <c r="L49" s="482"/>
      <c r="M49" s="482"/>
      <c r="N49" s="482"/>
      <c r="O49" s="482"/>
      <c r="P49" s="482"/>
      <c r="Q49" s="482"/>
      <c r="R49" s="482"/>
      <c r="W49" s="482"/>
    </row>
    <row r="50" spans="2:23" ht="16" thickTop="1" x14ac:dyDescent="0.35">
      <c r="W50" s="477"/>
    </row>
    <row r="52" spans="2:23" x14ac:dyDescent="0.35">
      <c r="F52" s="359" t="s">
        <v>444</v>
      </c>
    </row>
    <row r="53" spans="2:23" x14ac:dyDescent="0.35">
      <c r="E53" s="397">
        <v>2018</v>
      </c>
      <c r="F53" s="397">
        <f>E53+1</f>
        <v>2019</v>
      </c>
      <c r="G53" s="397">
        <f>F53+1</f>
        <v>2020</v>
      </c>
      <c r="H53" s="397">
        <f>G53+1</f>
        <v>2021</v>
      </c>
      <c r="I53" s="397">
        <f>H53+1</f>
        <v>2022</v>
      </c>
      <c r="J53" s="397">
        <f>I53+1</f>
        <v>2023</v>
      </c>
      <c r="L53" s="397">
        <f>I53+1</f>
        <v>2023</v>
      </c>
      <c r="M53" s="397">
        <f t="shared" ref="M53:P53" si="14">L53+1</f>
        <v>2024</v>
      </c>
      <c r="N53" s="397">
        <f t="shared" si="14"/>
        <v>2025</v>
      </c>
      <c r="O53" s="397">
        <f t="shared" si="14"/>
        <v>2026</v>
      </c>
      <c r="P53" s="397">
        <f t="shared" si="14"/>
        <v>2027</v>
      </c>
      <c r="Q53" s="397"/>
    </row>
    <row r="54" spans="2:23" x14ac:dyDescent="0.35">
      <c r="D54" s="359" t="s">
        <v>343</v>
      </c>
      <c r="E54" s="490">
        <v>1438621</v>
      </c>
      <c r="F54" s="491">
        <v>21657733</v>
      </c>
      <c r="G54" s="491">
        <v>17262134</v>
      </c>
      <c r="H54" s="359">
        <v>13000000</v>
      </c>
      <c r="I54" s="359">
        <v>14875000</v>
      </c>
      <c r="J54" s="359">
        <v>14260000</v>
      </c>
    </row>
  </sheetData>
  <mergeCells count="1">
    <mergeCell ref="E17:F17"/>
  </mergeCells>
  <pageMargins left="0.56000000000000005" right="0.25" top="0.37" bottom="0.16" header="0.3" footer="0.3"/>
  <pageSetup paperSize="9" scale="8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W36"/>
  <sheetViews>
    <sheetView topLeftCell="A13" zoomScaleNormal="100" workbookViewId="0">
      <selection activeCell="D38" sqref="D38"/>
    </sheetView>
  </sheetViews>
  <sheetFormatPr defaultColWidth="9.08984375" defaultRowHeight="14.5" x14ac:dyDescent="0.35"/>
  <cols>
    <col min="1" max="1" width="5.54296875" style="290" customWidth="1"/>
    <col min="2" max="2" width="25.453125" style="290" customWidth="1"/>
    <col min="3" max="3" width="45.6328125" style="290" customWidth="1"/>
    <col min="4" max="4" width="44.90625" style="290" customWidth="1"/>
    <col min="5" max="5" width="8.54296875" style="290" customWidth="1"/>
    <col min="6" max="6" width="26.6328125" style="290" customWidth="1"/>
    <col min="7" max="7" width="20.90625" style="290" customWidth="1"/>
    <col min="8" max="8" width="17.54296875" style="290" customWidth="1"/>
    <col min="9" max="20" width="9.08984375" style="290"/>
    <col min="21" max="21" width="26.6328125" style="290" customWidth="1"/>
    <col min="22" max="22" width="20.90625" style="290" customWidth="1"/>
    <col min="23" max="23" width="17.54296875" style="290" customWidth="1"/>
    <col min="24" max="16384" width="9.08984375" style="290"/>
  </cols>
  <sheetData>
    <row r="1" spans="1:23" ht="21" x14ac:dyDescent="0.5">
      <c r="C1" s="291" t="s">
        <v>315</v>
      </c>
    </row>
    <row r="3" spans="1:23" x14ac:dyDescent="0.35">
      <c r="A3" s="292" t="s">
        <v>316</v>
      </c>
      <c r="B3" s="292"/>
      <c r="C3" s="293" t="s">
        <v>317</v>
      </c>
    </row>
    <row r="4" spans="1:23" x14ac:dyDescent="0.35">
      <c r="A4" s="292" t="s">
        <v>318</v>
      </c>
      <c r="B4" s="292"/>
      <c r="C4" s="293" t="s">
        <v>319</v>
      </c>
    </row>
    <row r="5" spans="1:23" x14ac:dyDescent="0.35">
      <c r="A5" s="292" t="s">
        <v>320</v>
      </c>
      <c r="B5" s="292"/>
      <c r="C5" s="293" t="s">
        <v>321</v>
      </c>
    </row>
    <row r="6" spans="1:23" x14ac:dyDescent="0.35">
      <c r="A6" s="292" t="s">
        <v>322</v>
      </c>
      <c r="B6" s="292"/>
      <c r="C6" s="293" t="s">
        <v>323</v>
      </c>
    </row>
    <row r="7" spans="1:23" x14ac:dyDescent="0.35">
      <c r="A7" s="292" t="s">
        <v>324</v>
      </c>
      <c r="B7" s="292"/>
      <c r="C7" s="293" t="s">
        <v>325</v>
      </c>
    </row>
    <row r="9" spans="1:23" x14ac:dyDescent="0.35">
      <c r="A9" s="616" t="s">
        <v>326</v>
      </c>
      <c r="B9" s="617" t="s">
        <v>201</v>
      </c>
      <c r="C9" s="617" t="s">
        <v>327</v>
      </c>
      <c r="D9" s="617" t="s">
        <v>328</v>
      </c>
      <c r="F9" s="612" t="s">
        <v>354</v>
      </c>
      <c r="G9" s="612"/>
      <c r="H9" s="612"/>
      <c r="U9" s="612" t="s">
        <v>354</v>
      </c>
      <c r="V9" s="612"/>
      <c r="W9" s="612"/>
    </row>
    <row r="10" spans="1:23" x14ac:dyDescent="0.35">
      <c r="A10" s="616"/>
      <c r="B10" s="618"/>
      <c r="C10" s="618"/>
      <c r="D10" s="618"/>
      <c r="F10" s="303" t="s">
        <v>345</v>
      </c>
      <c r="G10" s="303" t="s">
        <v>346</v>
      </c>
      <c r="H10" s="303" t="s">
        <v>347</v>
      </c>
      <c r="U10" s="322" t="s">
        <v>345</v>
      </c>
      <c r="V10" s="322" t="s">
        <v>346</v>
      </c>
      <c r="W10" s="322" t="s">
        <v>347</v>
      </c>
    </row>
    <row r="11" spans="1:23" x14ac:dyDescent="0.35">
      <c r="A11" s="294">
        <v>1</v>
      </c>
      <c r="B11" s="295" t="s">
        <v>329</v>
      </c>
      <c r="C11" s="295" t="s">
        <v>330</v>
      </c>
      <c r="D11" s="295" t="s">
        <v>330</v>
      </c>
      <c r="F11" s="295" t="s">
        <v>341</v>
      </c>
      <c r="G11" s="304">
        <v>43616</v>
      </c>
      <c r="H11" s="304">
        <v>45442</v>
      </c>
      <c r="N11" s="290">
        <v>2020</v>
      </c>
      <c r="O11" s="290">
        <v>2021</v>
      </c>
      <c r="P11" s="290">
        <v>2022</v>
      </c>
      <c r="Q11" s="290">
        <v>2023</v>
      </c>
      <c r="R11" s="290">
        <v>2024</v>
      </c>
      <c r="U11" s="295" t="s">
        <v>341</v>
      </c>
      <c r="V11" s="304">
        <v>45444</v>
      </c>
      <c r="W11" s="304">
        <v>46538</v>
      </c>
    </row>
    <row r="12" spans="1:23" x14ac:dyDescent="0.35">
      <c r="A12" s="294">
        <v>2</v>
      </c>
      <c r="B12" s="295" t="s">
        <v>331</v>
      </c>
      <c r="C12" s="296" t="str">
        <f>C7</f>
        <v>: 92 Omni +  Unit Pole Antenna + RBS  m²</v>
      </c>
      <c r="D12" s="297" t="str">
        <f>C7</f>
        <v>: 92 Omni +  Unit Pole Antenna + RBS  m²</v>
      </c>
      <c r="F12" s="295" t="s">
        <v>342</v>
      </c>
      <c r="G12" s="304">
        <v>44152</v>
      </c>
      <c r="H12" s="304">
        <v>45442</v>
      </c>
      <c r="O12" s="290">
        <v>31</v>
      </c>
      <c r="P12" s="290">
        <v>31</v>
      </c>
      <c r="Q12" s="290">
        <v>31</v>
      </c>
      <c r="R12" s="290">
        <v>31</v>
      </c>
      <c r="U12" s="295" t="s">
        <v>342</v>
      </c>
      <c r="V12" s="304">
        <v>45444</v>
      </c>
      <c r="W12" s="304">
        <v>45808</v>
      </c>
    </row>
    <row r="13" spans="1:23" x14ac:dyDescent="0.35">
      <c r="A13" s="294">
        <v>3</v>
      </c>
      <c r="B13" s="298" t="s">
        <v>332</v>
      </c>
      <c r="C13" s="298" t="s">
        <v>333</v>
      </c>
      <c r="D13" s="298" t="s">
        <v>344</v>
      </c>
      <c r="G13" s="305"/>
      <c r="H13" s="305"/>
      <c r="O13" s="290">
        <v>28</v>
      </c>
      <c r="P13" s="290">
        <v>28</v>
      </c>
      <c r="Q13" s="290">
        <v>28</v>
      </c>
      <c r="R13" s="290">
        <v>29</v>
      </c>
      <c r="V13" s="305"/>
      <c r="W13" s="305"/>
    </row>
    <row r="14" spans="1:23" x14ac:dyDescent="0.35">
      <c r="A14" s="294">
        <v>4</v>
      </c>
      <c r="B14" s="299" t="s">
        <v>334</v>
      </c>
      <c r="C14" s="300" t="s">
        <v>335</v>
      </c>
      <c r="D14" s="300" t="s">
        <v>336</v>
      </c>
      <c r="F14" s="290" t="s">
        <v>350</v>
      </c>
      <c r="O14" s="290">
        <v>31</v>
      </c>
      <c r="P14" s="290">
        <v>31</v>
      </c>
      <c r="Q14" s="290">
        <v>31</v>
      </c>
      <c r="R14" s="290">
        <v>31</v>
      </c>
      <c r="U14" s="290" t="s">
        <v>350</v>
      </c>
    </row>
    <row r="15" spans="1:23" x14ac:dyDescent="0.35">
      <c r="A15" s="619">
        <v>6</v>
      </c>
      <c r="B15" s="301" t="s">
        <v>195</v>
      </c>
      <c r="C15" s="295" t="s">
        <v>337</v>
      </c>
      <c r="D15" s="295" t="s">
        <v>337</v>
      </c>
      <c r="F15" s="290" t="s">
        <v>356</v>
      </c>
      <c r="G15" s="306">
        <v>150000000</v>
      </c>
      <c r="H15" s="307">
        <f>G15/365*1291</f>
        <v>530547945.20547944</v>
      </c>
      <c r="I15" s="613"/>
      <c r="J15" s="613"/>
      <c r="O15" s="290">
        <v>30</v>
      </c>
      <c r="P15" s="290">
        <v>30</v>
      </c>
      <c r="Q15" s="290">
        <v>30</v>
      </c>
      <c r="R15" s="290">
        <v>30</v>
      </c>
      <c r="U15" s="290" t="s">
        <v>356</v>
      </c>
      <c r="V15" s="306">
        <v>150000000</v>
      </c>
      <c r="W15" s="307">
        <f>V15/365*1291</f>
        <v>530547945.20547944</v>
      </c>
    </row>
    <row r="16" spans="1:23" x14ac:dyDescent="0.35">
      <c r="A16" s="620"/>
      <c r="B16" s="295"/>
      <c r="C16" s="295" t="s">
        <v>338</v>
      </c>
      <c r="D16" s="295" t="s">
        <v>338</v>
      </c>
      <c r="F16" s="290" t="s">
        <v>357</v>
      </c>
      <c r="G16" s="306">
        <f>200000000/5</f>
        <v>40000000</v>
      </c>
      <c r="H16" s="307">
        <f>-G16/365*1291</f>
        <v>-141479452.05479452</v>
      </c>
      <c r="I16" s="613"/>
      <c r="J16" s="613"/>
      <c r="O16" s="290">
        <v>31</v>
      </c>
      <c r="P16" s="290">
        <v>31</v>
      </c>
      <c r="Q16" s="290">
        <v>31</v>
      </c>
      <c r="R16" s="290">
        <v>30</v>
      </c>
      <c r="U16" s="290" t="s">
        <v>357</v>
      </c>
      <c r="V16" s="306">
        <f>200000000/5</f>
        <v>40000000</v>
      </c>
      <c r="W16" s="307">
        <f>-V16/365*1291</f>
        <v>-141479452.05479452</v>
      </c>
    </row>
    <row r="17" spans="1:23" x14ac:dyDescent="0.35">
      <c r="A17" s="302">
        <v>7</v>
      </c>
      <c r="B17" s="295" t="s">
        <v>339</v>
      </c>
      <c r="C17" s="614" t="s">
        <v>340</v>
      </c>
      <c r="D17" s="615"/>
      <c r="F17" s="290" t="s">
        <v>358</v>
      </c>
      <c r="G17" s="306">
        <v>32880000</v>
      </c>
      <c r="H17" s="307">
        <f>-G17/365*1291</f>
        <v>-116296109.5890411</v>
      </c>
      <c r="I17" s="613"/>
      <c r="J17" s="613"/>
      <c r="O17" s="290">
        <v>30</v>
      </c>
      <c r="P17" s="290">
        <v>30</v>
      </c>
      <c r="Q17" s="290">
        <v>30</v>
      </c>
      <c r="U17" s="290" t="s">
        <v>358</v>
      </c>
      <c r="V17" s="306">
        <v>32880000</v>
      </c>
      <c r="W17" s="307">
        <f>-V17/365*1291</f>
        <v>-116296109.5890411</v>
      </c>
    </row>
    <row r="18" spans="1:23" x14ac:dyDescent="0.35">
      <c r="A18" s="320"/>
      <c r="B18" s="312"/>
      <c r="C18" s="321"/>
      <c r="D18" s="321"/>
      <c r="F18" s="290" t="s">
        <v>355</v>
      </c>
      <c r="G18" s="266">
        <f>110166832</f>
        <v>110166832</v>
      </c>
      <c r="H18" s="266">
        <f>-G18</f>
        <v>-110166832</v>
      </c>
      <c r="U18" s="290" t="s">
        <v>355</v>
      </c>
      <c r="V18" s="266">
        <f>110166832</f>
        <v>110166832</v>
      </c>
      <c r="W18" s="266">
        <f>-V18</f>
        <v>-110166832</v>
      </c>
    </row>
    <row r="19" spans="1:23" x14ac:dyDescent="0.35">
      <c r="F19" s="290" t="s">
        <v>348</v>
      </c>
      <c r="G19" s="308" t="s">
        <v>359</v>
      </c>
      <c r="H19" s="318"/>
      <c r="O19" s="290">
        <v>31</v>
      </c>
      <c r="P19" s="290">
        <v>31</v>
      </c>
      <c r="Q19" s="290">
        <v>31</v>
      </c>
      <c r="U19" s="290" t="s">
        <v>348</v>
      </c>
      <c r="V19" s="308" t="s">
        <v>359</v>
      </c>
      <c r="W19" s="318"/>
    </row>
    <row r="20" spans="1:23" ht="21" x14ac:dyDescent="0.5">
      <c r="C20" s="291" t="s">
        <v>315</v>
      </c>
      <c r="F20" s="290" t="s">
        <v>349</v>
      </c>
      <c r="H20" s="307">
        <f>SUM(H15:H19)</f>
        <v>162605551.56164384</v>
      </c>
      <c r="O20" s="290">
        <v>31</v>
      </c>
      <c r="P20" s="290">
        <v>31</v>
      </c>
      <c r="Q20" s="290">
        <v>31</v>
      </c>
      <c r="U20" s="290" t="s">
        <v>349</v>
      </c>
      <c r="W20" s="307">
        <f>SUM(W15:W19)</f>
        <v>162605551.56164384</v>
      </c>
    </row>
    <row r="21" spans="1:23" x14ac:dyDescent="0.35">
      <c r="F21" s="309" t="s">
        <v>360</v>
      </c>
      <c r="G21" s="310"/>
      <c r="H21" s="319" t="s">
        <v>351</v>
      </c>
      <c r="O21" s="290">
        <v>30</v>
      </c>
      <c r="P21" s="290">
        <v>30</v>
      </c>
      <c r="Q21" s="290">
        <v>30</v>
      </c>
      <c r="U21" s="309" t="s">
        <v>360</v>
      </c>
      <c r="V21" s="310"/>
      <c r="W21" s="319" t="s">
        <v>351</v>
      </c>
    </row>
    <row r="22" spans="1:23" x14ac:dyDescent="0.35">
      <c r="A22" s="292" t="s">
        <v>316</v>
      </c>
      <c r="B22" s="292"/>
      <c r="C22" s="293" t="s">
        <v>317</v>
      </c>
      <c r="F22" s="311" t="s">
        <v>361</v>
      </c>
      <c r="G22" s="312"/>
      <c r="H22" s="313" t="e">
        <f>#REF!</f>
        <v>#REF!</v>
      </c>
      <c r="O22" s="290">
        <v>31</v>
      </c>
      <c r="P22" s="290">
        <v>31</v>
      </c>
      <c r="Q22" s="290">
        <v>31</v>
      </c>
      <c r="U22" s="311" t="s">
        <v>361</v>
      </c>
      <c r="V22" s="312"/>
      <c r="W22" s="313" t="e">
        <f>#REF!</f>
        <v>#REF!</v>
      </c>
    </row>
    <row r="23" spans="1:23" x14ac:dyDescent="0.35">
      <c r="A23" s="292" t="s">
        <v>318</v>
      </c>
      <c r="B23" s="292"/>
      <c r="C23" s="293" t="s">
        <v>319</v>
      </c>
      <c r="F23" s="311" t="s">
        <v>352</v>
      </c>
      <c r="G23" s="312"/>
      <c r="H23" s="314">
        <v>0.09</v>
      </c>
      <c r="N23" s="290">
        <v>14</v>
      </c>
      <c r="O23" s="290">
        <v>30</v>
      </c>
      <c r="P23" s="290">
        <v>30</v>
      </c>
      <c r="Q23" s="290">
        <v>30</v>
      </c>
      <c r="U23" s="311" t="s">
        <v>352</v>
      </c>
      <c r="V23" s="312"/>
      <c r="W23" s="314">
        <v>0.09</v>
      </c>
    </row>
    <row r="24" spans="1:23" x14ac:dyDescent="0.35">
      <c r="A24" s="292" t="s">
        <v>320</v>
      </c>
      <c r="B24" s="292"/>
      <c r="C24" s="293" t="s">
        <v>321</v>
      </c>
      <c r="F24" s="315" t="s">
        <v>353</v>
      </c>
      <c r="G24" s="316"/>
      <c r="H24" s="317" t="e">
        <f>#REF!</f>
        <v>#REF!</v>
      </c>
      <c r="N24" s="290">
        <v>31</v>
      </c>
      <c r="O24" s="290">
        <v>31</v>
      </c>
      <c r="P24" s="290">
        <v>31</v>
      </c>
      <c r="Q24" s="290">
        <v>31</v>
      </c>
      <c r="U24" s="315" t="s">
        <v>353</v>
      </c>
      <c r="V24" s="316"/>
      <c r="W24" s="317" t="e">
        <f>#REF!</f>
        <v>#REF!</v>
      </c>
    </row>
    <row r="25" spans="1:23" x14ac:dyDescent="0.35">
      <c r="A25" s="292" t="s">
        <v>322</v>
      </c>
      <c r="B25" s="292"/>
      <c r="C25" s="293" t="s">
        <v>323</v>
      </c>
      <c r="N25" s="290">
        <f>SUM(N12:N24)</f>
        <v>45</v>
      </c>
      <c r="O25" s="290">
        <f>SUM(O12:O24)</f>
        <v>365</v>
      </c>
      <c r="P25" s="290">
        <f>SUM(P12:P24)</f>
        <v>365</v>
      </c>
      <c r="Q25" s="290">
        <f>SUM(Q12:Q24)</f>
        <v>365</v>
      </c>
      <c r="R25" s="290">
        <f>SUM(R12:R24)</f>
        <v>151</v>
      </c>
    </row>
    <row r="26" spans="1:23" x14ac:dyDescent="0.35">
      <c r="A26" s="292" t="s">
        <v>324</v>
      </c>
      <c r="B26" s="292"/>
      <c r="C26" s="293" t="s">
        <v>325</v>
      </c>
      <c r="F26" s="290" t="s">
        <v>350</v>
      </c>
      <c r="R26" s="290">
        <f>SUM(N25:R25)</f>
        <v>1291</v>
      </c>
      <c r="U26" s="290" t="s">
        <v>350</v>
      </c>
    </row>
    <row r="27" spans="1:23" x14ac:dyDescent="0.35">
      <c r="F27" s="290" t="s">
        <v>356</v>
      </c>
      <c r="G27" s="306">
        <v>150000000</v>
      </c>
      <c r="H27" s="307">
        <f>G27/365*R26</f>
        <v>530547945.20547944</v>
      </c>
      <c r="U27" s="290" t="s">
        <v>356</v>
      </c>
      <c r="V27" s="306">
        <v>150000000</v>
      </c>
      <c r="W27" s="307">
        <f>V27/365*AG26</f>
        <v>0</v>
      </c>
    </row>
    <row r="28" spans="1:23" x14ac:dyDescent="0.35">
      <c r="A28" s="616" t="s">
        <v>326</v>
      </c>
      <c r="B28" s="617" t="s">
        <v>201</v>
      </c>
      <c r="C28" s="617" t="s">
        <v>327</v>
      </c>
      <c r="D28" s="617" t="s">
        <v>328</v>
      </c>
      <c r="F28" s="290" t="s">
        <v>357</v>
      </c>
      <c r="G28" s="306">
        <f>200000000/5</f>
        <v>40000000</v>
      </c>
      <c r="H28" s="307">
        <f>-G28/365*R26</f>
        <v>-141479452.05479452</v>
      </c>
      <c r="U28" s="290" t="s">
        <v>357</v>
      </c>
      <c r="V28" s="306">
        <f>200000000/5</f>
        <v>40000000</v>
      </c>
      <c r="W28" s="307">
        <f>-V28/365*AG26</f>
        <v>0</v>
      </c>
    </row>
    <row r="29" spans="1:23" x14ac:dyDescent="0.35">
      <c r="A29" s="616"/>
      <c r="B29" s="618"/>
      <c r="C29" s="618"/>
      <c r="D29" s="618"/>
      <c r="F29" s="290" t="s">
        <v>358</v>
      </c>
      <c r="G29" s="306">
        <v>32880000</v>
      </c>
      <c r="H29" s="307">
        <f>-G29/365*R26</f>
        <v>-116296109.5890411</v>
      </c>
      <c r="U29" s="290" t="s">
        <v>358</v>
      </c>
      <c r="V29" s="306">
        <v>32880000</v>
      </c>
      <c r="W29" s="307">
        <f>-V29/365*AG26</f>
        <v>0</v>
      </c>
    </row>
    <row r="30" spans="1:23" x14ac:dyDescent="0.35">
      <c r="A30" s="294">
        <v>1</v>
      </c>
      <c r="B30" s="295" t="s">
        <v>329</v>
      </c>
      <c r="C30" s="295" t="s">
        <v>330</v>
      </c>
      <c r="D30" s="295" t="s">
        <v>330</v>
      </c>
      <c r="F30" s="290" t="s">
        <v>355</v>
      </c>
      <c r="G30" s="266">
        <f>110166832</f>
        <v>110166832</v>
      </c>
      <c r="H30" s="266">
        <f>-G30</f>
        <v>-110166832</v>
      </c>
      <c r="U30" s="290" t="s">
        <v>355</v>
      </c>
      <c r="V30" s="266">
        <f>110166832</f>
        <v>110166832</v>
      </c>
      <c r="W30" s="266">
        <f>-V30</f>
        <v>-110166832</v>
      </c>
    </row>
    <row r="31" spans="1:23" x14ac:dyDescent="0.35">
      <c r="A31" s="294">
        <v>2</v>
      </c>
      <c r="B31" s="295" t="s">
        <v>331</v>
      </c>
      <c r="C31" s="296" t="str">
        <f>C26</f>
        <v>: 92 Omni +  Unit Pole Antenna + RBS  m²</v>
      </c>
      <c r="D31" s="297" t="str">
        <f>C26</f>
        <v>: 92 Omni +  Unit Pole Antenna + RBS  m²</v>
      </c>
      <c r="F31" s="290" t="s">
        <v>348</v>
      </c>
      <c r="G31" s="308" t="s">
        <v>359</v>
      </c>
      <c r="H31" s="318"/>
      <c r="U31" s="290" t="s">
        <v>348</v>
      </c>
      <c r="V31" s="308" t="s">
        <v>359</v>
      </c>
      <c r="W31" s="318"/>
    </row>
    <row r="32" spans="1:23" x14ac:dyDescent="0.35">
      <c r="A32" s="294">
        <v>3</v>
      </c>
      <c r="B32" s="298" t="s">
        <v>332</v>
      </c>
      <c r="C32" s="298" t="s">
        <v>509</v>
      </c>
      <c r="D32" s="298" t="s">
        <v>514</v>
      </c>
      <c r="F32" s="290" t="s">
        <v>349</v>
      </c>
      <c r="H32" s="307">
        <f>SUM(H27:H31)</f>
        <v>162605551.56164384</v>
      </c>
      <c r="U32" s="290" t="s">
        <v>349</v>
      </c>
      <c r="W32" s="307">
        <f>SUM(W27:W31)</f>
        <v>-110166832</v>
      </c>
    </row>
    <row r="33" spans="1:23" x14ac:dyDescent="0.35">
      <c r="A33" s="294">
        <v>4</v>
      </c>
      <c r="B33" s="299" t="s">
        <v>334</v>
      </c>
      <c r="C33" s="300" t="s">
        <v>510</v>
      </c>
      <c r="D33" s="300" t="s">
        <v>512</v>
      </c>
      <c r="F33" s="309" t="s">
        <v>360</v>
      </c>
      <c r="G33" s="310"/>
      <c r="H33" s="319" t="s">
        <v>351</v>
      </c>
      <c r="U33" s="309" t="s">
        <v>360</v>
      </c>
      <c r="V33" s="310"/>
      <c r="W33" s="319" t="s">
        <v>351</v>
      </c>
    </row>
    <row r="34" spans="1:23" x14ac:dyDescent="0.35">
      <c r="A34" s="619">
        <v>6</v>
      </c>
      <c r="B34" s="301" t="s">
        <v>195</v>
      </c>
      <c r="C34" s="295" t="s">
        <v>337</v>
      </c>
      <c r="D34" s="295" t="s">
        <v>337</v>
      </c>
      <c r="F34" s="311" t="s">
        <v>361</v>
      </c>
      <c r="G34" s="312"/>
      <c r="H34" s="313" t="e">
        <f>#REF!</f>
        <v>#REF!</v>
      </c>
      <c r="U34" s="311" t="s">
        <v>361</v>
      </c>
      <c r="V34" s="312"/>
      <c r="W34" s="313" t="e">
        <f>#REF!</f>
        <v>#REF!</v>
      </c>
    </row>
    <row r="35" spans="1:23" x14ac:dyDescent="0.35">
      <c r="A35" s="620"/>
      <c r="B35" s="295"/>
      <c r="C35" s="295" t="s">
        <v>338</v>
      </c>
      <c r="D35" s="295" t="s">
        <v>511</v>
      </c>
      <c r="F35" s="311" t="s">
        <v>352</v>
      </c>
      <c r="G35" s="312"/>
      <c r="H35" s="314">
        <v>0.09</v>
      </c>
      <c r="U35" s="311" t="s">
        <v>352</v>
      </c>
      <c r="V35" s="312"/>
      <c r="W35" s="314">
        <v>0.09</v>
      </c>
    </row>
    <row r="36" spans="1:23" x14ac:dyDescent="0.35">
      <c r="A36" s="302">
        <v>7</v>
      </c>
      <c r="B36" s="295" t="s">
        <v>339</v>
      </c>
      <c r="C36" s="614" t="s">
        <v>513</v>
      </c>
      <c r="D36" s="615"/>
      <c r="F36" s="315" t="s">
        <v>353</v>
      </c>
      <c r="G36" s="316"/>
      <c r="H36" s="317" t="e">
        <f>#REF!</f>
        <v>#REF!</v>
      </c>
      <c r="U36" s="315" t="s">
        <v>353</v>
      </c>
      <c r="V36" s="316"/>
      <c r="W36" s="317" t="e">
        <f>#REF!</f>
        <v>#REF!</v>
      </c>
    </row>
  </sheetData>
  <mergeCells count="15">
    <mergeCell ref="C36:D36"/>
    <mergeCell ref="A28:A29"/>
    <mergeCell ref="B28:B29"/>
    <mergeCell ref="C28:C29"/>
    <mergeCell ref="D28:D29"/>
    <mergeCell ref="A34:A35"/>
    <mergeCell ref="U9:W9"/>
    <mergeCell ref="I15:J17"/>
    <mergeCell ref="F9:H9"/>
    <mergeCell ref="C17:D17"/>
    <mergeCell ref="A9:A10"/>
    <mergeCell ref="B9:B10"/>
    <mergeCell ref="C9:C10"/>
    <mergeCell ref="D9:D10"/>
    <mergeCell ref="A15:A16"/>
  </mergeCells>
  <pageMargins left="0.70866141732283472" right="0.70866141732283472" top="0.74803149606299213" bottom="0.74803149606299213" header="0.31496062992125984" footer="0.31496062992125984"/>
  <pageSetup paperSize="9" scale="95"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03EF5-C0EC-4D39-9D68-3D21A8B69CD3}">
  <dimension ref="A1:T83"/>
  <sheetViews>
    <sheetView topLeftCell="A25" workbookViewId="0">
      <selection activeCell="H20" sqref="H20"/>
    </sheetView>
  </sheetViews>
  <sheetFormatPr defaultRowHeight="14.5" x14ac:dyDescent="0.35"/>
  <cols>
    <col min="1" max="1" width="18" customWidth="1"/>
    <col min="2" max="2" width="17.6328125" bestFit="1" customWidth="1"/>
    <col min="3" max="4" width="15.1796875" bestFit="1" customWidth="1"/>
    <col min="5" max="5" width="16.54296875" customWidth="1"/>
    <col min="6" max="6" width="16.6328125" customWidth="1"/>
    <col min="7" max="7" width="13.453125" bestFit="1" customWidth="1"/>
    <col min="8" max="8" width="18.54296875" customWidth="1"/>
    <col min="9" max="9" width="17.08984375" customWidth="1"/>
    <col min="10" max="11" width="15.1796875" bestFit="1" customWidth="1"/>
    <col min="12" max="12" width="13.54296875" bestFit="1" customWidth="1"/>
    <col min="13" max="13" width="15.54296875" bestFit="1" customWidth="1"/>
    <col min="14" max="14" width="13.54296875" bestFit="1" customWidth="1"/>
    <col min="15" max="15" width="15.54296875" bestFit="1" customWidth="1"/>
    <col min="16" max="18" width="13.54296875" bestFit="1" customWidth="1"/>
    <col min="19" max="19" width="11.36328125" bestFit="1" customWidth="1"/>
  </cols>
  <sheetData>
    <row r="1" spans="1:20" x14ac:dyDescent="0.35">
      <c r="A1" s="52" t="s">
        <v>369</v>
      </c>
    </row>
    <row r="2" spans="1:20" x14ac:dyDescent="0.35">
      <c r="A2" s="276" t="s">
        <v>370</v>
      </c>
      <c r="B2" s="337">
        <v>5</v>
      </c>
      <c r="C2" s="323">
        <v>2020</v>
      </c>
      <c r="D2" s="323">
        <f>C2+1</f>
        <v>2021</v>
      </c>
      <c r="E2" s="323">
        <f t="shared" ref="E2:M2" si="0">D2+1</f>
        <v>2022</v>
      </c>
      <c r="F2" s="323">
        <f t="shared" si="0"/>
        <v>2023</v>
      </c>
      <c r="G2" s="323">
        <f t="shared" si="0"/>
        <v>2024</v>
      </c>
      <c r="H2" s="323">
        <f t="shared" si="0"/>
        <v>2025</v>
      </c>
      <c r="I2" s="323">
        <f t="shared" si="0"/>
        <v>2026</v>
      </c>
      <c r="J2" s="323">
        <f t="shared" si="0"/>
        <v>2027</v>
      </c>
      <c r="K2" s="323">
        <f t="shared" si="0"/>
        <v>2028</v>
      </c>
      <c r="L2" s="323">
        <f t="shared" si="0"/>
        <v>2029</v>
      </c>
      <c r="M2" s="323">
        <f t="shared" si="0"/>
        <v>2030</v>
      </c>
    </row>
    <row r="3" spans="1:20" x14ac:dyDescent="0.35">
      <c r="A3" s="338">
        <v>2020</v>
      </c>
      <c r="B3" t="s">
        <v>371</v>
      </c>
      <c r="C3" s="339">
        <v>803133997.75</v>
      </c>
      <c r="D3" s="340">
        <f>C3-C4</f>
        <v>642507198.20000005</v>
      </c>
      <c r="E3" s="340">
        <f>D3-C4</f>
        <v>481880398.65000004</v>
      </c>
      <c r="F3" s="340">
        <f>E3-C4</f>
        <v>321253599.10000002</v>
      </c>
      <c r="G3" s="340">
        <f>F3-C4</f>
        <v>160626799.55000001</v>
      </c>
      <c r="H3" s="340">
        <f>G3-C4</f>
        <v>0</v>
      </c>
      <c r="I3" s="340">
        <f>H3-$E$4</f>
        <v>0</v>
      </c>
      <c r="J3" s="340">
        <f>I3-$E$4</f>
        <v>0</v>
      </c>
      <c r="K3" s="340"/>
      <c r="N3">
        <v>2013</v>
      </c>
      <c r="O3" s="339">
        <v>1726670811.6800001</v>
      </c>
      <c r="P3" s="340"/>
      <c r="Q3" s="340"/>
      <c r="R3" s="340"/>
      <c r="S3" s="340"/>
    </row>
    <row r="4" spans="1:20" x14ac:dyDescent="0.35">
      <c r="A4" s="341"/>
      <c r="B4" t="s">
        <v>372</v>
      </c>
      <c r="C4" s="339">
        <f>C3/B2</f>
        <v>160626799.55000001</v>
      </c>
      <c r="D4" s="339"/>
      <c r="E4" s="339"/>
      <c r="N4">
        <v>2014</v>
      </c>
      <c r="O4" s="339">
        <v>422342499</v>
      </c>
    </row>
    <row r="5" spans="1:20" x14ac:dyDescent="0.35">
      <c r="A5" s="341"/>
      <c r="B5" t="s">
        <v>373</v>
      </c>
      <c r="C5" s="339">
        <f>(C3*IRR!$E$4*6)/12</f>
        <v>40156699.887500003</v>
      </c>
      <c r="D5" s="340">
        <f>AVERAGE(C3:D3)*IRR!$E$4</f>
        <v>72282059.797499999</v>
      </c>
      <c r="E5" s="340">
        <f>AVERAGE(D3:E3)*IRR!$E$4</f>
        <v>56219379.842500009</v>
      </c>
      <c r="F5" s="340">
        <f>AVERAGE(E3:F3)*IRR!$E$4</f>
        <v>40156699.887500003</v>
      </c>
      <c r="G5" s="340">
        <f>AVERAGE(F3:G3)*IRR!$E$4</f>
        <v>24094019.932500005</v>
      </c>
      <c r="H5" s="340">
        <f>AVERAGE(G3:H3)*IRR!$E$4</f>
        <v>8031339.977500001</v>
      </c>
      <c r="I5" s="340">
        <f>AVERAGE($H$3:$I$3)*[4]IRR!$G$4</f>
        <v>0</v>
      </c>
      <c r="J5" s="340">
        <f>AVERAGE($I$3:$J$3)*[4]IRR!$G$4</f>
        <v>0</v>
      </c>
      <c r="K5" s="340"/>
      <c r="N5">
        <v>2016</v>
      </c>
      <c r="O5" s="339">
        <v>10773000</v>
      </c>
      <c r="P5" s="340"/>
      <c r="Q5" s="340"/>
      <c r="R5" s="340"/>
      <c r="S5" s="340"/>
      <c r="T5" s="340"/>
    </row>
    <row r="6" spans="1:20" x14ac:dyDescent="0.35">
      <c r="A6" s="338">
        <v>2021</v>
      </c>
      <c r="B6" t="s">
        <v>371</v>
      </c>
      <c r="C6" s="339"/>
      <c r="D6" s="340">
        <v>110166832</v>
      </c>
      <c r="E6" s="340">
        <f>D6-D7</f>
        <v>88133465.599999994</v>
      </c>
      <c r="F6" s="340">
        <f>E6-D7</f>
        <v>66100099.199999996</v>
      </c>
      <c r="G6" s="340">
        <f>F6-D7</f>
        <v>44066732.799999997</v>
      </c>
      <c r="H6" s="340">
        <f>G6-D7</f>
        <v>22033366.399999999</v>
      </c>
      <c r="I6" s="340">
        <f>H6-D7</f>
        <v>0</v>
      </c>
      <c r="J6" s="340"/>
      <c r="K6" s="340"/>
      <c r="N6">
        <v>2017</v>
      </c>
      <c r="O6" s="339">
        <v>102210600</v>
      </c>
    </row>
    <row r="7" spans="1:20" x14ac:dyDescent="0.35">
      <c r="A7" s="341"/>
      <c r="B7" t="s">
        <v>372</v>
      </c>
      <c r="C7" s="339"/>
      <c r="D7" s="340">
        <f>D6/B2</f>
        <v>22033366.399999999</v>
      </c>
      <c r="E7" s="340"/>
      <c r="F7" s="340"/>
      <c r="G7" s="340"/>
      <c r="H7" s="340"/>
      <c r="I7" s="340"/>
      <c r="J7" s="340"/>
      <c r="K7" s="340"/>
    </row>
    <row r="8" spans="1:20" x14ac:dyDescent="0.35">
      <c r="A8" s="341"/>
      <c r="B8" t="s">
        <v>373</v>
      </c>
      <c r="C8" s="339"/>
      <c r="D8" s="339">
        <f>(D6*IRR!$E$4*6)/12</f>
        <v>5508341.6000000006</v>
      </c>
      <c r="E8" s="340">
        <f>AVERAGE(D6:E6)*IRR!$E$4</f>
        <v>9915014.8800000008</v>
      </c>
      <c r="F8" s="340">
        <f>AVERAGE(E6:F6)*IRR!$E$4</f>
        <v>7711678.2399999993</v>
      </c>
      <c r="G8" s="340">
        <f>AVERAGE(F6:G6)*IRR!$E$4</f>
        <v>5508341.6000000006</v>
      </c>
      <c r="H8" s="340">
        <f>AVERAGE(G6:H6)*IRR!$E$4</f>
        <v>3305004.96</v>
      </c>
      <c r="I8" s="340">
        <f>AVERAGE(H6:I6)*IRR!$E$4</f>
        <v>1101668.32</v>
      </c>
      <c r="J8" s="340"/>
      <c r="K8" s="340"/>
    </row>
    <row r="9" spans="1:20" x14ac:dyDescent="0.35">
      <c r="A9" s="338">
        <v>2023</v>
      </c>
      <c r="B9" t="s">
        <v>371</v>
      </c>
      <c r="C9" s="339"/>
      <c r="D9" s="340"/>
      <c r="F9" s="340">
        <v>3500000</v>
      </c>
      <c r="G9" s="340">
        <f>F9-F10</f>
        <v>2800000</v>
      </c>
      <c r="H9" s="340">
        <f>G9-F10</f>
        <v>2100000</v>
      </c>
      <c r="I9" s="340">
        <f>H9-F10</f>
        <v>1400000</v>
      </c>
      <c r="J9" s="340">
        <f>I9-F10</f>
        <v>700000</v>
      </c>
      <c r="K9" s="340">
        <f>J9-F10</f>
        <v>0</v>
      </c>
    </row>
    <row r="10" spans="1:20" x14ac:dyDescent="0.35">
      <c r="A10" s="341"/>
      <c r="B10" t="s">
        <v>372</v>
      </c>
      <c r="C10" s="339"/>
      <c r="D10" s="340"/>
      <c r="F10" s="340">
        <f>F9/B2</f>
        <v>700000</v>
      </c>
      <c r="G10" s="340"/>
      <c r="H10" s="340"/>
      <c r="I10" s="340"/>
      <c r="J10" s="340"/>
      <c r="K10" s="340"/>
    </row>
    <row r="11" spans="1:20" x14ac:dyDescent="0.35">
      <c r="A11" s="341"/>
      <c r="B11" t="s">
        <v>373</v>
      </c>
      <c r="C11" s="339"/>
      <c r="D11" s="340"/>
      <c r="F11" s="339">
        <f>(F9*IRR!$E$4*6)/12</f>
        <v>175000</v>
      </c>
      <c r="G11" s="340">
        <f>AVERAGE(F9:G9)*IRR!$E$4</f>
        <v>315000</v>
      </c>
      <c r="H11" s="339">
        <f>(H9*IRR!$E$4*6)/12</f>
        <v>105000</v>
      </c>
      <c r="I11" s="340">
        <f>AVERAGE(H9:I9)*IRR!$E$4</f>
        <v>175000</v>
      </c>
      <c r="J11" s="339">
        <f>(J9*IRR!$E$4*6)/12</f>
        <v>35000</v>
      </c>
      <c r="K11" s="340">
        <f>AVERAGE(J9:K9)*IRR!$E$4</f>
        <v>35000</v>
      </c>
    </row>
    <row r="12" spans="1:20" x14ac:dyDescent="0.35">
      <c r="A12" s="338">
        <v>2024</v>
      </c>
      <c r="B12" t="s">
        <v>371</v>
      </c>
      <c r="C12" s="339"/>
      <c r="D12" s="340"/>
      <c r="E12" s="340"/>
      <c r="F12" s="340"/>
      <c r="G12" s="340">
        <v>49676200</v>
      </c>
      <c r="H12" s="340">
        <f>G12-G13</f>
        <v>39740960</v>
      </c>
      <c r="I12" s="340">
        <f>H12-G13</f>
        <v>29805720</v>
      </c>
      <c r="J12" s="340">
        <f>I12-G13</f>
        <v>19870480</v>
      </c>
      <c r="K12" s="340">
        <f>J12-G13</f>
        <v>9935240</v>
      </c>
      <c r="L12" s="340">
        <f>K12-G13</f>
        <v>0</v>
      </c>
    </row>
    <row r="13" spans="1:20" x14ac:dyDescent="0.35">
      <c r="B13" t="s">
        <v>372</v>
      </c>
      <c r="C13" s="339"/>
      <c r="D13" s="340"/>
      <c r="E13" s="340"/>
      <c r="F13" s="340"/>
      <c r="G13" s="340">
        <f>G12/B2</f>
        <v>9935240</v>
      </c>
      <c r="H13" s="340"/>
      <c r="I13" s="340"/>
      <c r="J13" s="340"/>
      <c r="K13" s="340"/>
      <c r="L13" s="340"/>
    </row>
    <row r="14" spans="1:20" x14ac:dyDescent="0.35">
      <c r="B14" t="s">
        <v>373</v>
      </c>
      <c r="C14" s="339"/>
      <c r="D14" s="340"/>
      <c r="E14" s="339"/>
      <c r="F14" s="340"/>
      <c r="G14" s="339">
        <f>(G12*IRR!$E$4*6)/12</f>
        <v>2483810</v>
      </c>
      <c r="H14" s="340">
        <f>AVERAGE(G12:H12)*IRR!$E$4</f>
        <v>4470858</v>
      </c>
      <c r="I14" s="340">
        <f>AVERAGE(H12:I12)*IRR!$E$4</f>
        <v>3477334</v>
      </c>
      <c r="J14" s="340">
        <f>AVERAGE(I12:J12)*IRR!$E$4</f>
        <v>2483810</v>
      </c>
      <c r="K14" s="340">
        <f>AVERAGE(J12:K12)*IRR!$E$4</f>
        <v>1490286</v>
      </c>
      <c r="L14" s="340">
        <f>AVERAGE(K12:L12)*IRR!$E$4</f>
        <v>496762</v>
      </c>
    </row>
    <row r="15" spans="1:20" x14ac:dyDescent="0.35">
      <c r="C15" s="339"/>
      <c r="D15" s="340"/>
      <c r="E15" s="340"/>
      <c r="F15" s="340"/>
      <c r="G15" s="340"/>
      <c r="H15" s="340"/>
      <c r="I15" s="340"/>
      <c r="J15" s="340"/>
      <c r="K15" s="340"/>
    </row>
    <row r="16" spans="1:20" x14ac:dyDescent="0.35">
      <c r="A16" s="276"/>
      <c r="B16" s="342" t="s">
        <v>374</v>
      </c>
      <c r="C16" s="343">
        <f>C5+C8+C11+C14</f>
        <v>40156699.887500003</v>
      </c>
      <c r="D16" s="343">
        <f t="shared" ref="D16:M16" si="1">D5+D8+D11+D14</f>
        <v>77790401.397499993</v>
      </c>
      <c r="E16" s="343">
        <f t="shared" si="1"/>
        <v>66134394.722500011</v>
      </c>
      <c r="F16" s="343">
        <f t="shared" si="1"/>
        <v>48043378.127500005</v>
      </c>
      <c r="G16" s="343">
        <f>G5+G8+G11+G14</f>
        <v>32401171.532500006</v>
      </c>
      <c r="H16" s="343">
        <f t="shared" si="1"/>
        <v>15912202.9375</v>
      </c>
      <c r="I16" s="343">
        <f t="shared" si="1"/>
        <v>4754002.32</v>
      </c>
      <c r="J16" s="343">
        <f t="shared" si="1"/>
        <v>2518810</v>
      </c>
      <c r="K16" s="343">
        <f>K5+K8+K11+K14</f>
        <v>1525286</v>
      </c>
      <c r="L16" s="343">
        <f t="shared" si="1"/>
        <v>496762</v>
      </c>
      <c r="M16" s="343">
        <f t="shared" si="1"/>
        <v>0</v>
      </c>
    </row>
    <row r="17" spans="1:15" x14ac:dyDescent="0.35">
      <c r="B17" s="339"/>
      <c r="C17" s="340"/>
      <c r="D17" s="340"/>
      <c r="E17" s="340"/>
      <c r="F17" s="340"/>
      <c r="G17" s="340"/>
      <c r="H17" s="340"/>
      <c r="I17" s="340"/>
      <c r="J17" s="340"/>
      <c r="K17" s="340"/>
    </row>
    <row r="18" spans="1:15" x14ac:dyDescent="0.35">
      <c r="A18" s="344"/>
      <c r="B18" s="344"/>
      <c r="C18" s="344"/>
      <c r="D18" s="344"/>
      <c r="E18" s="344"/>
      <c r="F18" s="344"/>
      <c r="G18" s="344"/>
      <c r="H18" s="344"/>
      <c r="I18" s="344"/>
      <c r="J18" s="344"/>
      <c r="K18" s="344"/>
      <c r="L18" s="344"/>
      <c r="M18" s="344"/>
      <c r="N18" s="344"/>
      <c r="O18" s="344"/>
    </row>
    <row r="19" spans="1:15" x14ac:dyDescent="0.35">
      <c r="A19" s="52" t="s">
        <v>375</v>
      </c>
    </row>
    <row r="20" spans="1:15" x14ac:dyDescent="0.35">
      <c r="A20" t="s">
        <v>376</v>
      </c>
      <c r="B20" t="s">
        <v>377</v>
      </c>
      <c r="C20" s="345">
        <v>50000000</v>
      </c>
    </row>
    <row r="21" spans="1:15" x14ac:dyDescent="0.35">
      <c r="A21" t="s">
        <v>378</v>
      </c>
      <c r="B21" t="s">
        <v>377</v>
      </c>
      <c r="C21" s="345">
        <v>20000000</v>
      </c>
    </row>
    <row r="22" spans="1:15" x14ac:dyDescent="0.35">
      <c r="A22" t="s">
        <v>379</v>
      </c>
      <c r="B22" s="270" t="s">
        <v>380</v>
      </c>
      <c r="C22" s="345"/>
    </row>
    <row r="23" spans="1:15" x14ac:dyDescent="0.35">
      <c r="A23" t="s">
        <v>381</v>
      </c>
      <c r="B23" s="270" t="s">
        <v>380</v>
      </c>
      <c r="C23" s="345"/>
    </row>
    <row r="25" spans="1:15" x14ac:dyDescent="0.35">
      <c r="A25" s="268" t="s">
        <v>382</v>
      </c>
      <c r="B25" s="343">
        <f>C20</f>
        <v>50000000</v>
      </c>
      <c r="C25" s="346">
        <f>B25+C26</f>
        <v>51000000</v>
      </c>
      <c r="D25" s="346">
        <f>C25+D27</f>
        <v>52020000</v>
      </c>
      <c r="E25" s="346">
        <f t="shared" ref="E25:K25" si="2">D25+E27</f>
        <v>53060400</v>
      </c>
      <c r="F25" s="346">
        <f t="shared" si="2"/>
        <v>54121608</v>
      </c>
      <c r="G25" s="346">
        <f t="shared" si="2"/>
        <v>55204040.159999996</v>
      </c>
      <c r="H25" s="346">
        <f t="shared" si="2"/>
        <v>56308120.963199995</v>
      </c>
      <c r="I25" s="346">
        <f t="shared" si="2"/>
        <v>57434283.382463992</v>
      </c>
      <c r="J25" s="346">
        <f t="shared" si="2"/>
        <v>58582969.050113268</v>
      </c>
      <c r="K25" s="346">
        <f t="shared" si="2"/>
        <v>59754628.43111553</v>
      </c>
    </row>
    <row r="26" spans="1:15" x14ac:dyDescent="0.35">
      <c r="A26" s="347">
        <v>0.02</v>
      </c>
      <c r="B26" s="268"/>
      <c r="C26" s="346">
        <f>C27</f>
        <v>1000000</v>
      </c>
      <c r="D26" s="346">
        <f>C26+D27</f>
        <v>2020000</v>
      </c>
      <c r="E26" s="346">
        <f t="shared" ref="E26:K26" si="3">D26+E27</f>
        <v>3060400</v>
      </c>
      <c r="F26" s="346">
        <f t="shared" si="3"/>
        <v>4121608</v>
      </c>
      <c r="G26" s="346">
        <f t="shared" si="3"/>
        <v>5204040.16</v>
      </c>
      <c r="H26" s="346">
        <f t="shared" si="3"/>
        <v>6308120.9632000001</v>
      </c>
      <c r="I26" s="346">
        <f t="shared" si="3"/>
        <v>7434283.382464</v>
      </c>
      <c r="J26" s="346">
        <f t="shared" si="3"/>
        <v>8582969.0501132794</v>
      </c>
      <c r="K26" s="346">
        <f t="shared" si="3"/>
        <v>9754628.4311155453</v>
      </c>
    </row>
    <row r="27" spans="1:15" x14ac:dyDescent="0.35">
      <c r="A27" s="268"/>
      <c r="B27" s="268"/>
      <c r="C27" s="346">
        <f t="shared" ref="C27:K27" si="4">B25*$A$26</f>
        <v>1000000</v>
      </c>
      <c r="D27" s="346">
        <f t="shared" si="4"/>
        <v>1020000</v>
      </c>
      <c r="E27" s="346">
        <f t="shared" si="4"/>
        <v>1040400</v>
      </c>
      <c r="F27" s="346">
        <f t="shared" si="4"/>
        <v>1061208</v>
      </c>
      <c r="G27" s="346">
        <f t="shared" si="4"/>
        <v>1082432.1599999999</v>
      </c>
      <c r="H27" s="346">
        <f t="shared" si="4"/>
        <v>1104080.8032</v>
      </c>
      <c r="I27" s="346">
        <f t="shared" si="4"/>
        <v>1126162.4192639999</v>
      </c>
      <c r="J27" s="346">
        <f t="shared" si="4"/>
        <v>1148685.6676492798</v>
      </c>
      <c r="K27" s="346">
        <f t="shared" si="4"/>
        <v>1171659.3810022655</v>
      </c>
    </row>
    <row r="28" spans="1:15" x14ac:dyDescent="0.35">
      <c r="C28" s="340"/>
      <c r="D28" s="340"/>
      <c r="E28" s="340"/>
      <c r="F28" s="340"/>
      <c r="G28" s="340"/>
      <c r="H28" s="340"/>
      <c r="I28" s="340"/>
      <c r="J28" s="340"/>
      <c r="K28" s="340"/>
    </row>
    <row r="29" spans="1:15" x14ac:dyDescent="0.35">
      <c r="A29" s="344"/>
      <c r="B29" s="344"/>
      <c r="C29" s="348"/>
      <c r="D29" s="348"/>
      <c r="E29" s="348"/>
      <c r="F29" s="348"/>
      <c r="G29" s="348"/>
      <c r="H29" s="348"/>
      <c r="I29" s="348"/>
      <c r="J29" s="348"/>
      <c r="K29" s="348"/>
      <c r="L29" s="344"/>
      <c r="M29" s="344"/>
      <c r="N29" s="344"/>
      <c r="O29" s="344"/>
    </row>
    <row r="30" spans="1:15" x14ac:dyDescent="0.35">
      <c r="A30" s="52" t="s">
        <v>383</v>
      </c>
      <c r="C30" s="340"/>
      <c r="D30" s="340"/>
      <c r="E30" s="340"/>
      <c r="F30" s="340"/>
      <c r="G30" s="340"/>
      <c r="H30" s="340"/>
      <c r="I30" s="340"/>
      <c r="J30" s="340"/>
      <c r="K30" s="340"/>
    </row>
    <row r="31" spans="1:15" x14ac:dyDescent="0.35">
      <c r="A31" t="s">
        <v>384</v>
      </c>
      <c r="C31" s="340"/>
      <c r="D31" s="340"/>
      <c r="E31" s="340"/>
      <c r="F31" s="340"/>
      <c r="G31" s="340"/>
      <c r="H31" s="340"/>
      <c r="I31" s="340"/>
      <c r="J31" s="340"/>
      <c r="K31" s="340"/>
    </row>
    <row r="32" spans="1:15" x14ac:dyDescent="0.35">
      <c r="A32" t="s">
        <v>385</v>
      </c>
      <c r="C32" s="340"/>
      <c r="D32" s="340"/>
      <c r="E32" s="340"/>
      <c r="F32" s="340"/>
      <c r="G32" s="340"/>
      <c r="H32" s="340"/>
      <c r="I32" s="340"/>
      <c r="J32" s="340"/>
      <c r="K32" s="340"/>
    </row>
    <row r="33" spans="1:11" x14ac:dyDescent="0.35">
      <c r="A33" t="s">
        <v>386</v>
      </c>
      <c r="C33" s="340"/>
      <c r="D33" s="340"/>
      <c r="E33" s="340"/>
      <c r="F33" s="340"/>
      <c r="G33" s="340"/>
      <c r="H33" s="340"/>
      <c r="I33" s="340"/>
      <c r="J33" s="340"/>
      <c r="K33" s="340"/>
    </row>
    <row r="34" spans="1:11" x14ac:dyDescent="0.35">
      <c r="A34" t="s">
        <v>387</v>
      </c>
      <c r="C34" s="340"/>
      <c r="D34" s="340"/>
      <c r="E34" s="340"/>
      <c r="F34" s="340"/>
      <c r="G34" s="340"/>
      <c r="H34" s="340"/>
      <c r="I34" s="340"/>
      <c r="J34" s="340"/>
      <c r="K34" s="340"/>
    </row>
    <row r="35" spans="1:11" x14ac:dyDescent="0.35">
      <c r="A35" s="349" t="s">
        <v>388</v>
      </c>
      <c r="B35" s="350"/>
      <c r="C35" s="351"/>
      <c r="D35" s="340"/>
      <c r="E35" s="340"/>
      <c r="F35" s="340"/>
      <c r="G35" s="340"/>
      <c r="H35" s="340"/>
      <c r="I35" s="340"/>
      <c r="J35" s="340"/>
      <c r="K35" s="340"/>
    </row>
    <row r="36" spans="1:11" x14ac:dyDescent="0.35">
      <c r="C36" s="340"/>
      <c r="D36" s="340"/>
      <c r="E36" s="340"/>
      <c r="F36" s="340"/>
      <c r="G36" s="340"/>
      <c r="H36" s="340"/>
      <c r="I36" s="340"/>
      <c r="J36" s="340"/>
      <c r="K36" s="340"/>
    </row>
    <row r="37" spans="1:11" x14ac:dyDescent="0.35">
      <c r="A37" s="352" t="s">
        <v>389</v>
      </c>
      <c r="B37" s="323" t="s">
        <v>390</v>
      </c>
      <c r="D37" s="352" t="s">
        <v>391</v>
      </c>
      <c r="E37" s="323" t="s">
        <v>392</v>
      </c>
      <c r="G37" s="626" t="s">
        <v>387</v>
      </c>
      <c r="H37" s="627"/>
      <c r="J37" s="323" t="s">
        <v>286</v>
      </c>
      <c r="K37" s="323" t="s">
        <v>393</v>
      </c>
    </row>
    <row r="38" spans="1:11" x14ac:dyDescent="0.35">
      <c r="A38" t="s">
        <v>287</v>
      </c>
      <c r="B38" s="339">
        <v>16800000</v>
      </c>
      <c r="D38" t="s">
        <v>394</v>
      </c>
      <c r="E38" s="339">
        <v>7000000</v>
      </c>
      <c r="G38" t="s">
        <v>395</v>
      </c>
      <c r="H38" s="339">
        <v>10000000</v>
      </c>
      <c r="J38" t="s">
        <v>287</v>
      </c>
      <c r="K38" s="339">
        <v>4000000</v>
      </c>
    </row>
    <row r="39" spans="1:11" x14ac:dyDescent="0.35">
      <c r="A39" t="s">
        <v>288</v>
      </c>
      <c r="B39" s="339"/>
      <c r="G39" t="s">
        <v>298</v>
      </c>
      <c r="H39" s="339">
        <v>12000000</v>
      </c>
      <c r="J39" t="s">
        <v>288</v>
      </c>
      <c r="K39" s="339">
        <v>3000000</v>
      </c>
    </row>
    <row r="40" spans="1:11" x14ac:dyDescent="0.35">
      <c r="A40" t="s">
        <v>281</v>
      </c>
      <c r="B40" s="339">
        <v>15600000</v>
      </c>
      <c r="G40" t="s">
        <v>299</v>
      </c>
      <c r="H40" s="339">
        <v>14000000</v>
      </c>
      <c r="J40" t="s">
        <v>281</v>
      </c>
      <c r="K40" s="339">
        <v>2500000</v>
      </c>
    </row>
    <row r="41" spans="1:11" x14ac:dyDescent="0.35">
      <c r="A41" t="s">
        <v>282</v>
      </c>
      <c r="B41" s="339">
        <v>15000000</v>
      </c>
      <c r="G41" t="s">
        <v>297</v>
      </c>
      <c r="H41" s="339">
        <v>14000000</v>
      </c>
      <c r="J41" t="s">
        <v>282</v>
      </c>
      <c r="K41" s="339">
        <v>2000000</v>
      </c>
    </row>
    <row r="42" spans="1:11" x14ac:dyDescent="0.35">
      <c r="A42" t="s">
        <v>283</v>
      </c>
      <c r="B42" s="339">
        <v>15000000</v>
      </c>
      <c r="G42" t="s">
        <v>287</v>
      </c>
      <c r="H42" s="339">
        <v>17000000</v>
      </c>
      <c r="J42" t="s">
        <v>283</v>
      </c>
      <c r="K42" s="339">
        <v>1850000</v>
      </c>
    </row>
    <row r="43" spans="1:11" x14ac:dyDescent="0.35">
      <c r="A43" t="s">
        <v>284</v>
      </c>
      <c r="B43" s="339">
        <v>12000000</v>
      </c>
      <c r="G43" t="s">
        <v>153</v>
      </c>
      <c r="H43" s="339">
        <v>14000000</v>
      </c>
      <c r="J43" t="s">
        <v>284</v>
      </c>
      <c r="K43" s="339">
        <v>1200000</v>
      </c>
    </row>
    <row r="44" spans="1:11" x14ac:dyDescent="0.35">
      <c r="A44" t="s">
        <v>153</v>
      </c>
      <c r="B44" s="339">
        <v>16800000</v>
      </c>
      <c r="J44" t="s">
        <v>153</v>
      </c>
      <c r="K44" s="339">
        <v>2000000</v>
      </c>
    </row>
    <row r="45" spans="1:11" x14ac:dyDescent="0.35">
      <c r="A45" t="s">
        <v>285</v>
      </c>
      <c r="B45" s="339">
        <v>15720000</v>
      </c>
      <c r="J45" t="s">
        <v>285</v>
      </c>
      <c r="K45" s="339">
        <v>3500000</v>
      </c>
    </row>
    <row r="46" spans="1:11" x14ac:dyDescent="0.35">
      <c r="A46" t="s">
        <v>289</v>
      </c>
      <c r="J46" t="s">
        <v>289</v>
      </c>
      <c r="K46" s="339">
        <v>2800000</v>
      </c>
    </row>
    <row r="47" spans="1:11" x14ac:dyDescent="0.35">
      <c r="A47" t="s">
        <v>149</v>
      </c>
      <c r="B47">
        <v>0</v>
      </c>
    </row>
    <row r="49" spans="1:15" x14ac:dyDescent="0.35">
      <c r="C49" s="340"/>
      <c r="D49" s="340"/>
      <c r="E49" s="340"/>
      <c r="F49" s="340"/>
      <c r="G49" s="340"/>
      <c r="H49" s="340"/>
      <c r="I49" s="340"/>
      <c r="J49" s="340"/>
      <c r="K49" s="340"/>
    </row>
    <row r="50" spans="1:15" ht="14.4" customHeight="1" x14ac:dyDescent="0.35">
      <c r="A50" s="628" t="s">
        <v>386</v>
      </c>
      <c r="B50" s="630" t="s">
        <v>201</v>
      </c>
      <c r="C50" s="630" t="s">
        <v>396</v>
      </c>
      <c r="D50" s="631" t="s">
        <v>294</v>
      </c>
      <c r="E50" s="353" t="s">
        <v>279</v>
      </c>
      <c r="F50" s="353" t="s">
        <v>291</v>
      </c>
      <c r="G50" s="353" t="s">
        <v>280</v>
      </c>
      <c r="H50" s="354" t="s">
        <v>292</v>
      </c>
      <c r="I50" s="621" t="s">
        <v>293</v>
      </c>
      <c r="J50" s="621" t="s">
        <v>295</v>
      </c>
    </row>
    <row r="51" spans="1:15" x14ac:dyDescent="0.35">
      <c r="A51" s="629"/>
      <c r="B51" s="630"/>
      <c r="C51" s="630"/>
      <c r="D51" s="631"/>
      <c r="E51" s="274">
        <v>1</v>
      </c>
      <c r="F51" s="275">
        <v>1</v>
      </c>
      <c r="G51" s="275">
        <v>1</v>
      </c>
      <c r="H51" s="355">
        <v>92</v>
      </c>
      <c r="I51" s="622"/>
      <c r="J51" s="622"/>
    </row>
    <row r="52" spans="1:15" x14ac:dyDescent="0.35">
      <c r="A52" s="623" t="s">
        <v>277</v>
      </c>
      <c r="B52" s="268" t="s">
        <v>286</v>
      </c>
      <c r="C52" s="356">
        <v>2000000</v>
      </c>
      <c r="D52" s="268" t="s">
        <v>279</v>
      </c>
      <c r="E52" s="323">
        <f>E51</f>
        <v>1</v>
      </c>
      <c r="F52" s="323"/>
      <c r="G52" s="323"/>
      <c r="H52" s="269"/>
      <c r="I52" s="273">
        <f>E52*C52</f>
        <v>2000000</v>
      </c>
    </row>
    <row r="53" spans="1:15" x14ac:dyDescent="0.35">
      <c r="A53" s="624"/>
      <c r="B53" s="268" t="s">
        <v>165</v>
      </c>
      <c r="C53" s="272">
        <v>600000</v>
      </c>
      <c r="D53" s="268" t="s">
        <v>279</v>
      </c>
      <c r="E53" s="323">
        <f>E51</f>
        <v>1</v>
      </c>
      <c r="F53" s="323"/>
      <c r="G53" s="323"/>
      <c r="H53" s="269">
        <f>IF($H$51&lt;=120,2,IF($H$51&gt;220,4,3))</f>
        <v>2</v>
      </c>
      <c r="I53" s="272">
        <f>C53*E53</f>
        <v>600000</v>
      </c>
    </row>
    <row r="54" spans="1:15" x14ac:dyDescent="0.35">
      <c r="A54" s="625"/>
      <c r="B54" s="268" t="s">
        <v>277</v>
      </c>
      <c r="C54" s="272">
        <v>200000</v>
      </c>
      <c r="D54" s="268" t="s">
        <v>290</v>
      </c>
      <c r="E54" s="323"/>
      <c r="F54" s="323">
        <f>F51</f>
        <v>1</v>
      </c>
      <c r="G54" s="323"/>
      <c r="H54" s="269"/>
      <c r="I54" s="272">
        <f>F54*C54</f>
        <v>200000</v>
      </c>
    </row>
    <row r="55" spans="1:15" x14ac:dyDescent="0.35">
      <c r="A55" s="268" t="s">
        <v>159</v>
      </c>
      <c r="B55" s="268" t="s">
        <v>159</v>
      </c>
      <c r="C55" s="272">
        <v>450000</v>
      </c>
      <c r="D55" s="268" t="s">
        <v>280</v>
      </c>
      <c r="E55" s="323">
        <f>E51</f>
        <v>1</v>
      </c>
      <c r="F55" s="323"/>
      <c r="G55" s="323">
        <f>G51</f>
        <v>1</v>
      </c>
      <c r="H55" s="269">
        <f>IF($H$51&lt;=120,2,IF($H$51&gt;220,4,3))</f>
        <v>2</v>
      </c>
      <c r="I55" s="272">
        <f>G55*C55*H55</f>
        <v>900000</v>
      </c>
    </row>
    <row r="56" spans="1:15" x14ac:dyDescent="0.35">
      <c r="A56" s="268" t="s">
        <v>278</v>
      </c>
      <c r="B56" s="268" t="s">
        <v>278</v>
      </c>
      <c r="C56" s="272">
        <v>120000</v>
      </c>
      <c r="D56" s="268" t="s">
        <v>279</v>
      </c>
      <c r="E56" s="323">
        <f>E51</f>
        <v>1</v>
      </c>
      <c r="F56" s="323"/>
      <c r="G56" s="323"/>
      <c r="H56" s="269">
        <f>IF($H$51&lt;=120,2,IF($H$51&gt;220,4,3))</f>
        <v>2</v>
      </c>
      <c r="I56" s="272">
        <f>H56*C56*E56</f>
        <v>240000</v>
      </c>
    </row>
    <row r="57" spans="1:15" x14ac:dyDescent="0.35">
      <c r="I57" s="271">
        <f>SUM(I52:I56)</f>
        <v>3940000</v>
      </c>
      <c r="J57" s="357">
        <f>I57*2</f>
        <v>7880000</v>
      </c>
      <c r="K57" t="s">
        <v>397</v>
      </c>
      <c r="L57" s="267">
        <f>J57+E38+B41</f>
        <v>29880000</v>
      </c>
    </row>
    <row r="58" spans="1:15" x14ac:dyDescent="0.35">
      <c r="J58" s="271">
        <f>I57*4</f>
        <v>15760000</v>
      </c>
      <c r="K58" t="s">
        <v>398</v>
      </c>
    </row>
    <row r="59" spans="1:15" x14ac:dyDescent="0.35">
      <c r="K59" s="340"/>
    </row>
    <row r="61" spans="1:15" x14ac:dyDescent="0.35">
      <c r="A61" s="344"/>
      <c r="B61" s="344"/>
      <c r="C61" s="348"/>
      <c r="D61" s="348"/>
      <c r="E61" s="348"/>
      <c r="F61" s="348"/>
      <c r="G61" s="348"/>
      <c r="H61" s="348"/>
      <c r="I61" s="348"/>
      <c r="J61" s="348"/>
      <c r="K61" s="348"/>
      <c r="L61" s="344"/>
      <c r="M61" s="344"/>
      <c r="N61" s="344"/>
      <c r="O61" s="344"/>
    </row>
    <row r="62" spans="1:15" x14ac:dyDescent="0.35">
      <c r="A62" s="52" t="s">
        <v>399</v>
      </c>
    </row>
    <row r="64" spans="1:15" x14ac:dyDescent="0.35">
      <c r="A64" s="268" t="s">
        <v>399</v>
      </c>
      <c r="B64" s="340"/>
    </row>
    <row r="65" spans="1:15" x14ac:dyDescent="0.35">
      <c r="A65" t="s">
        <v>400</v>
      </c>
    </row>
    <row r="66" spans="1:15" x14ac:dyDescent="0.35">
      <c r="A66" t="s">
        <v>401</v>
      </c>
      <c r="B66" s="339">
        <v>36000000</v>
      </c>
    </row>
    <row r="67" spans="1:15" x14ac:dyDescent="0.35">
      <c r="A67" t="s">
        <v>402</v>
      </c>
      <c r="B67" s="339">
        <v>42000000</v>
      </c>
    </row>
    <row r="68" spans="1:15" x14ac:dyDescent="0.35">
      <c r="A68" t="s">
        <v>403</v>
      </c>
      <c r="B68" s="339">
        <v>48000000</v>
      </c>
    </row>
    <row r="70" spans="1:15" x14ac:dyDescent="0.35">
      <c r="A70" t="s">
        <v>404</v>
      </c>
    </row>
    <row r="71" spans="1:15" x14ac:dyDescent="0.35">
      <c r="A71" t="s">
        <v>405</v>
      </c>
      <c r="B71" s="339">
        <v>75000000</v>
      </c>
    </row>
    <row r="72" spans="1:15" x14ac:dyDescent="0.35">
      <c r="A72" t="s">
        <v>403</v>
      </c>
      <c r="B72" s="339">
        <v>95000000</v>
      </c>
    </row>
    <row r="74" spans="1:15" x14ac:dyDescent="0.35">
      <c r="A74" s="344"/>
      <c r="B74" s="344"/>
      <c r="C74" s="348"/>
      <c r="D74" s="348"/>
      <c r="E74" s="348"/>
      <c r="F74" s="348"/>
      <c r="G74" s="348"/>
      <c r="H74" s="348"/>
      <c r="I74" s="348"/>
      <c r="J74" s="348"/>
      <c r="K74" s="348"/>
      <c r="L74" s="344"/>
      <c r="M74" s="344"/>
      <c r="N74" s="344"/>
      <c r="O74" s="344"/>
    </row>
    <row r="75" spans="1:15" x14ac:dyDescent="0.35">
      <c r="A75" s="52" t="s">
        <v>406</v>
      </c>
    </row>
    <row r="77" spans="1:15" x14ac:dyDescent="0.35">
      <c r="A77" t="s">
        <v>407</v>
      </c>
      <c r="C77" s="358">
        <v>150000000</v>
      </c>
    </row>
    <row r="78" spans="1:15" x14ac:dyDescent="0.35">
      <c r="A78" t="s">
        <v>408</v>
      </c>
      <c r="C78" s="358">
        <v>200000000</v>
      </c>
    </row>
    <row r="79" spans="1:15" x14ac:dyDescent="0.35">
      <c r="A79" t="s">
        <v>409</v>
      </c>
      <c r="C79" s="358">
        <v>85000000</v>
      </c>
    </row>
    <row r="80" spans="1:15" x14ac:dyDescent="0.35">
      <c r="A80" t="s">
        <v>410</v>
      </c>
      <c r="C80" s="358">
        <v>150000000</v>
      </c>
    </row>
    <row r="81" spans="1:15" x14ac:dyDescent="0.35">
      <c r="A81" t="s">
        <v>411</v>
      </c>
      <c r="C81" s="358">
        <v>50000000</v>
      </c>
    </row>
    <row r="83" spans="1:15" x14ac:dyDescent="0.35">
      <c r="A83" s="344"/>
      <c r="B83" s="344"/>
      <c r="C83" s="348"/>
      <c r="D83" s="348"/>
      <c r="E83" s="348"/>
      <c r="F83" s="348"/>
      <c r="G83" s="348"/>
      <c r="H83" s="348"/>
      <c r="I83" s="348"/>
      <c r="J83" s="348"/>
      <c r="K83" s="348"/>
      <c r="L83" s="344"/>
      <c r="M83" s="344"/>
      <c r="N83" s="344"/>
      <c r="O83" s="344"/>
    </row>
  </sheetData>
  <mergeCells count="8">
    <mergeCell ref="J50:J51"/>
    <mergeCell ref="A52:A54"/>
    <mergeCell ref="G37:H37"/>
    <mergeCell ref="A50:A51"/>
    <mergeCell ref="B50:B51"/>
    <mergeCell ref="C50:C51"/>
    <mergeCell ref="D50:D51"/>
    <mergeCell ref="I50:I51"/>
  </mergeCells>
  <conditionalFormatting sqref="B17:K17 C15:K15 C9:D11 O5:S5 C16:M16 C5:K8 F9:K11">
    <cfRule type="cellIs" dxfId="18" priority="5" operator="lessThan">
      <formula>0</formula>
    </cfRule>
  </conditionalFormatting>
  <conditionalFormatting sqref="T5">
    <cfRule type="cellIs" dxfId="17" priority="4" operator="lessThan">
      <formula>0</formula>
    </cfRule>
  </conditionalFormatting>
  <conditionalFormatting sqref="C12:F14">
    <cfRule type="cellIs" dxfId="16" priority="3" operator="lessThan">
      <formula>0</formula>
    </cfRule>
  </conditionalFormatting>
  <conditionalFormatting sqref="G12:L13">
    <cfRule type="cellIs" dxfId="15" priority="2" operator="lessThan">
      <formula>0</formula>
    </cfRule>
  </conditionalFormatting>
  <conditionalFormatting sqref="G14:L14">
    <cfRule type="cellIs" dxfId="14" priority="1" operator="lessThan">
      <formula>0</formula>
    </cfRule>
  </conditionalFormatting>
  <pageMargins left="0.7" right="0.7" top="0.75" bottom="0.75" header="0.3" footer="0.3"/>
  <pageSetup paperSize="9"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BK759"/>
  <sheetViews>
    <sheetView showGridLines="0" topLeftCell="E51" zoomScale="98" zoomScaleNormal="98" workbookViewId="0">
      <selection activeCell="F72" sqref="F72"/>
    </sheetView>
  </sheetViews>
  <sheetFormatPr defaultColWidth="9.08984375" defaultRowHeight="14" x14ac:dyDescent="0.3"/>
  <cols>
    <col min="1" max="1" width="2.6328125" style="121" customWidth="1"/>
    <col min="2" max="2" width="3.6328125" style="121" customWidth="1"/>
    <col min="3" max="3" width="9.08984375" style="121"/>
    <col min="4" max="4" width="17" style="121" bestFit="1" customWidth="1"/>
    <col min="5" max="7" width="21" style="121" bestFit="1" customWidth="1"/>
    <col min="8" max="10" width="18.90625" style="121" bestFit="1" customWidth="1"/>
    <col min="11" max="11" width="21.453125" style="121" bestFit="1" customWidth="1"/>
    <col min="12" max="12" width="9.08984375" style="121" customWidth="1"/>
    <col min="13" max="13" width="20.36328125" style="121" bestFit="1" customWidth="1"/>
    <col min="14" max="14" width="17.6328125" style="121" bestFit="1" customWidth="1"/>
    <col min="15" max="15" width="16.54296875" style="121" customWidth="1"/>
    <col min="16" max="16" width="17.453125" style="121" bestFit="1" customWidth="1"/>
    <col min="17" max="17" width="16.90625" style="121" customWidth="1"/>
    <col min="18" max="20" width="16.54296875" style="121" customWidth="1"/>
    <col min="21" max="21" width="3.90625" style="121" customWidth="1"/>
    <col min="22" max="22" width="7" style="121" customWidth="1"/>
    <col min="23" max="23" width="16.6328125" style="121" bestFit="1" customWidth="1"/>
    <col min="24" max="24" width="15.6328125" style="121" customWidth="1"/>
    <col min="25" max="26" width="9.08984375" style="121"/>
    <col min="27" max="28" width="0" style="121" hidden="1" customWidth="1"/>
    <col min="29" max="29" width="16.6328125" style="121" hidden="1" customWidth="1"/>
    <col min="30" max="43" width="0" style="121" hidden="1" customWidth="1"/>
    <col min="44" max="44" width="14.90625" style="121" hidden="1" customWidth="1"/>
    <col min="45" max="48" width="16.453125" style="121" hidden="1" customWidth="1"/>
    <col min="49" max="50" width="14.54296875" style="121" hidden="1" customWidth="1"/>
    <col min="51" max="51" width="16.453125" style="121" hidden="1" customWidth="1"/>
    <col min="52" max="52" width="14.54296875" style="121" hidden="1" customWidth="1"/>
    <col min="53" max="53" width="14.54296875" style="252" hidden="1" customWidth="1"/>
    <col min="54" max="56" width="14.54296875" style="253" hidden="1" customWidth="1"/>
    <col min="57" max="58" width="10.36328125" style="253" hidden="1" customWidth="1"/>
    <col min="59" max="59" width="12.90625" style="253" hidden="1" customWidth="1"/>
    <col min="60" max="62" width="0" style="253" hidden="1" customWidth="1"/>
    <col min="63" max="78" width="0" style="121" hidden="1" customWidth="1"/>
    <col min="79" max="16384" width="9.08984375" style="121"/>
  </cols>
  <sheetData>
    <row r="1" spans="1:63" x14ac:dyDescent="0.3">
      <c r="A1" s="122"/>
      <c r="B1" s="123"/>
      <c r="C1" s="123"/>
      <c r="D1" s="123"/>
      <c r="E1" s="123"/>
      <c r="F1" s="123"/>
      <c r="G1" s="123"/>
      <c r="H1" s="123"/>
      <c r="I1" s="123"/>
      <c r="J1" s="123"/>
      <c r="K1" s="123"/>
      <c r="L1" s="123"/>
      <c r="M1" s="123"/>
      <c r="N1" s="123"/>
      <c r="O1" s="123"/>
      <c r="P1" s="123"/>
      <c r="Q1" s="123"/>
      <c r="R1" s="123"/>
      <c r="S1" s="123"/>
      <c r="T1" s="123"/>
      <c r="U1" s="124"/>
    </row>
    <row r="2" spans="1:63" ht="20" x14ac:dyDescent="0.4">
      <c r="A2" s="126"/>
      <c r="B2" s="130" t="s">
        <v>144</v>
      </c>
      <c r="C2" s="130"/>
      <c r="D2" s="125"/>
      <c r="E2" s="125"/>
      <c r="F2" s="125"/>
      <c r="G2" s="125"/>
      <c r="H2" s="125"/>
      <c r="I2" s="125"/>
      <c r="J2" s="125"/>
      <c r="K2" s="125"/>
      <c r="L2" s="125"/>
      <c r="M2" s="125"/>
      <c r="N2" s="125"/>
      <c r="O2" s="125"/>
      <c r="P2" s="264" t="s">
        <v>273</v>
      </c>
      <c r="Q2" s="263" t="s">
        <v>274</v>
      </c>
      <c r="R2" s="263"/>
      <c r="S2" s="263"/>
      <c r="T2" s="263"/>
      <c r="U2" s="207"/>
    </row>
    <row r="3" spans="1:63" x14ac:dyDescent="0.3">
      <c r="A3" s="126"/>
      <c r="B3" s="125"/>
      <c r="C3" s="125"/>
      <c r="D3" s="125"/>
      <c r="E3" s="125"/>
      <c r="F3" s="125"/>
      <c r="G3" s="125"/>
      <c r="H3" s="125"/>
      <c r="I3" s="125"/>
      <c r="J3" s="125"/>
      <c r="K3" s="125"/>
      <c r="L3" s="125"/>
      <c r="M3" s="125"/>
      <c r="N3" s="125"/>
      <c r="O3" s="125"/>
      <c r="P3" s="125"/>
      <c r="Q3" s="125"/>
      <c r="R3" s="125"/>
      <c r="S3" s="125"/>
      <c r="T3" s="125"/>
      <c r="U3" s="208"/>
    </row>
    <row r="4" spans="1:63" x14ac:dyDescent="0.3">
      <c r="A4" s="126"/>
      <c r="B4" s="125"/>
      <c r="C4" s="125"/>
      <c r="D4" s="125"/>
      <c r="E4" s="125"/>
      <c r="F4" s="125"/>
      <c r="G4" s="125"/>
      <c r="H4" s="125"/>
      <c r="I4" s="125"/>
      <c r="J4" s="125"/>
      <c r="K4" s="125"/>
      <c r="L4" s="125"/>
      <c r="M4" s="125"/>
      <c r="N4" s="125"/>
      <c r="O4" s="125"/>
      <c r="P4" s="125"/>
      <c r="Q4" s="125"/>
      <c r="R4" s="125"/>
      <c r="S4" s="125"/>
      <c r="T4" s="125"/>
      <c r="U4" s="208"/>
    </row>
    <row r="5" spans="1:63" x14ac:dyDescent="0.3">
      <c r="A5" s="126"/>
      <c r="B5" s="129" t="s">
        <v>145</v>
      </c>
      <c r="C5" s="129"/>
      <c r="D5" s="125"/>
      <c r="E5" s="127" t="s">
        <v>146</v>
      </c>
      <c r="F5" s="648" t="s">
        <v>275</v>
      </c>
      <c r="G5" s="648"/>
      <c r="H5" s="648"/>
      <c r="I5" s="648"/>
      <c r="J5" s="648"/>
      <c r="K5" s="648"/>
      <c r="L5" s="648"/>
      <c r="M5" s="648"/>
      <c r="N5" s="262" t="s">
        <v>262</v>
      </c>
      <c r="O5" s="265">
        <v>3</v>
      </c>
      <c r="P5" s="125"/>
      <c r="Q5" s="125"/>
      <c r="R5" s="125"/>
      <c r="S5" s="125"/>
      <c r="T5" s="125"/>
      <c r="U5" s="208"/>
    </row>
    <row r="6" spans="1:63" ht="14.5" thickBot="1" x14ac:dyDescent="0.35">
      <c r="A6" s="126"/>
      <c r="B6" s="129" t="s">
        <v>123</v>
      </c>
      <c r="C6" s="129"/>
      <c r="D6" s="125"/>
      <c r="E6" s="127" t="s">
        <v>146</v>
      </c>
      <c r="F6" s="652" t="s">
        <v>276</v>
      </c>
      <c r="G6" s="652"/>
      <c r="H6" s="652"/>
      <c r="I6" s="652"/>
      <c r="J6" s="652"/>
      <c r="K6" s="652"/>
      <c r="L6" s="652"/>
      <c r="M6" s="652"/>
      <c r="N6" s="648"/>
      <c r="O6" s="652"/>
      <c r="P6" s="125"/>
      <c r="Q6" s="125"/>
      <c r="R6" s="125"/>
      <c r="S6" s="125"/>
      <c r="T6" s="125"/>
      <c r="U6" s="208"/>
      <c r="BB6" s="253" t="s">
        <v>109</v>
      </c>
      <c r="BC6" s="253" t="s">
        <v>110</v>
      </c>
      <c r="BD6" s="253" t="s">
        <v>45</v>
      </c>
      <c r="BE6" s="253" t="s">
        <v>98</v>
      </c>
      <c r="BF6" s="253" t="s">
        <v>113</v>
      </c>
      <c r="BG6" s="253" t="s">
        <v>42</v>
      </c>
      <c r="BH6" s="253" t="s">
        <v>111</v>
      </c>
      <c r="BI6" s="253" t="s">
        <v>46</v>
      </c>
      <c r="BJ6" s="253" t="s">
        <v>112</v>
      </c>
    </row>
    <row r="7" spans="1:63" ht="14.5" thickBot="1" x14ac:dyDescent="0.35">
      <c r="A7" s="126"/>
      <c r="B7" s="129" t="s">
        <v>147</v>
      </c>
      <c r="C7" s="129"/>
      <c r="D7" s="125"/>
      <c r="E7" s="127" t="s">
        <v>146</v>
      </c>
      <c r="F7" s="647" t="s">
        <v>149</v>
      </c>
      <c r="G7" s="647"/>
      <c r="H7" s="647"/>
      <c r="I7" s="647"/>
      <c r="J7" s="125"/>
      <c r="K7" s="125"/>
      <c r="L7" s="125"/>
      <c r="M7" s="125"/>
      <c r="N7" s="125"/>
      <c r="O7" s="125"/>
      <c r="P7" s="125"/>
      <c r="Q7" s="125"/>
      <c r="R7" s="125"/>
      <c r="S7" s="125"/>
      <c r="T7" s="125"/>
      <c r="U7" s="208"/>
      <c r="AC7" s="121" t="s">
        <v>147</v>
      </c>
      <c r="AD7" s="121" t="s">
        <v>148</v>
      </c>
      <c r="AE7" s="121" t="s">
        <v>167</v>
      </c>
      <c r="AF7" s="121" t="s">
        <v>170</v>
      </c>
      <c r="AG7" s="121" t="s">
        <v>171</v>
      </c>
      <c r="AH7" s="121" t="s">
        <v>116</v>
      </c>
      <c r="AI7" s="121" t="s">
        <v>184</v>
      </c>
      <c r="AJ7" s="121" t="s">
        <v>195</v>
      </c>
      <c r="AK7" s="121" t="s">
        <v>121</v>
      </c>
      <c r="AL7" s="121" t="s">
        <v>221</v>
      </c>
      <c r="AM7" s="121" t="s">
        <v>234</v>
      </c>
      <c r="AQ7" s="139" t="s">
        <v>115</v>
      </c>
      <c r="AR7" s="139" t="s">
        <v>114</v>
      </c>
      <c r="AS7" s="139">
        <f>J10</f>
        <v>2014</v>
      </c>
      <c r="AT7" s="139">
        <f>AS7+1</f>
        <v>2015</v>
      </c>
      <c r="AU7" s="139">
        <f t="shared" ref="AU7" si="0">AT7+1</f>
        <v>2016</v>
      </c>
      <c r="AV7" s="139">
        <f>AU7+1</f>
        <v>2017</v>
      </c>
      <c r="AW7" s="139">
        <f>AV7+1</f>
        <v>2018</v>
      </c>
      <c r="AX7" s="139">
        <f t="shared" ref="AX7" si="1">AW7+1</f>
        <v>2019</v>
      </c>
    </row>
    <row r="8" spans="1:63" x14ac:dyDescent="0.3">
      <c r="A8" s="126"/>
      <c r="B8" s="129" t="s">
        <v>148</v>
      </c>
      <c r="C8" s="129"/>
      <c r="D8" s="125"/>
      <c r="E8" s="127" t="s">
        <v>146</v>
      </c>
      <c r="F8" s="647" t="s">
        <v>158</v>
      </c>
      <c r="G8" s="647"/>
      <c r="H8" s="647"/>
      <c r="I8" s="647"/>
      <c r="J8" s="215" t="str">
        <f>VLOOKUP(Q16,BA8:BK757,11,FALSE)</f>
        <v>L</v>
      </c>
      <c r="K8" s="125" t="s">
        <v>206</v>
      </c>
      <c r="L8" s="125"/>
      <c r="M8" s="190">
        <v>5</v>
      </c>
      <c r="N8" s="125" t="s">
        <v>116</v>
      </c>
      <c r="O8" s="125"/>
      <c r="P8" s="125"/>
      <c r="Q8" s="125"/>
      <c r="R8" s="125"/>
      <c r="S8" s="125"/>
      <c r="T8" s="125"/>
      <c r="U8" s="208"/>
      <c r="AC8" s="121" t="s">
        <v>149</v>
      </c>
      <c r="AD8" s="121" t="s">
        <v>158</v>
      </c>
      <c r="AE8" s="121" t="s">
        <v>168</v>
      </c>
      <c r="AF8" s="121">
        <v>1</v>
      </c>
      <c r="AG8" s="121" t="s">
        <v>172</v>
      </c>
      <c r="AH8" s="121">
        <v>2014</v>
      </c>
      <c r="AI8" s="121" t="s">
        <v>185</v>
      </c>
      <c r="AQ8" s="133">
        <v>1</v>
      </c>
      <c r="AR8" s="134" t="s">
        <v>109</v>
      </c>
      <c r="AS8" s="171">
        <f t="shared" ref="AS8:AS16" si="2">E21*$Q$16*E33*60</f>
        <v>1798200000</v>
      </c>
      <c r="AT8" s="171">
        <f t="shared" ref="AT8:AT16" si="3">F21*$Q$16*F33*60</f>
        <v>0</v>
      </c>
      <c r="AU8" s="171">
        <f t="shared" ref="AU8:AU16" si="4">G21*$Q$16*G33*60</f>
        <v>0</v>
      </c>
      <c r="AV8" s="171">
        <f t="shared" ref="AV8:AV16" si="5">H21*$Q$16*H33*60</f>
        <v>0</v>
      </c>
      <c r="AW8" s="171">
        <f t="shared" ref="AW8:AW16" si="6">I21*$Q$16*I33*60</f>
        <v>0</v>
      </c>
      <c r="AX8" s="171">
        <f t="shared" ref="AX8:AX16" si="7">J21*$Q$16*J33*60</f>
        <v>0</v>
      </c>
      <c r="BA8" s="252">
        <v>1</v>
      </c>
      <c r="BB8" s="253" t="s">
        <v>272</v>
      </c>
      <c r="BC8" s="253">
        <v>270000</v>
      </c>
      <c r="BD8" s="253">
        <v>300000</v>
      </c>
      <c r="BE8" s="253">
        <v>180000</v>
      </c>
      <c r="BF8" s="253">
        <v>270000</v>
      </c>
      <c r="BK8" s="121" t="s">
        <v>252</v>
      </c>
    </row>
    <row r="9" spans="1:63" x14ac:dyDescent="0.3">
      <c r="A9" s="126"/>
      <c r="B9" s="129" t="s">
        <v>167</v>
      </c>
      <c r="C9" s="129"/>
      <c r="D9" s="125"/>
      <c r="E9" s="127" t="s">
        <v>146</v>
      </c>
      <c r="F9" s="647" t="s">
        <v>168</v>
      </c>
      <c r="G9" s="647"/>
      <c r="H9" s="647"/>
      <c r="I9" s="647"/>
      <c r="J9" s="125"/>
      <c r="K9" s="125"/>
      <c r="L9" s="125"/>
      <c r="M9" s="125"/>
      <c r="N9" s="125"/>
      <c r="O9" s="125"/>
      <c r="P9" s="125"/>
      <c r="Q9" s="125"/>
      <c r="R9" s="125"/>
      <c r="S9" s="125"/>
      <c r="T9" s="125"/>
      <c r="U9" s="208"/>
      <c r="AC9" s="121" t="s">
        <v>150</v>
      </c>
      <c r="AD9" s="121" t="s">
        <v>159</v>
      </c>
      <c r="AE9" s="121" t="s">
        <v>169</v>
      </c>
      <c r="AF9" s="121">
        <v>2</v>
      </c>
      <c r="AG9" s="121" t="s">
        <v>173</v>
      </c>
      <c r="AH9" s="121">
        <v>2015</v>
      </c>
      <c r="AI9" s="121" t="s">
        <v>186</v>
      </c>
      <c r="AJ9" s="121">
        <v>1</v>
      </c>
      <c r="AK9" s="121">
        <v>1</v>
      </c>
      <c r="AL9" s="156">
        <v>0.05</v>
      </c>
      <c r="AM9" s="176">
        <v>0.05</v>
      </c>
      <c r="AQ9" s="135">
        <v>2</v>
      </c>
      <c r="AR9" s="136" t="s">
        <v>110</v>
      </c>
      <c r="AS9" s="159">
        <f t="shared" si="2"/>
        <v>1678320000</v>
      </c>
      <c r="AT9" s="159">
        <f t="shared" si="3"/>
        <v>0</v>
      </c>
      <c r="AU9" s="159">
        <f t="shared" si="4"/>
        <v>0</v>
      </c>
      <c r="AV9" s="159">
        <f t="shared" si="5"/>
        <v>0</v>
      </c>
      <c r="AW9" s="159">
        <f t="shared" si="6"/>
        <v>0</v>
      </c>
      <c r="AX9" s="159">
        <f t="shared" si="7"/>
        <v>0</v>
      </c>
      <c r="BA9" s="252">
        <v>2</v>
      </c>
      <c r="BB9" s="253" t="s">
        <v>272</v>
      </c>
      <c r="BC9" s="253">
        <v>270000</v>
      </c>
      <c r="BD9" s="253">
        <v>300000</v>
      </c>
      <c r="BE9" s="253">
        <v>180000</v>
      </c>
      <c r="BF9" s="253">
        <v>270000</v>
      </c>
      <c r="BK9" s="121" t="s">
        <v>252</v>
      </c>
    </row>
    <row r="10" spans="1:63" x14ac:dyDescent="0.3">
      <c r="A10" s="126"/>
      <c r="B10" s="129" t="s">
        <v>170</v>
      </c>
      <c r="C10" s="129"/>
      <c r="D10" s="125"/>
      <c r="E10" s="127" t="s">
        <v>146</v>
      </c>
      <c r="F10" s="189">
        <v>20</v>
      </c>
      <c r="G10" s="649" t="s">
        <v>173</v>
      </c>
      <c r="H10" s="650"/>
      <c r="I10" s="651"/>
      <c r="J10" s="189">
        <v>2014</v>
      </c>
      <c r="K10" s="125"/>
      <c r="L10" s="125"/>
      <c r="M10" s="125"/>
      <c r="N10" s="125"/>
      <c r="O10" s="125"/>
      <c r="P10" s="125"/>
      <c r="Q10" s="125"/>
      <c r="R10" s="125"/>
      <c r="S10" s="125"/>
      <c r="T10" s="125"/>
      <c r="U10" s="208"/>
      <c r="AC10" s="121" t="s">
        <v>151</v>
      </c>
      <c r="AD10" s="121" t="s">
        <v>160</v>
      </c>
      <c r="AF10" s="121">
        <v>3</v>
      </c>
      <c r="AG10" s="121" t="s">
        <v>174</v>
      </c>
      <c r="AH10" s="121">
        <v>2016</v>
      </c>
      <c r="AI10" s="121" t="s">
        <v>187</v>
      </c>
      <c r="AK10" s="121">
        <v>3</v>
      </c>
      <c r="AL10" s="156">
        <v>0.1</v>
      </c>
      <c r="AM10" s="176">
        <v>0.1</v>
      </c>
      <c r="AQ10" s="135">
        <v>3</v>
      </c>
      <c r="AR10" s="136" t="s">
        <v>45</v>
      </c>
      <c r="AS10" s="159">
        <f t="shared" si="2"/>
        <v>0</v>
      </c>
      <c r="AT10" s="159">
        <f t="shared" si="3"/>
        <v>1864800000</v>
      </c>
      <c r="AU10" s="159">
        <f t="shared" si="4"/>
        <v>0</v>
      </c>
      <c r="AV10" s="159">
        <f t="shared" si="5"/>
        <v>0</v>
      </c>
      <c r="AW10" s="159">
        <f t="shared" si="6"/>
        <v>0</v>
      </c>
      <c r="AX10" s="159">
        <f t="shared" si="7"/>
        <v>0</v>
      </c>
      <c r="AY10" s="174"/>
      <c r="AZ10" s="174"/>
      <c r="BA10" s="252">
        <v>3</v>
      </c>
      <c r="BB10" s="253" t="s">
        <v>272</v>
      </c>
      <c r="BC10" s="253">
        <v>270000</v>
      </c>
      <c r="BD10" s="253">
        <v>300000</v>
      </c>
      <c r="BE10" s="253">
        <v>180000</v>
      </c>
      <c r="BF10" s="253">
        <v>270000</v>
      </c>
      <c r="BK10" s="121" t="s">
        <v>252</v>
      </c>
    </row>
    <row r="11" spans="1:63" x14ac:dyDescent="0.3">
      <c r="A11" s="126"/>
      <c r="B11" s="129" t="s">
        <v>184</v>
      </c>
      <c r="C11" s="129"/>
      <c r="D11" s="125"/>
      <c r="E11" s="127" t="s">
        <v>146</v>
      </c>
      <c r="F11" s="647" t="s">
        <v>186</v>
      </c>
      <c r="G11" s="647"/>
      <c r="H11" s="647"/>
      <c r="I11" s="647"/>
      <c r="J11" s="125"/>
      <c r="K11" s="125"/>
      <c r="L11" s="125"/>
      <c r="M11" s="125"/>
      <c r="N11" s="125"/>
      <c r="O11" s="125"/>
      <c r="P11" s="125"/>
      <c r="Q11" s="125"/>
      <c r="R11" s="125"/>
      <c r="S11" s="125"/>
      <c r="T11" s="125"/>
      <c r="U11" s="208"/>
      <c r="AC11" s="121" t="s">
        <v>152</v>
      </c>
      <c r="AD11" s="121" t="s">
        <v>164</v>
      </c>
      <c r="AF11" s="121">
        <v>4</v>
      </c>
      <c r="AG11" s="121" t="s">
        <v>175</v>
      </c>
      <c r="AH11" s="121">
        <v>2017</v>
      </c>
      <c r="AI11" s="121" t="s">
        <v>188</v>
      </c>
      <c r="AK11" s="121">
        <v>5</v>
      </c>
      <c r="AM11" s="176">
        <v>0.15</v>
      </c>
      <c r="AQ11" s="135">
        <v>4</v>
      </c>
      <c r="AR11" s="136" t="s">
        <v>98</v>
      </c>
      <c r="AS11" s="159">
        <f t="shared" si="2"/>
        <v>0</v>
      </c>
      <c r="AT11" s="159">
        <f t="shared" si="3"/>
        <v>0</v>
      </c>
      <c r="AU11" s="159">
        <f t="shared" si="4"/>
        <v>0</v>
      </c>
      <c r="AV11" s="159">
        <f t="shared" si="5"/>
        <v>0</v>
      </c>
      <c r="AW11" s="159">
        <f t="shared" si="6"/>
        <v>0</v>
      </c>
      <c r="AX11" s="159">
        <f t="shared" si="7"/>
        <v>0</v>
      </c>
      <c r="BA11" s="252">
        <v>4</v>
      </c>
      <c r="BB11" s="253" t="s">
        <v>272</v>
      </c>
      <c r="BC11" s="253">
        <v>270000</v>
      </c>
      <c r="BD11" s="253">
        <v>300000</v>
      </c>
      <c r="BE11" s="253">
        <v>180000</v>
      </c>
      <c r="BF11" s="253">
        <v>270000</v>
      </c>
      <c r="BK11" s="121" t="s">
        <v>252</v>
      </c>
    </row>
    <row r="12" spans="1:63" ht="15" x14ac:dyDescent="0.3">
      <c r="A12" s="126"/>
      <c r="B12" s="125"/>
      <c r="C12" s="125"/>
      <c r="D12" s="125"/>
      <c r="E12" s="125"/>
      <c r="F12" s="125"/>
      <c r="G12" s="125"/>
      <c r="H12" s="125"/>
      <c r="I12" s="125"/>
      <c r="J12" s="125"/>
      <c r="K12" s="125"/>
      <c r="L12" s="231" t="s">
        <v>261</v>
      </c>
      <c r="M12" s="125"/>
      <c r="N12" s="125"/>
      <c r="O12" s="125"/>
      <c r="P12" s="125"/>
      <c r="Q12" s="125"/>
      <c r="R12" s="125"/>
      <c r="S12" s="125"/>
      <c r="T12" s="125"/>
      <c r="U12" s="208"/>
      <c r="AC12" s="121" t="s">
        <v>153</v>
      </c>
      <c r="AD12" s="121" t="s">
        <v>161</v>
      </c>
      <c r="AF12" s="121">
        <v>5</v>
      </c>
      <c r="AG12" s="121" t="s">
        <v>176</v>
      </c>
      <c r="AH12" s="121">
        <v>2018</v>
      </c>
      <c r="AK12" s="121">
        <v>10</v>
      </c>
      <c r="AM12" s="176">
        <v>0.2</v>
      </c>
      <c r="AQ12" s="135">
        <v>5</v>
      </c>
      <c r="AR12" s="136" t="s">
        <v>113</v>
      </c>
      <c r="AS12" s="159">
        <f t="shared" si="2"/>
        <v>0</v>
      </c>
      <c r="AT12" s="159">
        <f t="shared" si="3"/>
        <v>0</v>
      </c>
      <c r="AU12" s="159">
        <f t="shared" si="4"/>
        <v>0</v>
      </c>
      <c r="AV12" s="159">
        <f t="shared" si="5"/>
        <v>0</v>
      </c>
      <c r="AW12" s="159">
        <f t="shared" si="6"/>
        <v>0</v>
      </c>
      <c r="AX12" s="159">
        <f t="shared" si="7"/>
        <v>0</v>
      </c>
      <c r="BA12" s="252">
        <v>5</v>
      </c>
      <c r="BB12" s="253" t="s">
        <v>272</v>
      </c>
      <c r="BC12" s="253">
        <v>270000</v>
      </c>
      <c r="BD12" s="253">
        <v>300000</v>
      </c>
      <c r="BE12" s="253">
        <v>180000</v>
      </c>
      <c r="BF12" s="253">
        <v>270000</v>
      </c>
      <c r="BK12" s="121" t="s">
        <v>252</v>
      </c>
    </row>
    <row r="13" spans="1:63" ht="14.5" thickBot="1" x14ac:dyDescent="0.35">
      <c r="A13" s="126"/>
      <c r="B13" s="131" t="s">
        <v>189</v>
      </c>
      <c r="C13" s="125"/>
      <c r="D13" s="125"/>
      <c r="E13" s="125"/>
      <c r="F13" s="125"/>
      <c r="G13" s="125"/>
      <c r="H13" s="125"/>
      <c r="I13" s="125"/>
      <c r="J13" s="125"/>
      <c r="K13" s="125"/>
      <c r="L13" s="125"/>
      <c r="M13" s="125"/>
      <c r="N13" s="125"/>
      <c r="O13" s="125"/>
      <c r="P13" s="125"/>
      <c r="Q13" s="125"/>
      <c r="R13" s="125"/>
      <c r="S13" s="125"/>
      <c r="T13" s="125"/>
      <c r="U13" s="208"/>
      <c r="AC13" s="121" t="s">
        <v>154</v>
      </c>
      <c r="AD13" s="121" t="s">
        <v>162</v>
      </c>
      <c r="AF13" s="121">
        <v>6</v>
      </c>
      <c r="AG13" s="121" t="s">
        <v>177</v>
      </c>
      <c r="AH13" s="121">
        <v>2019</v>
      </c>
      <c r="AM13" s="176">
        <v>0.25</v>
      </c>
      <c r="AQ13" s="135">
        <v>6</v>
      </c>
      <c r="AR13" s="136" t="s">
        <v>42</v>
      </c>
      <c r="AS13" s="159">
        <f t="shared" si="2"/>
        <v>0</v>
      </c>
      <c r="AT13" s="159">
        <f t="shared" si="3"/>
        <v>0</v>
      </c>
      <c r="AU13" s="159">
        <f t="shared" si="4"/>
        <v>0</v>
      </c>
      <c r="AV13" s="159">
        <f t="shared" si="5"/>
        <v>0</v>
      </c>
      <c r="AW13" s="159">
        <f t="shared" si="6"/>
        <v>0</v>
      </c>
      <c r="AX13" s="159">
        <f t="shared" si="7"/>
        <v>0</v>
      </c>
      <c r="BA13" s="252">
        <v>6</v>
      </c>
      <c r="BB13" s="253" t="s">
        <v>272</v>
      </c>
      <c r="BC13" s="253">
        <v>270000</v>
      </c>
      <c r="BD13" s="253">
        <v>300000</v>
      </c>
      <c r="BE13" s="253">
        <v>180000</v>
      </c>
      <c r="BF13" s="253">
        <v>270000</v>
      </c>
      <c r="BK13" s="121" t="s">
        <v>252</v>
      </c>
    </row>
    <row r="14" spans="1:63" ht="14.5" thickTop="1" x14ac:dyDescent="0.3">
      <c r="A14" s="126"/>
      <c r="B14" s="125" t="s">
        <v>190</v>
      </c>
      <c r="C14" s="125"/>
      <c r="D14" s="125"/>
      <c r="E14" s="127" t="s">
        <v>146</v>
      </c>
      <c r="F14" s="140">
        <v>5.5E-2</v>
      </c>
      <c r="G14" s="125" t="s">
        <v>193</v>
      </c>
      <c r="H14" s="125"/>
      <c r="I14" s="125"/>
      <c r="J14" s="125"/>
      <c r="K14" s="125"/>
      <c r="L14" s="241"/>
      <c r="M14" s="242"/>
      <c r="N14" s="242"/>
      <c r="O14" s="242"/>
      <c r="P14" s="242"/>
      <c r="Q14" s="242"/>
      <c r="R14" s="243"/>
      <c r="S14" s="125"/>
      <c r="T14" s="125"/>
      <c r="U14" s="208"/>
      <c r="AC14" s="121" t="s">
        <v>155</v>
      </c>
      <c r="AD14" s="121" t="s">
        <v>163</v>
      </c>
      <c r="AF14" s="121">
        <v>7</v>
      </c>
      <c r="AG14" s="121" t="s">
        <v>178</v>
      </c>
      <c r="AH14" s="121">
        <v>2020</v>
      </c>
      <c r="AM14" s="176">
        <v>0.3</v>
      </c>
      <c r="AQ14" s="135">
        <v>7</v>
      </c>
      <c r="AR14" s="136" t="s">
        <v>111</v>
      </c>
      <c r="AS14" s="159">
        <f t="shared" si="2"/>
        <v>0</v>
      </c>
      <c r="AT14" s="159">
        <f t="shared" si="3"/>
        <v>0</v>
      </c>
      <c r="AU14" s="159">
        <f t="shared" si="4"/>
        <v>0</v>
      </c>
      <c r="AV14" s="159">
        <f t="shared" si="5"/>
        <v>0</v>
      </c>
      <c r="AW14" s="159">
        <f t="shared" si="6"/>
        <v>0</v>
      </c>
      <c r="AX14" s="159">
        <f t="shared" si="7"/>
        <v>0</v>
      </c>
      <c r="BA14" s="252">
        <v>7</v>
      </c>
      <c r="BB14" s="253" t="s">
        <v>272</v>
      </c>
      <c r="BC14" s="253">
        <v>270000</v>
      </c>
      <c r="BD14" s="253">
        <v>300000</v>
      </c>
      <c r="BE14" s="253">
        <v>180000</v>
      </c>
      <c r="BF14" s="253">
        <v>270000</v>
      </c>
      <c r="BK14" s="121" t="s">
        <v>252</v>
      </c>
    </row>
    <row r="15" spans="1:63" x14ac:dyDescent="0.3">
      <c r="A15" s="126"/>
      <c r="B15" s="121" t="s">
        <v>270</v>
      </c>
      <c r="E15" s="127" t="s">
        <v>146</v>
      </c>
      <c r="F15" s="156">
        <v>0.15</v>
      </c>
      <c r="H15" s="125"/>
      <c r="I15" s="125"/>
      <c r="J15" s="125"/>
      <c r="K15" s="125"/>
      <c r="L15" s="244"/>
      <c r="M15" s="131" t="s">
        <v>196</v>
      </c>
      <c r="N15" s="125"/>
      <c r="O15" s="125"/>
      <c r="P15" s="125"/>
      <c r="Q15" s="125"/>
      <c r="R15" s="245"/>
      <c r="S15" s="125"/>
      <c r="T15" s="125"/>
      <c r="U15" s="208"/>
      <c r="AC15" s="121" t="s">
        <v>156</v>
      </c>
      <c r="AD15" s="121" t="s">
        <v>165</v>
      </c>
      <c r="AF15" s="121">
        <v>8</v>
      </c>
      <c r="AG15" s="121" t="s">
        <v>179</v>
      </c>
      <c r="AH15" s="121">
        <v>2021</v>
      </c>
      <c r="AM15" s="176">
        <v>0.35</v>
      </c>
      <c r="AQ15" s="135">
        <v>8</v>
      </c>
      <c r="AR15" s="136" t="s">
        <v>46</v>
      </c>
      <c r="AS15" s="159">
        <f t="shared" si="2"/>
        <v>0</v>
      </c>
      <c r="AT15" s="159">
        <f t="shared" si="3"/>
        <v>0</v>
      </c>
      <c r="AU15" s="159">
        <f t="shared" si="4"/>
        <v>0</v>
      </c>
      <c r="AV15" s="159">
        <f t="shared" si="5"/>
        <v>0</v>
      </c>
      <c r="AW15" s="159">
        <f t="shared" si="6"/>
        <v>0</v>
      </c>
      <c r="AX15" s="159">
        <f t="shared" si="7"/>
        <v>0</v>
      </c>
      <c r="BA15" s="252">
        <v>8</v>
      </c>
      <c r="BB15" s="253" t="s">
        <v>272</v>
      </c>
      <c r="BC15" s="253">
        <v>270000</v>
      </c>
      <c r="BD15" s="253">
        <v>300000</v>
      </c>
      <c r="BE15" s="253">
        <v>180000</v>
      </c>
      <c r="BF15" s="253">
        <v>270000</v>
      </c>
      <c r="BK15" s="121" t="s">
        <v>252</v>
      </c>
    </row>
    <row r="16" spans="1:63" ht="14.5" thickBot="1" x14ac:dyDescent="0.35">
      <c r="A16" s="126"/>
      <c r="B16" s="125" t="s">
        <v>191</v>
      </c>
      <c r="C16" s="125"/>
      <c r="D16" s="125"/>
      <c r="E16" s="127" t="s">
        <v>146</v>
      </c>
      <c r="F16" s="140">
        <v>0.125</v>
      </c>
      <c r="G16" s="125" t="s">
        <v>193</v>
      </c>
      <c r="H16" s="125"/>
      <c r="I16" s="125"/>
      <c r="J16" s="125"/>
      <c r="K16" s="125"/>
      <c r="L16" s="244"/>
      <c r="M16" s="125" t="s">
        <v>197</v>
      </c>
      <c r="N16" s="125"/>
      <c r="O16" s="125"/>
      <c r="P16" s="125" t="s">
        <v>146</v>
      </c>
      <c r="Q16" s="191">
        <v>222</v>
      </c>
      <c r="R16" s="245" t="s">
        <v>199</v>
      </c>
      <c r="S16" s="125"/>
      <c r="T16" s="125"/>
      <c r="U16" s="208"/>
      <c r="AC16" s="121" t="s">
        <v>157</v>
      </c>
      <c r="AD16" s="121" t="s">
        <v>166</v>
      </c>
      <c r="AF16" s="121">
        <v>9</v>
      </c>
      <c r="AG16" s="121" t="s">
        <v>180</v>
      </c>
      <c r="AH16" s="121">
        <v>2022</v>
      </c>
      <c r="AM16" s="176">
        <v>0.4</v>
      </c>
      <c r="AQ16" s="137">
        <v>9</v>
      </c>
      <c r="AR16" s="138" t="s">
        <v>112</v>
      </c>
      <c r="AS16" s="175">
        <f t="shared" si="2"/>
        <v>0</v>
      </c>
      <c r="AT16" s="175">
        <f t="shared" si="3"/>
        <v>0</v>
      </c>
      <c r="AU16" s="175">
        <f t="shared" si="4"/>
        <v>0</v>
      </c>
      <c r="AV16" s="175">
        <f t="shared" si="5"/>
        <v>0</v>
      </c>
      <c r="AW16" s="175">
        <f t="shared" si="6"/>
        <v>0</v>
      </c>
      <c r="AX16" s="175">
        <f t="shared" si="7"/>
        <v>0</v>
      </c>
      <c r="BA16" s="252">
        <v>9</v>
      </c>
      <c r="BB16" s="253" t="s">
        <v>272</v>
      </c>
      <c r="BC16" s="253">
        <v>270000</v>
      </c>
      <c r="BD16" s="253">
        <v>300000</v>
      </c>
      <c r="BE16" s="253">
        <v>180000</v>
      </c>
      <c r="BF16" s="253">
        <v>270000</v>
      </c>
      <c r="BK16" s="121" t="s">
        <v>252</v>
      </c>
    </row>
    <row r="17" spans="1:63" ht="14.5" thickBot="1" x14ac:dyDescent="0.35">
      <c r="A17" s="126"/>
      <c r="B17" s="125" t="s">
        <v>192</v>
      </c>
      <c r="C17" s="125"/>
      <c r="D17" s="125"/>
      <c r="E17" s="127" t="s">
        <v>146</v>
      </c>
      <c r="F17" s="141">
        <v>12500</v>
      </c>
      <c r="G17" s="128" t="s">
        <v>194</v>
      </c>
      <c r="H17" s="128"/>
      <c r="I17" s="125"/>
      <c r="J17" s="125"/>
      <c r="K17" s="125"/>
      <c r="L17" s="244"/>
      <c r="M17" s="125" t="s">
        <v>198</v>
      </c>
      <c r="N17" s="125"/>
      <c r="O17" s="125"/>
      <c r="P17" s="125" t="s">
        <v>146</v>
      </c>
      <c r="Q17" s="191">
        <v>3</v>
      </c>
      <c r="R17" s="245" t="s">
        <v>200</v>
      </c>
      <c r="S17" s="125"/>
      <c r="T17" s="125"/>
      <c r="U17" s="208"/>
      <c r="AF17" s="121">
        <v>10</v>
      </c>
      <c r="AG17" s="121" t="s">
        <v>181</v>
      </c>
      <c r="AH17" s="121">
        <v>2023</v>
      </c>
      <c r="AM17" s="176">
        <v>0.45</v>
      </c>
      <c r="BA17" s="252">
        <v>10</v>
      </c>
      <c r="BB17" s="253" t="s">
        <v>272</v>
      </c>
      <c r="BC17" s="253">
        <v>270000</v>
      </c>
      <c r="BD17" s="253">
        <v>300000</v>
      </c>
      <c r="BE17" s="253">
        <v>180000</v>
      </c>
      <c r="BF17" s="253">
        <v>270000</v>
      </c>
      <c r="BK17" s="121" t="s">
        <v>252</v>
      </c>
    </row>
    <row r="18" spans="1:63" ht="14.5" thickBot="1" x14ac:dyDescent="0.35">
      <c r="A18" s="126"/>
      <c r="B18" s="125"/>
      <c r="C18" s="125"/>
      <c r="D18" s="125"/>
      <c r="E18" s="125"/>
      <c r="F18" s="125"/>
      <c r="G18" s="125"/>
      <c r="H18" s="125"/>
      <c r="I18" s="125"/>
      <c r="J18" s="125"/>
      <c r="K18" s="125"/>
      <c r="L18" s="244"/>
      <c r="M18" s="125"/>
      <c r="N18" s="125"/>
      <c r="O18" s="125"/>
      <c r="P18" s="125"/>
      <c r="Q18" s="125"/>
      <c r="R18" s="245"/>
      <c r="S18" s="125"/>
      <c r="T18" s="125"/>
      <c r="U18" s="208"/>
      <c r="AF18" s="121">
        <v>11</v>
      </c>
      <c r="AG18" s="121" t="s">
        <v>182</v>
      </c>
      <c r="AH18" s="121">
        <v>2024</v>
      </c>
      <c r="AM18" s="176">
        <v>0.5</v>
      </c>
      <c r="AQ18" s="139" t="s">
        <v>115</v>
      </c>
      <c r="AR18" s="139" t="s">
        <v>114</v>
      </c>
      <c r="AS18" s="139">
        <f>AS7</f>
        <v>2014</v>
      </c>
      <c r="AT18" s="139">
        <f>AS18+1</f>
        <v>2015</v>
      </c>
      <c r="AU18" s="139">
        <f t="shared" ref="AU18" si="8">AT18+1</f>
        <v>2016</v>
      </c>
      <c r="AV18" s="139">
        <f>AU18+1</f>
        <v>2017</v>
      </c>
      <c r="AW18" s="139">
        <f>AV18+1</f>
        <v>2018</v>
      </c>
      <c r="AX18" s="139">
        <f t="shared" ref="AX18" si="9">AW18+1</f>
        <v>2019</v>
      </c>
      <c r="BA18" s="252">
        <v>11</v>
      </c>
      <c r="BB18" s="253" t="s">
        <v>272</v>
      </c>
      <c r="BC18" s="253">
        <v>270000</v>
      </c>
      <c r="BD18" s="253">
        <v>300000</v>
      </c>
      <c r="BE18" s="253">
        <v>180000</v>
      </c>
      <c r="BF18" s="253">
        <v>270000</v>
      </c>
      <c r="BK18" s="121" t="s">
        <v>252</v>
      </c>
    </row>
    <row r="19" spans="1:63" ht="14.5" thickBot="1" x14ac:dyDescent="0.35">
      <c r="A19" s="126"/>
      <c r="B19" s="131" t="s">
        <v>230</v>
      </c>
      <c r="C19" s="131"/>
      <c r="D19" s="125"/>
      <c r="E19" s="125"/>
      <c r="F19" s="125"/>
      <c r="G19" s="125"/>
      <c r="H19" s="125"/>
      <c r="I19" s="125"/>
      <c r="J19" s="125"/>
      <c r="K19" s="125"/>
      <c r="L19" s="244"/>
      <c r="M19" s="125" t="s">
        <v>263</v>
      </c>
      <c r="N19" s="125"/>
      <c r="O19" s="125"/>
      <c r="P19" s="125" t="s">
        <v>146</v>
      </c>
      <c r="Q19" s="209">
        <f>K55</f>
        <v>6036624000</v>
      </c>
      <c r="R19" s="245"/>
      <c r="S19" s="125"/>
      <c r="T19" s="125"/>
      <c r="U19" s="208"/>
      <c r="AF19" s="121">
        <v>12</v>
      </c>
      <c r="AG19" s="121" t="s">
        <v>183</v>
      </c>
      <c r="AH19" s="121">
        <v>2025</v>
      </c>
      <c r="AM19" s="176">
        <v>0.55000000000000004</v>
      </c>
      <c r="AQ19" s="133">
        <v>1</v>
      </c>
      <c r="AR19" s="134" t="s">
        <v>109</v>
      </c>
      <c r="AS19" s="171">
        <f>IF(AS8&gt;1,AS8/5,0)</f>
        <v>359640000</v>
      </c>
      <c r="AT19" s="171">
        <f>IF(AS19&gt;1,AS19,AT8/5)</f>
        <v>359640000</v>
      </c>
      <c r="AU19" s="171">
        <f t="shared" ref="AU19:AV19" si="10">IF(AT19&gt;1,AT19,AU8/5)</f>
        <v>359640000</v>
      </c>
      <c r="AV19" s="171">
        <f t="shared" si="10"/>
        <v>359640000</v>
      </c>
      <c r="AW19" s="171">
        <f t="shared" ref="AW19" si="11">IF(AV19&gt;1,AV19,AW8/5)</f>
        <v>359640000</v>
      </c>
      <c r="AX19" s="171">
        <f t="shared" ref="AX19" si="12">IF(AW19&gt;1,AW19,AX8/5)</f>
        <v>359640000</v>
      </c>
      <c r="BA19" s="252">
        <v>12</v>
      </c>
      <c r="BB19" s="253" t="s">
        <v>272</v>
      </c>
      <c r="BC19" s="253">
        <v>270000</v>
      </c>
      <c r="BD19" s="253">
        <v>300000</v>
      </c>
      <c r="BE19" s="253">
        <v>180000</v>
      </c>
      <c r="BF19" s="253">
        <v>270000</v>
      </c>
      <c r="BK19" s="121" t="s">
        <v>252</v>
      </c>
    </row>
    <row r="20" spans="1:63" ht="14.5" thickBot="1" x14ac:dyDescent="0.35">
      <c r="A20" s="126"/>
      <c r="B20" s="165"/>
      <c r="C20" s="139" t="s">
        <v>115</v>
      </c>
      <c r="D20" s="139" t="s">
        <v>114</v>
      </c>
      <c r="E20" s="139">
        <f>J10</f>
        <v>2014</v>
      </c>
      <c r="F20" s="139">
        <f>E20+1</f>
        <v>2015</v>
      </c>
      <c r="G20" s="139">
        <f t="shared" ref="G20:J20" si="13">F20+1</f>
        <v>2016</v>
      </c>
      <c r="H20" s="139">
        <f>G20+1</f>
        <v>2017</v>
      </c>
      <c r="I20" s="139">
        <f>H20+1</f>
        <v>2018</v>
      </c>
      <c r="J20" s="139">
        <f t="shared" si="13"/>
        <v>2019</v>
      </c>
      <c r="K20" s="125"/>
      <c r="L20" s="244"/>
      <c r="M20" s="125" t="s">
        <v>266</v>
      </c>
      <c r="N20" s="125"/>
      <c r="O20" s="125"/>
      <c r="P20" s="125" t="s">
        <v>146</v>
      </c>
      <c r="Q20" s="209">
        <f>-K61-K62</f>
        <v>-885000000</v>
      </c>
      <c r="R20" s="245"/>
      <c r="S20" s="125"/>
      <c r="T20" s="125"/>
      <c r="U20" s="208"/>
      <c r="V20" s="178"/>
      <c r="W20" s="144"/>
      <c r="X20" s="144"/>
      <c r="AF20" s="121">
        <v>13</v>
      </c>
      <c r="AM20" s="176">
        <v>0.6</v>
      </c>
      <c r="AQ20" s="135">
        <v>2</v>
      </c>
      <c r="AR20" s="136" t="s">
        <v>110</v>
      </c>
      <c r="AS20" s="159">
        <f t="shared" ref="AS20:AS27" si="14">IF(AS9&gt;1,AS9/5,0)</f>
        <v>335664000</v>
      </c>
      <c r="AT20" s="159">
        <f t="shared" ref="AT20:AT27" si="15">IF(AS20&gt;1,AS20,AT9/5)</f>
        <v>335664000</v>
      </c>
      <c r="AU20" s="159">
        <f t="shared" ref="AU20:AU27" si="16">IF(AT20&gt;1,AT20,AU9/5)</f>
        <v>335664000</v>
      </c>
      <c r="AV20" s="159">
        <f t="shared" ref="AV20:AV27" si="17">IF(AU20&gt;1,AU20,AV9/5)</f>
        <v>335664000</v>
      </c>
      <c r="AW20" s="159">
        <f t="shared" ref="AW20:AW27" si="18">IF(AV20&gt;1,AV20,AW9/5)</f>
        <v>335664000</v>
      </c>
      <c r="AX20" s="159">
        <f t="shared" ref="AX20:AX27" si="19">IF(AW20&gt;1,AW20,AX9/5)</f>
        <v>335664000</v>
      </c>
      <c r="BA20" s="252">
        <v>13</v>
      </c>
      <c r="BB20" s="253" t="s">
        <v>272</v>
      </c>
      <c r="BC20" s="253">
        <v>270000</v>
      </c>
      <c r="BD20" s="253">
        <v>300000</v>
      </c>
      <c r="BE20" s="253">
        <v>180000</v>
      </c>
      <c r="BF20" s="253">
        <v>270000</v>
      </c>
      <c r="BK20" s="121" t="s">
        <v>252</v>
      </c>
    </row>
    <row r="21" spans="1:63" x14ac:dyDescent="0.3">
      <c r="A21" s="126"/>
      <c r="B21" s="132"/>
      <c r="C21" s="133">
        <v>1</v>
      </c>
      <c r="D21" s="134" t="s">
        <v>109</v>
      </c>
      <c r="E21" s="255">
        <f>VLOOKUP($Q$16,$BA$8:$BJ$757,2,FALSE)</f>
        <v>135000</v>
      </c>
      <c r="F21" s="255">
        <f>E21</f>
        <v>135000</v>
      </c>
      <c r="G21" s="255">
        <f>F21</f>
        <v>135000</v>
      </c>
      <c r="H21" s="255">
        <f>G21</f>
        <v>135000</v>
      </c>
      <c r="I21" s="255">
        <f>H21</f>
        <v>135000</v>
      </c>
      <c r="J21" s="255">
        <f>I21</f>
        <v>135000</v>
      </c>
      <c r="K21" s="261"/>
      <c r="L21" s="244"/>
      <c r="M21" s="125" t="s">
        <v>265</v>
      </c>
      <c r="N21" s="125"/>
      <c r="O21" s="125"/>
      <c r="P21" s="125" t="s">
        <v>146</v>
      </c>
      <c r="Q21" s="232" t="e">
        <f>-K58-K59-K60</f>
        <v>#REF!</v>
      </c>
      <c r="R21" s="245"/>
      <c r="S21" s="125"/>
      <c r="T21" s="125"/>
      <c r="U21" s="208"/>
      <c r="V21" s="143"/>
      <c r="W21" s="177"/>
      <c r="X21" s="143"/>
      <c r="AF21" s="121">
        <v>14</v>
      </c>
      <c r="AM21" s="176">
        <v>0.65</v>
      </c>
      <c r="AQ21" s="135">
        <v>3</v>
      </c>
      <c r="AR21" s="136" t="s">
        <v>45</v>
      </c>
      <c r="AS21" s="159">
        <f t="shared" si="14"/>
        <v>0</v>
      </c>
      <c r="AT21" s="159">
        <f t="shared" si="15"/>
        <v>372960000</v>
      </c>
      <c r="AU21" s="159">
        <f t="shared" si="16"/>
        <v>372960000</v>
      </c>
      <c r="AV21" s="159">
        <f t="shared" si="17"/>
        <v>372960000</v>
      </c>
      <c r="AW21" s="159">
        <f t="shared" si="18"/>
        <v>372960000</v>
      </c>
      <c r="AX21" s="159">
        <f t="shared" si="19"/>
        <v>372960000</v>
      </c>
      <c r="BA21" s="252">
        <v>14</v>
      </c>
      <c r="BB21" s="253" t="s">
        <v>272</v>
      </c>
      <c r="BC21" s="253">
        <v>270000</v>
      </c>
      <c r="BD21" s="253">
        <v>300000</v>
      </c>
      <c r="BE21" s="253">
        <v>180000</v>
      </c>
      <c r="BF21" s="253">
        <v>270000</v>
      </c>
      <c r="BK21" s="121" t="s">
        <v>252</v>
      </c>
    </row>
    <row r="22" spans="1:63" x14ac:dyDescent="0.3">
      <c r="A22" s="126"/>
      <c r="B22" s="132"/>
      <c r="C22" s="135">
        <v>2</v>
      </c>
      <c r="D22" s="136" t="s">
        <v>110</v>
      </c>
      <c r="E22" s="254">
        <f>VLOOKUP($Q$16,$BA$8:$BJ$757,3,FALSE)</f>
        <v>126000</v>
      </c>
      <c r="F22" s="254">
        <f>E22</f>
        <v>126000</v>
      </c>
      <c r="G22" s="254">
        <f t="shared" ref="G22:J22" si="20">F22</f>
        <v>126000</v>
      </c>
      <c r="H22" s="254">
        <f t="shared" si="20"/>
        <v>126000</v>
      </c>
      <c r="I22" s="254">
        <f t="shared" si="20"/>
        <v>126000</v>
      </c>
      <c r="J22" s="254">
        <f t="shared" si="20"/>
        <v>126000</v>
      </c>
      <c r="K22" s="261"/>
      <c r="L22" s="244"/>
      <c r="M22" s="125" t="s">
        <v>264</v>
      </c>
      <c r="N22" s="125"/>
      <c r="O22" s="125"/>
      <c r="P22" s="125" t="s">
        <v>146</v>
      </c>
      <c r="Q22" s="233">
        <f>-K63-K64-K65</f>
        <v>-625500000</v>
      </c>
      <c r="R22" s="245"/>
      <c r="S22" s="125"/>
      <c r="T22" s="125"/>
      <c r="U22" s="208"/>
      <c r="V22" s="144"/>
      <c r="W22" s="179"/>
      <c r="X22" s="141"/>
      <c r="AF22" s="121">
        <v>15</v>
      </c>
      <c r="AM22" s="176">
        <v>0.7</v>
      </c>
      <c r="AQ22" s="135">
        <v>4</v>
      </c>
      <c r="AR22" s="136" t="s">
        <v>98</v>
      </c>
      <c r="AS22" s="159">
        <f t="shared" si="14"/>
        <v>0</v>
      </c>
      <c r="AT22" s="159">
        <f t="shared" si="15"/>
        <v>0</v>
      </c>
      <c r="AU22" s="159">
        <f t="shared" si="16"/>
        <v>0</v>
      </c>
      <c r="AV22" s="159">
        <f t="shared" si="17"/>
        <v>0</v>
      </c>
      <c r="AW22" s="159">
        <f t="shared" si="18"/>
        <v>0</v>
      </c>
      <c r="AX22" s="159">
        <f t="shared" si="19"/>
        <v>0</v>
      </c>
      <c r="BA22" s="252">
        <v>15</v>
      </c>
      <c r="BB22" s="253" t="s">
        <v>272</v>
      </c>
      <c r="BC22" s="253">
        <v>270000</v>
      </c>
      <c r="BD22" s="253">
        <v>300000</v>
      </c>
      <c r="BE22" s="253">
        <v>180000</v>
      </c>
      <c r="BF22" s="253">
        <v>270000</v>
      </c>
      <c r="BK22" s="121" t="s">
        <v>252</v>
      </c>
    </row>
    <row r="23" spans="1:63" x14ac:dyDescent="0.3">
      <c r="A23" s="126"/>
      <c r="B23" s="132"/>
      <c r="C23" s="135">
        <v>3</v>
      </c>
      <c r="D23" s="136" t="s">
        <v>45</v>
      </c>
      <c r="E23" s="254">
        <f>VLOOKUP($Q$16,$BA$8:$BJ$757,4,FALSE)</f>
        <v>140000</v>
      </c>
      <c r="F23" s="254">
        <f t="shared" ref="F23:J23" si="21">E23</f>
        <v>140000</v>
      </c>
      <c r="G23" s="254">
        <f t="shared" si="21"/>
        <v>140000</v>
      </c>
      <c r="H23" s="254">
        <f t="shared" si="21"/>
        <v>140000</v>
      </c>
      <c r="I23" s="254">
        <f t="shared" si="21"/>
        <v>140000</v>
      </c>
      <c r="J23" s="254">
        <f t="shared" si="21"/>
        <v>140000</v>
      </c>
      <c r="K23" s="261"/>
      <c r="L23" s="244"/>
      <c r="M23" s="125" t="s">
        <v>243</v>
      </c>
      <c r="N23" s="125"/>
      <c r="O23" s="125"/>
      <c r="P23" s="125" t="s">
        <v>146</v>
      </c>
      <c r="Q23" s="209" t="e">
        <f>K72</f>
        <v>#REF!</v>
      </c>
      <c r="R23" s="245"/>
      <c r="S23" s="125"/>
      <c r="T23" s="125"/>
      <c r="U23" s="208"/>
      <c r="V23" s="141"/>
      <c r="W23" s="179"/>
      <c r="X23" s="141"/>
      <c r="AF23" s="121">
        <v>16</v>
      </c>
      <c r="AM23" s="176">
        <v>0.75</v>
      </c>
      <c r="AQ23" s="135">
        <v>5</v>
      </c>
      <c r="AR23" s="136" t="s">
        <v>113</v>
      </c>
      <c r="AS23" s="159">
        <f t="shared" si="14"/>
        <v>0</v>
      </c>
      <c r="AT23" s="159">
        <f t="shared" si="15"/>
        <v>0</v>
      </c>
      <c r="AU23" s="159">
        <f t="shared" si="16"/>
        <v>0</v>
      </c>
      <c r="AV23" s="159">
        <f t="shared" si="17"/>
        <v>0</v>
      </c>
      <c r="AW23" s="159">
        <f t="shared" si="18"/>
        <v>0</v>
      </c>
      <c r="AX23" s="159">
        <f t="shared" si="19"/>
        <v>0</v>
      </c>
      <c r="BA23" s="252">
        <v>16</v>
      </c>
      <c r="BB23" s="253" t="s">
        <v>272</v>
      </c>
      <c r="BC23" s="253">
        <v>270000</v>
      </c>
      <c r="BD23" s="253">
        <v>300000</v>
      </c>
      <c r="BE23" s="253">
        <v>180000</v>
      </c>
      <c r="BF23" s="253">
        <v>270000</v>
      </c>
      <c r="BK23" s="121" t="s">
        <v>252</v>
      </c>
    </row>
    <row r="24" spans="1:63" ht="14.5" thickBot="1" x14ac:dyDescent="0.35">
      <c r="A24" s="126"/>
      <c r="B24" s="132"/>
      <c r="C24" s="135">
        <v>4</v>
      </c>
      <c r="D24" s="136" t="s">
        <v>98</v>
      </c>
      <c r="E24" s="254">
        <f>IF(K24=BA759,BE759,VLOOKUP($Q$16,$BA$8:$BJ$757,5,FALSE))</f>
        <v>130000</v>
      </c>
      <c r="F24" s="254">
        <f t="shared" ref="F24:J24" si="22">E24</f>
        <v>130000</v>
      </c>
      <c r="G24" s="254">
        <f t="shared" si="22"/>
        <v>130000</v>
      </c>
      <c r="H24" s="254">
        <f t="shared" si="22"/>
        <v>130000</v>
      </c>
      <c r="I24" s="254">
        <f t="shared" si="22"/>
        <v>130000</v>
      </c>
      <c r="J24" s="254">
        <f t="shared" si="22"/>
        <v>130000</v>
      </c>
      <c r="K24" s="261"/>
      <c r="L24" s="244"/>
      <c r="M24" s="237"/>
      <c r="N24" s="237" t="s">
        <v>271</v>
      </c>
      <c r="O24" s="237"/>
      <c r="P24" s="237"/>
      <c r="Q24" s="234" t="e">
        <f>SUM(Q19:Q23)</f>
        <v>#REF!</v>
      </c>
      <c r="R24" s="246"/>
      <c r="S24" s="125"/>
      <c r="T24" s="125"/>
      <c r="U24" s="208"/>
      <c r="V24" s="141"/>
      <c r="W24" s="179"/>
      <c r="X24" s="141"/>
      <c r="AF24" s="121">
        <v>17</v>
      </c>
      <c r="AM24" s="176">
        <v>0.8</v>
      </c>
      <c r="AQ24" s="135">
        <v>6</v>
      </c>
      <c r="AR24" s="136" t="s">
        <v>42</v>
      </c>
      <c r="AS24" s="159">
        <f t="shared" si="14"/>
        <v>0</v>
      </c>
      <c r="AT24" s="159">
        <f t="shared" si="15"/>
        <v>0</v>
      </c>
      <c r="AU24" s="159">
        <f t="shared" si="16"/>
        <v>0</v>
      </c>
      <c r="AV24" s="159">
        <f t="shared" si="17"/>
        <v>0</v>
      </c>
      <c r="AW24" s="159">
        <f t="shared" si="18"/>
        <v>0</v>
      </c>
      <c r="AX24" s="159">
        <f t="shared" si="19"/>
        <v>0</v>
      </c>
      <c r="BA24" s="252">
        <v>17</v>
      </c>
      <c r="BB24" s="253" t="s">
        <v>272</v>
      </c>
      <c r="BC24" s="253">
        <v>270000</v>
      </c>
      <c r="BD24" s="253">
        <v>300000</v>
      </c>
      <c r="BE24" s="253">
        <v>180000</v>
      </c>
      <c r="BF24" s="253">
        <v>270000</v>
      </c>
      <c r="BK24" s="121" t="s">
        <v>252</v>
      </c>
    </row>
    <row r="25" spans="1:63" ht="14.5" thickTop="1" x14ac:dyDescent="0.3">
      <c r="A25" s="126"/>
      <c r="B25" s="132"/>
      <c r="C25" s="135">
        <v>5</v>
      </c>
      <c r="D25" s="136" t="s">
        <v>113</v>
      </c>
      <c r="E25" s="254">
        <f>IF(K25=BA759,BF759,VLOOKUP($Q$16,$BA$8:$BJ$757,6,FALSE))</f>
        <v>126000</v>
      </c>
      <c r="F25" s="254">
        <f t="shared" ref="F25:J25" si="23">E25</f>
        <v>126000</v>
      </c>
      <c r="G25" s="254">
        <f t="shared" si="23"/>
        <v>126000</v>
      </c>
      <c r="H25" s="254">
        <f t="shared" si="23"/>
        <v>126000</v>
      </c>
      <c r="I25" s="254">
        <f t="shared" si="23"/>
        <v>126000</v>
      </c>
      <c r="J25" s="254">
        <f t="shared" si="23"/>
        <v>126000</v>
      </c>
      <c r="K25" s="261"/>
      <c r="L25" s="244"/>
      <c r="M25" s="125"/>
      <c r="N25" s="125"/>
      <c r="O25" s="125"/>
      <c r="P25" s="144"/>
      <c r="Q25" s="125"/>
      <c r="R25" s="245"/>
      <c r="S25" s="125"/>
      <c r="T25" s="125"/>
      <c r="U25" s="208"/>
      <c r="V25" s="141"/>
      <c r="W25" s="179"/>
      <c r="X25" s="141"/>
      <c r="AF25" s="121">
        <v>18</v>
      </c>
      <c r="AM25" s="176">
        <v>0.85</v>
      </c>
      <c r="AQ25" s="135">
        <v>7</v>
      </c>
      <c r="AR25" s="136" t="s">
        <v>111</v>
      </c>
      <c r="AS25" s="159">
        <f t="shared" si="14"/>
        <v>0</v>
      </c>
      <c r="AT25" s="159">
        <f t="shared" si="15"/>
        <v>0</v>
      </c>
      <c r="AU25" s="159">
        <f t="shared" si="16"/>
        <v>0</v>
      </c>
      <c r="AV25" s="159">
        <f t="shared" si="17"/>
        <v>0</v>
      </c>
      <c r="AW25" s="159">
        <f t="shared" si="18"/>
        <v>0</v>
      </c>
      <c r="AX25" s="159">
        <f t="shared" si="19"/>
        <v>0</v>
      </c>
      <c r="BA25" s="252">
        <v>18</v>
      </c>
      <c r="BB25" s="253" t="s">
        <v>272</v>
      </c>
      <c r="BC25" s="253">
        <v>270000</v>
      </c>
      <c r="BD25" s="253">
        <v>300000</v>
      </c>
      <c r="BE25" s="253">
        <v>180000</v>
      </c>
      <c r="BF25" s="253">
        <v>270000</v>
      </c>
      <c r="BK25" s="121" t="s">
        <v>252</v>
      </c>
    </row>
    <row r="26" spans="1:63" x14ac:dyDescent="0.3">
      <c r="A26" s="126"/>
      <c r="B26" s="132"/>
      <c r="C26" s="135">
        <v>6</v>
      </c>
      <c r="D26" s="136" t="s">
        <v>42</v>
      </c>
      <c r="E26" s="254">
        <f>VLOOKUP($Q$16,$BA$8:$BJ$757,7,FALSE)</f>
        <v>0</v>
      </c>
      <c r="F26" s="254">
        <f t="shared" ref="F26:J26" si="24">E26</f>
        <v>0</v>
      </c>
      <c r="G26" s="254">
        <f t="shared" si="24"/>
        <v>0</v>
      </c>
      <c r="H26" s="254">
        <f t="shared" si="24"/>
        <v>0</v>
      </c>
      <c r="I26" s="254">
        <f t="shared" si="24"/>
        <v>0</v>
      </c>
      <c r="J26" s="254">
        <f t="shared" si="24"/>
        <v>0</v>
      </c>
      <c r="K26" s="261"/>
      <c r="L26" s="244"/>
      <c r="M26" s="125" t="s">
        <v>267</v>
      </c>
      <c r="N26" s="125"/>
      <c r="O26" s="125"/>
      <c r="P26" s="125" t="s">
        <v>146</v>
      </c>
      <c r="Q26" s="235" t="e">
        <f>NPV(F15,E73:J73)</f>
        <v>#REF!</v>
      </c>
      <c r="R26" s="245"/>
      <c r="S26" s="125"/>
      <c r="T26" s="125"/>
      <c r="U26" s="208"/>
      <c r="V26" s="144"/>
      <c r="W26" s="179"/>
      <c r="X26" s="141"/>
      <c r="AF26" s="121">
        <v>19</v>
      </c>
      <c r="AM26" s="176">
        <v>0.9</v>
      </c>
      <c r="AQ26" s="135">
        <v>8</v>
      </c>
      <c r="AR26" s="136" t="s">
        <v>46</v>
      </c>
      <c r="AS26" s="159">
        <f t="shared" si="14"/>
        <v>0</v>
      </c>
      <c r="AT26" s="159">
        <f t="shared" si="15"/>
        <v>0</v>
      </c>
      <c r="AU26" s="159">
        <f t="shared" si="16"/>
        <v>0</v>
      </c>
      <c r="AV26" s="159">
        <f t="shared" si="17"/>
        <v>0</v>
      </c>
      <c r="AW26" s="159">
        <f t="shared" si="18"/>
        <v>0</v>
      </c>
      <c r="AX26" s="159">
        <f t="shared" si="19"/>
        <v>0</v>
      </c>
      <c r="BA26" s="252">
        <v>19</v>
      </c>
      <c r="BB26" s="253" t="s">
        <v>272</v>
      </c>
      <c r="BC26" s="253">
        <v>270000</v>
      </c>
      <c r="BD26" s="253">
        <v>300000</v>
      </c>
      <c r="BE26" s="253">
        <v>180000</v>
      </c>
      <c r="BF26" s="253">
        <v>270000</v>
      </c>
      <c r="BK26" s="121" t="s">
        <v>252</v>
      </c>
    </row>
    <row r="27" spans="1:63" ht="14.5" thickBot="1" x14ac:dyDescent="0.35">
      <c r="A27" s="126"/>
      <c r="B27" s="132"/>
      <c r="C27" s="135">
        <v>7</v>
      </c>
      <c r="D27" s="136" t="s">
        <v>111</v>
      </c>
      <c r="E27" s="254">
        <f>VLOOKUP($Q$16,$BA$8:$BJ$757,8,FALSE)</f>
        <v>0</v>
      </c>
      <c r="F27" s="254">
        <f t="shared" ref="F27:J27" si="25">E27</f>
        <v>0</v>
      </c>
      <c r="G27" s="254">
        <f t="shared" si="25"/>
        <v>0</v>
      </c>
      <c r="H27" s="254">
        <f t="shared" si="25"/>
        <v>0</v>
      </c>
      <c r="I27" s="254">
        <f t="shared" si="25"/>
        <v>0</v>
      </c>
      <c r="J27" s="254">
        <f t="shared" si="25"/>
        <v>0</v>
      </c>
      <c r="K27" s="261"/>
      <c r="L27" s="244"/>
      <c r="M27" s="125" t="s">
        <v>268</v>
      </c>
      <c r="N27" s="125"/>
      <c r="O27" s="125"/>
      <c r="P27" s="125" t="s">
        <v>146</v>
      </c>
      <c r="Q27" s="236" t="e">
        <f>N68</f>
        <v>#VALUE!</v>
      </c>
      <c r="R27" s="245"/>
      <c r="S27" s="125"/>
      <c r="T27" s="125"/>
      <c r="U27" s="208"/>
      <c r="V27" s="144"/>
      <c r="W27" s="179"/>
      <c r="X27" s="141"/>
      <c r="AF27" s="121">
        <v>20</v>
      </c>
      <c r="AM27" s="176">
        <v>0.95</v>
      </c>
      <c r="AQ27" s="137">
        <v>9</v>
      </c>
      <c r="AR27" s="138" t="s">
        <v>112</v>
      </c>
      <c r="AS27" s="170">
        <f t="shared" si="14"/>
        <v>0</v>
      </c>
      <c r="AT27" s="170">
        <f t="shared" si="15"/>
        <v>0</v>
      </c>
      <c r="AU27" s="170">
        <f t="shared" si="16"/>
        <v>0</v>
      </c>
      <c r="AV27" s="170">
        <f t="shared" si="17"/>
        <v>0</v>
      </c>
      <c r="AW27" s="170">
        <f t="shared" si="18"/>
        <v>0</v>
      </c>
      <c r="AX27" s="170">
        <f t="shared" si="19"/>
        <v>0</v>
      </c>
      <c r="BA27" s="252">
        <v>20</v>
      </c>
      <c r="BB27" s="253" t="s">
        <v>272</v>
      </c>
      <c r="BC27" s="253">
        <v>270000</v>
      </c>
      <c r="BD27" s="253">
        <v>300000</v>
      </c>
      <c r="BE27" s="253">
        <v>180000</v>
      </c>
      <c r="BF27" s="253">
        <v>270000</v>
      </c>
      <c r="BK27" s="121" t="s">
        <v>252</v>
      </c>
    </row>
    <row r="28" spans="1:63" ht="17.5" x14ac:dyDescent="0.3">
      <c r="A28" s="126"/>
      <c r="B28" s="132"/>
      <c r="C28" s="135">
        <v>8</v>
      </c>
      <c r="D28" s="136" t="s">
        <v>46</v>
      </c>
      <c r="E28" s="254">
        <f>VLOOKUP($Q$16,$BA$8:$BJ$757,9,FALSE)</f>
        <v>0</v>
      </c>
      <c r="F28" s="254">
        <f t="shared" ref="F28:J28" si="26">E28</f>
        <v>0</v>
      </c>
      <c r="G28" s="254">
        <f t="shared" si="26"/>
        <v>0</v>
      </c>
      <c r="H28" s="254">
        <f t="shared" si="26"/>
        <v>0</v>
      </c>
      <c r="I28" s="254">
        <f t="shared" si="26"/>
        <v>0</v>
      </c>
      <c r="J28" s="254">
        <f t="shared" si="26"/>
        <v>0</v>
      </c>
      <c r="K28" s="261"/>
      <c r="L28" s="247" t="e">
        <f>MATCH(TRUE,E74:J74,0)</f>
        <v>#N/A</v>
      </c>
      <c r="M28" s="125" t="s">
        <v>269</v>
      </c>
      <c r="N28" s="125"/>
      <c r="O28" s="125"/>
      <c r="P28" s="125" t="s">
        <v>146</v>
      </c>
      <c r="Q28" s="240" t="e">
        <f ca="1">(L28-OFFSET(E73,0,L28)/OFFSET(E67,0,L28))*12</f>
        <v>#N/A</v>
      </c>
      <c r="R28" s="245" t="s">
        <v>171</v>
      </c>
      <c r="S28" s="125"/>
      <c r="T28" s="125"/>
      <c r="U28" s="208"/>
      <c r="V28" s="141"/>
      <c r="W28" s="179"/>
      <c r="X28" s="141"/>
      <c r="AF28" s="121">
        <v>21</v>
      </c>
      <c r="AM28" s="176">
        <v>1</v>
      </c>
      <c r="BA28" s="252">
        <v>21</v>
      </c>
      <c r="BB28" s="253" t="s">
        <v>272</v>
      </c>
      <c r="BC28" s="253">
        <v>270000</v>
      </c>
      <c r="BD28" s="253">
        <v>300000</v>
      </c>
      <c r="BE28" s="253">
        <v>180000</v>
      </c>
      <c r="BF28" s="253">
        <v>270000</v>
      </c>
      <c r="BK28" s="121" t="s">
        <v>252</v>
      </c>
    </row>
    <row r="29" spans="1:63" ht="14.5" thickBot="1" x14ac:dyDescent="0.35">
      <c r="A29" s="126"/>
      <c r="B29" s="132"/>
      <c r="C29" s="137">
        <v>9</v>
      </c>
      <c r="D29" s="138" t="s">
        <v>112</v>
      </c>
      <c r="E29" s="256">
        <f>VLOOKUP($Q$16,$BA$8:$BJ$757,10,FALSE)</f>
        <v>0</v>
      </c>
      <c r="F29" s="256">
        <f t="shared" ref="F29:J29" si="27">E29</f>
        <v>0</v>
      </c>
      <c r="G29" s="256">
        <f t="shared" si="27"/>
        <v>0</v>
      </c>
      <c r="H29" s="256">
        <f t="shared" si="27"/>
        <v>0</v>
      </c>
      <c r="I29" s="256">
        <f t="shared" si="27"/>
        <v>0</v>
      </c>
      <c r="J29" s="256">
        <f t="shared" si="27"/>
        <v>0</v>
      </c>
      <c r="K29" s="261"/>
      <c r="L29" s="248"/>
      <c r="M29" s="249"/>
      <c r="N29" s="249"/>
      <c r="O29" s="249"/>
      <c r="P29" s="250"/>
      <c r="Q29" s="249"/>
      <c r="R29" s="251"/>
      <c r="S29" s="125"/>
      <c r="T29" s="125"/>
      <c r="U29" s="208"/>
      <c r="V29" s="141"/>
      <c r="W29" s="179"/>
      <c r="X29" s="141"/>
      <c r="AF29" s="121">
        <v>22</v>
      </c>
      <c r="BA29" s="252">
        <v>22</v>
      </c>
      <c r="BB29" s="253" t="s">
        <v>272</v>
      </c>
      <c r="BC29" s="253">
        <v>270000</v>
      </c>
      <c r="BD29" s="253">
        <v>300000</v>
      </c>
      <c r="BE29" s="253">
        <v>180000</v>
      </c>
      <c r="BF29" s="253">
        <v>270000</v>
      </c>
      <c r="BK29" s="121" t="s">
        <v>252</v>
      </c>
    </row>
    <row r="30" spans="1:63" x14ac:dyDescent="0.3">
      <c r="A30" s="126"/>
      <c r="B30" s="125"/>
      <c r="C30" s="125"/>
      <c r="D30" s="125"/>
      <c r="E30" s="125"/>
      <c r="F30" s="125"/>
      <c r="G30" s="125"/>
      <c r="H30" s="125"/>
      <c r="I30" s="125"/>
      <c r="J30" s="125"/>
      <c r="K30" s="125"/>
      <c r="L30" s="143"/>
      <c r="M30" s="177"/>
      <c r="N30" s="143"/>
      <c r="O30" s="225"/>
      <c r="P30" s="144"/>
      <c r="Q30" s="144"/>
      <c r="R30" s="144"/>
      <c r="S30" s="125"/>
      <c r="T30" s="125"/>
      <c r="U30" s="208"/>
      <c r="V30" s="144"/>
      <c r="W30" s="179"/>
      <c r="X30" s="141"/>
      <c r="AF30" s="121">
        <v>23</v>
      </c>
      <c r="BA30" s="252">
        <v>23</v>
      </c>
      <c r="BB30" s="253" t="s">
        <v>272</v>
      </c>
      <c r="BC30" s="253">
        <v>270000</v>
      </c>
      <c r="BD30" s="253">
        <v>300000</v>
      </c>
      <c r="BE30" s="253">
        <v>180000</v>
      </c>
      <c r="BF30" s="253">
        <v>270000</v>
      </c>
      <c r="BK30" s="121" t="s">
        <v>252</v>
      </c>
    </row>
    <row r="31" spans="1:63" ht="14.5" thickBot="1" x14ac:dyDescent="0.35">
      <c r="A31" s="126"/>
      <c r="B31" s="131" t="s">
        <v>195</v>
      </c>
      <c r="C31" s="125"/>
      <c r="D31" s="125"/>
      <c r="E31" s="125"/>
      <c r="F31" s="125"/>
      <c r="G31" s="125"/>
      <c r="H31" s="125"/>
      <c r="I31" s="125"/>
      <c r="J31" s="125"/>
      <c r="K31" s="125"/>
      <c r="L31" s="144"/>
      <c r="M31" s="179"/>
      <c r="N31" s="224"/>
      <c r="O31" s="224"/>
      <c r="P31" s="144"/>
      <c r="Q31" s="125"/>
      <c r="R31" s="125"/>
      <c r="S31" s="125"/>
      <c r="T31" s="125"/>
      <c r="U31" s="208"/>
      <c r="V31" s="144"/>
      <c r="W31" s="144"/>
      <c r="X31" s="144"/>
      <c r="AF31" s="121">
        <v>24</v>
      </c>
      <c r="BA31" s="252">
        <v>24</v>
      </c>
      <c r="BB31" s="253" t="s">
        <v>272</v>
      </c>
      <c r="BC31" s="253">
        <v>270000</v>
      </c>
      <c r="BD31" s="253">
        <v>300000</v>
      </c>
      <c r="BE31" s="253">
        <v>180000</v>
      </c>
      <c r="BF31" s="253">
        <v>270000</v>
      </c>
      <c r="BK31" s="121" t="s">
        <v>252</v>
      </c>
    </row>
    <row r="32" spans="1:63" ht="14.5" thickBot="1" x14ac:dyDescent="0.35">
      <c r="A32" s="126"/>
      <c r="B32" s="125"/>
      <c r="C32" s="139" t="s">
        <v>115</v>
      </c>
      <c r="D32" s="139" t="s">
        <v>114</v>
      </c>
      <c r="E32" s="139">
        <f>E20</f>
        <v>2014</v>
      </c>
      <c r="F32" s="139">
        <f>E32+1</f>
        <v>2015</v>
      </c>
      <c r="G32" s="139">
        <f t="shared" ref="G32:J32" si="28">F32+1</f>
        <v>2016</v>
      </c>
      <c r="H32" s="139">
        <f>G32+1</f>
        <v>2017</v>
      </c>
      <c r="I32" s="139">
        <f>H32+1</f>
        <v>2018</v>
      </c>
      <c r="J32" s="139">
        <f t="shared" si="28"/>
        <v>2019</v>
      </c>
      <c r="K32" s="125"/>
      <c r="M32" s="131" t="s">
        <v>224</v>
      </c>
      <c r="N32" s="144"/>
      <c r="O32" s="125"/>
      <c r="P32" s="125"/>
      <c r="Q32" s="131" t="s">
        <v>207</v>
      </c>
      <c r="R32" s="125"/>
      <c r="S32" s="125"/>
      <c r="T32" s="125"/>
      <c r="U32" s="208"/>
      <c r="V32" s="143"/>
      <c r="W32" s="180"/>
      <c r="X32" s="144"/>
      <c r="AF32" s="121">
        <v>25</v>
      </c>
      <c r="BA32" s="252">
        <v>25</v>
      </c>
      <c r="BB32" s="253" t="s">
        <v>272</v>
      </c>
      <c r="BC32" s="253">
        <v>270000</v>
      </c>
      <c r="BD32" s="253">
        <v>300000</v>
      </c>
      <c r="BE32" s="253">
        <v>180000</v>
      </c>
      <c r="BF32" s="253">
        <v>270000</v>
      </c>
      <c r="BK32" s="121" t="s">
        <v>252</v>
      </c>
    </row>
    <row r="33" spans="1:63" ht="14.5" thickBot="1" x14ac:dyDescent="0.35">
      <c r="A33" s="126"/>
      <c r="B33" s="172">
        <f>SUM(E33:J33)</f>
        <v>1</v>
      </c>
      <c r="C33" s="133">
        <v>1</v>
      </c>
      <c r="D33" s="134" t="s">
        <v>109</v>
      </c>
      <c r="E33" s="195">
        <v>1</v>
      </c>
      <c r="F33" s="195"/>
      <c r="G33" s="195"/>
      <c r="H33" s="195"/>
      <c r="I33" s="195"/>
      <c r="J33" s="195"/>
      <c r="K33" s="173" t="str">
        <f>IF(B33&gt;1,"Salah","Benar")</f>
        <v>Benar</v>
      </c>
      <c r="M33" s="167">
        <v>1</v>
      </c>
      <c r="N33" s="169" t="s">
        <v>134</v>
      </c>
      <c r="O33" s="167" t="s">
        <v>223</v>
      </c>
      <c r="P33" s="125"/>
      <c r="Q33" s="142" t="s">
        <v>115</v>
      </c>
      <c r="R33" s="139" t="s">
        <v>201</v>
      </c>
      <c r="S33" s="148">
        <f>E20</f>
        <v>2014</v>
      </c>
      <c r="T33" s="139" t="s">
        <v>201</v>
      </c>
      <c r="U33" s="208"/>
      <c r="V33" s="144"/>
      <c r="W33" s="179"/>
      <c r="X33" s="141"/>
      <c r="AF33" s="121">
        <v>26</v>
      </c>
      <c r="BA33" s="252">
        <v>26</v>
      </c>
      <c r="BB33" s="253" t="s">
        <v>272</v>
      </c>
      <c r="BC33" s="253">
        <v>270000</v>
      </c>
      <c r="BD33" s="253">
        <v>300000</v>
      </c>
      <c r="BE33" s="253">
        <v>180000</v>
      </c>
      <c r="BF33" s="253">
        <v>270000</v>
      </c>
      <c r="BK33" s="121" t="s">
        <v>252</v>
      </c>
    </row>
    <row r="34" spans="1:63" x14ac:dyDescent="0.3">
      <c r="A34" s="126"/>
      <c r="B34" s="172">
        <f t="shared" ref="B34:B41" si="29">SUM(E34:J34)</f>
        <v>1</v>
      </c>
      <c r="C34" s="135">
        <v>2</v>
      </c>
      <c r="D34" s="136" t="s">
        <v>110</v>
      </c>
      <c r="E34" s="196">
        <v>1</v>
      </c>
      <c r="F34" s="196"/>
      <c r="G34" s="196"/>
      <c r="H34" s="196"/>
      <c r="I34" s="196"/>
      <c r="J34" s="196"/>
      <c r="K34" s="173" t="str">
        <f t="shared" ref="K34:K41" si="30">IF(B34&gt;1,"Salah","Benar")</f>
        <v>Benar</v>
      </c>
      <c r="M34" s="150"/>
      <c r="N34" s="146" t="s">
        <v>212</v>
      </c>
      <c r="O34" s="192">
        <v>30000000</v>
      </c>
      <c r="P34" s="125" t="s">
        <v>239</v>
      </c>
      <c r="Q34" s="155">
        <v>1</v>
      </c>
      <c r="R34" s="154" t="s">
        <v>118</v>
      </c>
      <c r="S34" s="123"/>
      <c r="T34" s="149"/>
      <c r="U34" s="208"/>
      <c r="V34" s="144"/>
      <c r="W34" s="179"/>
      <c r="X34" s="141"/>
      <c r="AF34" s="121">
        <v>27</v>
      </c>
      <c r="BA34" s="252">
        <v>27</v>
      </c>
      <c r="BB34" s="253" t="s">
        <v>272</v>
      </c>
      <c r="BC34" s="253">
        <v>270000</v>
      </c>
      <c r="BD34" s="253">
        <v>300000</v>
      </c>
      <c r="BE34" s="253">
        <v>180000</v>
      </c>
      <c r="BF34" s="253">
        <v>270000</v>
      </c>
      <c r="BK34" s="121" t="s">
        <v>252</v>
      </c>
    </row>
    <row r="35" spans="1:63" x14ac:dyDescent="0.3">
      <c r="A35" s="126"/>
      <c r="B35" s="172">
        <f t="shared" si="29"/>
        <v>1</v>
      </c>
      <c r="C35" s="135">
        <v>3</v>
      </c>
      <c r="D35" s="136" t="s">
        <v>45</v>
      </c>
      <c r="E35" s="196"/>
      <c r="F35" s="196">
        <v>1</v>
      </c>
      <c r="G35" s="196"/>
      <c r="H35" s="196"/>
      <c r="I35" s="196"/>
      <c r="J35" s="196"/>
      <c r="K35" s="173" t="str">
        <f t="shared" si="30"/>
        <v>Benar</v>
      </c>
      <c r="M35" s="159"/>
      <c r="N35" s="158" t="s">
        <v>213</v>
      </c>
      <c r="O35" s="193">
        <v>30000000</v>
      </c>
      <c r="P35" s="125" t="s">
        <v>239</v>
      </c>
      <c r="Q35" s="258" t="str">
        <f>J8&amp;F8&amp;F7</f>
        <v>LMallJabodetabek</v>
      </c>
      <c r="R35" s="158" t="s">
        <v>202</v>
      </c>
      <c r="S35" s="260" t="e">
        <f>VLOOKUP(Q35,#REF!,2,FALSE)</f>
        <v>#REF!</v>
      </c>
      <c r="T35" s="159" t="s">
        <v>208</v>
      </c>
      <c r="U35" s="208"/>
      <c r="V35" s="144"/>
      <c r="W35" s="179"/>
      <c r="X35" s="141"/>
      <c r="AF35" s="121">
        <v>28</v>
      </c>
      <c r="BA35" s="252">
        <v>28</v>
      </c>
      <c r="BB35" s="253" t="s">
        <v>272</v>
      </c>
      <c r="BC35" s="253">
        <v>270000</v>
      </c>
      <c r="BD35" s="253">
        <v>300000</v>
      </c>
      <c r="BE35" s="253">
        <v>180000</v>
      </c>
      <c r="BF35" s="253">
        <v>270000</v>
      </c>
      <c r="BK35" s="121" t="s">
        <v>252</v>
      </c>
    </row>
    <row r="36" spans="1:63" x14ac:dyDescent="0.3">
      <c r="A36" s="126"/>
      <c r="B36" s="172">
        <f t="shared" si="29"/>
        <v>0</v>
      </c>
      <c r="C36" s="135">
        <v>4</v>
      </c>
      <c r="D36" s="136" t="s">
        <v>98</v>
      </c>
      <c r="E36" s="196"/>
      <c r="F36" s="196"/>
      <c r="G36" s="196"/>
      <c r="H36" s="196"/>
      <c r="I36" s="196"/>
      <c r="J36" s="196"/>
      <c r="K36" s="173" t="str">
        <f t="shared" si="30"/>
        <v>Benar</v>
      </c>
      <c r="M36" s="159"/>
      <c r="N36" s="158" t="s">
        <v>214</v>
      </c>
      <c r="O36" s="193">
        <v>30000000</v>
      </c>
      <c r="P36" s="125" t="s">
        <v>239</v>
      </c>
      <c r="Q36" s="157"/>
      <c r="R36" s="158" t="s">
        <v>204</v>
      </c>
      <c r="S36" s="201">
        <v>50000000</v>
      </c>
      <c r="T36" s="159" t="s">
        <v>209</v>
      </c>
      <c r="U36" s="208"/>
      <c r="V36" s="144"/>
      <c r="W36" s="179"/>
      <c r="X36" s="141"/>
      <c r="AF36" s="121">
        <v>29</v>
      </c>
      <c r="BA36" s="252">
        <v>29</v>
      </c>
      <c r="BB36" s="253" t="s">
        <v>272</v>
      </c>
      <c r="BC36" s="253">
        <v>270000</v>
      </c>
      <c r="BD36" s="253">
        <v>300000</v>
      </c>
      <c r="BE36" s="253">
        <v>180000</v>
      </c>
      <c r="BF36" s="253">
        <v>270000</v>
      </c>
      <c r="BK36" s="121" t="s">
        <v>252</v>
      </c>
    </row>
    <row r="37" spans="1:63" x14ac:dyDescent="0.3">
      <c r="A37" s="126"/>
      <c r="B37" s="172">
        <f t="shared" si="29"/>
        <v>0</v>
      </c>
      <c r="C37" s="135">
        <v>5</v>
      </c>
      <c r="D37" s="136" t="s">
        <v>113</v>
      </c>
      <c r="E37" s="196"/>
      <c r="F37" s="196"/>
      <c r="G37" s="196"/>
      <c r="H37" s="196"/>
      <c r="I37" s="196"/>
      <c r="J37" s="196"/>
      <c r="K37" s="173" t="str">
        <f t="shared" si="30"/>
        <v>Benar</v>
      </c>
      <c r="M37" s="159"/>
      <c r="N37" s="158" t="s">
        <v>215</v>
      </c>
      <c r="O37" s="193">
        <v>30000000</v>
      </c>
      <c r="P37" s="125" t="s">
        <v>239</v>
      </c>
      <c r="Q37" s="157"/>
      <c r="R37" s="158" t="s">
        <v>203</v>
      </c>
      <c r="S37" s="201"/>
      <c r="T37" s="159" t="s">
        <v>209</v>
      </c>
      <c r="U37" s="208"/>
      <c r="V37" s="144"/>
      <c r="W37" s="144"/>
      <c r="X37" s="144"/>
      <c r="AF37" s="121">
        <v>30</v>
      </c>
      <c r="BA37" s="252">
        <v>30</v>
      </c>
      <c r="BB37" s="253" t="s">
        <v>272</v>
      </c>
      <c r="BC37" s="253">
        <v>270000</v>
      </c>
      <c r="BD37" s="253">
        <v>300000</v>
      </c>
      <c r="BE37" s="253">
        <v>180000</v>
      </c>
      <c r="BF37" s="253">
        <v>270000</v>
      </c>
      <c r="BK37" s="121" t="s">
        <v>252</v>
      </c>
    </row>
    <row r="38" spans="1:63" x14ac:dyDescent="0.3">
      <c r="A38" s="126"/>
      <c r="B38" s="172">
        <f t="shared" si="29"/>
        <v>0</v>
      </c>
      <c r="C38" s="135">
        <v>6</v>
      </c>
      <c r="D38" s="136" t="s">
        <v>42</v>
      </c>
      <c r="E38" s="196"/>
      <c r="F38" s="196"/>
      <c r="G38" s="196"/>
      <c r="H38" s="196"/>
      <c r="I38" s="196"/>
      <c r="J38" s="196"/>
      <c r="K38" s="173" t="str">
        <f t="shared" si="30"/>
        <v>Benar</v>
      </c>
      <c r="M38" s="162"/>
      <c r="N38" s="158" t="s">
        <v>216</v>
      </c>
      <c r="O38" s="193"/>
      <c r="P38" s="125" t="s">
        <v>239</v>
      </c>
      <c r="Q38" s="157"/>
      <c r="R38" s="160"/>
      <c r="S38" s="161"/>
      <c r="T38" s="162"/>
      <c r="U38" s="208"/>
      <c r="V38" s="144"/>
      <c r="W38" s="144"/>
      <c r="X38" s="144"/>
      <c r="AF38" s="121">
        <v>31</v>
      </c>
      <c r="BA38" s="252">
        <v>31</v>
      </c>
      <c r="BB38" s="253" t="s">
        <v>272</v>
      </c>
      <c r="BC38" s="253">
        <v>270000</v>
      </c>
      <c r="BD38" s="253">
        <v>300000</v>
      </c>
      <c r="BE38" s="253">
        <v>180000</v>
      </c>
      <c r="BF38" s="253">
        <v>270000</v>
      </c>
      <c r="BK38" s="121" t="s">
        <v>252</v>
      </c>
    </row>
    <row r="39" spans="1:63" x14ac:dyDescent="0.3">
      <c r="A39" s="126"/>
      <c r="B39" s="172">
        <f t="shared" si="29"/>
        <v>0</v>
      </c>
      <c r="C39" s="135">
        <v>7</v>
      </c>
      <c r="D39" s="136" t="s">
        <v>111</v>
      </c>
      <c r="E39" s="196"/>
      <c r="F39" s="196"/>
      <c r="G39" s="196"/>
      <c r="H39" s="196"/>
      <c r="I39" s="196"/>
      <c r="J39" s="196"/>
      <c r="K39" s="173" t="str">
        <f t="shared" si="30"/>
        <v>Benar</v>
      </c>
      <c r="M39" s="162"/>
      <c r="N39" s="158" t="s">
        <v>217</v>
      </c>
      <c r="O39" s="193"/>
      <c r="P39" s="125" t="s">
        <v>239</v>
      </c>
      <c r="Q39" s="163">
        <v>2</v>
      </c>
      <c r="R39" s="136" t="s">
        <v>205</v>
      </c>
      <c r="S39" s="161"/>
      <c r="T39" s="162"/>
      <c r="U39" s="208"/>
      <c r="V39" s="144"/>
      <c r="W39" s="144"/>
      <c r="X39" s="144"/>
      <c r="BA39" s="252">
        <v>32</v>
      </c>
      <c r="BB39" s="253" t="s">
        <v>272</v>
      </c>
      <c r="BC39" s="253">
        <v>270000</v>
      </c>
      <c r="BD39" s="253">
        <v>300000</v>
      </c>
      <c r="BE39" s="253">
        <v>180000</v>
      </c>
      <c r="BF39" s="253">
        <v>270000</v>
      </c>
      <c r="BK39" s="121" t="s">
        <v>252</v>
      </c>
    </row>
    <row r="40" spans="1:63" x14ac:dyDescent="0.3">
      <c r="A40" s="126"/>
      <c r="B40" s="172">
        <f t="shared" si="29"/>
        <v>0</v>
      </c>
      <c r="C40" s="135">
        <v>8</v>
      </c>
      <c r="D40" s="136" t="s">
        <v>46</v>
      </c>
      <c r="E40" s="196"/>
      <c r="F40" s="196"/>
      <c r="G40" s="196"/>
      <c r="H40" s="196"/>
      <c r="I40" s="196"/>
      <c r="J40" s="196"/>
      <c r="K40" s="173" t="str">
        <f t="shared" si="30"/>
        <v>Benar</v>
      </c>
      <c r="M40" s="159"/>
      <c r="N40" s="158" t="s">
        <v>218</v>
      </c>
      <c r="O40" s="193"/>
      <c r="P40" s="125" t="s">
        <v>239</v>
      </c>
      <c r="Q40" s="157"/>
      <c r="R40" s="158" t="s">
        <v>260</v>
      </c>
      <c r="S40" s="201">
        <v>700000000</v>
      </c>
      <c r="T40" s="159" t="s">
        <v>259</v>
      </c>
      <c r="U40" s="208"/>
      <c r="V40" s="144"/>
      <c r="W40" s="144"/>
      <c r="X40" s="144"/>
      <c r="BA40" s="252">
        <v>33</v>
      </c>
      <c r="BB40" s="253" t="s">
        <v>272</v>
      </c>
      <c r="BC40" s="253">
        <v>270000</v>
      </c>
      <c r="BD40" s="253">
        <v>300000</v>
      </c>
      <c r="BE40" s="253">
        <v>180000</v>
      </c>
      <c r="BF40" s="253">
        <v>270000</v>
      </c>
      <c r="BK40" s="121" t="s">
        <v>252</v>
      </c>
    </row>
    <row r="41" spans="1:63" ht="14.5" thickBot="1" x14ac:dyDescent="0.35">
      <c r="A41" s="126"/>
      <c r="B41" s="172">
        <f t="shared" si="29"/>
        <v>0</v>
      </c>
      <c r="C41" s="137">
        <v>9</v>
      </c>
      <c r="D41" s="138" t="s">
        <v>112</v>
      </c>
      <c r="E41" s="197"/>
      <c r="F41" s="197"/>
      <c r="G41" s="197"/>
      <c r="H41" s="197"/>
      <c r="I41" s="197"/>
      <c r="J41" s="197"/>
      <c r="K41" s="173" t="str">
        <f t="shared" si="30"/>
        <v>Benar</v>
      </c>
      <c r="M41" s="159"/>
      <c r="N41" s="158" t="s">
        <v>219</v>
      </c>
      <c r="O41" s="193"/>
      <c r="P41" s="125" t="s">
        <v>239</v>
      </c>
      <c r="Q41" s="164"/>
      <c r="R41" s="158"/>
      <c r="S41" s="159"/>
      <c r="T41" s="159"/>
      <c r="U41" s="208"/>
      <c r="V41" s="144"/>
      <c r="W41" s="144"/>
      <c r="X41" s="144"/>
      <c r="BA41" s="252">
        <v>34</v>
      </c>
      <c r="BB41" s="253" t="s">
        <v>272</v>
      </c>
      <c r="BC41" s="253">
        <v>270000</v>
      </c>
      <c r="BD41" s="253">
        <v>300000</v>
      </c>
      <c r="BE41" s="253">
        <v>180000</v>
      </c>
      <c r="BF41" s="253">
        <v>270000</v>
      </c>
      <c r="BK41" s="121" t="s">
        <v>252</v>
      </c>
    </row>
    <row r="42" spans="1:63" ht="14.5" thickBot="1" x14ac:dyDescent="0.35">
      <c r="A42" s="126"/>
      <c r="B42" s="125"/>
      <c r="C42" s="125"/>
      <c r="D42" s="125"/>
      <c r="E42" s="125"/>
      <c r="F42" s="125"/>
      <c r="G42" s="125"/>
      <c r="H42" s="125"/>
      <c r="I42" s="125"/>
      <c r="J42" s="125"/>
      <c r="K42" s="125"/>
      <c r="M42" s="166"/>
      <c r="N42" s="151" t="s">
        <v>220</v>
      </c>
      <c r="O42" s="194"/>
      <c r="P42" s="125" t="s">
        <v>239</v>
      </c>
      <c r="Q42" s="212"/>
      <c r="R42" s="222"/>
      <c r="S42" s="213"/>
      <c r="T42" s="222"/>
      <c r="U42" s="208"/>
      <c r="V42" s="144"/>
      <c r="W42" s="144"/>
      <c r="X42" s="144"/>
      <c r="BA42" s="252">
        <v>35</v>
      </c>
      <c r="BB42" s="253" t="s">
        <v>272</v>
      </c>
      <c r="BC42" s="253">
        <v>270000</v>
      </c>
      <c r="BD42" s="253">
        <v>300000</v>
      </c>
      <c r="BE42" s="253">
        <v>180000</v>
      </c>
      <c r="BF42" s="253">
        <v>270000</v>
      </c>
      <c r="BK42" s="121" t="s">
        <v>252</v>
      </c>
    </row>
    <row r="43" spans="1:63" ht="14.5" thickBot="1" x14ac:dyDescent="0.35">
      <c r="A43" s="126"/>
      <c r="B43" s="125"/>
      <c r="C43" s="125"/>
      <c r="D43" s="125"/>
      <c r="E43" s="209"/>
      <c r="F43" s="125"/>
      <c r="G43" s="125"/>
      <c r="H43" s="125"/>
      <c r="I43" s="125"/>
      <c r="J43" s="125"/>
      <c r="K43" s="125"/>
      <c r="M43" s="122"/>
      <c r="N43" s="145"/>
      <c r="O43" s="124"/>
      <c r="P43" s="125"/>
      <c r="Q43" s="167">
        <v>3</v>
      </c>
      <c r="R43" s="152" t="s">
        <v>222</v>
      </c>
      <c r="S43" s="148" t="s">
        <v>210</v>
      </c>
      <c r="T43" s="153" t="s">
        <v>211</v>
      </c>
      <c r="U43" s="208"/>
      <c r="BA43" s="252">
        <v>36</v>
      </c>
      <c r="BB43" s="253" t="s">
        <v>272</v>
      </c>
      <c r="BC43" s="253">
        <v>270000</v>
      </c>
      <c r="BD43" s="253">
        <v>300000</v>
      </c>
      <c r="BE43" s="253">
        <v>180000</v>
      </c>
      <c r="BF43" s="253">
        <v>270000</v>
      </c>
      <c r="BK43" s="121" t="s">
        <v>252</v>
      </c>
    </row>
    <row r="44" spans="1:63" ht="14.5" thickBot="1" x14ac:dyDescent="0.35">
      <c r="A44" s="126"/>
      <c r="B44" s="131" t="s">
        <v>229</v>
      </c>
      <c r="C44" s="125"/>
      <c r="D44" s="125"/>
      <c r="E44" s="125"/>
      <c r="F44" s="125"/>
      <c r="G44" s="125"/>
      <c r="H44" s="125"/>
      <c r="I44" s="125"/>
      <c r="J44" s="125"/>
      <c r="K44" s="125"/>
      <c r="M44" s="163">
        <v>2</v>
      </c>
      <c r="N44" s="136" t="s">
        <v>135</v>
      </c>
      <c r="O44" s="168"/>
      <c r="P44" s="125"/>
      <c r="Q44" s="150"/>
      <c r="R44" s="146" t="s">
        <v>212</v>
      </c>
      <c r="S44" s="202">
        <f>S45</f>
        <v>67500000</v>
      </c>
      <c r="T44" s="202"/>
      <c r="U44" s="208"/>
      <c r="BA44" s="252">
        <v>37</v>
      </c>
      <c r="BB44" s="253" t="s">
        <v>272</v>
      </c>
      <c r="BC44" s="253">
        <v>270000</v>
      </c>
      <c r="BD44" s="253">
        <v>300000</v>
      </c>
      <c r="BE44" s="253">
        <v>180000</v>
      </c>
      <c r="BF44" s="253">
        <v>270000</v>
      </c>
      <c r="BK44" s="121" t="s">
        <v>252</v>
      </c>
    </row>
    <row r="45" spans="1:63" ht="14.5" thickBot="1" x14ac:dyDescent="0.35">
      <c r="A45" s="126"/>
      <c r="B45" s="125"/>
      <c r="C45" s="139" t="s">
        <v>115</v>
      </c>
      <c r="D45" s="139" t="s">
        <v>114</v>
      </c>
      <c r="E45" s="139">
        <f>E32</f>
        <v>2014</v>
      </c>
      <c r="F45" s="139">
        <f>E45+1</f>
        <v>2015</v>
      </c>
      <c r="G45" s="139">
        <f t="shared" ref="G45" si="31">F45+1</f>
        <v>2016</v>
      </c>
      <c r="H45" s="139">
        <f>G45+1</f>
        <v>2017</v>
      </c>
      <c r="I45" s="139">
        <f>H45+1</f>
        <v>2018</v>
      </c>
      <c r="J45" s="139">
        <f t="shared" ref="J45" si="32">I45+1</f>
        <v>2019</v>
      </c>
      <c r="K45" s="139" t="s">
        <v>48</v>
      </c>
      <c r="M45" s="157"/>
      <c r="N45" s="158" t="s">
        <v>225</v>
      </c>
      <c r="O45" s="205">
        <f>S40*2.5%</f>
        <v>17500000</v>
      </c>
      <c r="P45" s="125" t="s">
        <v>239</v>
      </c>
      <c r="Q45" s="159"/>
      <c r="R45" s="158" t="s">
        <v>213</v>
      </c>
      <c r="S45" s="193">
        <v>67500000</v>
      </c>
      <c r="T45" s="193"/>
      <c r="U45" s="208"/>
      <c r="BA45" s="252">
        <v>38</v>
      </c>
      <c r="BB45" s="253" t="s">
        <v>272</v>
      </c>
      <c r="BC45" s="253">
        <v>270000</v>
      </c>
      <c r="BD45" s="253">
        <v>300000</v>
      </c>
      <c r="BE45" s="253">
        <v>180000</v>
      </c>
      <c r="BF45" s="253">
        <v>270000</v>
      </c>
      <c r="BK45" s="121" t="s">
        <v>252</v>
      </c>
    </row>
    <row r="46" spans="1:63" x14ac:dyDescent="0.3">
      <c r="A46" s="126"/>
      <c r="B46" s="125"/>
      <c r="C46" s="133">
        <v>1</v>
      </c>
      <c r="D46" s="134" t="s">
        <v>109</v>
      </c>
      <c r="E46" s="171">
        <f>AS19</f>
        <v>359640000</v>
      </c>
      <c r="F46" s="171">
        <f>AT19</f>
        <v>359640000</v>
      </c>
      <c r="G46" s="171">
        <f>AU19</f>
        <v>359640000</v>
      </c>
      <c r="H46" s="171">
        <f t="shared" ref="H46:J46" si="33">AV19</f>
        <v>359640000</v>
      </c>
      <c r="I46" s="171">
        <f t="shared" si="33"/>
        <v>359640000</v>
      </c>
      <c r="J46" s="171">
        <f t="shared" si="33"/>
        <v>359640000</v>
      </c>
      <c r="K46" s="171">
        <f>SUM(E46:J46)</f>
        <v>2157840000</v>
      </c>
      <c r="M46" s="157"/>
      <c r="N46" s="158" t="s">
        <v>226</v>
      </c>
      <c r="O46" s="205"/>
      <c r="P46" s="125" t="s">
        <v>239</v>
      </c>
      <c r="Q46" s="159"/>
      <c r="R46" s="158" t="s">
        <v>214</v>
      </c>
      <c r="S46" s="193"/>
      <c r="T46" s="193">
        <v>50000000</v>
      </c>
      <c r="U46" s="208"/>
      <c r="BA46" s="252">
        <v>39</v>
      </c>
      <c r="BB46" s="253" t="s">
        <v>272</v>
      </c>
      <c r="BC46" s="253">
        <v>270000</v>
      </c>
      <c r="BD46" s="253">
        <v>300000</v>
      </c>
      <c r="BE46" s="253">
        <v>180000</v>
      </c>
      <c r="BF46" s="253">
        <v>270000</v>
      </c>
      <c r="BK46" s="121" t="s">
        <v>252</v>
      </c>
    </row>
    <row r="47" spans="1:63" x14ac:dyDescent="0.3">
      <c r="A47" s="126"/>
      <c r="B47" s="125"/>
      <c r="C47" s="135">
        <v>2</v>
      </c>
      <c r="D47" s="136" t="s">
        <v>110</v>
      </c>
      <c r="E47" s="159">
        <f t="shared" ref="E47:G47" si="34">AS20</f>
        <v>335664000</v>
      </c>
      <c r="F47" s="159">
        <f t="shared" si="34"/>
        <v>335664000</v>
      </c>
      <c r="G47" s="159">
        <f t="shared" si="34"/>
        <v>335664000</v>
      </c>
      <c r="H47" s="159">
        <f t="shared" ref="H47:H54" si="35">AV20</f>
        <v>335664000</v>
      </c>
      <c r="I47" s="159">
        <f t="shared" ref="I47:I54" si="36">AW20</f>
        <v>335664000</v>
      </c>
      <c r="J47" s="159">
        <f t="shared" ref="J47:J54" si="37">AX20</f>
        <v>335664000</v>
      </c>
      <c r="K47" s="159">
        <f>SUM(E47:J47)</f>
        <v>2013984000</v>
      </c>
      <c r="M47" s="157"/>
      <c r="N47" s="158" t="s">
        <v>227</v>
      </c>
      <c r="O47" s="205"/>
      <c r="P47" s="125" t="s">
        <v>239</v>
      </c>
      <c r="Q47" s="159"/>
      <c r="R47" s="158" t="s">
        <v>215</v>
      </c>
      <c r="S47" s="193"/>
      <c r="T47" s="193">
        <v>60000000</v>
      </c>
      <c r="U47" s="208"/>
      <c r="BA47" s="252">
        <v>40</v>
      </c>
      <c r="BB47" s="253">
        <v>260000</v>
      </c>
      <c r="BC47" s="253">
        <v>216000</v>
      </c>
      <c r="BD47" s="253">
        <v>240000</v>
      </c>
      <c r="BE47" s="253">
        <v>180000</v>
      </c>
      <c r="BF47" s="253">
        <v>216000</v>
      </c>
      <c r="BK47" s="121" t="s">
        <v>252</v>
      </c>
    </row>
    <row r="48" spans="1:63" ht="14.5" thickBot="1" x14ac:dyDescent="0.35">
      <c r="A48" s="126"/>
      <c r="B48" s="125"/>
      <c r="C48" s="135">
        <v>3</v>
      </c>
      <c r="D48" s="136" t="s">
        <v>45</v>
      </c>
      <c r="E48" s="159">
        <f t="shared" ref="E48:G48" si="38">AS21</f>
        <v>0</v>
      </c>
      <c r="F48" s="159">
        <f t="shared" si="38"/>
        <v>372960000</v>
      </c>
      <c r="G48" s="159">
        <f t="shared" si="38"/>
        <v>372960000</v>
      </c>
      <c r="H48" s="159">
        <f t="shared" si="35"/>
        <v>372960000</v>
      </c>
      <c r="I48" s="159">
        <f t="shared" si="36"/>
        <v>372960000</v>
      </c>
      <c r="J48" s="159">
        <f t="shared" si="37"/>
        <v>372960000</v>
      </c>
      <c r="K48" s="159">
        <f t="shared" ref="K48:K53" si="39">SUM(E48:J48)</f>
        <v>1864800000</v>
      </c>
      <c r="M48" s="206">
        <v>0.1</v>
      </c>
      <c r="N48" s="151" t="s">
        <v>228</v>
      </c>
      <c r="O48" s="204">
        <f>SUM(O45:O47)*M48</f>
        <v>1750000</v>
      </c>
      <c r="P48" s="125" t="s">
        <v>239</v>
      </c>
      <c r="Q48" s="162"/>
      <c r="R48" s="158" t="s">
        <v>216</v>
      </c>
      <c r="S48" s="193"/>
      <c r="T48" s="193"/>
      <c r="U48" s="208"/>
      <c r="BA48" s="252">
        <v>41</v>
      </c>
      <c r="BB48" s="253">
        <v>260000</v>
      </c>
      <c r="BC48" s="253">
        <v>216000</v>
      </c>
      <c r="BD48" s="253">
        <v>240000</v>
      </c>
      <c r="BE48" s="253">
        <v>180000</v>
      </c>
      <c r="BF48" s="253">
        <v>216000</v>
      </c>
      <c r="BK48" s="121" t="s">
        <v>252</v>
      </c>
    </row>
    <row r="49" spans="1:63" x14ac:dyDescent="0.3">
      <c r="A49" s="126"/>
      <c r="B49" s="125"/>
      <c r="C49" s="135">
        <v>4</v>
      </c>
      <c r="D49" s="136" t="s">
        <v>98</v>
      </c>
      <c r="E49" s="159">
        <f t="shared" ref="E49:G49" si="40">AS22</f>
        <v>0</v>
      </c>
      <c r="F49" s="159">
        <f t="shared" si="40"/>
        <v>0</v>
      </c>
      <c r="G49" s="159">
        <f t="shared" si="40"/>
        <v>0</v>
      </c>
      <c r="H49" s="159">
        <f t="shared" si="35"/>
        <v>0</v>
      </c>
      <c r="I49" s="159">
        <f t="shared" si="36"/>
        <v>0</v>
      </c>
      <c r="J49" s="159">
        <f t="shared" si="37"/>
        <v>0</v>
      </c>
      <c r="K49" s="159">
        <f t="shared" si="39"/>
        <v>0</v>
      </c>
      <c r="L49" s="125"/>
      <c r="M49" s="125"/>
      <c r="N49" s="125"/>
      <c r="O49" s="125"/>
      <c r="P49" s="125"/>
      <c r="Q49" s="162"/>
      <c r="R49" s="158" t="s">
        <v>217</v>
      </c>
      <c r="S49" s="193"/>
      <c r="T49" s="193"/>
      <c r="U49" s="208"/>
      <c r="BA49" s="252">
        <v>42</v>
      </c>
      <c r="BB49" s="253">
        <v>260000</v>
      </c>
      <c r="BC49" s="253">
        <v>216000</v>
      </c>
      <c r="BD49" s="253">
        <v>240000</v>
      </c>
      <c r="BE49" s="253">
        <v>180000</v>
      </c>
      <c r="BF49" s="253">
        <v>216000</v>
      </c>
      <c r="BK49" s="121" t="s">
        <v>252</v>
      </c>
    </row>
    <row r="50" spans="1:63" x14ac:dyDescent="0.3">
      <c r="A50" s="126"/>
      <c r="B50" s="125"/>
      <c r="C50" s="135">
        <v>5</v>
      </c>
      <c r="D50" s="136" t="s">
        <v>113</v>
      </c>
      <c r="E50" s="159">
        <f t="shared" ref="E50:G50" si="41">AS23</f>
        <v>0</v>
      </c>
      <c r="F50" s="159">
        <f t="shared" si="41"/>
        <v>0</v>
      </c>
      <c r="G50" s="159">
        <f t="shared" si="41"/>
        <v>0</v>
      </c>
      <c r="H50" s="159">
        <f t="shared" si="35"/>
        <v>0</v>
      </c>
      <c r="I50" s="159">
        <f t="shared" si="36"/>
        <v>0</v>
      </c>
      <c r="J50" s="159">
        <f t="shared" si="37"/>
        <v>0</v>
      </c>
      <c r="K50" s="159">
        <f t="shared" si="39"/>
        <v>0</v>
      </c>
      <c r="L50" s="125"/>
      <c r="M50" s="125"/>
      <c r="N50" s="125"/>
      <c r="O50" s="125"/>
      <c r="P50" s="125"/>
      <c r="Q50" s="159"/>
      <c r="R50" s="158" t="s">
        <v>218</v>
      </c>
      <c r="S50" s="193"/>
      <c r="T50" s="193"/>
      <c r="U50" s="208"/>
      <c r="BA50" s="252">
        <v>43</v>
      </c>
      <c r="BB50" s="253">
        <v>260000</v>
      </c>
      <c r="BC50" s="253">
        <v>216000</v>
      </c>
      <c r="BD50" s="253">
        <v>240000</v>
      </c>
      <c r="BE50" s="253">
        <v>180000</v>
      </c>
      <c r="BF50" s="253">
        <v>216000</v>
      </c>
      <c r="BK50" s="121" t="s">
        <v>252</v>
      </c>
    </row>
    <row r="51" spans="1:63" x14ac:dyDescent="0.3">
      <c r="A51" s="126"/>
      <c r="B51" s="125"/>
      <c r="C51" s="135">
        <v>6</v>
      </c>
      <c r="D51" s="136" t="s">
        <v>42</v>
      </c>
      <c r="E51" s="159">
        <f t="shared" ref="E51:G51" si="42">AS24</f>
        <v>0</v>
      </c>
      <c r="F51" s="159">
        <f t="shared" si="42"/>
        <v>0</v>
      </c>
      <c r="G51" s="159">
        <f t="shared" si="42"/>
        <v>0</v>
      </c>
      <c r="H51" s="159">
        <f t="shared" si="35"/>
        <v>0</v>
      </c>
      <c r="I51" s="159">
        <f t="shared" si="36"/>
        <v>0</v>
      </c>
      <c r="J51" s="159">
        <f t="shared" si="37"/>
        <v>0</v>
      </c>
      <c r="K51" s="159">
        <f t="shared" si="39"/>
        <v>0</v>
      </c>
      <c r="L51" s="125"/>
      <c r="M51" s="125"/>
      <c r="N51" s="125"/>
      <c r="O51" s="125"/>
      <c r="P51" s="125"/>
      <c r="Q51" s="159"/>
      <c r="R51" s="158" t="s">
        <v>219</v>
      </c>
      <c r="S51" s="193"/>
      <c r="T51" s="193"/>
      <c r="U51" s="208"/>
      <c r="BA51" s="252">
        <v>44</v>
      </c>
      <c r="BB51" s="253">
        <v>260000</v>
      </c>
      <c r="BC51" s="253">
        <v>216000</v>
      </c>
      <c r="BD51" s="253">
        <v>240000</v>
      </c>
      <c r="BE51" s="253">
        <v>180000</v>
      </c>
      <c r="BF51" s="253">
        <v>216000</v>
      </c>
      <c r="BK51" s="121" t="s">
        <v>252</v>
      </c>
    </row>
    <row r="52" spans="1:63" ht="14.5" thickBot="1" x14ac:dyDescent="0.35">
      <c r="A52" s="126"/>
      <c r="B52" s="125"/>
      <c r="C52" s="135">
        <v>7</v>
      </c>
      <c r="D52" s="136" t="s">
        <v>111</v>
      </c>
      <c r="E52" s="159">
        <f t="shared" ref="E52:G52" si="43">AS25</f>
        <v>0</v>
      </c>
      <c r="F52" s="159">
        <f t="shared" si="43"/>
        <v>0</v>
      </c>
      <c r="G52" s="159">
        <f t="shared" si="43"/>
        <v>0</v>
      </c>
      <c r="H52" s="159">
        <f t="shared" si="35"/>
        <v>0</v>
      </c>
      <c r="I52" s="159">
        <f t="shared" si="36"/>
        <v>0</v>
      </c>
      <c r="J52" s="159">
        <f t="shared" si="37"/>
        <v>0</v>
      </c>
      <c r="K52" s="159">
        <f t="shared" si="39"/>
        <v>0</v>
      </c>
      <c r="L52" s="125"/>
      <c r="M52" s="125"/>
      <c r="N52" s="125"/>
      <c r="O52" s="125"/>
      <c r="P52" s="125"/>
      <c r="Q52" s="166"/>
      <c r="R52" s="151" t="s">
        <v>220</v>
      </c>
      <c r="S52" s="203"/>
      <c r="T52" s="203"/>
      <c r="U52" s="208"/>
      <c r="BA52" s="252">
        <v>45</v>
      </c>
      <c r="BB52" s="253">
        <v>260000</v>
      </c>
      <c r="BC52" s="253">
        <v>216000</v>
      </c>
      <c r="BD52" s="253">
        <v>240000</v>
      </c>
      <c r="BE52" s="253">
        <v>180000</v>
      </c>
      <c r="BF52" s="253">
        <v>216000</v>
      </c>
      <c r="BK52" s="121" t="s">
        <v>252</v>
      </c>
    </row>
    <row r="53" spans="1:63" x14ac:dyDescent="0.3">
      <c r="A53" s="126"/>
      <c r="B53" s="125"/>
      <c r="C53" s="135">
        <v>8</v>
      </c>
      <c r="D53" s="136" t="s">
        <v>46</v>
      </c>
      <c r="E53" s="159">
        <f t="shared" ref="E53:G53" si="44">AS26</f>
        <v>0</v>
      </c>
      <c r="F53" s="159">
        <f t="shared" si="44"/>
        <v>0</v>
      </c>
      <c r="G53" s="159">
        <f t="shared" si="44"/>
        <v>0</v>
      </c>
      <c r="H53" s="159">
        <f t="shared" si="35"/>
        <v>0</v>
      </c>
      <c r="I53" s="159">
        <f t="shared" si="36"/>
        <v>0</v>
      </c>
      <c r="J53" s="159">
        <f t="shared" si="37"/>
        <v>0</v>
      </c>
      <c r="K53" s="159">
        <f t="shared" si="39"/>
        <v>0</v>
      </c>
      <c r="L53" s="125"/>
      <c r="M53" s="125"/>
      <c r="N53" s="125"/>
      <c r="O53" s="125"/>
      <c r="P53" s="125"/>
      <c r="Q53" s="125"/>
      <c r="R53" s="125"/>
      <c r="S53" s="125"/>
      <c r="T53" s="125"/>
      <c r="U53" s="208"/>
      <c r="BA53" s="252">
        <v>46</v>
      </c>
      <c r="BB53" s="253">
        <v>260000</v>
      </c>
      <c r="BC53" s="253">
        <v>216000</v>
      </c>
      <c r="BD53" s="253">
        <v>240000</v>
      </c>
      <c r="BE53" s="253">
        <v>180000</v>
      </c>
      <c r="BF53" s="253">
        <v>216000</v>
      </c>
      <c r="BK53" s="121" t="s">
        <v>252</v>
      </c>
    </row>
    <row r="54" spans="1:63" ht="14.5" thickBot="1" x14ac:dyDescent="0.35">
      <c r="A54" s="126"/>
      <c r="B54" s="125"/>
      <c r="C54" s="137">
        <v>9</v>
      </c>
      <c r="D54" s="138" t="s">
        <v>112</v>
      </c>
      <c r="E54" s="170">
        <f t="shared" ref="E54:G54" si="45">AS27</f>
        <v>0</v>
      </c>
      <c r="F54" s="170">
        <f t="shared" si="45"/>
        <v>0</v>
      </c>
      <c r="G54" s="170">
        <f t="shared" si="45"/>
        <v>0</v>
      </c>
      <c r="H54" s="170">
        <f t="shared" si="35"/>
        <v>0</v>
      </c>
      <c r="I54" s="170">
        <f t="shared" si="36"/>
        <v>0</v>
      </c>
      <c r="J54" s="170">
        <f t="shared" si="37"/>
        <v>0</v>
      </c>
      <c r="K54" s="170">
        <f>SUM(E54:J54)</f>
        <v>0</v>
      </c>
      <c r="L54" s="125"/>
      <c r="M54" s="125"/>
      <c r="N54" s="125"/>
      <c r="O54" s="125"/>
      <c r="P54" s="125"/>
      <c r="Q54" s="125"/>
      <c r="R54" s="125"/>
      <c r="S54" s="125"/>
      <c r="T54" s="125"/>
      <c r="U54" s="208"/>
      <c r="BA54" s="252">
        <v>47</v>
      </c>
      <c r="BB54" s="253">
        <v>260000</v>
      </c>
      <c r="BC54" s="253">
        <v>216000</v>
      </c>
      <c r="BD54" s="253">
        <v>240000</v>
      </c>
      <c r="BE54" s="253">
        <v>180000</v>
      </c>
      <c r="BF54" s="253">
        <v>216000</v>
      </c>
      <c r="BK54" s="121" t="s">
        <v>252</v>
      </c>
    </row>
    <row r="55" spans="1:63" ht="14.5" thickBot="1" x14ac:dyDescent="0.35">
      <c r="A55" s="126"/>
      <c r="B55" s="125"/>
      <c r="C55" s="125"/>
      <c r="D55" s="125"/>
      <c r="E55" s="125"/>
      <c r="F55" s="125"/>
      <c r="G55" s="125"/>
      <c r="H55" s="125"/>
      <c r="I55" s="125"/>
      <c r="J55" s="125"/>
      <c r="K55" s="226">
        <f>SUM(K46:K54)</f>
        <v>6036624000</v>
      </c>
      <c r="L55" s="125"/>
      <c r="M55" s="125"/>
      <c r="N55" s="125"/>
      <c r="O55" s="125"/>
      <c r="P55" s="125"/>
      <c r="Q55" s="125"/>
      <c r="R55" s="125"/>
      <c r="S55" s="125"/>
      <c r="T55" s="125"/>
      <c r="U55" s="208"/>
      <c r="BA55" s="252">
        <v>48</v>
      </c>
      <c r="BB55" s="253">
        <v>260000</v>
      </c>
      <c r="BC55" s="253">
        <v>216000</v>
      </c>
      <c r="BD55" s="253">
        <v>240000</v>
      </c>
      <c r="BE55" s="253">
        <v>180000</v>
      </c>
      <c r="BF55" s="253">
        <v>216000</v>
      </c>
      <c r="BK55" s="121" t="s">
        <v>252</v>
      </c>
    </row>
    <row r="56" spans="1:63" ht="15" thickTop="1" thickBot="1" x14ac:dyDescent="0.35">
      <c r="A56" s="126"/>
      <c r="B56" s="131" t="s">
        <v>231</v>
      </c>
      <c r="C56" s="125"/>
      <c r="D56" s="125"/>
      <c r="E56" s="125"/>
      <c r="F56" s="125"/>
      <c r="G56" s="125"/>
      <c r="H56" s="125"/>
      <c r="I56" s="125"/>
      <c r="J56" s="125"/>
      <c r="K56" s="125"/>
      <c r="L56" s="131"/>
      <c r="M56" s="131" t="s">
        <v>233</v>
      </c>
      <c r="N56" s="125"/>
      <c r="O56" s="125"/>
      <c r="P56" s="125"/>
      <c r="Q56" s="125"/>
      <c r="R56" s="125"/>
      <c r="S56" s="125"/>
      <c r="T56" s="125"/>
      <c r="U56" s="208"/>
      <c r="BA56" s="252">
        <v>49</v>
      </c>
      <c r="BB56" s="253">
        <v>260000</v>
      </c>
      <c r="BC56" s="253">
        <v>216000</v>
      </c>
      <c r="BD56" s="253">
        <v>240000</v>
      </c>
      <c r="BE56" s="253">
        <v>180000</v>
      </c>
      <c r="BF56" s="253">
        <v>216000</v>
      </c>
      <c r="BK56" s="121" t="s">
        <v>252</v>
      </c>
    </row>
    <row r="57" spans="1:63" ht="14.5" thickBot="1" x14ac:dyDescent="0.35">
      <c r="A57" s="126"/>
      <c r="B57" s="125"/>
      <c r="C57" s="139" t="s">
        <v>115</v>
      </c>
      <c r="D57" s="139" t="s">
        <v>114</v>
      </c>
      <c r="E57" s="139">
        <f>E45</f>
        <v>2014</v>
      </c>
      <c r="F57" s="139">
        <f>E57+1</f>
        <v>2015</v>
      </c>
      <c r="G57" s="139">
        <f t="shared" ref="G57" si="46">F57+1</f>
        <v>2016</v>
      </c>
      <c r="H57" s="139">
        <f>G57+1</f>
        <v>2017</v>
      </c>
      <c r="I57" s="139">
        <f>H57+1</f>
        <v>2018</v>
      </c>
      <c r="J57" s="139">
        <f t="shared" ref="J57" si="47">I57+1</f>
        <v>2019</v>
      </c>
      <c r="K57" s="139" t="s">
        <v>48</v>
      </c>
      <c r="L57" s="125"/>
      <c r="M57" s="139" t="s">
        <v>115</v>
      </c>
      <c r="N57" s="139" t="s">
        <v>114</v>
      </c>
      <c r="O57" s="139">
        <f>E57</f>
        <v>2014</v>
      </c>
      <c r="P57" s="139">
        <f>O57+1</f>
        <v>2015</v>
      </c>
      <c r="Q57" s="139">
        <f t="shared" ref="Q57" si="48">P57+1</f>
        <v>2016</v>
      </c>
      <c r="R57" s="139">
        <f>Q57+1</f>
        <v>2017</v>
      </c>
      <c r="S57" s="139">
        <f>R57+1</f>
        <v>2018</v>
      </c>
      <c r="T57" s="139">
        <f t="shared" ref="T57" si="49">S57+1</f>
        <v>2019</v>
      </c>
      <c r="U57" s="208"/>
      <c r="BA57" s="252">
        <v>50</v>
      </c>
      <c r="BB57" s="253">
        <v>260000</v>
      </c>
      <c r="BC57" s="253">
        <v>216000</v>
      </c>
      <c r="BD57" s="253">
        <v>240000</v>
      </c>
      <c r="BE57" s="253">
        <v>180000</v>
      </c>
      <c r="BF57" s="253">
        <v>216000</v>
      </c>
      <c r="BK57" s="121" t="s">
        <v>252</v>
      </c>
    </row>
    <row r="58" spans="1:63" x14ac:dyDescent="0.3">
      <c r="A58" s="126"/>
      <c r="B58" s="125"/>
      <c r="C58" s="133">
        <v>1</v>
      </c>
      <c r="D58" s="134" t="s">
        <v>232</v>
      </c>
      <c r="E58" s="171" t="e">
        <f>O58*($S$35*$M$8)</f>
        <v>#REF!</v>
      </c>
      <c r="F58" s="171" t="e">
        <f>P58*($S$35*$M$8)</f>
        <v>#REF!</v>
      </c>
      <c r="G58" s="171" t="e">
        <f>Q58*($S$35*$M$8)</f>
        <v>#REF!</v>
      </c>
      <c r="H58" s="171" t="e">
        <f>R58*($S$35*$M$8)</f>
        <v>#REF!</v>
      </c>
      <c r="I58" s="171" t="e">
        <f>S58*($S$35*$M$8)</f>
        <v>#REF!</v>
      </c>
      <c r="J58" s="171" t="e">
        <f>T58*($S$35*$M$8)+S35</f>
        <v>#REF!</v>
      </c>
      <c r="K58" s="171" t="e">
        <f>SUM(E58:J58)</f>
        <v>#REF!</v>
      </c>
      <c r="L58" s="210">
        <f>SUM(O58:T58)</f>
        <v>1</v>
      </c>
      <c r="M58" s="133">
        <v>1</v>
      </c>
      <c r="N58" s="154" t="str">
        <f>D58</f>
        <v>SEWA</v>
      </c>
      <c r="O58" s="198">
        <v>0.5</v>
      </c>
      <c r="P58" s="198">
        <v>0.5</v>
      </c>
      <c r="Q58" s="198"/>
      <c r="R58" s="198"/>
      <c r="S58" s="198"/>
      <c r="T58" s="198"/>
      <c r="U58" s="211">
        <f>IF(L58=1,0,"Salah")</f>
        <v>0</v>
      </c>
      <c r="BA58" s="252">
        <v>51</v>
      </c>
      <c r="BB58" s="253">
        <v>260000</v>
      </c>
      <c r="BC58" s="253">
        <v>216000</v>
      </c>
      <c r="BD58" s="253">
        <v>240000</v>
      </c>
      <c r="BE58" s="253">
        <v>180000</v>
      </c>
      <c r="BF58" s="253">
        <v>216000</v>
      </c>
      <c r="BK58" s="121" t="s">
        <v>252</v>
      </c>
    </row>
    <row r="59" spans="1:63" x14ac:dyDescent="0.3">
      <c r="A59" s="126"/>
      <c r="B59" s="125"/>
      <c r="C59" s="135">
        <v>2</v>
      </c>
      <c r="D59" s="136" t="s">
        <v>235</v>
      </c>
      <c r="E59" s="159">
        <f t="shared" ref="E59:J59" si="50">O59*$S$36</f>
        <v>50000000</v>
      </c>
      <c r="F59" s="159">
        <f t="shared" si="50"/>
        <v>0</v>
      </c>
      <c r="G59" s="159">
        <f t="shared" si="50"/>
        <v>0</v>
      </c>
      <c r="H59" s="159">
        <f t="shared" si="50"/>
        <v>0</v>
      </c>
      <c r="I59" s="159">
        <f t="shared" si="50"/>
        <v>0</v>
      </c>
      <c r="J59" s="159">
        <f t="shared" si="50"/>
        <v>0</v>
      </c>
      <c r="K59" s="159">
        <f t="shared" ref="K59:K65" si="51">SUM(E59:J59)</f>
        <v>50000000</v>
      </c>
      <c r="L59" s="210">
        <f t="shared" ref="L59:L65" si="52">SUM(O59:T59)</f>
        <v>1</v>
      </c>
      <c r="M59" s="135">
        <v>2</v>
      </c>
      <c r="N59" s="136" t="str">
        <f>D59</f>
        <v>Koordinasi</v>
      </c>
      <c r="O59" s="199">
        <v>1</v>
      </c>
      <c r="P59" s="199"/>
      <c r="Q59" s="199"/>
      <c r="R59" s="199"/>
      <c r="S59" s="199"/>
      <c r="T59" s="199"/>
      <c r="U59" s="211">
        <f>IF(L59=1,0,"Salah")</f>
        <v>0</v>
      </c>
      <c r="BA59" s="252">
        <v>52</v>
      </c>
      <c r="BB59" s="253">
        <v>260000</v>
      </c>
      <c r="BC59" s="253">
        <v>216000</v>
      </c>
      <c r="BD59" s="253">
        <v>240000</v>
      </c>
      <c r="BE59" s="253">
        <v>180000</v>
      </c>
      <c r="BF59" s="253">
        <v>216000</v>
      </c>
      <c r="BK59" s="121" t="s">
        <v>252</v>
      </c>
    </row>
    <row r="60" spans="1:63" x14ac:dyDescent="0.3">
      <c r="A60" s="126"/>
      <c r="B60" s="125"/>
      <c r="C60" s="135">
        <v>3</v>
      </c>
      <c r="D60" s="136" t="s">
        <v>236</v>
      </c>
      <c r="E60" s="159">
        <f t="shared" ref="E60:J60" si="53">O60*$S$37</f>
        <v>0</v>
      </c>
      <c r="F60" s="159">
        <f t="shared" si="53"/>
        <v>0</v>
      </c>
      <c r="G60" s="159">
        <f t="shared" si="53"/>
        <v>0</v>
      </c>
      <c r="H60" s="159">
        <f t="shared" si="53"/>
        <v>0</v>
      </c>
      <c r="I60" s="159">
        <f t="shared" si="53"/>
        <v>0</v>
      </c>
      <c r="J60" s="159">
        <f t="shared" si="53"/>
        <v>0</v>
      </c>
      <c r="K60" s="159">
        <f t="shared" si="51"/>
        <v>0</v>
      </c>
      <c r="L60" s="210">
        <f t="shared" si="52"/>
        <v>1</v>
      </c>
      <c r="M60" s="135">
        <v>3</v>
      </c>
      <c r="N60" s="136" t="str">
        <f t="shared" ref="N60:N65" si="54">D60</f>
        <v>Agensi</v>
      </c>
      <c r="O60" s="199">
        <v>1</v>
      </c>
      <c r="P60" s="199"/>
      <c r="Q60" s="199"/>
      <c r="R60" s="199"/>
      <c r="S60" s="199"/>
      <c r="T60" s="199"/>
      <c r="U60" s="211">
        <f>IF(L60=1,0,"Salah")</f>
        <v>0</v>
      </c>
      <c r="BA60" s="252">
        <v>53</v>
      </c>
      <c r="BB60" s="253">
        <v>260000</v>
      </c>
      <c r="BC60" s="253">
        <v>216000</v>
      </c>
      <c r="BD60" s="253">
        <v>240000</v>
      </c>
      <c r="BE60" s="253">
        <v>180000</v>
      </c>
      <c r="BF60" s="253">
        <v>216000</v>
      </c>
      <c r="BK60" s="121" t="s">
        <v>252</v>
      </c>
    </row>
    <row r="61" spans="1:63" x14ac:dyDescent="0.3">
      <c r="A61" s="126"/>
      <c r="B61" s="125"/>
      <c r="C61" s="135">
        <v>4</v>
      </c>
      <c r="D61" s="136" t="s">
        <v>31</v>
      </c>
      <c r="E61" s="159">
        <f t="shared" ref="E61:J61" si="55">O61*($S$40)</f>
        <v>665000000</v>
      </c>
      <c r="F61" s="159">
        <f t="shared" si="55"/>
        <v>35000000</v>
      </c>
      <c r="G61" s="159">
        <f t="shared" si="55"/>
        <v>0</v>
      </c>
      <c r="H61" s="159">
        <f t="shared" si="55"/>
        <v>0</v>
      </c>
      <c r="I61" s="159">
        <f t="shared" si="55"/>
        <v>0</v>
      </c>
      <c r="J61" s="159">
        <f t="shared" si="55"/>
        <v>0</v>
      </c>
      <c r="K61" s="159">
        <f t="shared" si="51"/>
        <v>700000000</v>
      </c>
      <c r="L61" s="210">
        <f t="shared" si="52"/>
        <v>1</v>
      </c>
      <c r="M61" s="135">
        <v>4</v>
      </c>
      <c r="N61" s="136" t="str">
        <f t="shared" si="54"/>
        <v>DAS</v>
      </c>
      <c r="O61" s="199">
        <v>0.95</v>
      </c>
      <c r="P61" s="199">
        <v>0.05</v>
      </c>
      <c r="Q61" s="199"/>
      <c r="R61" s="199"/>
      <c r="S61" s="199"/>
      <c r="T61" s="199"/>
      <c r="U61" s="211">
        <f>IF(L61=1,0,"Salah")</f>
        <v>0</v>
      </c>
      <c r="BA61" s="252">
        <v>54</v>
      </c>
      <c r="BB61" s="253">
        <v>260000</v>
      </c>
      <c r="BC61" s="253">
        <v>216000</v>
      </c>
      <c r="BD61" s="253">
        <v>240000</v>
      </c>
      <c r="BE61" s="253">
        <v>180000</v>
      </c>
      <c r="BF61" s="253">
        <v>216000</v>
      </c>
      <c r="BK61" s="121" t="s">
        <v>252</v>
      </c>
    </row>
    <row r="62" spans="1:63" x14ac:dyDescent="0.3">
      <c r="A62" s="126"/>
      <c r="B62" s="125"/>
      <c r="C62" s="135">
        <v>5</v>
      </c>
      <c r="D62" s="136" t="s">
        <v>237</v>
      </c>
      <c r="E62" s="159">
        <f t="shared" ref="E62:J62" si="56">(O62*(E33*($S$44+$T$44)))+(O62*(E34*($S$45+$T$45)))+(O62*(E35*($S$46+$T$46)))+(O62*(E36*($S$47+$T$47)))+(O62*(E37*($S$48+$T$48)))+(O62*(E38*($S$49+$T$49)))+(O62*(E39*($S$50+$T$50)))+(O62*(E40*($S$51+$T$51)))+(O62*(E41*($S$52+$T$52)))</f>
        <v>135000000</v>
      </c>
      <c r="F62" s="159">
        <f t="shared" si="56"/>
        <v>50000000</v>
      </c>
      <c r="G62" s="159">
        <f t="shared" si="56"/>
        <v>0</v>
      </c>
      <c r="H62" s="159">
        <f t="shared" si="56"/>
        <v>0</v>
      </c>
      <c r="I62" s="159">
        <f t="shared" si="56"/>
        <v>0</v>
      </c>
      <c r="J62" s="159">
        <f t="shared" si="56"/>
        <v>0</v>
      </c>
      <c r="K62" s="159">
        <f t="shared" si="51"/>
        <v>185000000</v>
      </c>
      <c r="L62" s="210">
        <f t="shared" si="52"/>
        <v>6</v>
      </c>
      <c r="M62" s="135">
        <v>5</v>
      </c>
      <c r="N62" s="136" t="str">
        <f t="shared" si="54"/>
        <v>BTS</v>
      </c>
      <c r="O62" s="199">
        <v>1</v>
      </c>
      <c r="P62" s="199">
        <v>1</v>
      </c>
      <c r="Q62" s="199">
        <v>1</v>
      </c>
      <c r="R62" s="199">
        <v>1</v>
      </c>
      <c r="S62" s="199">
        <v>1</v>
      </c>
      <c r="T62" s="199">
        <v>1</v>
      </c>
      <c r="U62" s="211">
        <f>IF(L62=6,0,"Salah")</f>
        <v>0</v>
      </c>
      <c r="BA62" s="252">
        <v>55</v>
      </c>
      <c r="BB62" s="253">
        <v>260000</v>
      </c>
      <c r="BC62" s="253">
        <v>216000</v>
      </c>
      <c r="BD62" s="253">
        <v>240000</v>
      </c>
      <c r="BE62" s="253">
        <v>180000</v>
      </c>
      <c r="BF62" s="253">
        <v>216000</v>
      </c>
      <c r="BK62" s="121" t="s">
        <v>252</v>
      </c>
    </row>
    <row r="63" spans="1:63" x14ac:dyDescent="0.3">
      <c r="A63" s="126"/>
      <c r="B63" s="125"/>
      <c r="C63" s="135">
        <v>6</v>
      </c>
      <c r="D63" s="136" t="s">
        <v>134</v>
      </c>
      <c r="E63" s="159">
        <f>(O63*E$33*$O$34)+(O63*E$34*$O$35)+(O63*E$35*$O$36)+(O63*E$36*$O$37)+(O63*E$37*$O$38)+(O63*E$38*$O$39)+(O63*E$39*$O$40)+(O63*E$40*$O$41)+(O63*E$41*$O$42)</f>
        <v>60000000</v>
      </c>
      <c r="F63" s="159">
        <f>(P63*F$33*$O$34)+(P63*F$34*$O$35)+(P63*F$35*$O$36)+(P63*F$36*$O$37)+(P63*F$37*$O$38)+(P63*F$38*$O$39)+(P63*F$39*$O$40)+(P63*F$40*$O$41)+(P63*F$41*$O$42)+E63</f>
        <v>90000000</v>
      </c>
      <c r="G63" s="159">
        <f>(Q63*G$33*$O$34)+(Q63*G$34*$O$35)+(Q63*G$35*$O$36)+(Q63*G$36*$O$37)+(Q63*G$37*$O$38)+(Q63*G$38*$O$39)+(Q63*G$39*$O$40)+(Q63*G$40*$O$41)+(Q63*G$41*$O$42)+F63</f>
        <v>90000000</v>
      </c>
      <c r="H63" s="159">
        <f>(R63*H$33*$O$34)+(R63*H$34*$O$35)+(R63*H$35*$O$36)+(R63*H$36*$O$37)+(R63*H$37*$O$38)+(R63*H$38*$O$39)+(R63*H$39*$O$40)+(R63*H$40*$O$41)+(R63*H$41*$O$42)+G63</f>
        <v>90000000</v>
      </c>
      <c r="I63" s="159">
        <f>(S63*I$33*$O$34)+(S63*I$34*$O$35)+(S63*I$35*$O$36)+(S63*I$36*$O$37)+(S63*I$37*$O$38)+(S63*I$38*$O$39)+(S63*I$39*$O$40)+(S63*I$40*$O$41)+(S63*I$41*$O$42)+H63</f>
        <v>90000000</v>
      </c>
      <c r="J63" s="159">
        <f>(T63*J$33*$O$34)+(T63*J$34*$O$35)+(T63*J$35*$O$36)+(T63*J$36*$O$37)+(T63*J$37*$O$38)+(T63*J$38*$O$39)+(T63*J$39*$O$40)+(T63*J$40*$O$41)+(T63*J$41*$O$42)+I63</f>
        <v>90000000</v>
      </c>
      <c r="K63" s="159">
        <f t="shared" si="51"/>
        <v>510000000</v>
      </c>
      <c r="L63" s="210">
        <f t="shared" si="52"/>
        <v>6</v>
      </c>
      <c r="M63" s="135">
        <v>6</v>
      </c>
      <c r="N63" s="136" t="str">
        <f t="shared" si="54"/>
        <v>Listrik</v>
      </c>
      <c r="O63" s="199">
        <v>1</v>
      </c>
      <c r="P63" s="199">
        <v>1</v>
      </c>
      <c r="Q63" s="199">
        <v>1</v>
      </c>
      <c r="R63" s="199">
        <v>1</v>
      </c>
      <c r="S63" s="199">
        <v>1</v>
      </c>
      <c r="T63" s="199">
        <v>1</v>
      </c>
      <c r="U63" s="211">
        <f>IF(L63=6,0,"Salah")</f>
        <v>0</v>
      </c>
      <c r="BA63" s="252">
        <v>56</v>
      </c>
      <c r="BB63" s="253">
        <v>260000</v>
      </c>
      <c r="BC63" s="253">
        <v>216000</v>
      </c>
      <c r="BD63" s="253">
        <v>240000</v>
      </c>
      <c r="BE63" s="253">
        <v>180000</v>
      </c>
      <c r="BF63" s="253">
        <v>216000</v>
      </c>
      <c r="BK63" s="121" t="s">
        <v>252</v>
      </c>
    </row>
    <row r="64" spans="1:63" x14ac:dyDescent="0.3">
      <c r="A64" s="126"/>
      <c r="B64" s="125"/>
      <c r="C64" s="135">
        <v>7</v>
      </c>
      <c r="D64" s="136" t="s">
        <v>135</v>
      </c>
      <c r="E64" s="159">
        <f t="shared" ref="E64:J64" si="57">O64*($O$45+$O$46+$O$47)</f>
        <v>17500000</v>
      </c>
      <c r="F64" s="159">
        <f t="shared" si="57"/>
        <v>17500000</v>
      </c>
      <c r="G64" s="159">
        <f t="shared" si="57"/>
        <v>17500000</v>
      </c>
      <c r="H64" s="159">
        <f t="shared" si="57"/>
        <v>17500000</v>
      </c>
      <c r="I64" s="159">
        <f t="shared" si="57"/>
        <v>17500000</v>
      </c>
      <c r="J64" s="159">
        <f t="shared" si="57"/>
        <v>17500000</v>
      </c>
      <c r="K64" s="159">
        <f t="shared" si="51"/>
        <v>105000000</v>
      </c>
      <c r="L64" s="210">
        <f t="shared" si="52"/>
        <v>6</v>
      </c>
      <c r="M64" s="135">
        <v>7</v>
      </c>
      <c r="N64" s="136" t="str">
        <f t="shared" si="54"/>
        <v>Pemeliharaan</v>
      </c>
      <c r="O64" s="199">
        <v>1</v>
      </c>
      <c r="P64" s="199">
        <v>1</v>
      </c>
      <c r="Q64" s="199">
        <v>1</v>
      </c>
      <c r="R64" s="199">
        <v>1</v>
      </c>
      <c r="S64" s="199">
        <v>1</v>
      </c>
      <c r="T64" s="199">
        <v>1</v>
      </c>
      <c r="U64" s="211">
        <f>IF(L64=6,0,"Salah")</f>
        <v>0</v>
      </c>
      <c r="BA64" s="252">
        <v>57</v>
      </c>
      <c r="BB64" s="253">
        <v>260000</v>
      </c>
      <c r="BC64" s="253">
        <v>216000</v>
      </c>
      <c r="BD64" s="253">
        <v>240000</v>
      </c>
      <c r="BE64" s="253">
        <v>180000</v>
      </c>
      <c r="BF64" s="253">
        <v>216000</v>
      </c>
      <c r="BK64" s="121" t="s">
        <v>252</v>
      </c>
    </row>
    <row r="65" spans="1:63" ht="14.5" thickBot="1" x14ac:dyDescent="0.35">
      <c r="A65" s="126"/>
      <c r="B65" s="125"/>
      <c r="C65" s="137">
        <v>8</v>
      </c>
      <c r="D65" s="138" t="s">
        <v>238</v>
      </c>
      <c r="E65" s="170">
        <f t="shared" ref="E65:J65" si="58">O65*$O$48</f>
        <v>1750000</v>
      </c>
      <c r="F65" s="170">
        <f t="shared" si="58"/>
        <v>1750000</v>
      </c>
      <c r="G65" s="170">
        <f t="shared" si="58"/>
        <v>1750000</v>
      </c>
      <c r="H65" s="170">
        <f t="shared" si="58"/>
        <v>1750000</v>
      </c>
      <c r="I65" s="170">
        <f t="shared" si="58"/>
        <v>1750000</v>
      </c>
      <c r="J65" s="170">
        <f t="shared" si="58"/>
        <v>1750000</v>
      </c>
      <c r="K65" s="170">
        <f t="shared" si="51"/>
        <v>10500000</v>
      </c>
      <c r="L65" s="210">
        <f t="shared" si="52"/>
        <v>6</v>
      </c>
      <c r="M65" s="137">
        <v>8</v>
      </c>
      <c r="N65" s="138" t="str">
        <f t="shared" si="54"/>
        <v>Lain-lain Opex</v>
      </c>
      <c r="O65" s="200">
        <v>1</v>
      </c>
      <c r="P65" s="200">
        <v>1</v>
      </c>
      <c r="Q65" s="200">
        <v>1</v>
      </c>
      <c r="R65" s="200">
        <v>1</v>
      </c>
      <c r="S65" s="200">
        <v>1</v>
      </c>
      <c r="T65" s="200">
        <v>1</v>
      </c>
      <c r="U65" s="211">
        <f>IF(L65=6,0,"Salah")</f>
        <v>0</v>
      </c>
      <c r="BA65" s="252">
        <v>58</v>
      </c>
      <c r="BB65" s="253">
        <v>260000</v>
      </c>
      <c r="BC65" s="253">
        <v>216000</v>
      </c>
      <c r="BD65" s="253">
        <v>240000</v>
      </c>
      <c r="BE65" s="253">
        <v>180000</v>
      </c>
      <c r="BF65" s="253">
        <v>216000</v>
      </c>
      <c r="BK65" s="121" t="s">
        <v>252</v>
      </c>
    </row>
    <row r="66" spans="1:63" ht="14.5" thickBot="1" x14ac:dyDescent="0.35">
      <c r="A66" s="126"/>
      <c r="B66" s="125"/>
      <c r="C66" s="125"/>
      <c r="D66" s="125"/>
      <c r="E66" s="125"/>
      <c r="F66" s="125"/>
      <c r="G66" s="125"/>
      <c r="H66" s="125"/>
      <c r="I66" s="125"/>
      <c r="J66" s="125"/>
      <c r="K66" s="226" t="e">
        <f>SUM(K58:K65)</f>
        <v>#REF!</v>
      </c>
      <c r="L66" s="125"/>
      <c r="M66" s="125"/>
      <c r="N66" s="125"/>
      <c r="O66" s="125"/>
      <c r="P66" s="125"/>
      <c r="Q66" s="125"/>
      <c r="R66" s="125"/>
      <c r="S66" s="125"/>
      <c r="T66" s="125"/>
      <c r="U66" s="208"/>
      <c r="BA66" s="252">
        <v>59</v>
      </c>
      <c r="BB66" s="253">
        <v>260000</v>
      </c>
      <c r="BC66" s="253">
        <v>216000</v>
      </c>
      <c r="BD66" s="253">
        <v>240000</v>
      </c>
      <c r="BE66" s="253">
        <v>180000</v>
      </c>
      <c r="BF66" s="253">
        <v>216000</v>
      </c>
      <c r="BK66" s="121" t="s">
        <v>252</v>
      </c>
    </row>
    <row r="67" spans="1:63" ht="15" thickTop="1" thickBot="1" x14ac:dyDescent="0.35">
      <c r="A67" s="126"/>
      <c r="B67" s="125"/>
      <c r="C67" s="129" t="s">
        <v>240</v>
      </c>
      <c r="D67" s="125"/>
      <c r="E67" s="172" t="e">
        <f>E73</f>
        <v>#REF!</v>
      </c>
      <c r="F67" s="172" t="e">
        <f>F73+E67</f>
        <v>#REF!</v>
      </c>
      <c r="G67" s="172" t="e">
        <f>G73+F67</f>
        <v>#REF!</v>
      </c>
      <c r="H67" s="172" t="e">
        <f t="shared" ref="H67:J67" si="59">H73+G67</f>
        <v>#REF!</v>
      </c>
      <c r="I67" s="172" t="e">
        <f t="shared" si="59"/>
        <v>#REF!</v>
      </c>
      <c r="J67" s="172" t="e">
        <f t="shared" si="59"/>
        <v>#REF!</v>
      </c>
      <c r="K67" s="257"/>
      <c r="L67" s="257"/>
      <c r="M67" s="125"/>
      <c r="N67" s="125"/>
      <c r="O67" s="125"/>
      <c r="P67" s="125"/>
      <c r="Q67" s="125"/>
      <c r="R67" s="125"/>
      <c r="S67" s="125"/>
      <c r="T67" s="125"/>
      <c r="U67" s="208"/>
      <c r="BA67" s="252">
        <v>60</v>
      </c>
      <c r="BB67" s="253">
        <v>260000</v>
      </c>
      <c r="BC67" s="253">
        <v>216000</v>
      </c>
      <c r="BD67" s="253">
        <v>240000</v>
      </c>
      <c r="BE67" s="253">
        <v>180000</v>
      </c>
      <c r="BF67" s="253">
        <v>216000</v>
      </c>
      <c r="BK67" s="121" t="s">
        <v>252</v>
      </c>
    </row>
    <row r="68" spans="1:63" ht="15.75" customHeight="1" thickBot="1" x14ac:dyDescent="0.35">
      <c r="A68" s="126"/>
      <c r="B68" s="125"/>
      <c r="C68" s="139" t="s">
        <v>115</v>
      </c>
      <c r="D68" s="139" t="s">
        <v>114</v>
      </c>
      <c r="E68" s="139">
        <f>E57</f>
        <v>2014</v>
      </c>
      <c r="F68" s="139">
        <f>E68+1</f>
        <v>2015</v>
      </c>
      <c r="G68" s="139">
        <f t="shared" ref="G68" si="60">F68+1</f>
        <v>2016</v>
      </c>
      <c r="H68" s="139">
        <f>G68+1</f>
        <v>2017</v>
      </c>
      <c r="I68" s="139">
        <f>H68+1</f>
        <v>2018</v>
      </c>
      <c r="J68" s="139">
        <f t="shared" ref="J68" si="61">I68+1</f>
        <v>2019</v>
      </c>
      <c r="K68" s="139" t="s">
        <v>48</v>
      </c>
      <c r="L68" s="125"/>
      <c r="M68" s="638" t="e">
        <f>IF(N68&lt;20%,"IRR.","IRR :")</f>
        <v>#VALUE!</v>
      </c>
      <c r="N68" s="632" t="e">
        <f>IRR(E73:J73,F16)</f>
        <v>#VALUE!</v>
      </c>
      <c r="O68" s="633"/>
      <c r="P68" s="125"/>
      <c r="Q68" s="638" t="s">
        <v>52</v>
      </c>
      <c r="R68" s="641" t="e">
        <f>SUM(E73:J73)</f>
        <v>#REF!</v>
      </c>
      <c r="S68" s="642"/>
      <c r="T68" s="125"/>
      <c r="U68" s="208"/>
      <c r="BA68" s="252">
        <v>61</v>
      </c>
      <c r="BB68" s="253">
        <v>210000</v>
      </c>
      <c r="BC68" s="253">
        <v>216000</v>
      </c>
      <c r="BD68" s="253">
        <v>240000</v>
      </c>
      <c r="BE68" s="253">
        <v>180000</v>
      </c>
      <c r="BF68" s="253">
        <v>216000</v>
      </c>
      <c r="BK68" s="121" t="s">
        <v>252</v>
      </c>
    </row>
    <row r="69" spans="1:63" ht="15" customHeight="1" x14ac:dyDescent="0.3">
      <c r="A69" s="126"/>
      <c r="B69" s="125"/>
      <c r="C69" s="186">
        <v>1</v>
      </c>
      <c r="D69" s="145" t="s">
        <v>241</v>
      </c>
      <c r="E69" s="183">
        <f t="shared" ref="E69:J69" si="62">SUM(E46:E54)</f>
        <v>695304000</v>
      </c>
      <c r="F69" s="183">
        <f t="shared" si="62"/>
        <v>1068264000</v>
      </c>
      <c r="G69" s="183">
        <f t="shared" si="62"/>
        <v>1068264000</v>
      </c>
      <c r="H69" s="183">
        <f t="shared" si="62"/>
        <v>1068264000</v>
      </c>
      <c r="I69" s="183">
        <f t="shared" si="62"/>
        <v>1068264000</v>
      </c>
      <c r="J69" s="183">
        <f t="shared" si="62"/>
        <v>1068264000</v>
      </c>
      <c r="K69" s="183">
        <f>SUM(E69:J69)</f>
        <v>6036624000</v>
      </c>
      <c r="L69" s="125"/>
      <c r="M69" s="639"/>
      <c r="N69" s="634"/>
      <c r="O69" s="635"/>
      <c r="P69" s="125"/>
      <c r="Q69" s="639"/>
      <c r="R69" s="643"/>
      <c r="S69" s="644"/>
      <c r="T69" s="125"/>
      <c r="U69" s="208"/>
      <c r="BA69" s="252">
        <v>62</v>
      </c>
      <c r="BB69" s="253">
        <v>210000</v>
      </c>
      <c r="BC69" s="253">
        <v>216000</v>
      </c>
      <c r="BD69" s="253">
        <v>240000</v>
      </c>
      <c r="BE69" s="253">
        <v>180000</v>
      </c>
      <c r="BF69" s="253">
        <v>216000</v>
      </c>
      <c r="BK69" s="121" t="s">
        <v>252</v>
      </c>
    </row>
    <row r="70" spans="1:63" ht="15" customHeight="1" x14ac:dyDescent="0.3">
      <c r="A70" s="126"/>
      <c r="B70" s="125"/>
      <c r="C70" s="223">
        <v>2</v>
      </c>
      <c r="D70" s="227" t="s">
        <v>242</v>
      </c>
      <c r="E70" s="228" t="e">
        <f t="shared" ref="E70:J70" si="63">SUM(E58:E65)</f>
        <v>#REF!</v>
      </c>
      <c r="F70" s="228" t="e">
        <f t="shared" si="63"/>
        <v>#REF!</v>
      </c>
      <c r="G70" s="228" t="e">
        <f t="shared" si="63"/>
        <v>#REF!</v>
      </c>
      <c r="H70" s="228" t="e">
        <f t="shared" si="63"/>
        <v>#REF!</v>
      </c>
      <c r="I70" s="228" t="e">
        <f t="shared" si="63"/>
        <v>#REF!</v>
      </c>
      <c r="J70" s="228" t="e">
        <f t="shared" si="63"/>
        <v>#REF!</v>
      </c>
      <c r="K70" s="228" t="e">
        <f>SUM(E70:J70)</f>
        <v>#REF!</v>
      </c>
      <c r="L70" s="125"/>
      <c r="M70" s="639"/>
      <c r="N70" s="634"/>
      <c r="O70" s="635"/>
      <c r="P70" s="125"/>
      <c r="Q70" s="639"/>
      <c r="R70" s="643"/>
      <c r="S70" s="644"/>
      <c r="T70" s="125"/>
      <c r="U70" s="208"/>
      <c r="BA70" s="252">
        <v>63</v>
      </c>
      <c r="BB70" s="253">
        <v>210000</v>
      </c>
      <c r="BC70" s="253">
        <v>216000</v>
      </c>
      <c r="BD70" s="253">
        <v>240000</v>
      </c>
      <c r="BE70" s="253">
        <v>180000</v>
      </c>
      <c r="BF70" s="253">
        <v>216000</v>
      </c>
      <c r="BK70" s="121" t="s">
        <v>252</v>
      </c>
    </row>
    <row r="71" spans="1:63" ht="15" customHeight="1" x14ac:dyDescent="0.3">
      <c r="A71" s="126"/>
      <c r="B71" s="125"/>
      <c r="C71" s="229"/>
      <c r="D71" s="229" t="s">
        <v>240</v>
      </c>
      <c r="E71" s="230" t="e">
        <f>E69-E70</f>
        <v>#REF!</v>
      </c>
      <c r="F71" s="230" t="e">
        <f t="shared" ref="F71:J71" si="64">F69-F70</f>
        <v>#REF!</v>
      </c>
      <c r="G71" s="230" t="e">
        <f t="shared" si="64"/>
        <v>#REF!</v>
      </c>
      <c r="H71" s="230" t="e">
        <f t="shared" si="64"/>
        <v>#REF!</v>
      </c>
      <c r="I71" s="230" t="e">
        <f t="shared" si="64"/>
        <v>#REF!</v>
      </c>
      <c r="J71" s="230" t="e">
        <f t="shared" si="64"/>
        <v>#REF!</v>
      </c>
      <c r="K71" s="230" t="e">
        <f>SUM(E71:J71)</f>
        <v>#REF!</v>
      </c>
      <c r="L71" s="125"/>
      <c r="M71" s="639"/>
      <c r="N71" s="634"/>
      <c r="O71" s="635"/>
      <c r="P71" s="125"/>
      <c r="Q71" s="639"/>
      <c r="R71" s="643"/>
      <c r="S71" s="644"/>
      <c r="T71" s="125"/>
      <c r="U71" s="208"/>
      <c r="BA71" s="252">
        <v>64</v>
      </c>
      <c r="BB71" s="253">
        <v>210000</v>
      </c>
      <c r="BC71" s="253">
        <v>216000</v>
      </c>
      <c r="BD71" s="253">
        <v>240000</v>
      </c>
      <c r="BE71" s="253">
        <v>180000</v>
      </c>
      <c r="BF71" s="253">
        <v>216000</v>
      </c>
      <c r="BK71" s="121" t="s">
        <v>252</v>
      </c>
    </row>
    <row r="72" spans="1:63" ht="15" customHeight="1" x14ac:dyDescent="0.3">
      <c r="A72" s="126"/>
      <c r="B72" s="125"/>
      <c r="C72" s="147"/>
      <c r="D72" s="147" t="s">
        <v>243</v>
      </c>
      <c r="E72" s="184" t="e">
        <f>IF(E71&lt;1,E71*$F$16,0)</f>
        <v>#REF!</v>
      </c>
      <c r="F72" s="184" t="e">
        <f>IF(F71&lt;1,((F71*$F$16)+E72),0)</f>
        <v>#REF!</v>
      </c>
      <c r="G72" s="184" t="e">
        <f t="shared" ref="G72:J72" si="65">IF(G71&lt;1,((G71*$F$16)+F72),0)</f>
        <v>#REF!</v>
      </c>
      <c r="H72" s="184" t="e">
        <f t="shared" si="65"/>
        <v>#REF!</v>
      </c>
      <c r="I72" s="184" t="e">
        <f t="shared" si="65"/>
        <v>#REF!</v>
      </c>
      <c r="J72" s="184" t="e">
        <f t="shared" si="65"/>
        <v>#REF!</v>
      </c>
      <c r="K72" s="184" t="e">
        <f>SUM(E72:J72)</f>
        <v>#REF!</v>
      </c>
      <c r="L72" s="125"/>
      <c r="M72" s="639"/>
      <c r="N72" s="634"/>
      <c r="O72" s="635"/>
      <c r="P72" s="125"/>
      <c r="Q72" s="639"/>
      <c r="R72" s="643"/>
      <c r="S72" s="644"/>
      <c r="T72" s="125"/>
      <c r="U72" s="208"/>
      <c r="BA72" s="252">
        <v>65</v>
      </c>
      <c r="BB72" s="253">
        <v>210000</v>
      </c>
      <c r="BC72" s="253">
        <v>216000</v>
      </c>
      <c r="BD72" s="253">
        <v>240000</v>
      </c>
      <c r="BE72" s="253">
        <v>180000</v>
      </c>
      <c r="BF72" s="253">
        <v>216000</v>
      </c>
      <c r="BK72" s="121" t="s">
        <v>252</v>
      </c>
    </row>
    <row r="73" spans="1:63" ht="15.75" customHeight="1" thickBot="1" x14ac:dyDescent="0.35">
      <c r="A73" s="126"/>
      <c r="B73" s="125"/>
      <c r="C73" s="185"/>
      <c r="D73" s="187" t="s">
        <v>223</v>
      </c>
      <c r="E73" s="188" t="e">
        <f>E71+E72</f>
        <v>#REF!</v>
      </c>
      <c r="F73" s="188" t="e">
        <f t="shared" ref="F73:J73" si="66">F71+F72</f>
        <v>#REF!</v>
      </c>
      <c r="G73" s="188" t="e">
        <f t="shared" si="66"/>
        <v>#REF!</v>
      </c>
      <c r="H73" s="188" t="e">
        <f t="shared" si="66"/>
        <v>#REF!</v>
      </c>
      <c r="I73" s="188" t="e">
        <f t="shared" si="66"/>
        <v>#REF!</v>
      </c>
      <c r="J73" s="188" t="e">
        <f t="shared" si="66"/>
        <v>#REF!</v>
      </c>
      <c r="K73" s="188" t="e">
        <f>SUM(K71:K72)</f>
        <v>#REF!</v>
      </c>
      <c r="L73" s="125"/>
      <c r="M73" s="640"/>
      <c r="N73" s="636"/>
      <c r="O73" s="637"/>
      <c r="P73" s="215"/>
      <c r="Q73" s="640"/>
      <c r="R73" s="645"/>
      <c r="S73" s="646"/>
      <c r="T73" s="125"/>
      <c r="U73" s="208"/>
      <c r="BA73" s="252">
        <v>66</v>
      </c>
      <c r="BB73" s="253">
        <v>210000</v>
      </c>
      <c r="BC73" s="253">
        <v>216000</v>
      </c>
      <c r="BD73" s="253">
        <v>240000</v>
      </c>
      <c r="BE73" s="253">
        <v>180000</v>
      </c>
      <c r="BF73" s="253">
        <v>216000</v>
      </c>
      <c r="BK73" s="121" t="s">
        <v>252</v>
      </c>
    </row>
    <row r="74" spans="1:63" ht="15" thickTop="1" thickBot="1" x14ac:dyDescent="0.35">
      <c r="A74" s="212"/>
      <c r="B74" s="213"/>
      <c r="C74" s="213"/>
      <c r="D74" s="213"/>
      <c r="E74" s="238" t="e">
        <f>E67&gt;=0</f>
        <v>#REF!</v>
      </c>
      <c r="F74" s="238" t="e">
        <f t="shared" ref="F74:J74" si="67">F67&gt;=0</f>
        <v>#REF!</v>
      </c>
      <c r="G74" s="238" t="e">
        <f t="shared" si="67"/>
        <v>#REF!</v>
      </c>
      <c r="H74" s="238" t="e">
        <f t="shared" si="67"/>
        <v>#REF!</v>
      </c>
      <c r="I74" s="238" t="e">
        <f t="shared" si="67"/>
        <v>#REF!</v>
      </c>
      <c r="J74" s="238" t="e">
        <f t="shared" si="67"/>
        <v>#REF!</v>
      </c>
      <c r="K74" s="239"/>
      <c r="L74" s="213"/>
      <c r="M74" s="213"/>
      <c r="N74" s="213"/>
      <c r="O74" s="213"/>
      <c r="P74" s="213"/>
      <c r="Q74" s="213"/>
      <c r="R74" s="213"/>
      <c r="S74" s="213"/>
      <c r="T74" s="213"/>
      <c r="U74" s="214"/>
      <c r="BA74" s="252">
        <v>67</v>
      </c>
      <c r="BB74" s="253">
        <v>210000</v>
      </c>
      <c r="BC74" s="253">
        <v>216000</v>
      </c>
      <c r="BD74" s="253">
        <v>240000</v>
      </c>
      <c r="BE74" s="253">
        <v>180000</v>
      </c>
      <c r="BF74" s="253">
        <v>216000</v>
      </c>
      <c r="BK74" s="121" t="s">
        <v>252</v>
      </c>
    </row>
    <row r="75" spans="1:63" x14ac:dyDescent="0.3">
      <c r="BA75" s="252">
        <v>68</v>
      </c>
      <c r="BB75" s="253">
        <v>210000</v>
      </c>
      <c r="BC75" s="253">
        <v>216000</v>
      </c>
      <c r="BD75" s="253">
        <v>240000</v>
      </c>
      <c r="BE75" s="253">
        <v>180000</v>
      </c>
      <c r="BF75" s="253">
        <v>216000</v>
      </c>
      <c r="BK75" s="121" t="s">
        <v>252</v>
      </c>
    </row>
    <row r="76" spans="1:63" x14ac:dyDescent="0.3">
      <c r="BA76" s="252">
        <v>69</v>
      </c>
      <c r="BB76" s="253">
        <v>210000</v>
      </c>
      <c r="BC76" s="253">
        <v>216000</v>
      </c>
      <c r="BD76" s="253">
        <v>240000</v>
      </c>
      <c r="BE76" s="253">
        <v>180000</v>
      </c>
      <c r="BF76" s="253">
        <v>216000</v>
      </c>
      <c r="BK76" s="121" t="s">
        <v>252</v>
      </c>
    </row>
    <row r="77" spans="1:63" x14ac:dyDescent="0.3">
      <c r="BA77" s="252">
        <v>70</v>
      </c>
      <c r="BB77" s="253">
        <v>210000</v>
      </c>
      <c r="BC77" s="253">
        <v>180000</v>
      </c>
      <c r="BD77" s="253">
        <v>200000</v>
      </c>
      <c r="BE77" s="253">
        <v>180000</v>
      </c>
      <c r="BF77" s="253">
        <v>180000</v>
      </c>
      <c r="BK77" s="121" t="s">
        <v>252</v>
      </c>
    </row>
    <row r="78" spans="1:63" x14ac:dyDescent="0.3">
      <c r="BA78" s="252">
        <v>71</v>
      </c>
      <c r="BB78" s="253">
        <v>210000</v>
      </c>
      <c r="BC78" s="253">
        <v>180000</v>
      </c>
      <c r="BD78" s="253">
        <v>200000</v>
      </c>
      <c r="BE78" s="253">
        <v>180000</v>
      </c>
      <c r="BF78" s="253">
        <v>180000</v>
      </c>
      <c r="BK78" s="121" t="s">
        <v>252</v>
      </c>
    </row>
    <row r="79" spans="1:63" x14ac:dyDescent="0.3">
      <c r="BA79" s="252">
        <v>72</v>
      </c>
      <c r="BB79" s="253">
        <v>210000</v>
      </c>
      <c r="BC79" s="253">
        <v>180000</v>
      </c>
      <c r="BD79" s="253">
        <v>200000</v>
      </c>
      <c r="BE79" s="253">
        <v>180000</v>
      </c>
      <c r="BF79" s="253">
        <v>180000</v>
      </c>
      <c r="BK79" s="121" t="s">
        <v>252</v>
      </c>
    </row>
    <row r="80" spans="1:63" x14ac:dyDescent="0.3">
      <c r="BA80" s="252">
        <v>73</v>
      </c>
      <c r="BB80" s="253">
        <v>210000</v>
      </c>
      <c r="BC80" s="253">
        <v>180000</v>
      </c>
      <c r="BD80" s="253">
        <v>200000</v>
      </c>
      <c r="BE80" s="253">
        <v>180000</v>
      </c>
      <c r="BF80" s="253">
        <v>180000</v>
      </c>
      <c r="BK80" s="121" t="s">
        <v>252</v>
      </c>
    </row>
    <row r="81" spans="53:63" x14ac:dyDescent="0.3">
      <c r="BA81" s="252">
        <v>74</v>
      </c>
      <c r="BB81" s="253">
        <v>210000</v>
      </c>
      <c r="BC81" s="253">
        <v>180000</v>
      </c>
      <c r="BD81" s="253">
        <v>200000</v>
      </c>
      <c r="BE81" s="253">
        <v>180000</v>
      </c>
      <c r="BF81" s="253">
        <v>180000</v>
      </c>
      <c r="BK81" s="121" t="s">
        <v>252</v>
      </c>
    </row>
    <row r="82" spans="53:63" x14ac:dyDescent="0.3">
      <c r="BA82" s="252">
        <v>75</v>
      </c>
      <c r="BB82" s="253">
        <v>210000</v>
      </c>
      <c r="BC82" s="253">
        <v>180000</v>
      </c>
      <c r="BD82" s="253">
        <v>200000</v>
      </c>
      <c r="BE82" s="253">
        <v>180000</v>
      </c>
      <c r="BF82" s="253">
        <v>180000</v>
      </c>
      <c r="BK82" s="121" t="s">
        <v>252</v>
      </c>
    </row>
    <row r="83" spans="53:63" x14ac:dyDescent="0.3">
      <c r="BA83" s="252">
        <v>76</v>
      </c>
      <c r="BB83" s="253">
        <v>210000</v>
      </c>
      <c r="BC83" s="253">
        <v>180000</v>
      </c>
      <c r="BD83" s="253">
        <v>200000</v>
      </c>
      <c r="BE83" s="253">
        <v>180000</v>
      </c>
      <c r="BF83" s="253">
        <v>180000</v>
      </c>
      <c r="BK83" s="121" t="s">
        <v>252</v>
      </c>
    </row>
    <row r="84" spans="53:63" x14ac:dyDescent="0.3">
      <c r="BA84" s="252">
        <v>77</v>
      </c>
      <c r="BB84" s="253">
        <v>210000</v>
      </c>
      <c r="BC84" s="253">
        <v>180000</v>
      </c>
      <c r="BD84" s="253">
        <v>200000</v>
      </c>
      <c r="BE84" s="253">
        <v>180000</v>
      </c>
      <c r="BF84" s="253">
        <v>180000</v>
      </c>
      <c r="BK84" s="121" t="s">
        <v>252</v>
      </c>
    </row>
    <row r="85" spans="53:63" x14ac:dyDescent="0.3">
      <c r="BA85" s="252">
        <v>78</v>
      </c>
      <c r="BB85" s="253">
        <v>210000</v>
      </c>
      <c r="BC85" s="253">
        <v>180000</v>
      </c>
      <c r="BD85" s="253">
        <v>200000</v>
      </c>
      <c r="BE85" s="253">
        <v>180000</v>
      </c>
      <c r="BF85" s="253">
        <v>180000</v>
      </c>
      <c r="BK85" s="121" t="s">
        <v>252</v>
      </c>
    </row>
    <row r="86" spans="53:63" x14ac:dyDescent="0.3">
      <c r="BA86" s="252">
        <v>79</v>
      </c>
      <c r="BB86" s="253">
        <v>210000</v>
      </c>
      <c r="BC86" s="253">
        <v>180000</v>
      </c>
      <c r="BD86" s="253">
        <v>200000</v>
      </c>
      <c r="BE86" s="253">
        <v>180000</v>
      </c>
      <c r="BF86" s="253">
        <v>180000</v>
      </c>
      <c r="BK86" s="121" t="s">
        <v>252</v>
      </c>
    </row>
    <row r="87" spans="53:63" x14ac:dyDescent="0.3">
      <c r="BA87" s="252">
        <v>80</v>
      </c>
      <c r="BB87" s="253">
        <v>210000</v>
      </c>
      <c r="BC87" s="253">
        <v>180000</v>
      </c>
      <c r="BD87" s="253">
        <v>200000</v>
      </c>
      <c r="BE87" s="253">
        <v>180000</v>
      </c>
      <c r="BF87" s="253">
        <v>180000</v>
      </c>
      <c r="BK87" s="121" t="s">
        <v>252</v>
      </c>
    </row>
    <row r="88" spans="53:63" x14ac:dyDescent="0.3">
      <c r="BA88" s="252">
        <v>81</v>
      </c>
      <c r="BB88" s="253">
        <v>180000</v>
      </c>
      <c r="BC88" s="253">
        <v>180000</v>
      </c>
      <c r="BD88" s="253">
        <v>200000</v>
      </c>
      <c r="BE88" s="253">
        <v>180000</v>
      </c>
      <c r="BF88" s="253">
        <v>180000</v>
      </c>
      <c r="BK88" s="121" t="s">
        <v>252</v>
      </c>
    </row>
    <row r="89" spans="53:63" x14ac:dyDescent="0.3">
      <c r="BA89" s="252">
        <v>82</v>
      </c>
      <c r="BB89" s="253">
        <v>180000</v>
      </c>
      <c r="BC89" s="253">
        <v>180000</v>
      </c>
      <c r="BD89" s="253">
        <v>200000</v>
      </c>
      <c r="BE89" s="253">
        <v>180000</v>
      </c>
      <c r="BF89" s="253">
        <v>180000</v>
      </c>
      <c r="BK89" s="121" t="s">
        <v>252</v>
      </c>
    </row>
    <row r="90" spans="53:63" x14ac:dyDescent="0.3">
      <c r="BA90" s="252">
        <v>83</v>
      </c>
      <c r="BB90" s="253">
        <v>180000</v>
      </c>
      <c r="BC90" s="253">
        <v>180000</v>
      </c>
      <c r="BD90" s="253">
        <v>200000</v>
      </c>
      <c r="BE90" s="253">
        <v>180000</v>
      </c>
      <c r="BF90" s="253">
        <v>180000</v>
      </c>
      <c r="BK90" s="121" t="s">
        <v>252</v>
      </c>
    </row>
    <row r="91" spans="53:63" x14ac:dyDescent="0.3">
      <c r="BA91" s="252">
        <v>84</v>
      </c>
      <c r="BB91" s="253">
        <v>180000</v>
      </c>
      <c r="BC91" s="253">
        <v>180000</v>
      </c>
      <c r="BD91" s="253">
        <v>200000</v>
      </c>
      <c r="BE91" s="253">
        <v>180000</v>
      </c>
      <c r="BF91" s="253">
        <v>180000</v>
      </c>
      <c r="BK91" s="121" t="s">
        <v>252</v>
      </c>
    </row>
    <row r="92" spans="53:63" x14ac:dyDescent="0.3">
      <c r="BA92" s="252">
        <v>85</v>
      </c>
      <c r="BB92" s="253">
        <v>180000</v>
      </c>
      <c r="BC92" s="253">
        <v>180000</v>
      </c>
      <c r="BD92" s="253">
        <v>200000</v>
      </c>
      <c r="BE92" s="253">
        <v>180000</v>
      </c>
      <c r="BF92" s="253">
        <v>180000</v>
      </c>
      <c r="BK92" s="121" t="s">
        <v>252</v>
      </c>
    </row>
    <row r="93" spans="53:63" x14ac:dyDescent="0.3">
      <c r="BA93" s="252">
        <v>86</v>
      </c>
      <c r="BB93" s="253">
        <v>180000</v>
      </c>
      <c r="BC93" s="253">
        <v>180000</v>
      </c>
      <c r="BD93" s="253">
        <v>200000</v>
      </c>
      <c r="BE93" s="253">
        <v>180000</v>
      </c>
      <c r="BF93" s="253">
        <v>180000</v>
      </c>
      <c r="BK93" s="121" t="s">
        <v>252</v>
      </c>
    </row>
    <row r="94" spans="53:63" x14ac:dyDescent="0.3">
      <c r="BA94" s="252">
        <v>87</v>
      </c>
      <c r="BB94" s="253">
        <v>180000</v>
      </c>
      <c r="BC94" s="253">
        <v>180000</v>
      </c>
      <c r="BD94" s="253">
        <v>200000</v>
      </c>
      <c r="BE94" s="253">
        <v>180000</v>
      </c>
      <c r="BF94" s="253">
        <v>180000</v>
      </c>
      <c r="BK94" s="121" t="s">
        <v>252</v>
      </c>
    </row>
    <row r="95" spans="53:63" x14ac:dyDescent="0.3">
      <c r="BA95" s="252">
        <v>88</v>
      </c>
      <c r="BB95" s="253">
        <v>180000</v>
      </c>
      <c r="BC95" s="253">
        <v>180000</v>
      </c>
      <c r="BD95" s="253">
        <v>200000</v>
      </c>
      <c r="BE95" s="253">
        <v>180000</v>
      </c>
      <c r="BF95" s="253">
        <v>180000</v>
      </c>
      <c r="BK95" s="121" t="s">
        <v>252</v>
      </c>
    </row>
    <row r="96" spans="53:63" x14ac:dyDescent="0.3">
      <c r="BA96" s="252">
        <v>89</v>
      </c>
      <c r="BB96" s="253">
        <v>180000</v>
      </c>
      <c r="BC96" s="253">
        <v>180000</v>
      </c>
      <c r="BD96" s="253">
        <v>200000</v>
      </c>
      <c r="BE96" s="253">
        <v>180000</v>
      </c>
      <c r="BF96" s="253">
        <v>180000</v>
      </c>
      <c r="BK96" s="121" t="s">
        <v>252</v>
      </c>
    </row>
    <row r="97" spans="53:63" x14ac:dyDescent="0.3">
      <c r="BA97" s="252">
        <v>90</v>
      </c>
      <c r="BB97" s="253">
        <v>180000</v>
      </c>
      <c r="BC97" s="253">
        <v>180000</v>
      </c>
      <c r="BD97" s="253">
        <v>200000</v>
      </c>
      <c r="BE97" s="253">
        <v>180000</v>
      </c>
      <c r="BF97" s="253">
        <v>180000</v>
      </c>
      <c r="BK97" s="121" t="s">
        <v>252</v>
      </c>
    </row>
    <row r="98" spans="53:63" x14ac:dyDescent="0.3">
      <c r="BA98" s="252">
        <v>91</v>
      </c>
      <c r="BB98" s="253">
        <v>180000</v>
      </c>
      <c r="BC98" s="253">
        <v>180000</v>
      </c>
      <c r="BD98" s="253">
        <v>200000</v>
      </c>
      <c r="BE98" s="253">
        <v>180000</v>
      </c>
      <c r="BF98" s="253">
        <v>180000</v>
      </c>
      <c r="BK98" s="121" t="s">
        <v>252</v>
      </c>
    </row>
    <row r="99" spans="53:63" x14ac:dyDescent="0.3">
      <c r="BA99" s="252">
        <v>92</v>
      </c>
      <c r="BB99" s="253">
        <v>180000</v>
      </c>
      <c r="BC99" s="253">
        <v>180000</v>
      </c>
      <c r="BD99" s="253">
        <v>200000</v>
      </c>
      <c r="BE99" s="253">
        <v>180000</v>
      </c>
      <c r="BF99" s="253">
        <v>180000</v>
      </c>
      <c r="BK99" s="121" t="s">
        <v>252</v>
      </c>
    </row>
    <row r="100" spans="53:63" x14ac:dyDescent="0.3">
      <c r="BA100" s="252">
        <v>93</v>
      </c>
      <c r="BB100" s="253">
        <v>180000</v>
      </c>
      <c r="BC100" s="253">
        <v>180000</v>
      </c>
      <c r="BD100" s="253">
        <v>200000</v>
      </c>
      <c r="BE100" s="253">
        <v>180000</v>
      </c>
      <c r="BF100" s="253">
        <v>180000</v>
      </c>
      <c r="BK100" s="121" t="s">
        <v>252</v>
      </c>
    </row>
    <row r="101" spans="53:63" x14ac:dyDescent="0.3">
      <c r="BA101" s="252">
        <v>94</v>
      </c>
      <c r="BB101" s="253">
        <v>180000</v>
      </c>
      <c r="BC101" s="253">
        <v>180000</v>
      </c>
      <c r="BD101" s="253">
        <v>200000</v>
      </c>
      <c r="BE101" s="253">
        <v>180000</v>
      </c>
      <c r="BF101" s="253">
        <v>180000</v>
      </c>
      <c r="BK101" s="121" t="s">
        <v>252</v>
      </c>
    </row>
    <row r="102" spans="53:63" x14ac:dyDescent="0.3">
      <c r="BA102" s="252">
        <v>95</v>
      </c>
      <c r="BB102" s="253">
        <v>180000</v>
      </c>
      <c r="BC102" s="253">
        <v>180000</v>
      </c>
      <c r="BD102" s="253">
        <v>200000</v>
      </c>
      <c r="BE102" s="253">
        <v>180000</v>
      </c>
      <c r="BF102" s="253">
        <v>180000</v>
      </c>
      <c r="BK102" s="121" t="s">
        <v>252</v>
      </c>
    </row>
    <row r="103" spans="53:63" x14ac:dyDescent="0.3">
      <c r="BA103" s="252">
        <v>96</v>
      </c>
      <c r="BB103" s="253">
        <v>180000</v>
      </c>
      <c r="BC103" s="253">
        <v>180000</v>
      </c>
      <c r="BD103" s="253">
        <v>200000</v>
      </c>
      <c r="BE103" s="253">
        <v>180000</v>
      </c>
      <c r="BF103" s="253">
        <v>180000</v>
      </c>
      <c r="BK103" s="121" t="s">
        <v>252</v>
      </c>
    </row>
    <row r="104" spans="53:63" x14ac:dyDescent="0.3">
      <c r="BA104" s="252">
        <v>97</v>
      </c>
      <c r="BB104" s="253">
        <v>180000</v>
      </c>
      <c r="BC104" s="253">
        <v>180000</v>
      </c>
      <c r="BD104" s="253">
        <v>200000</v>
      </c>
      <c r="BE104" s="253">
        <v>180000</v>
      </c>
      <c r="BF104" s="253">
        <v>180000</v>
      </c>
      <c r="BK104" s="121" t="s">
        <v>252</v>
      </c>
    </row>
    <row r="105" spans="53:63" x14ac:dyDescent="0.3">
      <c r="BA105" s="252">
        <v>98</v>
      </c>
      <c r="BB105" s="253">
        <v>180000</v>
      </c>
      <c r="BC105" s="253">
        <v>180000</v>
      </c>
      <c r="BD105" s="253">
        <v>200000</v>
      </c>
      <c r="BE105" s="253">
        <v>180000</v>
      </c>
      <c r="BF105" s="253">
        <v>180000</v>
      </c>
      <c r="BK105" s="121" t="s">
        <v>252</v>
      </c>
    </row>
    <row r="106" spans="53:63" x14ac:dyDescent="0.3">
      <c r="BA106" s="252">
        <v>99</v>
      </c>
      <c r="BB106" s="253">
        <v>180000</v>
      </c>
      <c r="BC106" s="253">
        <v>180000</v>
      </c>
      <c r="BD106" s="253">
        <v>200000</v>
      </c>
      <c r="BE106" s="253">
        <v>180000</v>
      </c>
      <c r="BF106" s="253">
        <v>180000</v>
      </c>
      <c r="BK106" s="121" t="s">
        <v>252</v>
      </c>
    </row>
    <row r="107" spans="53:63" x14ac:dyDescent="0.3">
      <c r="BA107" s="252">
        <v>100</v>
      </c>
      <c r="BB107" s="253">
        <v>180000</v>
      </c>
      <c r="BC107" s="253">
        <v>166500</v>
      </c>
      <c r="BD107" s="253">
        <v>185000</v>
      </c>
      <c r="BE107" s="253">
        <v>180000</v>
      </c>
      <c r="BF107" s="253">
        <v>166500</v>
      </c>
      <c r="BK107" s="121" t="s">
        <v>252</v>
      </c>
    </row>
    <row r="108" spans="53:63" x14ac:dyDescent="0.3">
      <c r="BA108" s="252">
        <v>101</v>
      </c>
      <c r="BB108" s="253">
        <v>165000</v>
      </c>
      <c r="BC108" s="253">
        <v>166500</v>
      </c>
      <c r="BD108" s="253">
        <v>185000</v>
      </c>
      <c r="BE108" s="253">
        <v>150000</v>
      </c>
      <c r="BF108" s="253">
        <v>166500</v>
      </c>
      <c r="BK108" s="121" t="s">
        <v>254</v>
      </c>
    </row>
    <row r="109" spans="53:63" x14ac:dyDescent="0.3">
      <c r="BA109" s="252">
        <v>102</v>
      </c>
      <c r="BB109" s="253">
        <v>165000</v>
      </c>
      <c r="BC109" s="253">
        <v>166500</v>
      </c>
      <c r="BD109" s="253">
        <v>185000</v>
      </c>
      <c r="BE109" s="253">
        <v>150000</v>
      </c>
      <c r="BF109" s="253">
        <v>166500</v>
      </c>
      <c r="BK109" s="121" t="s">
        <v>254</v>
      </c>
    </row>
    <row r="110" spans="53:63" x14ac:dyDescent="0.3">
      <c r="BA110" s="252">
        <v>103</v>
      </c>
      <c r="BB110" s="253">
        <v>165000</v>
      </c>
      <c r="BC110" s="253">
        <v>166500</v>
      </c>
      <c r="BD110" s="253">
        <v>185000</v>
      </c>
      <c r="BE110" s="253">
        <v>150000</v>
      </c>
      <c r="BF110" s="253">
        <v>166500</v>
      </c>
      <c r="BK110" s="121" t="s">
        <v>254</v>
      </c>
    </row>
    <row r="111" spans="53:63" x14ac:dyDescent="0.3">
      <c r="BA111" s="252">
        <v>104</v>
      </c>
      <c r="BB111" s="253">
        <v>165000</v>
      </c>
      <c r="BC111" s="253">
        <v>166500</v>
      </c>
      <c r="BD111" s="253">
        <v>185000</v>
      </c>
      <c r="BE111" s="253">
        <v>150000</v>
      </c>
      <c r="BF111" s="253">
        <v>166500</v>
      </c>
      <c r="BK111" s="121" t="s">
        <v>254</v>
      </c>
    </row>
    <row r="112" spans="53:63" x14ac:dyDescent="0.3">
      <c r="BA112" s="252">
        <v>105</v>
      </c>
      <c r="BB112" s="253">
        <v>165000</v>
      </c>
      <c r="BC112" s="253">
        <v>166500</v>
      </c>
      <c r="BD112" s="253">
        <v>185000</v>
      </c>
      <c r="BE112" s="253">
        <v>150000</v>
      </c>
      <c r="BF112" s="253">
        <v>166500</v>
      </c>
      <c r="BK112" s="121" t="s">
        <v>254</v>
      </c>
    </row>
    <row r="113" spans="53:63" x14ac:dyDescent="0.3">
      <c r="BA113" s="252">
        <v>106</v>
      </c>
      <c r="BB113" s="253">
        <v>165000</v>
      </c>
      <c r="BC113" s="253">
        <v>166500</v>
      </c>
      <c r="BD113" s="253">
        <v>185000</v>
      </c>
      <c r="BE113" s="253">
        <v>150000</v>
      </c>
      <c r="BF113" s="253">
        <v>166500</v>
      </c>
      <c r="BK113" s="121" t="s">
        <v>254</v>
      </c>
    </row>
    <row r="114" spans="53:63" x14ac:dyDescent="0.3">
      <c r="BA114" s="252">
        <v>107</v>
      </c>
      <c r="BB114" s="253">
        <v>165000</v>
      </c>
      <c r="BC114" s="253">
        <v>166500</v>
      </c>
      <c r="BD114" s="253">
        <v>185000</v>
      </c>
      <c r="BE114" s="253">
        <v>150000</v>
      </c>
      <c r="BF114" s="253">
        <v>166500</v>
      </c>
      <c r="BK114" s="121" t="s">
        <v>254</v>
      </c>
    </row>
    <row r="115" spans="53:63" x14ac:dyDescent="0.3">
      <c r="BA115" s="252">
        <v>108</v>
      </c>
      <c r="BB115" s="253">
        <v>165000</v>
      </c>
      <c r="BC115" s="253">
        <v>166500</v>
      </c>
      <c r="BD115" s="253">
        <v>185000</v>
      </c>
      <c r="BE115" s="253">
        <v>150000</v>
      </c>
      <c r="BF115" s="253">
        <v>166500</v>
      </c>
      <c r="BK115" s="121" t="s">
        <v>254</v>
      </c>
    </row>
    <row r="116" spans="53:63" x14ac:dyDescent="0.3">
      <c r="BA116" s="252">
        <v>109</v>
      </c>
      <c r="BB116" s="253">
        <v>165000</v>
      </c>
      <c r="BC116" s="253">
        <v>166500</v>
      </c>
      <c r="BD116" s="253">
        <v>185000</v>
      </c>
      <c r="BE116" s="253">
        <v>150000</v>
      </c>
      <c r="BF116" s="253">
        <v>166500</v>
      </c>
      <c r="BK116" s="121" t="s">
        <v>254</v>
      </c>
    </row>
    <row r="117" spans="53:63" x14ac:dyDescent="0.3">
      <c r="BA117" s="252">
        <v>110</v>
      </c>
      <c r="BB117" s="253">
        <v>165000</v>
      </c>
      <c r="BC117" s="253">
        <v>166500</v>
      </c>
      <c r="BD117" s="253">
        <v>185000</v>
      </c>
      <c r="BE117" s="253">
        <v>150000</v>
      </c>
      <c r="BF117" s="253">
        <v>166500</v>
      </c>
      <c r="BK117" s="121" t="s">
        <v>254</v>
      </c>
    </row>
    <row r="118" spans="53:63" x14ac:dyDescent="0.3">
      <c r="BA118" s="252">
        <v>111</v>
      </c>
      <c r="BB118" s="253">
        <v>165000</v>
      </c>
      <c r="BC118" s="253">
        <v>166500</v>
      </c>
      <c r="BD118" s="253">
        <v>185000</v>
      </c>
      <c r="BE118" s="253">
        <v>150000</v>
      </c>
      <c r="BF118" s="253">
        <v>166500</v>
      </c>
      <c r="BK118" s="121" t="s">
        <v>254</v>
      </c>
    </row>
    <row r="119" spans="53:63" x14ac:dyDescent="0.3">
      <c r="BA119" s="252">
        <v>112</v>
      </c>
      <c r="BB119" s="253">
        <v>165000</v>
      </c>
      <c r="BC119" s="253">
        <v>166500</v>
      </c>
      <c r="BD119" s="253">
        <v>185000</v>
      </c>
      <c r="BE119" s="253">
        <v>150000</v>
      </c>
      <c r="BF119" s="253">
        <v>166500</v>
      </c>
      <c r="BK119" s="121" t="s">
        <v>254</v>
      </c>
    </row>
    <row r="120" spans="53:63" x14ac:dyDescent="0.3">
      <c r="BA120" s="252">
        <v>113</v>
      </c>
      <c r="BB120" s="253">
        <v>165000</v>
      </c>
      <c r="BC120" s="253">
        <v>166500</v>
      </c>
      <c r="BD120" s="253">
        <v>185000</v>
      </c>
      <c r="BE120" s="253">
        <v>150000</v>
      </c>
      <c r="BF120" s="253">
        <v>166500</v>
      </c>
      <c r="BK120" s="121" t="s">
        <v>254</v>
      </c>
    </row>
    <row r="121" spans="53:63" x14ac:dyDescent="0.3">
      <c r="BA121" s="252">
        <v>114</v>
      </c>
      <c r="BB121" s="253">
        <v>165000</v>
      </c>
      <c r="BC121" s="253">
        <v>166500</v>
      </c>
      <c r="BD121" s="253">
        <v>185000</v>
      </c>
      <c r="BE121" s="253">
        <v>150000</v>
      </c>
      <c r="BF121" s="253">
        <v>166500</v>
      </c>
      <c r="BK121" s="121" t="s">
        <v>254</v>
      </c>
    </row>
    <row r="122" spans="53:63" x14ac:dyDescent="0.3">
      <c r="BA122" s="252">
        <v>115</v>
      </c>
      <c r="BB122" s="253">
        <v>165000</v>
      </c>
      <c r="BC122" s="253">
        <v>166500</v>
      </c>
      <c r="BD122" s="253">
        <v>185000</v>
      </c>
      <c r="BE122" s="253">
        <v>150000</v>
      </c>
      <c r="BF122" s="253">
        <v>166500</v>
      </c>
      <c r="BK122" s="121" t="s">
        <v>254</v>
      </c>
    </row>
    <row r="123" spans="53:63" x14ac:dyDescent="0.3">
      <c r="BA123" s="252">
        <v>116</v>
      </c>
      <c r="BB123" s="253">
        <v>165000</v>
      </c>
      <c r="BC123" s="253">
        <v>166500</v>
      </c>
      <c r="BD123" s="253">
        <v>185000</v>
      </c>
      <c r="BE123" s="253">
        <v>150000</v>
      </c>
      <c r="BF123" s="253">
        <v>166500</v>
      </c>
      <c r="BK123" s="121" t="s">
        <v>254</v>
      </c>
    </row>
    <row r="124" spans="53:63" x14ac:dyDescent="0.3">
      <c r="BA124" s="252">
        <v>117</v>
      </c>
      <c r="BB124" s="253">
        <v>165000</v>
      </c>
      <c r="BC124" s="253">
        <v>166500</v>
      </c>
      <c r="BD124" s="253">
        <v>185000</v>
      </c>
      <c r="BE124" s="253">
        <v>150000</v>
      </c>
      <c r="BF124" s="253">
        <v>166500</v>
      </c>
      <c r="BK124" s="121" t="s">
        <v>254</v>
      </c>
    </row>
    <row r="125" spans="53:63" x14ac:dyDescent="0.3">
      <c r="BA125" s="252">
        <v>118</v>
      </c>
      <c r="BB125" s="253">
        <v>165000</v>
      </c>
      <c r="BC125" s="253">
        <v>166500</v>
      </c>
      <c r="BD125" s="253">
        <v>185000</v>
      </c>
      <c r="BE125" s="253">
        <v>150000</v>
      </c>
      <c r="BF125" s="253">
        <v>166500</v>
      </c>
      <c r="BK125" s="121" t="s">
        <v>254</v>
      </c>
    </row>
    <row r="126" spans="53:63" x14ac:dyDescent="0.3">
      <c r="BA126" s="252">
        <v>119</v>
      </c>
      <c r="BB126" s="253">
        <v>165000</v>
      </c>
      <c r="BC126" s="253">
        <v>166500</v>
      </c>
      <c r="BD126" s="253">
        <v>185000</v>
      </c>
      <c r="BE126" s="253">
        <v>150000</v>
      </c>
      <c r="BF126" s="253">
        <v>166500</v>
      </c>
      <c r="BK126" s="121" t="s">
        <v>254</v>
      </c>
    </row>
    <row r="127" spans="53:63" x14ac:dyDescent="0.3">
      <c r="BA127" s="252">
        <v>120</v>
      </c>
      <c r="BB127" s="253">
        <v>165000</v>
      </c>
      <c r="BC127" s="253">
        <v>166500</v>
      </c>
      <c r="BD127" s="253">
        <v>185000</v>
      </c>
      <c r="BE127" s="253">
        <v>150000</v>
      </c>
      <c r="BF127" s="253">
        <v>166500</v>
      </c>
      <c r="BK127" s="121" t="s">
        <v>254</v>
      </c>
    </row>
    <row r="128" spans="53:63" x14ac:dyDescent="0.3">
      <c r="BA128" s="252">
        <v>121</v>
      </c>
      <c r="BB128" s="253">
        <v>155000</v>
      </c>
      <c r="BC128" s="253">
        <v>166500</v>
      </c>
      <c r="BD128" s="253">
        <v>185000</v>
      </c>
      <c r="BE128" s="253">
        <v>150000</v>
      </c>
      <c r="BF128" s="253">
        <v>166500</v>
      </c>
      <c r="BK128" s="121" t="s">
        <v>254</v>
      </c>
    </row>
    <row r="129" spans="53:63" x14ac:dyDescent="0.3">
      <c r="BA129" s="252">
        <v>122</v>
      </c>
      <c r="BB129" s="253">
        <v>155000</v>
      </c>
      <c r="BC129" s="253">
        <v>166500</v>
      </c>
      <c r="BD129" s="253">
        <v>185000</v>
      </c>
      <c r="BE129" s="253">
        <v>150000</v>
      </c>
      <c r="BF129" s="253">
        <v>166500</v>
      </c>
      <c r="BK129" s="121" t="s">
        <v>254</v>
      </c>
    </row>
    <row r="130" spans="53:63" x14ac:dyDescent="0.3">
      <c r="BA130" s="252">
        <v>123</v>
      </c>
      <c r="BB130" s="253">
        <v>155000</v>
      </c>
      <c r="BC130" s="253">
        <v>166500</v>
      </c>
      <c r="BD130" s="253">
        <v>185000</v>
      </c>
      <c r="BE130" s="253">
        <v>150000</v>
      </c>
      <c r="BF130" s="253">
        <v>166500</v>
      </c>
      <c r="BK130" s="121" t="s">
        <v>254</v>
      </c>
    </row>
    <row r="131" spans="53:63" x14ac:dyDescent="0.3">
      <c r="BA131" s="252">
        <v>124</v>
      </c>
      <c r="BB131" s="253">
        <v>155000</v>
      </c>
      <c r="BC131" s="253">
        <v>166500</v>
      </c>
      <c r="BD131" s="253">
        <v>185000</v>
      </c>
      <c r="BE131" s="253">
        <v>150000</v>
      </c>
      <c r="BF131" s="253">
        <v>166500</v>
      </c>
      <c r="BK131" s="121" t="s">
        <v>254</v>
      </c>
    </row>
    <row r="132" spans="53:63" x14ac:dyDescent="0.3">
      <c r="BA132" s="252">
        <v>125</v>
      </c>
      <c r="BB132" s="253">
        <v>155000</v>
      </c>
      <c r="BC132" s="253">
        <v>166500</v>
      </c>
      <c r="BD132" s="253">
        <v>185000</v>
      </c>
      <c r="BE132" s="253">
        <v>150000</v>
      </c>
      <c r="BF132" s="253">
        <v>166500</v>
      </c>
      <c r="BK132" s="121" t="s">
        <v>254</v>
      </c>
    </row>
    <row r="133" spans="53:63" x14ac:dyDescent="0.3">
      <c r="BA133" s="252">
        <v>126</v>
      </c>
      <c r="BB133" s="253">
        <v>155000</v>
      </c>
      <c r="BC133" s="253">
        <v>166500</v>
      </c>
      <c r="BD133" s="253">
        <v>185000</v>
      </c>
      <c r="BE133" s="253">
        <v>150000</v>
      </c>
      <c r="BF133" s="253">
        <v>166500</v>
      </c>
      <c r="BK133" s="121" t="s">
        <v>254</v>
      </c>
    </row>
    <row r="134" spans="53:63" x14ac:dyDescent="0.3">
      <c r="BA134" s="252">
        <v>127</v>
      </c>
      <c r="BB134" s="253">
        <v>155000</v>
      </c>
      <c r="BC134" s="253">
        <v>166500</v>
      </c>
      <c r="BD134" s="253">
        <v>185000</v>
      </c>
      <c r="BE134" s="253">
        <v>150000</v>
      </c>
      <c r="BF134" s="253">
        <v>166500</v>
      </c>
      <c r="BK134" s="121" t="s">
        <v>254</v>
      </c>
    </row>
    <row r="135" spans="53:63" x14ac:dyDescent="0.3">
      <c r="BA135" s="252">
        <v>128</v>
      </c>
      <c r="BB135" s="253">
        <v>155000</v>
      </c>
      <c r="BC135" s="253">
        <v>166500</v>
      </c>
      <c r="BD135" s="253">
        <v>185000</v>
      </c>
      <c r="BE135" s="253">
        <v>150000</v>
      </c>
      <c r="BF135" s="253">
        <v>166500</v>
      </c>
      <c r="BK135" s="121" t="s">
        <v>254</v>
      </c>
    </row>
    <row r="136" spans="53:63" x14ac:dyDescent="0.3">
      <c r="BA136" s="252">
        <v>129</v>
      </c>
      <c r="BB136" s="253">
        <v>155000</v>
      </c>
      <c r="BC136" s="253">
        <v>166500</v>
      </c>
      <c r="BD136" s="253">
        <v>185000</v>
      </c>
      <c r="BE136" s="253">
        <v>150000</v>
      </c>
      <c r="BF136" s="253">
        <v>166500</v>
      </c>
      <c r="BK136" s="121" t="s">
        <v>254</v>
      </c>
    </row>
    <row r="137" spans="53:63" x14ac:dyDescent="0.3">
      <c r="BA137" s="252">
        <v>130</v>
      </c>
      <c r="BB137" s="253">
        <v>155000</v>
      </c>
      <c r="BC137" s="253">
        <v>166500</v>
      </c>
      <c r="BD137" s="253">
        <v>185000</v>
      </c>
      <c r="BE137" s="253">
        <v>150000</v>
      </c>
      <c r="BF137" s="253">
        <v>166500</v>
      </c>
      <c r="BK137" s="121" t="s">
        <v>254</v>
      </c>
    </row>
    <row r="138" spans="53:63" x14ac:dyDescent="0.3">
      <c r="BA138" s="252">
        <v>131</v>
      </c>
      <c r="BB138" s="253">
        <v>155000</v>
      </c>
      <c r="BC138" s="253">
        <v>166500</v>
      </c>
      <c r="BD138" s="253">
        <v>185000</v>
      </c>
      <c r="BE138" s="253">
        <v>150000</v>
      </c>
      <c r="BF138" s="253">
        <v>166500</v>
      </c>
      <c r="BK138" s="121" t="s">
        <v>254</v>
      </c>
    </row>
    <row r="139" spans="53:63" x14ac:dyDescent="0.3">
      <c r="BA139" s="252">
        <v>132</v>
      </c>
      <c r="BB139" s="253">
        <v>155000</v>
      </c>
      <c r="BC139" s="253">
        <v>166500</v>
      </c>
      <c r="BD139" s="253">
        <v>185000</v>
      </c>
      <c r="BE139" s="253">
        <v>150000</v>
      </c>
      <c r="BF139" s="253">
        <v>166500</v>
      </c>
      <c r="BK139" s="121" t="s">
        <v>254</v>
      </c>
    </row>
    <row r="140" spans="53:63" x14ac:dyDescent="0.3">
      <c r="BA140" s="252">
        <v>133</v>
      </c>
      <c r="BB140" s="253">
        <v>155000</v>
      </c>
      <c r="BC140" s="253">
        <v>166500</v>
      </c>
      <c r="BD140" s="253">
        <v>185000</v>
      </c>
      <c r="BE140" s="253">
        <v>150000</v>
      </c>
      <c r="BF140" s="253">
        <v>166500</v>
      </c>
      <c r="BK140" s="121" t="s">
        <v>254</v>
      </c>
    </row>
    <row r="141" spans="53:63" x14ac:dyDescent="0.3">
      <c r="BA141" s="252">
        <v>134</v>
      </c>
      <c r="BB141" s="253">
        <v>155000</v>
      </c>
      <c r="BC141" s="253">
        <v>166500</v>
      </c>
      <c r="BD141" s="253">
        <v>185000</v>
      </c>
      <c r="BE141" s="253">
        <v>150000</v>
      </c>
      <c r="BF141" s="253">
        <v>166500</v>
      </c>
      <c r="BK141" s="121" t="s">
        <v>254</v>
      </c>
    </row>
    <row r="142" spans="53:63" x14ac:dyDescent="0.3">
      <c r="BA142" s="252">
        <v>135</v>
      </c>
      <c r="BB142" s="253">
        <v>155000</v>
      </c>
      <c r="BC142" s="253">
        <v>166500</v>
      </c>
      <c r="BD142" s="253">
        <v>185000</v>
      </c>
      <c r="BE142" s="253">
        <v>150000</v>
      </c>
      <c r="BF142" s="253">
        <v>166500</v>
      </c>
      <c r="BK142" s="121" t="s">
        <v>254</v>
      </c>
    </row>
    <row r="143" spans="53:63" x14ac:dyDescent="0.3">
      <c r="BA143" s="252">
        <v>136</v>
      </c>
      <c r="BB143" s="253">
        <v>155000</v>
      </c>
      <c r="BC143" s="253">
        <v>166500</v>
      </c>
      <c r="BD143" s="253">
        <v>185000</v>
      </c>
      <c r="BE143" s="253">
        <v>150000</v>
      </c>
      <c r="BF143" s="253">
        <v>166500</v>
      </c>
      <c r="BK143" s="121" t="s">
        <v>254</v>
      </c>
    </row>
    <row r="144" spans="53:63" x14ac:dyDescent="0.3">
      <c r="BA144" s="252">
        <v>137</v>
      </c>
      <c r="BB144" s="253">
        <v>155000</v>
      </c>
      <c r="BC144" s="253">
        <v>166500</v>
      </c>
      <c r="BD144" s="253">
        <v>185000</v>
      </c>
      <c r="BE144" s="253">
        <v>150000</v>
      </c>
      <c r="BF144" s="253">
        <v>166500</v>
      </c>
      <c r="BK144" s="121" t="s">
        <v>254</v>
      </c>
    </row>
    <row r="145" spans="53:63" x14ac:dyDescent="0.3">
      <c r="BA145" s="252">
        <v>138</v>
      </c>
      <c r="BB145" s="253">
        <v>155000</v>
      </c>
      <c r="BC145" s="253">
        <v>166500</v>
      </c>
      <c r="BD145" s="253">
        <v>185000</v>
      </c>
      <c r="BE145" s="253">
        <v>150000</v>
      </c>
      <c r="BF145" s="253">
        <v>166500</v>
      </c>
      <c r="BK145" s="121" t="s">
        <v>254</v>
      </c>
    </row>
    <row r="146" spans="53:63" x14ac:dyDescent="0.3">
      <c r="BA146" s="252">
        <v>139</v>
      </c>
      <c r="BB146" s="253">
        <v>155000</v>
      </c>
      <c r="BC146" s="253">
        <v>166500</v>
      </c>
      <c r="BD146" s="253">
        <v>185000</v>
      </c>
      <c r="BE146" s="253">
        <v>150000</v>
      </c>
      <c r="BF146" s="253">
        <v>166500</v>
      </c>
      <c r="BK146" s="121" t="s">
        <v>254</v>
      </c>
    </row>
    <row r="147" spans="53:63" x14ac:dyDescent="0.3">
      <c r="BA147" s="252">
        <v>140</v>
      </c>
      <c r="BB147" s="253">
        <v>155000</v>
      </c>
      <c r="BC147" s="253">
        <v>166500</v>
      </c>
      <c r="BD147" s="253">
        <v>185000</v>
      </c>
      <c r="BE147" s="253">
        <v>150000</v>
      </c>
      <c r="BF147" s="253">
        <v>166500</v>
      </c>
      <c r="BK147" s="121" t="s">
        <v>254</v>
      </c>
    </row>
    <row r="148" spans="53:63" x14ac:dyDescent="0.3">
      <c r="BA148" s="252">
        <v>141</v>
      </c>
      <c r="BB148" s="253">
        <v>150000</v>
      </c>
      <c r="BC148" s="253">
        <v>166500</v>
      </c>
      <c r="BD148" s="253">
        <v>185000</v>
      </c>
      <c r="BE148" s="253">
        <v>150000</v>
      </c>
      <c r="BF148" s="253">
        <v>166500</v>
      </c>
      <c r="BK148" s="121" t="s">
        <v>254</v>
      </c>
    </row>
    <row r="149" spans="53:63" x14ac:dyDescent="0.3">
      <c r="BA149" s="252">
        <v>142</v>
      </c>
      <c r="BB149" s="253">
        <v>150000</v>
      </c>
      <c r="BC149" s="253">
        <v>166500</v>
      </c>
      <c r="BD149" s="253">
        <v>185000</v>
      </c>
      <c r="BE149" s="253">
        <v>150000</v>
      </c>
      <c r="BF149" s="253">
        <v>166500</v>
      </c>
      <c r="BK149" s="121" t="s">
        <v>254</v>
      </c>
    </row>
    <row r="150" spans="53:63" x14ac:dyDescent="0.3">
      <c r="BA150" s="252">
        <v>143</v>
      </c>
      <c r="BB150" s="253">
        <v>150000</v>
      </c>
      <c r="BC150" s="253">
        <v>166500</v>
      </c>
      <c r="BD150" s="253">
        <v>185000</v>
      </c>
      <c r="BE150" s="253">
        <v>150000</v>
      </c>
      <c r="BF150" s="253">
        <v>166500</v>
      </c>
      <c r="BK150" s="121" t="s">
        <v>254</v>
      </c>
    </row>
    <row r="151" spans="53:63" x14ac:dyDescent="0.3">
      <c r="BA151" s="252">
        <v>144</v>
      </c>
      <c r="BB151" s="253">
        <v>150000</v>
      </c>
      <c r="BC151" s="253">
        <v>166500</v>
      </c>
      <c r="BD151" s="253">
        <v>185000</v>
      </c>
      <c r="BE151" s="253">
        <v>150000</v>
      </c>
      <c r="BF151" s="253">
        <v>166500</v>
      </c>
      <c r="BK151" s="121" t="s">
        <v>254</v>
      </c>
    </row>
    <row r="152" spans="53:63" x14ac:dyDescent="0.3">
      <c r="BA152" s="252">
        <v>145</v>
      </c>
      <c r="BB152" s="253">
        <v>150000</v>
      </c>
      <c r="BC152" s="253">
        <v>166500</v>
      </c>
      <c r="BD152" s="253">
        <v>185000</v>
      </c>
      <c r="BE152" s="253">
        <v>150000</v>
      </c>
      <c r="BF152" s="253">
        <v>166500</v>
      </c>
      <c r="BK152" s="121" t="s">
        <v>254</v>
      </c>
    </row>
    <row r="153" spans="53:63" x14ac:dyDescent="0.3">
      <c r="BA153" s="252">
        <v>146</v>
      </c>
      <c r="BB153" s="253">
        <v>150000</v>
      </c>
      <c r="BC153" s="253">
        <v>166500</v>
      </c>
      <c r="BD153" s="253">
        <v>185000</v>
      </c>
      <c r="BE153" s="253">
        <v>150000</v>
      </c>
      <c r="BF153" s="253">
        <v>166500</v>
      </c>
      <c r="BK153" s="121" t="s">
        <v>254</v>
      </c>
    </row>
    <row r="154" spans="53:63" x14ac:dyDescent="0.3">
      <c r="BA154" s="252">
        <v>147</v>
      </c>
      <c r="BB154" s="253">
        <v>150000</v>
      </c>
      <c r="BC154" s="253">
        <v>166500</v>
      </c>
      <c r="BD154" s="253">
        <v>185000</v>
      </c>
      <c r="BE154" s="253">
        <v>150000</v>
      </c>
      <c r="BF154" s="253">
        <v>166500</v>
      </c>
      <c r="BK154" s="121" t="s">
        <v>254</v>
      </c>
    </row>
    <row r="155" spans="53:63" x14ac:dyDescent="0.3">
      <c r="BA155" s="252">
        <v>148</v>
      </c>
      <c r="BB155" s="253">
        <v>150000</v>
      </c>
      <c r="BC155" s="253">
        <v>166500</v>
      </c>
      <c r="BD155" s="253">
        <v>185000</v>
      </c>
      <c r="BE155" s="253">
        <v>150000</v>
      </c>
      <c r="BF155" s="253">
        <v>166500</v>
      </c>
      <c r="BK155" s="121" t="s">
        <v>254</v>
      </c>
    </row>
    <row r="156" spans="53:63" x14ac:dyDescent="0.3">
      <c r="BA156" s="252">
        <v>149</v>
      </c>
      <c r="BB156" s="253">
        <v>150000</v>
      </c>
      <c r="BC156" s="253">
        <v>166500</v>
      </c>
      <c r="BD156" s="253">
        <v>185000</v>
      </c>
      <c r="BE156" s="253">
        <v>150000</v>
      </c>
      <c r="BF156" s="253">
        <v>166500</v>
      </c>
      <c r="BK156" s="121" t="s">
        <v>254</v>
      </c>
    </row>
    <row r="157" spans="53:63" x14ac:dyDescent="0.3">
      <c r="BA157" s="252">
        <v>150</v>
      </c>
      <c r="BB157" s="253">
        <v>150000</v>
      </c>
      <c r="BC157" s="253">
        <v>135000</v>
      </c>
      <c r="BD157" s="253">
        <v>150000</v>
      </c>
      <c r="BE157" s="253">
        <v>150000</v>
      </c>
      <c r="BF157" s="253">
        <v>135000</v>
      </c>
      <c r="BK157" s="121" t="s">
        <v>254</v>
      </c>
    </row>
    <row r="158" spans="53:63" x14ac:dyDescent="0.3">
      <c r="BA158" s="252">
        <v>151</v>
      </c>
      <c r="BB158" s="253">
        <v>150000</v>
      </c>
      <c r="BC158" s="253">
        <v>135000</v>
      </c>
      <c r="BD158" s="253">
        <v>150000</v>
      </c>
      <c r="BE158" s="253">
        <v>150000</v>
      </c>
      <c r="BF158" s="253">
        <v>135000</v>
      </c>
      <c r="BK158" s="121" t="s">
        <v>254</v>
      </c>
    </row>
    <row r="159" spans="53:63" x14ac:dyDescent="0.3">
      <c r="BA159" s="252">
        <v>152</v>
      </c>
      <c r="BB159" s="253">
        <v>150000</v>
      </c>
      <c r="BC159" s="253">
        <v>135000</v>
      </c>
      <c r="BD159" s="253">
        <v>150000</v>
      </c>
      <c r="BE159" s="253">
        <v>150000</v>
      </c>
      <c r="BF159" s="253">
        <v>135000</v>
      </c>
      <c r="BK159" s="121" t="s">
        <v>254</v>
      </c>
    </row>
    <row r="160" spans="53:63" x14ac:dyDescent="0.3">
      <c r="BA160" s="252">
        <v>153</v>
      </c>
      <c r="BB160" s="253">
        <v>150000</v>
      </c>
      <c r="BC160" s="253">
        <v>135000</v>
      </c>
      <c r="BD160" s="253">
        <v>150000</v>
      </c>
      <c r="BE160" s="253">
        <v>150000</v>
      </c>
      <c r="BF160" s="253">
        <v>135000</v>
      </c>
      <c r="BK160" s="121" t="s">
        <v>254</v>
      </c>
    </row>
    <row r="161" spans="53:63" x14ac:dyDescent="0.3">
      <c r="BA161" s="252">
        <v>154</v>
      </c>
      <c r="BB161" s="253">
        <v>150000</v>
      </c>
      <c r="BC161" s="253">
        <v>135000</v>
      </c>
      <c r="BD161" s="253">
        <v>150000</v>
      </c>
      <c r="BE161" s="253">
        <v>150000</v>
      </c>
      <c r="BF161" s="253">
        <v>135000</v>
      </c>
      <c r="BK161" s="121" t="s">
        <v>254</v>
      </c>
    </row>
    <row r="162" spans="53:63" x14ac:dyDescent="0.3">
      <c r="BA162" s="252">
        <v>155</v>
      </c>
      <c r="BB162" s="253">
        <v>150000</v>
      </c>
      <c r="BC162" s="253">
        <v>135000</v>
      </c>
      <c r="BD162" s="253">
        <v>150000</v>
      </c>
      <c r="BE162" s="253">
        <v>150000</v>
      </c>
      <c r="BF162" s="253">
        <v>135000</v>
      </c>
      <c r="BK162" s="121" t="s">
        <v>254</v>
      </c>
    </row>
    <row r="163" spans="53:63" x14ac:dyDescent="0.3">
      <c r="BA163" s="252">
        <v>156</v>
      </c>
      <c r="BB163" s="253">
        <v>150000</v>
      </c>
      <c r="BC163" s="253">
        <v>135000</v>
      </c>
      <c r="BD163" s="253">
        <v>150000</v>
      </c>
      <c r="BE163" s="253">
        <v>150000</v>
      </c>
      <c r="BF163" s="253">
        <v>135000</v>
      </c>
      <c r="BK163" s="121" t="s">
        <v>254</v>
      </c>
    </row>
    <row r="164" spans="53:63" x14ac:dyDescent="0.3">
      <c r="BA164" s="252">
        <v>157</v>
      </c>
      <c r="BB164" s="253">
        <v>150000</v>
      </c>
      <c r="BC164" s="253">
        <v>135000</v>
      </c>
      <c r="BD164" s="253">
        <v>150000</v>
      </c>
      <c r="BE164" s="253">
        <v>150000</v>
      </c>
      <c r="BF164" s="253">
        <v>135000</v>
      </c>
      <c r="BK164" s="121" t="s">
        <v>254</v>
      </c>
    </row>
    <row r="165" spans="53:63" x14ac:dyDescent="0.3">
      <c r="BA165" s="252">
        <v>158</v>
      </c>
      <c r="BB165" s="253">
        <v>150000</v>
      </c>
      <c r="BC165" s="253">
        <v>135000</v>
      </c>
      <c r="BD165" s="253">
        <v>150000</v>
      </c>
      <c r="BE165" s="253">
        <v>150000</v>
      </c>
      <c r="BF165" s="253">
        <v>135000</v>
      </c>
      <c r="BK165" s="121" t="s">
        <v>254</v>
      </c>
    </row>
    <row r="166" spans="53:63" x14ac:dyDescent="0.3">
      <c r="BA166" s="252">
        <v>159</v>
      </c>
      <c r="BB166" s="253">
        <v>150000</v>
      </c>
      <c r="BC166" s="253">
        <v>135000</v>
      </c>
      <c r="BD166" s="253">
        <v>150000</v>
      </c>
      <c r="BE166" s="253">
        <v>150000</v>
      </c>
      <c r="BF166" s="253">
        <v>135000</v>
      </c>
      <c r="BK166" s="121" t="s">
        <v>254</v>
      </c>
    </row>
    <row r="167" spans="53:63" x14ac:dyDescent="0.3">
      <c r="BA167" s="252">
        <v>160</v>
      </c>
      <c r="BB167" s="253">
        <v>150000</v>
      </c>
      <c r="BC167" s="253">
        <v>135000</v>
      </c>
      <c r="BD167" s="253">
        <v>150000</v>
      </c>
      <c r="BE167" s="253">
        <v>150000</v>
      </c>
      <c r="BF167" s="253">
        <v>135000</v>
      </c>
      <c r="BK167" s="121" t="s">
        <v>254</v>
      </c>
    </row>
    <row r="168" spans="53:63" x14ac:dyDescent="0.3">
      <c r="BA168" s="252">
        <v>161</v>
      </c>
      <c r="BB168" s="253">
        <v>145000</v>
      </c>
      <c r="BC168" s="253">
        <v>135000</v>
      </c>
      <c r="BD168" s="253">
        <v>150000</v>
      </c>
      <c r="BE168" s="253">
        <v>150000</v>
      </c>
      <c r="BF168" s="253">
        <v>135000</v>
      </c>
      <c r="BK168" s="121" t="s">
        <v>254</v>
      </c>
    </row>
    <row r="169" spans="53:63" x14ac:dyDescent="0.3">
      <c r="BA169" s="252">
        <v>162</v>
      </c>
      <c r="BB169" s="253">
        <v>145000</v>
      </c>
      <c r="BC169" s="253">
        <v>135000</v>
      </c>
      <c r="BD169" s="253">
        <v>150000</v>
      </c>
      <c r="BE169" s="253">
        <v>150000</v>
      </c>
      <c r="BF169" s="253">
        <v>135000</v>
      </c>
      <c r="BK169" s="121" t="s">
        <v>254</v>
      </c>
    </row>
    <row r="170" spans="53:63" x14ac:dyDescent="0.3">
      <c r="BA170" s="252">
        <v>163</v>
      </c>
      <c r="BB170" s="253">
        <v>145000</v>
      </c>
      <c r="BC170" s="253">
        <v>135000</v>
      </c>
      <c r="BD170" s="253">
        <v>150000</v>
      </c>
      <c r="BE170" s="253">
        <v>150000</v>
      </c>
      <c r="BF170" s="253">
        <v>135000</v>
      </c>
      <c r="BK170" s="121" t="s">
        <v>254</v>
      </c>
    </row>
    <row r="171" spans="53:63" x14ac:dyDescent="0.3">
      <c r="BA171" s="252">
        <v>164</v>
      </c>
      <c r="BB171" s="253">
        <v>145000</v>
      </c>
      <c r="BC171" s="253">
        <v>135000</v>
      </c>
      <c r="BD171" s="253">
        <v>150000</v>
      </c>
      <c r="BE171" s="253">
        <v>150000</v>
      </c>
      <c r="BF171" s="253">
        <v>135000</v>
      </c>
      <c r="BK171" s="121" t="s">
        <v>254</v>
      </c>
    </row>
    <row r="172" spans="53:63" x14ac:dyDescent="0.3">
      <c r="BA172" s="252">
        <v>165</v>
      </c>
      <c r="BB172" s="253">
        <v>145000</v>
      </c>
      <c r="BC172" s="253">
        <v>135000</v>
      </c>
      <c r="BD172" s="253">
        <v>150000</v>
      </c>
      <c r="BE172" s="253">
        <v>150000</v>
      </c>
      <c r="BF172" s="253">
        <v>135000</v>
      </c>
      <c r="BK172" s="121" t="s">
        <v>254</v>
      </c>
    </row>
    <row r="173" spans="53:63" x14ac:dyDescent="0.3">
      <c r="BA173" s="252">
        <v>166</v>
      </c>
      <c r="BB173" s="253">
        <v>145000</v>
      </c>
      <c r="BC173" s="253">
        <v>135000</v>
      </c>
      <c r="BD173" s="253">
        <v>150000</v>
      </c>
      <c r="BE173" s="253">
        <v>150000</v>
      </c>
      <c r="BF173" s="253">
        <v>135000</v>
      </c>
      <c r="BK173" s="121" t="s">
        <v>254</v>
      </c>
    </row>
    <row r="174" spans="53:63" x14ac:dyDescent="0.3">
      <c r="BA174" s="252">
        <v>167</v>
      </c>
      <c r="BB174" s="253">
        <v>145000</v>
      </c>
      <c r="BC174" s="253">
        <v>135000</v>
      </c>
      <c r="BD174" s="253">
        <v>150000</v>
      </c>
      <c r="BE174" s="253">
        <v>150000</v>
      </c>
      <c r="BF174" s="253">
        <v>135000</v>
      </c>
      <c r="BK174" s="121" t="s">
        <v>254</v>
      </c>
    </row>
    <row r="175" spans="53:63" x14ac:dyDescent="0.3">
      <c r="BA175" s="252">
        <v>168</v>
      </c>
      <c r="BB175" s="253">
        <v>145000</v>
      </c>
      <c r="BC175" s="253">
        <v>135000</v>
      </c>
      <c r="BD175" s="253">
        <v>150000</v>
      </c>
      <c r="BE175" s="253">
        <v>150000</v>
      </c>
      <c r="BF175" s="253">
        <v>135000</v>
      </c>
      <c r="BK175" s="121" t="s">
        <v>254</v>
      </c>
    </row>
    <row r="176" spans="53:63" x14ac:dyDescent="0.3">
      <c r="BA176" s="252">
        <v>169</v>
      </c>
      <c r="BB176" s="253">
        <v>145000</v>
      </c>
      <c r="BC176" s="253">
        <v>135000</v>
      </c>
      <c r="BD176" s="253">
        <v>150000</v>
      </c>
      <c r="BE176" s="253">
        <v>150000</v>
      </c>
      <c r="BF176" s="253">
        <v>135000</v>
      </c>
      <c r="BK176" s="121" t="s">
        <v>254</v>
      </c>
    </row>
    <row r="177" spans="53:63" x14ac:dyDescent="0.3">
      <c r="BA177" s="252">
        <v>170</v>
      </c>
      <c r="BB177" s="253">
        <v>145000</v>
      </c>
      <c r="BC177" s="253">
        <v>135000</v>
      </c>
      <c r="BD177" s="253">
        <v>150000</v>
      </c>
      <c r="BE177" s="253">
        <v>150000</v>
      </c>
      <c r="BF177" s="253">
        <v>135000</v>
      </c>
      <c r="BK177" s="121" t="s">
        <v>254</v>
      </c>
    </row>
    <row r="178" spans="53:63" x14ac:dyDescent="0.3">
      <c r="BA178" s="252">
        <v>171</v>
      </c>
      <c r="BB178" s="253">
        <v>145000</v>
      </c>
      <c r="BC178" s="253">
        <v>135000</v>
      </c>
      <c r="BD178" s="253">
        <v>150000</v>
      </c>
      <c r="BE178" s="253">
        <v>150000</v>
      </c>
      <c r="BF178" s="253">
        <v>135000</v>
      </c>
      <c r="BK178" s="121" t="s">
        <v>254</v>
      </c>
    </row>
    <row r="179" spans="53:63" x14ac:dyDescent="0.3">
      <c r="BA179" s="252">
        <v>172</v>
      </c>
      <c r="BB179" s="253">
        <v>145000</v>
      </c>
      <c r="BC179" s="253">
        <v>135000</v>
      </c>
      <c r="BD179" s="253">
        <v>150000</v>
      </c>
      <c r="BE179" s="253">
        <v>150000</v>
      </c>
      <c r="BF179" s="253">
        <v>135000</v>
      </c>
      <c r="BK179" s="121" t="s">
        <v>254</v>
      </c>
    </row>
    <row r="180" spans="53:63" x14ac:dyDescent="0.3">
      <c r="BA180" s="252">
        <v>173</v>
      </c>
      <c r="BB180" s="253">
        <v>145000</v>
      </c>
      <c r="BC180" s="253">
        <v>135000</v>
      </c>
      <c r="BD180" s="253">
        <v>150000</v>
      </c>
      <c r="BE180" s="253">
        <v>150000</v>
      </c>
      <c r="BF180" s="253">
        <v>135000</v>
      </c>
      <c r="BK180" s="121" t="s">
        <v>254</v>
      </c>
    </row>
    <row r="181" spans="53:63" x14ac:dyDescent="0.3">
      <c r="BA181" s="252">
        <v>174</v>
      </c>
      <c r="BB181" s="253">
        <v>145000</v>
      </c>
      <c r="BC181" s="253">
        <v>135000</v>
      </c>
      <c r="BD181" s="253">
        <v>150000</v>
      </c>
      <c r="BE181" s="253">
        <v>150000</v>
      </c>
      <c r="BF181" s="253">
        <v>135000</v>
      </c>
      <c r="BK181" s="121" t="s">
        <v>254</v>
      </c>
    </row>
    <row r="182" spans="53:63" x14ac:dyDescent="0.3">
      <c r="BA182" s="252">
        <v>175</v>
      </c>
      <c r="BB182" s="253">
        <v>145000</v>
      </c>
      <c r="BC182" s="253">
        <v>135000</v>
      </c>
      <c r="BD182" s="253">
        <v>150000</v>
      </c>
      <c r="BE182" s="253">
        <v>150000</v>
      </c>
      <c r="BF182" s="253">
        <v>135000</v>
      </c>
      <c r="BK182" s="121" t="s">
        <v>254</v>
      </c>
    </row>
    <row r="183" spans="53:63" x14ac:dyDescent="0.3">
      <c r="BA183" s="252">
        <v>176</v>
      </c>
      <c r="BB183" s="253">
        <v>145000</v>
      </c>
      <c r="BC183" s="253">
        <v>135000</v>
      </c>
      <c r="BD183" s="253">
        <v>150000</v>
      </c>
      <c r="BE183" s="253">
        <v>150000</v>
      </c>
      <c r="BF183" s="253">
        <v>135000</v>
      </c>
      <c r="BK183" s="121" t="s">
        <v>254</v>
      </c>
    </row>
    <row r="184" spans="53:63" x14ac:dyDescent="0.3">
      <c r="BA184" s="252">
        <v>177</v>
      </c>
      <c r="BB184" s="253">
        <v>145000</v>
      </c>
      <c r="BC184" s="253">
        <v>135000</v>
      </c>
      <c r="BD184" s="253">
        <v>150000</v>
      </c>
      <c r="BE184" s="253">
        <v>150000</v>
      </c>
      <c r="BF184" s="253">
        <v>135000</v>
      </c>
      <c r="BK184" s="121" t="s">
        <v>254</v>
      </c>
    </row>
    <row r="185" spans="53:63" x14ac:dyDescent="0.3">
      <c r="BA185" s="252">
        <v>178</v>
      </c>
      <c r="BB185" s="253">
        <v>145000</v>
      </c>
      <c r="BC185" s="253">
        <v>135000</v>
      </c>
      <c r="BD185" s="253">
        <v>150000</v>
      </c>
      <c r="BE185" s="253">
        <v>150000</v>
      </c>
      <c r="BF185" s="253">
        <v>135000</v>
      </c>
      <c r="BK185" s="121" t="s">
        <v>254</v>
      </c>
    </row>
    <row r="186" spans="53:63" x14ac:dyDescent="0.3">
      <c r="BA186" s="252">
        <v>179</v>
      </c>
      <c r="BB186" s="253">
        <v>145000</v>
      </c>
      <c r="BC186" s="253">
        <v>135000</v>
      </c>
      <c r="BD186" s="253">
        <v>150000</v>
      </c>
      <c r="BE186" s="253">
        <v>150000</v>
      </c>
      <c r="BF186" s="253">
        <v>135000</v>
      </c>
      <c r="BK186" s="121" t="s">
        <v>254</v>
      </c>
    </row>
    <row r="187" spans="53:63" x14ac:dyDescent="0.3">
      <c r="BA187" s="252">
        <v>180</v>
      </c>
      <c r="BB187" s="253">
        <v>145000</v>
      </c>
      <c r="BC187" s="253">
        <v>135000</v>
      </c>
      <c r="BD187" s="253">
        <v>150000</v>
      </c>
      <c r="BE187" s="253">
        <v>150000</v>
      </c>
      <c r="BF187" s="253">
        <v>135000</v>
      </c>
      <c r="BK187" s="121" t="s">
        <v>254</v>
      </c>
    </row>
    <row r="188" spans="53:63" x14ac:dyDescent="0.3">
      <c r="BA188" s="252">
        <v>181</v>
      </c>
      <c r="BB188" s="253">
        <v>140000</v>
      </c>
      <c r="BC188" s="253">
        <v>135000</v>
      </c>
      <c r="BD188" s="253">
        <v>150000</v>
      </c>
      <c r="BE188" s="253">
        <v>150000</v>
      </c>
      <c r="BF188" s="253">
        <v>135000</v>
      </c>
      <c r="BK188" s="121" t="s">
        <v>254</v>
      </c>
    </row>
    <row r="189" spans="53:63" x14ac:dyDescent="0.3">
      <c r="BA189" s="252">
        <v>182</v>
      </c>
      <c r="BB189" s="253">
        <v>140000</v>
      </c>
      <c r="BC189" s="253">
        <v>135000</v>
      </c>
      <c r="BD189" s="253">
        <v>150000</v>
      </c>
      <c r="BE189" s="253">
        <v>150000</v>
      </c>
      <c r="BF189" s="253">
        <v>135000</v>
      </c>
      <c r="BK189" s="121" t="s">
        <v>254</v>
      </c>
    </row>
    <row r="190" spans="53:63" x14ac:dyDescent="0.3">
      <c r="BA190" s="252">
        <v>183</v>
      </c>
      <c r="BB190" s="253">
        <v>140000</v>
      </c>
      <c r="BC190" s="253">
        <v>135000</v>
      </c>
      <c r="BD190" s="253">
        <v>150000</v>
      </c>
      <c r="BE190" s="253">
        <v>150000</v>
      </c>
      <c r="BF190" s="253">
        <v>135000</v>
      </c>
      <c r="BK190" s="121" t="s">
        <v>254</v>
      </c>
    </row>
    <row r="191" spans="53:63" x14ac:dyDescent="0.3">
      <c r="BA191" s="252">
        <v>184</v>
      </c>
      <c r="BB191" s="253">
        <v>140000</v>
      </c>
      <c r="BC191" s="253">
        <v>135000</v>
      </c>
      <c r="BD191" s="253">
        <v>150000</v>
      </c>
      <c r="BE191" s="253">
        <v>150000</v>
      </c>
      <c r="BF191" s="253">
        <v>135000</v>
      </c>
      <c r="BK191" s="121" t="s">
        <v>254</v>
      </c>
    </row>
    <row r="192" spans="53:63" x14ac:dyDescent="0.3">
      <c r="BA192" s="252">
        <v>185</v>
      </c>
      <c r="BB192" s="253">
        <v>140000</v>
      </c>
      <c r="BC192" s="253">
        <v>135000</v>
      </c>
      <c r="BD192" s="253">
        <v>150000</v>
      </c>
      <c r="BE192" s="253">
        <v>150000</v>
      </c>
      <c r="BF192" s="253">
        <v>135000</v>
      </c>
      <c r="BK192" s="121" t="s">
        <v>254</v>
      </c>
    </row>
    <row r="193" spans="53:63" x14ac:dyDescent="0.3">
      <c r="BA193" s="252">
        <v>186</v>
      </c>
      <c r="BB193" s="253">
        <v>140000</v>
      </c>
      <c r="BC193" s="253">
        <v>135000</v>
      </c>
      <c r="BD193" s="253">
        <v>150000</v>
      </c>
      <c r="BE193" s="253">
        <v>150000</v>
      </c>
      <c r="BF193" s="253">
        <v>135000</v>
      </c>
      <c r="BK193" s="121" t="s">
        <v>254</v>
      </c>
    </row>
    <row r="194" spans="53:63" x14ac:dyDescent="0.3">
      <c r="BA194" s="252">
        <v>187</v>
      </c>
      <c r="BB194" s="253">
        <v>140000</v>
      </c>
      <c r="BC194" s="253">
        <v>135000</v>
      </c>
      <c r="BD194" s="253">
        <v>150000</v>
      </c>
      <c r="BE194" s="253">
        <v>150000</v>
      </c>
      <c r="BF194" s="253">
        <v>135000</v>
      </c>
      <c r="BK194" s="121" t="s">
        <v>254</v>
      </c>
    </row>
    <row r="195" spans="53:63" x14ac:dyDescent="0.3">
      <c r="BA195" s="252">
        <v>188</v>
      </c>
      <c r="BB195" s="253">
        <v>140000</v>
      </c>
      <c r="BC195" s="253">
        <v>135000</v>
      </c>
      <c r="BD195" s="253">
        <v>150000</v>
      </c>
      <c r="BE195" s="253">
        <v>150000</v>
      </c>
      <c r="BF195" s="253">
        <v>135000</v>
      </c>
      <c r="BK195" s="121" t="s">
        <v>254</v>
      </c>
    </row>
    <row r="196" spans="53:63" x14ac:dyDescent="0.3">
      <c r="BA196" s="252">
        <v>189</v>
      </c>
      <c r="BB196" s="253">
        <v>140000</v>
      </c>
      <c r="BC196" s="253">
        <v>135000</v>
      </c>
      <c r="BD196" s="253">
        <v>150000</v>
      </c>
      <c r="BE196" s="253">
        <v>150000</v>
      </c>
      <c r="BF196" s="253">
        <v>135000</v>
      </c>
      <c r="BK196" s="121" t="s">
        <v>254</v>
      </c>
    </row>
    <row r="197" spans="53:63" x14ac:dyDescent="0.3">
      <c r="BA197" s="252">
        <v>190</v>
      </c>
      <c r="BB197" s="253">
        <v>140000</v>
      </c>
      <c r="BC197" s="253">
        <v>135000</v>
      </c>
      <c r="BD197" s="253">
        <v>150000</v>
      </c>
      <c r="BE197" s="253">
        <v>150000</v>
      </c>
      <c r="BF197" s="253">
        <v>135000</v>
      </c>
      <c r="BK197" s="121" t="s">
        <v>254</v>
      </c>
    </row>
    <row r="198" spans="53:63" x14ac:dyDescent="0.3">
      <c r="BA198" s="252">
        <v>191</v>
      </c>
      <c r="BB198" s="253">
        <v>140000</v>
      </c>
      <c r="BC198" s="253">
        <v>135000</v>
      </c>
      <c r="BD198" s="253">
        <v>150000</v>
      </c>
      <c r="BE198" s="253">
        <v>150000</v>
      </c>
      <c r="BF198" s="253">
        <v>135000</v>
      </c>
      <c r="BK198" s="121" t="s">
        <v>254</v>
      </c>
    </row>
    <row r="199" spans="53:63" x14ac:dyDescent="0.3">
      <c r="BA199" s="252">
        <v>192</v>
      </c>
      <c r="BB199" s="253">
        <v>140000</v>
      </c>
      <c r="BC199" s="253">
        <v>135000</v>
      </c>
      <c r="BD199" s="253">
        <v>150000</v>
      </c>
      <c r="BE199" s="253">
        <v>150000</v>
      </c>
      <c r="BF199" s="253">
        <v>135000</v>
      </c>
      <c r="BK199" s="121" t="s">
        <v>254</v>
      </c>
    </row>
    <row r="200" spans="53:63" x14ac:dyDescent="0.3">
      <c r="BA200" s="252">
        <v>193</v>
      </c>
      <c r="BB200" s="253">
        <v>140000</v>
      </c>
      <c r="BC200" s="253">
        <v>135000</v>
      </c>
      <c r="BD200" s="253">
        <v>150000</v>
      </c>
      <c r="BE200" s="253">
        <v>150000</v>
      </c>
      <c r="BF200" s="253">
        <v>135000</v>
      </c>
      <c r="BK200" s="121" t="s">
        <v>254</v>
      </c>
    </row>
    <row r="201" spans="53:63" x14ac:dyDescent="0.3">
      <c r="BA201" s="252">
        <v>194</v>
      </c>
      <c r="BB201" s="253">
        <v>140000</v>
      </c>
      <c r="BC201" s="253">
        <v>135000</v>
      </c>
      <c r="BD201" s="253">
        <v>150000</v>
      </c>
      <c r="BE201" s="253">
        <v>150000</v>
      </c>
      <c r="BF201" s="253">
        <v>135000</v>
      </c>
      <c r="BK201" s="121" t="s">
        <v>254</v>
      </c>
    </row>
    <row r="202" spans="53:63" x14ac:dyDescent="0.3">
      <c r="BA202" s="252">
        <v>195</v>
      </c>
      <c r="BB202" s="253">
        <v>140000</v>
      </c>
      <c r="BC202" s="253">
        <v>135000</v>
      </c>
      <c r="BD202" s="253">
        <v>150000</v>
      </c>
      <c r="BE202" s="253">
        <v>150000</v>
      </c>
      <c r="BF202" s="253">
        <v>135000</v>
      </c>
      <c r="BK202" s="121" t="s">
        <v>254</v>
      </c>
    </row>
    <row r="203" spans="53:63" x14ac:dyDescent="0.3">
      <c r="BA203" s="252">
        <v>196</v>
      </c>
      <c r="BB203" s="253">
        <v>140000</v>
      </c>
      <c r="BC203" s="253">
        <v>135000</v>
      </c>
      <c r="BD203" s="253">
        <v>150000</v>
      </c>
      <c r="BE203" s="253">
        <v>150000</v>
      </c>
      <c r="BF203" s="253">
        <v>135000</v>
      </c>
      <c r="BK203" s="121" t="s">
        <v>254</v>
      </c>
    </row>
    <row r="204" spans="53:63" x14ac:dyDescent="0.3">
      <c r="BA204" s="252">
        <v>197</v>
      </c>
      <c r="BB204" s="253">
        <v>140000</v>
      </c>
      <c r="BC204" s="253">
        <v>135000</v>
      </c>
      <c r="BD204" s="253">
        <v>150000</v>
      </c>
      <c r="BE204" s="253">
        <v>150000</v>
      </c>
      <c r="BF204" s="253">
        <v>135000</v>
      </c>
      <c r="BK204" s="121" t="s">
        <v>254</v>
      </c>
    </row>
    <row r="205" spans="53:63" x14ac:dyDescent="0.3">
      <c r="BA205" s="252">
        <v>198</v>
      </c>
      <c r="BB205" s="253">
        <v>140000</v>
      </c>
      <c r="BC205" s="253">
        <v>135000</v>
      </c>
      <c r="BD205" s="253">
        <v>150000</v>
      </c>
      <c r="BE205" s="253">
        <v>150000</v>
      </c>
      <c r="BF205" s="253">
        <v>135000</v>
      </c>
      <c r="BK205" s="121" t="s">
        <v>254</v>
      </c>
    </row>
    <row r="206" spans="53:63" x14ac:dyDescent="0.3">
      <c r="BA206" s="252">
        <v>199</v>
      </c>
      <c r="BB206" s="253">
        <v>140000</v>
      </c>
      <c r="BC206" s="253">
        <v>135000</v>
      </c>
      <c r="BD206" s="253">
        <v>150000</v>
      </c>
      <c r="BE206" s="253">
        <v>150000</v>
      </c>
      <c r="BF206" s="253">
        <v>135000</v>
      </c>
      <c r="BK206" s="121" t="s">
        <v>254</v>
      </c>
    </row>
    <row r="207" spans="53:63" x14ac:dyDescent="0.3">
      <c r="BA207" s="252">
        <v>200</v>
      </c>
      <c r="BB207" s="253">
        <v>140000</v>
      </c>
      <c r="BC207" s="253">
        <v>126000</v>
      </c>
      <c r="BD207" s="253">
        <v>140000</v>
      </c>
      <c r="BE207" s="253">
        <v>150000</v>
      </c>
      <c r="BF207" s="253">
        <v>126000</v>
      </c>
      <c r="BK207" s="121" t="s">
        <v>254</v>
      </c>
    </row>
    <row r="208" spans="53:63" x14ac:dyDescent="0.3">
      <c r="BA208" s="252">
        <v>201</v>
      </c>
      <c r="BB208" s="253">
        <v>135000</v>
      </c>
      <c r="BC208" s="253">
        <v>126000</v>
      </c>
      <c r="BD208" s="253">
        <v>140000</v>
      </c>
      <c r="BE208" s="253">
        <v>130000</v>
      </c>
      <c r="BF208" s="253">
        <v>126000</v>
      </c>
      <c r="BK208" s="121" t="s">
        <v>257</v>
      </c>
    </row>
    <row r="209" spans="53:63" x14ac:dyDescent="0.3">
      <c r="BA209" s="252">
        <v>202</v>
      </c>
      <c r="BB209" s="253">
        <v>135000</v>
      </c>
      <c r="BC209" s="253">
        <v>126000</v>
      </c>
      <c r="BD209" s="253">
        <v>140000</v>
      </c>
      <c r="BE209" s="253">
        <v>130000</v>
      </c>
      <c r="BF209" s="253">
        <v>126000</v>
      </c>
      <c r="BK209" s="121" t="s">
        <v>257</v>
      </c>
    </row>
    <row r="210" spans="53:63" x14ac:dyDescent="0.3">
      <c r="BA210" s="252">
        <v>203</v>
      </c>
      <c r="BB210" s="253">
        <v>135000</v>
      </c>
      <c r="BC210" s="253">
        <v>126000</v>
      </c>
      <c r="BD210" s="253">
        <v>140000</v>
      </c>
      <c r="BE210" s="253">
        <v>130000</v>
      </c>
      <c r="BF210" s="253">
        <v>126000</v>
      </c>
      <c r="BK210" s="121" t="s">
        <v>257</v>
      </c>
    </row>
    <row r="211" spans="53:63" x14ac:dyDescent="0.3">
      <c r="BA211" s="252">
        <v>204</v>
      </c>
      <c r="BB211" s="253">
        <v>135000</v>
      </c>
      <c r="BC211" s="253">
        <v>126000</v>
      </c>
      <c r="BD211" s="253">
        <v>140000</v>
      </c>
      <c r="BE211" s="253">
        <v>130000</v>
      </c>
      <c r="BF211" s="253">
        <v>126000</v>
      </c>
      <c r="BK211" s="121" t="s">
        <v>257</v>
      </c>
    </row>
    <row r="212" spans="53:63" x14ac:dyDescent="0.3">
      <c r="BA212" s="252">
        <v>205</v>
      </c>
      <c r="BB212" s="253">
        <v>135000</v>
      </c>
      <c r="BC212" s="253">
        <v>126000</v>
      </c>
      <c r="BD212" s="253">
        <v>140000</v>
      </c>
      <c r="BE212" s="253">
        <v>130000</v>
      </c>
      <c r="BF212" s="253">
        <v>126000</v>
      </c>
      <c r="BK212" s="121" t="s">
        <v>257</v>
      </c>
    </row>
    <row r="213" spans="53:63" x14ac:dyDescent="0.3">
      <c r="BA213" s="252">
        <v>206</v>
      </c>
      <c r="BB213" s="253">
        <v>135000</v>
      </c>
      <c r="BC213" s="253">
        <v>126000</v>
      </c>
      <c r="BD213" s="253">
        <v>140000</v>
      </c>
      <c r="BE213" s="253">
        <v>130000</v>
      </c>
      <c r="BF213" s="253">
        <v>126000</v>
      </c>
      <c r="BK213" s="121" t="s">
        <v>257</v>
      </c>
    </row>
    <row r="214" spans="53:63" x14ac:dyDescent="0.3">
      <c r="BA214" s="252">
        <v>207</v>
      </c>
      <c r="BB214" s="253">
        <v>135000</v>
      </c>
      <c r="BC214" s="253">
        <v>126000</v>
      </c>
      <c r="BD214" s="253">
        <v>140000</v>
      </c>
      <c r="BE214" s="253">
        <v>130000</v>
      </c>
      <c r="BF214" s="253">
        <v>126000</v>
      </c>
      <c r="BK214" s="121" t="s">
        <v>257</v>
      </c>
    </row>
    <row r="215" spans="53:63" x14ac:dyDescent="0.3">
      <c r="BA215" s="252">
        <v>208</v>
      </c>
      <c r="BB215" s="253">
        <v>135000</v>
      </c>
      <c r="BC215" s="253">
        <v>126000</v>
      </c>
      <c r="BD215" s="253">
        <v>140000</v>
      </c>
      <c r="BE215" s="253">
        <v>130000</v>
      </c>
      <c r="BF215" s="253">
        <v>126000</v>
      </c>
      <c r="BK215" s="121" t="s">
        <v>257</v>
      </c>
    </row>
    <row r="216" spans="53:63" x14ac:dyDescent="0.3">
      <c r="BA216" s="252">
        <v>209</v>
      </c>
      <c r="BB216" s="253">
        <v>135000</v>
      </c>
      <c r="BC216" s="253">
        <v>126000</v>
      </c>
      <c r="BD216" s="253">
        <v>140000</v>
      </c>
      <c r="BE216" s="253">
        <v>130000</v>
      </c>
      <c r="BF216" s="253">
        <v>126000</v>
      </c>
      <c r="BK216" s="121" t="s">
        <v>257</v>
      </c>
    </row>
    <row r="217" spans="53:63" x14ac:dyDescent="0.3">
      <c r="BA217" s="252">
        <v>210</v>
      </c>
      <c r="BB217" s="253">
        <v>135000</v>
      </c>
      <c r="BC217" s="253">
        <v>126000</v>
      </c>
      <c r="BD217" s="253">
        <v>140000</v>
      </c>
      <c r="BE217" s="253">
        <v>130000</v>
      </c>
      <c r="BF217" s="253">
        <v>126000</v>
      </c>
      <c r="BK217" s="121" t="s">
        <v>257</v>
      </c>
    </row>
    <row r="218" spans="53:63" x14ac:dyDescent="0.3">
      <c r="BA218" s="252">
        <v>211</v>
      </c>
      <c r="BB218" s="253">
        <v>135000</v>
      </c>
      <c r="BC218" s="253">
        <v>126000</v>
      </c>
      <c r="BD218" s="253">
        <v>140000</v>
      </c>
      <c r="BE218" s="253">
        <v>130000</v>
      </c>
      <c r="BF218" s="253">
        <v>126000</v>
      </c>
      <c r="BK218" s="121" t="s">
        <v>257</v>
      </c>
    </row>
    <row r="219" spans="53:63" x14ac:dyDescent="0.3">
      <c r="BA219" s="252">
        <v>212</v>
      </c>
      <c r="BB219" s="253">
        <v>135000</v>
      </c>
      <c r="BC219" s="253">
        <v>126000</v>
      </c>
      <c r="BD219" s="253">
        <v>140000</v>
      </c>
      <c r="BE219" s="253">
        <v>130000</v>
      </c>
      <c r="BF219" s="253">
        <v>126000</v>
      </c>
      <c r="BK219" s="121" t="s">
        <v>257</v>
      </c>
    </row>
    <row r="220" spans="53:63" x14ac:dyDescent="0.3">
      <c r="BA220" s="252">
        <v>213</v>
      </c>
      <c r="BB220" s="253">
        <v>135000</v>
      </c>
      <c r="BC220" s="253">
        <v>126000</v>
      </c>
      <c r="BD220" s="253">
        <v>140000</v>
      </c>
      <c r="BE220" s="253">
        <v>130000</v>
      </c>
      <c r="BF220" s="253">
        <v>126000</v>
      </c>
      <c r="BK220" s="121" t="s">
        <v>257</v>
      </c>
    </row>
    <row r="221" spans="53:63" x14ac:dyDescent="0.3">
      <c r="BA221" s="252">
        <v>214</v>
      </c>
      <c r="BB221" s="253">
        <v>135000</v>
      </c>
      <c r="BC221" s="253">
        <v>126000</v>
      </c>
      <c r="BD221" s="253">
        <v>140000</v>
      </c>
      <c r="BE221" s="253">
        <v>130000</v>
      </c>
      <c r="BF221" s="253">
        <v>126000</v>
      </c>
      <c r="BK221" s="121" t="s">
        <v>257</v>
      </c>
    </row>
    <row r="222" spans="53:63" x14ac:dyDescent="0.3">
      <c r="BA222" s="252">
        <v>215</v>
      </c>
      <c r="BB222" s="253">
        <v>135000</v>
      </c>
      <c r="BC222" s="253">
        <v>126000</v>
      </c>
      <c r="BD222" s="253">
        <v>140000</v>
      </c>
      <c r="BE222" s="253">
        <v>130000</v>
      </c>
      <c r="BF222" s="253">
        <v>126000</v>
      </c>
      <c r="BK222" s="121" t="s">
        <v>257</v>
      </c>
    </row>
    <row r="223" spans="53:63" x14ac:dyDescent="0.3">
      <c r="BA223" s="252">
        <v>216</v>
      </c>
      <c r="BB223" s="253">
        <v>135000</v>
      </c>
      <c r="BC223" s="253">
        <v>126000</v>
      </c>
      <c r="BD223" s="253">
        <v>140000</v>
      </c>
      <c r="BE223" s="253">
        <v>130000</v>
      </c>
      <c r="BF223" s="253">
        <v>126000</v>
      </c>
      <c r="BK223" s="121" t="s">
        <v>257</v>
      </c>
    </row>
    <row r="224" spans="53:63" x14ac:dyDescent="0.3">
      <c r="BA224" s="252">
        <v>217</v>
      </c>
      <c r="BB224" s="253">
        <v>135000</v>
      </c>
      <c r="BC224" s="253">
        <v>126000</v>
      </c>
      <c r="BD224" s="253">
        <v>140000</v>
      </c>
      <c r="BE224" s="253">
        <v>130000</v>
      </c>
      <c r="BF224" s="253">
        <v>126000</v>
      </c>
      <c r="BK224" s="121" t="s">
        <v>257</v>
      </c>
    </row>
    <row r="225" spans="53:63" x14ac:dyDescent="0.3">
      <c r="BA225" s="252">
        <v>218</v>
      </c>
      <c r="BB225" s="253">
        <v>135000</v>
      </c>
      <c r="BC225" s="253">
        <v>126000</v>
      </c>
      <c r="BD225" s="253">
        <v>140000</v>
      </c>
      <c r="BE225" s="253">
        <v>130000</v>
      </c>
      <c r="BF225" s="253">
        <v>126000</v>
      </c>
      <c r="BK225" s="121" t="s">
        <v>257</v>
      </c>
    </row>
    <row r="226" spans="53:63" x14ac:dyDescent="0.3">
      <c r="BA226" s="252">
        <v>219</v>
      </c>
      <c r="BB226" s="253">
        <v>135000</v>
      </c>
      <c r="BC226" s="253">
        <v>126000</v>
      </c>
      <c r="BD226" s="253">
        <v>140000</v>
      </c>
      <c r="BE226" s="253">
        <v>130000</v>
      </c>
      <c r="BF226" s="253">
        <v>126000</v>
      </c>
      <c r="BK226" s="121" t="s">
        <v>257</v>
      </c>
    </row>
    <row r="227" spans="53:63" x14ac:dyDescent="0.3">
      <c r="BA227" s="252">
        <v>220</v>
      </c>
      <c r="BB227" s="253">
        <v>135000</v>
      </c>
      <c r="BC227" s="253">
        <v>126000</v>
      </c>
      <c r="BD227" s="253">
        <v>140000</v>
      </c>
      <c r="BE227" s="253">
        <v>130000</v>
      </c>
      <c r="BF227" s="253">
        <v>126000</v>
      </c>
      <c r="BK227" s="121" t="s">
        <v>257</v>
      </c>
    </row>
    <row r="228" spans="53:63" x14ac:dyDescent="0.3">
      <c r="BA228" s="252">
        <v>221</v>
      </c>
      <c r="BB228" s="253">
        <v>135000</v>
      </c>
      <c r="BC228" s="253">
        <v>126000</v>
      </c>
      <c r="BD228" s="253">
        <v>140000</v>
      </c>
      <c r="BE228" s="253">
        <v>130000</v>
      </c>
      <c r="BF228" s="253">
        <v>126000</v>
      </c>
      <c r="BK228" s="121" t="s">
        <v>257</v>
      </c>
    </row>
    <row r="229" spans="53:63" x14ac:dyDescent="0.3">
      <c r="BA229" s="252">
        <v>222</v>
      </c>
      <c r="BB229" s="253">
        <v>135000</v>
      </c>
      <c r="BC229" s="253">
        <v>126000</v>
      </c>
      <c r="BD229" s="253">
        <v>140000</v>
      </c>
      <c r="BE229" s="253">
        <v>130000</v>
      </c>
      <c r="BF229" s="253">
        <v>126000</v>
      </c>
      <c r="BK229" s="121" t="s">
        <v>257</v>
      </c>
    </row>
    <row r="230" spans="53:63" x14ac:dyDescent="0.3">
      <c r="BA230" s="252">
        <v>223</v>
      </c>
      <c r="BB230" s="253">
        <v>135000</v>
      </c>
      <c r="BC230" s="253">
        <v>126000</v>
      </c>
      <c r="BD230" s="253">
        <v>140000</v>
      </c>
      <c r="BE230" s="253">
        <v>130000</v>
      </c>
      <c r="BF230" s="253">
        <v>126000</v>
      </c>
      <c r="BK230" s="121" t="s">
        <v>257</v>
      </c>
    </row>
    <row r="231" spans="53:63" x14ac:dyDescent="0.3">
      <c r="BA231" s="252">
        <v>224</v>
      </c>
      <c r="BB231" s="253">
        <v>135000</v>
      </c>
      <c r="BC231" s="253">
        <v>126000</v>
      </c>
      <c r="BD231" s="253">
        <v>140000</v>
      </c>
      <c r="BE231" s="253">
        <v>130000</v>
      </c>
      <c r="BF231" s="253">
        <v>126000</v>
      </c>
      <c r="BK231" s="121" t="s">
        <v>257</v>
      </c>
    </row>
    <row r="232" spans="53:63" x14ac:dyDescent="0.3">
      <c r="BA232" s="252">
        <v>225</v>
      </c>
      <c r="BB232" s="253">
        <v>135000</v>
      </c>
      <c r="BC232" s="253">
        <v>126000</v>
      </c>
      <c r="BD232" s="253">
        <v>140000</v>
      </c>
      <c r="BE232" s="253">
        <v>130000</v>
      </c>
      <c r="BF232" s="253">
        <v>126000</v>
      </c>
      <c r="BK232" s="121" t="s">
        <v>257</v>
      </c>
    </row>
    <row r="233" spans="53:63" x14ac:dyDescent="0.3">
      <c r="BA233" s="252">
        <v>226</v>
      </c>
      <c r="BB233" s="253">
        <v>135000</v>
      </c>
      <c r="BC233" s="253">
        <v>126000</v>
      </c>
      <c r="BD233" s="253">
        <v>140000</v>
      </c>
      <c r="BE233" s="253">
        <v>130000</v>
      </c>
      <c r="BF233" s="253">
        <v>126000</v>
      </c>
      <c r="BK233" s="121" t="s">
        <v>257</v>
      </c>
    </row>
    <row r="234" spans="53:63" x14ac:dyDescent="0.3">
      <c r="BA234" s="252">
        <v>227</v>
      </c>
      <c r="BB234" s="253">
        <v>135000</v>
      </c>
      <c r="BC234" s="253">
        <v>126000</v>
      </c>
      <c r="BD234" s="253">
        <v>140000</v>
      </c>
      <c r="BE234" s="253">
        <v>130000</v>
      </c>
      <c r="BF234" s="253">
        <v>126000</v>
      </c>
      <c r="BK234" s="121" t="s">
        <v>257</v>
      </c>
    </row>
    <row r="235" spans="53:63" x14ac:dyDescent="0.3">
      <c r="BA235" s="252">
        <v>228</v>
      </c>
      <c r="BB235" s="253">
        <v>135000</v>
      </c>
      <c r="BC235" s="253">
        <v>126000</v>
      </c>
      <c r="BD235" s="253">
        <v>140000</v>
      </c>
      <c r="BE235" s="253">
        <v>130000</v>
      </c>
      <c r="BF235" s="253">
        <v>126000</v>
      </c>
      <c r="BK235" s="121" t="s">
        <v>257</v>
      </c>
    </row>
    <row r="236" spans="53:63" x14ac:dyDescent="0.3">
      <c r="BA236" s="252">
        <v>229</v>
      </c>
      <c r="BB236" s="253">
        <v>135000</v>
      </c>
      <c r="BC236" s="253">
        <v>126000</v>
      </c>
      <c r="BD236" s="253">
        <v>140000</v>
      </c>
      <c r="BE236" s="253">
        <v>130000</v>
      </c>
      <c r="BF236" s="253">
        <v>126000</v>
      </c>
      <c r="BK236" s="121" t="s">
        <v>257</v>
      </c>
    </row>
    <row r="237" spans="53:63" x14ac:dyDescent="0.3">
      <c r="BA237" s="252">
        <v>230</v>
      </c>
      <c r="BB237" s="253">
        <v>135000</v>
      </c>
      <c r="BC237" s="253">
        <v>126000</v>
      </c>
      <c r="BD237" s="253">
        <v>140000</v>
      </c>
      <c r="BE237" s="253">
        <v>130000</v>
      </c>
      <c r="BF237" s="253">
        <v>126000</v>
      </c>
      <c r="BK237" s="121" t="s">
        <v>257</v>
      </c>
    </row>
    <row r="238" spans="53:63" x14ac:dyDescent="0.3">
      <c r="BA238" s="252">
        <v>231</v>
      </c>
      <c r="BB238" s="253">
        <v>135000</v>
      </c>
      <c r="BC238" s="253">
        <v>126000</v>
      </c>
      <c r="BD238" s="253">
        <v>140000</v>
      </c>
      <c r="BE238" s="253">
        <v>130000</v>
      </c>
      <c r="BF238" s="253">
        <v>126000</v>
      </c>
      <c r="BK238" s="121" t="s">
        <v>257</v>
      </c>
    </row>
    <row r="239" spans="53:63" x14ac:dyDescent="0.3">
      <c r="BA239" s="252">
        <v>232</v>
      </c>
      <c r="BB239" s="253">
        <v>135000</v>
      </c>
      <c r="BC239" s="253">
        <v>126000</v>
      </c>
      <c r="BD239" s="253">
        <v>140000</v>
      </c>
      <c r="BE239" s="253">
        <v>130000</v>
      </c>
      <c r="BF239" s="253">
        <v>126000</v>
      </c>
      <c r="BK239" s="121" t="s">
        <v>257</v>
      </c>
    </row>
    <row r="240" spans="53:63" x14ac:dyDescent="0.3">
      <c r="BA240" s="252">
        <v>233</v>
      </c>
      <c r="BB240" s="253">
        <v>135000</v>
      </c>
      <c r="BC240" s="253">
        <v>126000</v>
      </c>
      <c r="BD240" s="253">
        <v>140000</v>
      </c>
      <c r="BE240" s="253">
        <v>130000</v>
      </c>
      <c r="BF240" s="253">
        <v>126000</v>
      </c>
      <c r="BK240" s="121" t="s">
        <v>257</v>
      </c>
    </row>
    <row r="241" spans="53:63" x14ac:dyDescent="0.3">
      <c r="BA241" s="252">
        <v>234</v>
      </c>
      <c r="BB241" s="253">
        <v>135000</v>
      </c>
      <c r="BC241" s="253">
        <v>126000</v>
      </c>
      <c r="BD241" s="253">
        <v>140000</v>
      </c>
      <c r="BE241" s="253">
        <v>130000</v>
      </c>
      <c r="BF241" s="253">
        <v>126000</v>
      </c>
      <c r="BK241" s="121" t="s">
        <v>257</v>
      </c>
    </row>
    <row r="242" spans="53:63" x14ac:dyDescent="0.3">
      <c r="BA242" s="252">
        <v>235</v>
      </c>
      <c r="BB242" s="253">
        <v>135000</v>
      </c>
      <c r="BC242" s="253">
        <v>126000</v>
      </c>
      <c r="BD242" s="253">
        <v>140000</v>
      </c>
      <c r="BE242" s="253">
        <v>130000</v>
      </c>
      <c r="BF242" s="253">
        <v>126000</v>
      </c>
      <c r="BK242" s="121" t="s">
        <v>257</v>
      </c>
    </row>
    <row r="243" spans="53:63" x14ac:dyDescent="0.3">
      <c r="BA243" s="252">
        <v>236</v>
      </c>
      <c r="BB243" s="253">
        <v>135000</v>
      </c>
      <c r="BC243" s="253">
        <v>126000</v>
      </c>
      <c r="BD243" s="253">
        <v>140000</v>
      </c>
      <c r="BE243" s="253">
        <v>130000</v>
      </c>
      <c r="BF243" s="253">
        <v>126000</v>
      </c>
      <c r="BK243" s="121" t="s">
        <v>257</v>
      </c>
    </row>
    <row r="244" spans="53:63" x14ac:dyDescent="0.3">
      <c r="BA244" s="252">
        <v>237</v>
      </c>
      <c r="BB244" s="253">
        <v>135000</v>
      </c>
      <c r="BC244" s="253">
        <v>126000</v>
      </c>
      <c r="BD244" s="253">
        <v>140000</v>
      </c>
      <c r="BE244" s="253">
        <v>130000</v>
      </c>
      <c r="BF244" s="253">
        <v>126000</v>
      </c>
      <c r="BK244" s="121" t="s">
        <v>257</v>
      </c>
    </row>
    <row r="245" spans="53:63" x14ac:dyDescent="0.3">
      <c r="BA245" s="252">
        <v>238</v>
      </c>
      <c r="BB245" s="253">
        <v>135000</v>
      </c>
      <c r="BC245" s="253">
        <v>126000</v>
      </c>
      <c r="BD245" s="253">
        <v>140000</v>
      </c>
      <c r="BE245" s="253">
        <v>130000</v>
      </c>
      <c r="BF245" s="253">
        <v>126000</v>
      </c>
      <c r="BK245" s="121" t="s">
        <v>257</v>
      </c>
    </row>
    <row r="246" spans="53:63" x14ac:dyDescent="0.3">
      <c r="BA246" s="252">
        <v>239</v>
      </c>
      <c r="BB246" s="253">
        <v>135000</v>
      </c>
      <c r="BC246" s="253">
        <v>126000</v>
      </c>
      <c r="BD246" s="253">
        <v>140000</v>
      </c>
      <c r="BE246" s="253">
        <v>130000</v>
      </c>
      <c r="BF246" s="253">
        <v>126000</v>
      </c>
      <c r="BK246" s="121" t="s">
        <v>257</v>
      </c>
    </row>
    <row r="247" spans="53:63" x14ac:dyDescent="0.3">
      <c r="BA247" s="252">
        <v>240</v>
      </c>
      <c r="BB247" s="253">
        <v>135000</v>
      </c>
      <c r="BC247" s="253">
        <v>126000</v>
      </c>
      <c r="BD247" s="253">
        <v>140000</v>
      </c>
      <c r="BE247" s="253">
        <v>130000</v>
      </c>
      <c r="BF247" s="253">
        <v>126000</v>
      </c>
      <c r="BK247" s="121" t="s">
        <v>257</v>
      </c>
    </row>
    <row r="248" spans="53:63" x14ac:dyDescent="0.3">
      <c r="BA248" s="252">
        <v>241</v>
      </c>
      <c r="BB248" s="253">
        <v>135000</v>
      </c>
      <c r="BC248" s="253">
        <v>126000</v>
      </c>
      <c r="BD248" s="253">
        <v>140000</v>
      </c>
      <c r="BE248" s="253">
        <v>130000</v>
      </c>
      <c r="BF248" s="253">
        <v>126000</v>
      </c>
      <c r="BK248" s="121" t="s">
        <v>257</v>
      </c>
    </row>
    <row r="249" spans="53:63" x14ac:dyDescent="0.3">
      <c r="BA249" s="252">
        <v>242</v>
      </c>
      <c r="BB249" s="253">
        <v>135000</v>
      </c>
      <c r="BC249" s="253">
        <v>126000</v>
      </c>
      <c r="BD249" s="253">
        <v>140000</v>
      </c>
      <c r="BE249" s="253">
        <v>130000</v>
      </c>
      <c r="BF249" s="253">
        <v>126000</v>
      </c>
      <c r="BK249" s="121" t="s">
        <v>257</v>
      </c>
    </row>
    <row r="250" spans="53:63" x14ac:dyDescent="0.3">
      <c r="BA250" s="252">
        <v>243</v>
      </c>
      <c r="BB250" s="253">
        <v>135000</v>
      </c>
      <c r="BC250" s="253">
        <v>126000</v>
      </c>
      <c r="BD250" s="253">
        <v>140000</v>
      </c>
      <c r="BE250" s="253">
        <v>130000</v>
      </c>
      <c r="BF250" s="253">
        <v>126000</v>
      </c>
      <c r="BK250" s="121" t="s">
        <v>257</v>
      </c>
    </row>
    <row r="251" spans="53:63" x14ac:dyDescent="0.3">
      <c r="BA251" s="252">
        <v>244</v>
      </c>
      <c r="BB251" s="253">
        <v>135000</v>
      </c>
      <c r="BC251" s="253">
        <v>126000</v>
      </c>
      <c r="BD251" s="253">
        <v>140000</v>
      </c>
      <c r="BE251" s="253">
        <v>130000</v>
      </c>
      <c r="BF251" s="253">
        <v>126000</v>
      </c>
      <c r="BK251" s="121" t="s">
        <v>257</v>
      </c>
    </row>
    <row r="252" spans="53:63" x14ac:dyDescent="0.3">
      <c r="BA252" s="252">
        <v>245</v>
      </c>
      <c r="BB252" s="253">
        <v>135000</v>
      </c>
      <c r="BC252" s="253">
        <v>126000</v>
      </c>
      <c r="BD252" s="253">
        <v>140000</v>
      </c>
      <c r="BE252" s="253">
        <v>130000</v>
      </c>
      <c r="BF252" s="253">
        <v>126000</v>
      </c>
      <c r="BK252" s="121" t="s">
        <v>257</v>
      </c>
    </row>
    <row r="253" spans="53:63" x14ac:dyDescent="0.3">
      <c r="BA253" s="252">
        <v>246</v>
      </c>
      <c r="BB253" s="253">
        <v>135000</v>
      </c>
      <c r="BC253" s="253">
        <v>126000</v>
      </c>
      <c r="BD253" s="253">
        <v>140000</v>
      </c>
      <c r="BE253" s="253">
        <v>130000</v>
      </c>
      <c r="BF253" s="253">
        <v>126000</v>
      </c>
      <c r="BK253" s="121" t="s">
        <v>257</v>
      </c>
    </row>
    <row r="254" spans="53:63" x14ac:dyDescent="0.3">
      <c r="BA254" s="252">
        <v>247</v>
      </c>
      <c r="BB254" s="253">
        <v>135000</v>
      </c>
      <c r="BC254" s="253">
        <v>126000</v>
      </c>
      <c r="BD254" s="253">
        <v>140000</v>
      </c>
      <c r="BE254" s="253">
        <v>130000</v>
      </c>
      <c r="BF254" s="253">
        <v>126000</v>
      </c>
      <c r="BK254" s="121" t="s">
        <v>257</v>
      </c>
    </row>
    <row r="255" spans="53:63" x14ac:dyDescent="0.3">
      <c r="BA255" s="252">
        <v>248</v>
      </c>
      <c r="BB255" s="253">
        <v>135000</v>
      </c>
      <c r="BC255" s="253">
        <v>126000</v>
      </c>
      <c r="BD255" s="253">
        <v>140000</v>
      </c>
      <c r="BE255" s="253">
        <v>130000</v>
      </c>
      <c r="BF255" s="253">
        <v>126000</v>
      </c>
      <c r="BK255" s="121" t="s">
        <v>257</v>
      </c>
    </row>
    <row r="256" spans="53:63" x14ac:dyDescent="0.3">
      <c r="BA256" s="252">
        <v>249</v>
      </c>
      <c r="BB256" s="253">
        <v>135000</v>
      </c>
      <c r="BC256" s="253">
        <v>126000</v>
      </c>
      <c r="BD256" s="253">
        <v>140000</v>
      </c>
      <c r="BE256" s="253">
        <v>130000</v>
      </c>
      <c r="BF256" s="253">
        <v>126000</v>
      </c>
      <c r="BK256" s="121" t="s">
        <v>257</v>
      </c>
    </row>
    <row r="257" spans="53:63" x14ac:dyDescent="0.3">
      <c r="BA257" s="252">
        <v>250</v>
      </c>
      <c r="BB257" s="253">
        <v>135000</v>
      </c>
      <c r="BC257" s="253">
        <v>117000</v>
      </c>
      <c r="BD257" s="253">
        <v>130000</v>
      </c>
      <c r="BE257" s="253">
        <v>130000</v>
      </c>
      <c r="BF257" s="253">
        <v>117000</v>
      </c>
      <c r="BK257" s="121" t="s">
        <v>257</v>
      </c>
    </row>
    <row r="258" spans="53:63" x14ac:dyDescent="0.3">
      <c r="BA258" s="252">
        <v>251</v>
      </c>
      <c r="BB258" s="253">
        <v>135000</v>
      </c>
      <c r="BC258" s="253">
        <v>117000</v>
      </c>
      <c r="BD258" s="253">
        <v>130000</v>
      </c>
      <c r="BE258" s="253">
        <v>130000</v>
      </c>
      <c r="BF258" s="253">
        <v>117000</v>
      </c>
      <c r="BK258" s="121" t="s">
        <v>257</v>
      </c>
    </row>
    <row r="259" spans="53:63" x14ac:dyDescent="0.3">
      <c r="BA259" s="252">
        <v>252</v>
      </c>
      <c r="BB259" s="253">
        <v>135000</v>
      </c>
      <c r="BC259" s="253">
        <v>117000</v>
      </c>
      <c r="BD259" s="253">
        <v>130000</v>
      </c>
      <c r="BE259" s="253">
        <v>130000</v>
      </c>
      <c r="BF259" s="253">
        <v>117000</v>
      </c>
      <c r="BK259" s="121" t="s">
        <v>257</v>
      </c>
    </row>
    <row r="260" spans="53:63" x14ac:dyDescent="0.3">
      <c r="BA260" s="252">
        <v>253</v>
      </c>
      <c r="BB260" s="253">
        <v>135000</v>
      </c>
      <c r="BC260" s="253">
        <v>117000</v>
      </c>
      <c r="BD260" s="253">
        <v>130000</v>
      </c>
      <c r="BE260" s="253">
        <v>130000</v>
      </c>
      <c r="BF260" s="253">
        <v>117000</v>
      </c>
      <c r="BK260" s="121" t="s">
        <v>257</v>
      </c>
    </row>
    <row r="261" spans="53:63" x14ac:dyDescent="0.3">
      <c r="BA261" s="252">
        <v>254</v>
      </c>
      <c r="BB261" s="253">
        <v>135000</v>
      </c>
      <c r="BC261" s="253">
        <v>117000</v>
      </c>
      <c r="BD261" s="253">
        <v>130000</v>
      </c>
      <c r="BE261" s="253">
        <v>130000</v>
      </c>
      <c r="BF261" s="253">
        <v>117000</v>
      </c>
      <c r="BK261" s="121" t="s">
        <v>257</v>
      </c>
    </row>
    <row r="262" spans="53:63" x14ac:dyDescent="0.3">
      <c r="BA262" s="252">
        <v>255</v>
      </c>
      <c r="BB262" s="253">
        <v>135000</v>
      </c>
      <c r="BC262" s="253">
        <v>117000</v>
      </c>
      <c r="BD262" s="253">
        <v>130000</v>
      </c>
      <c r="BE262" s="253">
        <v>130000</v>
      </c>
      <c r="BF262" s="253">
        <v>117000</v>
      </c>
      <c r="BK262" s="121" t="s">
        <v>257</v>
      </c>
    </row>
    <row r="263" spans="53:63" x14ac:dyDescent="0.3">
      <c r="BA263" s="252">
        <v>256</v>
      </c>
      <c r="BB263" s="253">
        <v>135000</v>
      </c>
      <c r="BC263" s="253">
        <v>117000</v>
      </c>
      <c r="BD263" s="253">
        <v>130000</v>
      </c>
      <c r="BE263" s="253">
        <v>130000</v>
      </c>
      <c r="BF263" s="253">
        <v>117000</v>
      </c>
      <c r="BK263" s="121" t="s">
        <v>257</v>
      </c>
    </row>
    <row r="264" spans="53:63" x14ac:dyDescent="0.3">
      <c r="BA264" s="252">
        <v>257</v>
      </c>
      <c r="BB264" s="253">
        <v>135000</v>
      </c>
      <c r="BC264" s="253">
        <v>117000</v>
      </c>
      <c r="BD264" s="253">
        <v>130000</v>
      </c>
      <c r="BE264" s="253">
        <v>130000</v>
      </c>
      <c r="BF264" s="253">
        <v>117000</v>
      </c>
      <c r="BK264" s="121" t="s">
        <v>257</v>
      </c>
    </row>
    <row r="265" spans="53:63" x14ac:dyDescent="0.3">
      <c r="BA265" s="252">
        <v>258</v>
      </c>
      <c r="BB265" s="253">
        <v>135000</v>
      </c>
      <c r="BC265" s="253">
        <v>117000</v>
      </c>
      <c r="BD265" s="253">
        <v>130000</v>
      </c>
      <c r="BE265" s="253">
        <v>130000</v>
      </c>
      <c r="BF265" s="253">
        <v>117000</v>
      </c>
      <c r="BK265" s="121" t="s">
        <v>257</v>
      </c>
    </row>
    <row r="266" spans="53:63" x14ac:dyDescent="0.3">
      <c r="BA266" s="252">
        <v>259</v>
      </c>
      <c r="BB266" s="253">
        <v>135000</v>
      </c>
      <c r="BC266" s="253">
        <v>117000</v>
      </c>
      <c r="BD266" s="253">
        <v>130000</v>
      </c>
      <c r="BE266" s="253">
        <v>130000</v>
      </c>
      <c r="BF266" s="253">
        <v>117000</v>
      </c>
      <c r="BK266" s="121" t="s">
        <v>257</v>
      </c>
    </row>
    <row r="267" spans="53:63" x14ac:dyDescent="0.3">
      <c r="BA267" s="252">
        <v>260</v>
      </c>
      <c r="BB267" s="253">
        <v>135000</v>
      </c>
      <c r="BC267" s="253">
        <v>117000</v>
      </c>
      <c r="BD267" s="253">
        <v>130000</v>
      </c>
      <c r="BE267" s="253">
        <v>130000</v>
      </c>
      <c r="BF267" s="253">
        <v>117000</v>
      </c>
      <c r="BK267" s="121" t="s">
        <v>257</v>
      </c>
    </row>
    <row r="268" spans="53:63" x14ac:dyDescent="0.3">
      <c r="BA268" s="252">
        <v>261</v>
      </c>
      <c r="BB268" s="253">
        <v>135000</v>
      </c>
      <c r="BC268" s="253">
        <v>117000</v>
      </c>
      <c r="BD268" s="253">
        <v>130000</v>
      </c>
      <c r="BE268" s="253">
        <v>130000</v>
      </c>
      <c r="BF268" s="253">
        <v>117000</v>
      </c>
      <c r="BK268" s="121" t="s">
        <v>257</v>
      </c>
    </row>
    <row r="269" spans="53:63" x14ac:dyDescent="0.3">
      <c r="BA269" s="252">
        <v>262</v>
      </c>
      <c r="BB269" s="253">
        <v>135000</v>
      </c>
      <c r="BC269" s="253">
        <v>117000</v>
      </c>
      <c r="BD269" s="253">
        <v>130000</v>
      </c>
      <c r="BE269" s="253">
        <v>130000</v>
      </c>
      <c r="BF269" s="253">
        <v>117000</v>
      </c>
      <c r="BK269" s="121" t="s">
        <v>257</v>
      </c>
    </row>
    <row r="270" spans="53:63" x14ac:dyDescent="0.3">
      <c r="BA270" s="252">
        <v>263</v>
      </c>
      <c r="BB270" s="253">
        <v>135000</v>
      </c>
      <c r="BC270" s="253">
        <v>117000</v>
      </c>
      <c r="BD270" s="253">
        <v>130000</v>
      </c>
      <c r="BE270" s="253">
        <v>130000</v>
      </c>
      <c r="BF270" s="253">
        <v>117000</v>
      </c>
      <c r="BK270" s="121" t="s">
        <v>257</v>
      </c>
    </row>
    <row r="271" spans="53:63" x14ac:dyDescent="0.3">
      <c r="BA271" s="252">
        <v>264</v>
      </c>
      <c r="BB271" s="253">
        <v>135000</v>
      </c>
      <c r="BC271" s="253">
        <v>117000</v>
      </c>
      <c r="BD271" s="253">
        <v>130000</v>
      </c>
      <c r="BE271" s="253">
        <v>130000</v>
      </c>
      <c r="BF271" s="253">
        <v>117000</v>
      </c>
      <c r="BK271" s="121" t="s">
        <v>257</v>
      </c>
    </row>
    <row r="272" spans="53:63" x14ac:dyDescent="0.3">
      <c r="BA272" s="252">
        <v>265</v>
      </c>
      <c r="BB272" s="253">
        <v>135000</v>
      </c>
      <c r="BC272" s="253">
        <v>117000</v>
      </c>
      <c r="BD272" s="253">
        <v>130000</v>
      </c>
      <c r="BE272" s="253">
        <v>130000</v>
      </c>
      <c r="BF272" s="253">
        <v>117000</v>
      </c>
      <c r="BK272" s="121" t="s">
        <v>257</v>
      </c>
    </row>
    <row r="273" spans="53:63" x14ac:dyDescent="0.3">
      <c r="BA273" s="252">
        <v>266</v>
      </c>
      <c r="BB273" s="253">
        <v>135000</v>
      </c>
      <c r="BC273" s="253">
        <v>117000</v>
      </c>
      <c r="BD273" s="253">
        <v>130000</v>
      </c>
      <c r="BE273" s="253">
        <v>130000</v>
      </c>
      <c r="BF273" s="253">
        <v>117000</v>
      </c>
      <c r="BK273" s="121" t="s">
        <v>257</v>
      </c>
    </row>
    <row r="274" spans="53:63" x14ac:dyDescent="0.3">
      <c r="BA274" s="252">
        <v>267</v>
      </c>
      <c r="BB274" s="253">
        <v>135000</v>
      </c>
      <c r="BC274" s="253">
        <v>117000</v>
      </c>
      <c r="BD274" s="253">
        <v>130000</v>
      </c>
      <c r="BE274" s="253">
        <v>130000</v>
      </c>
      <c r="BF274" s="253">
        <v>117000</v>
      </c>
      <c r="BK274" s="121" t="s">
        <v>257</v>
      </c>
    </row>
    <row r="275" spans="53:63" x14ac:dyDescent="0.3">
      <c r="BA275" s="252">
        <v>268</v>
      </c>
      <c r="BB275" s="253">
        <v>135000</v>
      </c>
      <c r="BC275" s="253">
        <v>117000</v>
      </c>
      <c r="BD275" s="253">
        <v>130000</v>
      </c>
      <c r="BE275" s="253">
        <v>130000</v>
      </c>
      <c r="BF275" s="253">
        <v>117000</v>
      </c>
      <c r="BK275" s="121" t="s">
        <v>257</v>
      </c>
    </row>
    <row r="276" spans="53:63" x14ac:dyDescent="0.3">
      <c r="BA276" s="252">
        <v>269</v>
      </c>
      <c r="BB276" s="253">
        <v>135000</v>
      </c>
      <c r="BC276" s="253">
        <v>117000</v>
      </c>
      <c r="BD276" s="253">
        <v>130000</v>
      </c>
      <c r="BE276" s="253">
        <v>130000</v>
      </c>
      <c r="BF276" s="253">
        <v>117000</v>
      </c>
      <c r="BK276" s="121" t="s">
        <v>257</v>
      </c>
    </row>
    <row r="277" spans="53:63" x14ac:dyDescent="0.3">
      <c r="BA277" s="252">
        <v>270</v>
      </c>
      <c r="BB277" s="253">
        <v>135000</v>
      </c>
      <c r="BC277" s="253">
        <v>117000</v>
      </c>
      <c r="BD277" s="253">
        <v>130000</v>
      </c>
      <c r="BE277" s="253">
        <v>130000</v>
      </c>
      <c r="BF277" s="253">
        <v>117000</v>
      </c>
      <c r="BK277" s="121" t="s">
        <v>257</v>
      </c>
    </row>
    <row r="278" spans="53:63" x14ac:dyDescent="0.3">
      <c r="BA278" s="252">
        <v>271</v>
      </c>
      <c r="BB278" s="253">
        <v>135000</v>
      </c>
      <c r="BC278" s="253">
        <v>117000</v>
      </c>
      <c r="BD278" s="253">
        <v>130000</v>
      </c>
      <c r="BE278" s="253">
        <v>130000</v>
      </c>
      <c r="BF278" s="253">
        <v>117000</v>
      </c>
      <c r="BK278" s="121" t="s">
        <v>257</v>
      </c>
    </row>
    <row r="279" spans="53:63" x14ac:dyDescent="0.3">
      <c r="BA279" s="252">
        <v>272</v>
      </c>
      <c r="BB279" s="253">
        <v>135000</v>
      </c>
      <c r="BC279" s="253">
        <v>117000</v>
      </c>
      <c r="BD279" s="253">
        <v>130000</v>
      </c>
      <c r="BE279" s="253">
        <v>130000</v>
      </c>
      <c r="BF279" s="253">
        <v>117000</v>
      </c>
      <c r="BK279" s="121" t="s">
        <v>257</v>
      </c>
    </row>
    <row r="280" spans="53:63" x14ac:dyDescent="0.3">
      <c r="BA280" s="252">
        <v>273</v>
      </c>
      <c r="BB280" s="253">
        <v>135000</v>
      </c>
      <c r="BC280" s="253">
        <v>117000</v>
      </c>
      <c r="BD280" s="253">
        <v>130000</v>
      </c>
      <c r="BE280" s="253">
        <v>130000</v>
      </c>
      <c r="BF280" s="253">
        <v>117000</v>
      </c>
      <c r="BK280" s="121" t="s">
        <v>257</v>
      </c>
    </row>
    <row r="281" spans="53:63" x14ac:dyDescent="0.3">
      <c r="BA281" s="252">
        <v>274</v>
      </c>
      <c r="BB281" s="253">
        <v>135000</v>
      </c>
      <c r="BC281" s="253">
        <v>117000</v>
      </c>
      <c r="BD281" s="253">
        <v>130000</v>
      </c>
      <c r="BE281" s="253">
        <v>130000</v>
      </c>
      <c r="BF281" s="253">
        <v>117000</v>
      </c>
      <c r="BK281" s="121" t="s">
        <v>257</v>
      </c>
    </row>
    <row r="282" spans="53:63" x14ac:dyDescent="0.3">
      <c r="BA282" s="252">
        <v>275</v>
      </c>
      <c r="BB282" s="253">
        <v>135000</v>
      </c>
      <c r="BC282" s="253">
        <v>117000</v>
      </c>
      <c r="BD282" s="253">
        <v>130000</v>
      </c>
      <c r="BE282" s="253">
        <v>130000</v>
      </c>
      <c r="BF282" s="253">
        <v>117000</v>
      </c>
      <c r="BK282" s="121" t="s">
        <v>257</v>
      </c>
    </row>
    <row r="283" spans="53:63" x14ac:dyDescent="0.3">
      <c r="BA283" s="252">
        <v>276</v>
      </c>
      <c r="BB283" s="253">
        <v>135000</v>
      </c>
      <c r="BC283" s="253">
        <v>117000</v>
      </c>
      <c r="BD283" s="253">
        <v>130000</v>
      </c>
      <c r="BE283" s="253">
        <v>130000</v>
      </c>
      <c r="BF283" s="253">
        <v>117000</v>
      </c>
      <c r="BK283" s="121" t="s">
        <v>257</v>
      </c>
    </row>
    <row r="284" spans="53:63" x14ac:dyDescent="0.3">
      <c r="BA284" s="252">
        <v>277</v>
      </c>
      <c r="BB284" s="253">
        <v>135000</v>
      </c>
      <c r="BC284" s="253">
        <v>117000</v>
      </c>
      <c r="BD284" s="253">
        <v>130000</v>
      </c>
      <c r="BE284" s="253">
        <v>130000</v>
      </c>
      <c r="BF284" s="253">
        <v>117000</v>
      </c>
      <c r="BK284" s="121" t="s">
        <v>257</v>
      </c>
    </row>
    <row r="285" spans="53:63" x14ac:dyDescent="0.3">
      <c r="BA285" s="252">
        <v>278</v>
      </c>
      <c r="BB285" s="253">
        <v>135000</v>
      </c>
      <c r="BC285" s="253">
        <v>117000</v>
      </c>
      <c r="BD285" s="253">
        <v>130000</v>
      </c>
      <c r="BE285" s="253">
        <v>130000</v>
      </c>
      <c r="BF285" s="253">
        <v>117000</v>
      </c>
      <c r="BK285" s="121" t="s">
        <v>257</v>
      </c>
    </row>
    <row r="286" spans="53:63" x14ac:dyDescent="0.3">
      <c r="BA286" s="252">
        <v>279</v>
      </c>
      <c r="BB286" s="253">
        <v>135000</v>
      </c>
      <c r="BC286" s="253">
        <v>117000</v>
      </c>
      <c r="BD286" s="253">
        <v>130000</v>
      </c>
      <c r="BE286" s="253">
        <v>130000</v>
      </c>
      <c r="BF286" s="253">
        <v>117000</v>
      </c>
      <c r="BK286" s="121" t="s">
        <v>257</v>
      </c>
    </row>
    <row r="287" spans="53:63" x14ac:dyDescent="0.3">
      <c r="BA287" s="252">
        <v>280</v>
      </c>
      <c r="BB287" s="253">
        <v>135000</v>
      </c>
      <c r="BC287" s="253">
        <v>117000</v>
      </c>
      <c r="BD287" s="253">
        <v>130000</v>
      </c>
      <c r="BE287" s="253">
        <v>130000</v>
      </c>
      <c r="BF287" s="253">
        <v>117000</v>
      </c>
      <c r="BK287" s="121" t="s">
        <v>257</v>
      </c>
    </row>
    <row r="288" spans="53:63" x14ac:dyDescent="0.3">
      <c r="BA288" s="252">
        <v>281</v>
      </c>
      <c r="BB288" s="253">
        <v>135000</v>
      </c>
      <c r="BC288" s="253">
        <v>117000</v>
      </c>
      <c r="BD288" s="253">
        <v>130000</v>
      </c>
      <c r="BE288" s="253">
        <v>130000</v>
      </c>
      <c r="BF288" s="253">
        <v>117000</v>
      </c>
      <c r="BK288" s="121" t="s">
        <v>257</v>
      </c>
    </row>
    <row r="289" spans="53:63" x14ac:dyDescent="0.3">
      <c r="BA289" s="252">
        <v>282</v>
      </c>
      <c r="BB289" s="253">
        <v>135000</v>
      </c>
      <c r="BC289" s="253">
        <v>117000</v>
      </c>
      <c r="BD289" s="253">
        <v>130000</v>
      </c>
      <c r="BE289" s="253">
        <v>130000</v>
      </c>
      <c r="BF289" s="253">
        <v>117000</v>
      </c>
      <c r="BK289" s="121" t="s">
        <v>257</v>
      </c>
    </row>
    <row r="290" spans="53:63" x14ac:dyDescent="0.3">
      <c r="BA290" s="252">
        <v>283</v>
      </c>
      <c r="BB290" s="253">
        <v>135000</v>
      </c>
      <c r="BC290" s="253">
        <v>117000</v>
      </c>
      <c r="BD290" s="253">
        <v>130000</v>
      </c>
      <c r="BE290" s="253">
        <v>130000</v>
      </c>
      <c r="BF290" s="253">
        <v>117000</v>
      </c>
      <c r="BK290" s="121" t="s">
        <v>257</v>
      </c>
    </row>
    <row r="291" spans="53:63" x14ac:dyDescent="0.3">
      <c r="BA291" s="252">
        <v>284</v>
      </c>
      <c r="BB291" s="253">
        <v>135000</v>
      </c>
      <c r="BC291" s="253">
        <v>117000</v>
      </c>
      <c r="BD291" s="253">
        <v>130000</v>
      </c>
      <c r="BE291" s="253">
        <v>130000</v>
      </c>
      <c r="BF291" s="253">
        <v>117000</v>
      </c>
      <c r="BK291" s="121" t="s">
        <v>257</v>
      </c>
    </row>
    <row r="292" spans="53:63" x14ac:dyDescent="0.3">
      <c r="BA292" s="252">
        <v>285</v>
      </c>
      <c r="BB292" s="253">
        <v>135000</v>
      </c>
      <c r="BC292" s="253">
        <v>117000</v>
      </c>
      <c r="BD292" s="253">
        <v>130000</v>
      </c>
      <c r="BE292" s="253">
        <v>130000</v>
      </c>
      <c r="BF292" s="253">
        <v>117000</v>
      </c>
      <c r="BK292" s="121" t="s">
        <v>257</v>
      </c>
    </row>
    <row r="293" spans="53:63" x14ac:dyDescent="0.3">
      <c r="BA293" s="252">
        <v>286</v>
      </c>
      <c r="BB293" s="253">
        <v>135000</v>
      </c>
      <c r="BC293" s="253">
        <v>117000</v>
      </c>
      <c r="BD293" s="253">
        <v>130000</v>
      </c>
      <c r="BE293" s="253">
        <v>130000</v>
      </c>
      <c r="BF293" s="253">
        <v>117000</v>
      </c>
      <c r="BK293" s="121" t="s">
        <v>257</v>
      </c>
    </row>
    <row r="294" spans="53:63" x14ac:dyDescent="0.3">
      <c r="BA294" s="252">
        <v>287</v>
      </c>
      <c r="BB294" s="253">
        <v>135000</v>
      </c>
      <c r="BC294" s="253">
        <v>117000</v>
      </c>
      <c r="BD294" s="253">
        <v>130000</v>
      </c>
      <c r="BE294" s="253">
        <v>130000</v>
      </c>
      <c r="BF294" s="253">
        <v>117000</v>
      </c>
      <c r="BK294" s="121" t="s">
        <v>257</v>
      </c>
    </row>
    <row r="295" spans="53:63" x14ac:dyDescent="0.3">
      <c r="BA295" s="252">
        <v>288</v>
      </c>
      <c r="BB295" s="253">
        <v>135000</v>
      </c>
      <c r="BC295" s="253">
        <v>117000</v>
      </c>
      <c r="BD295" s="253">
        <v>130000</v>
      </c>
      <c r="BE295" s="253">
        <v>130000</v>
      </c>
      <c r="BF295" s="253">
        <v>117000</v>
      </c>
      <c r="BK295" s="121" t="s">
        <v>257</v>
      </c>
    </row>
    <row r="296" spans="53:63" x14ac:dyDescent="0.3">
      <c r="BA296" s="252">
        <v>289</v>
      </c>
      <c r="BB296" s="253">
        <v>135000</v>
      </c>
      <c r="BC296" s="253">
        <v>117000</v>
      </c>
      <c r="BD296" s="253">
        <v>130000</v>
      </c>
      <c r="BE296" s="253">
        <v>130000</v>
      </c>
      <c r="BF296" s="253">
        <v>117000</v>
      </c>
      <c r="BK296" s="121" t="s">
        <v>257</v>
      </c>
    </row>
    <row r="297" spans="53:63" x14ac:dyDescent="0.3">
      <c r="BA297" s="252">
        <v>290</v>
      </c>
      <c r="BB297" s="253">
        <v>135000</v>
      </c>
      <c r="BC297" s="253">
        <v>117000</v>
      </c>
      <c r="BD297" s="253">
        <v>130000</v>
      </c>
      <c r="BE297" s="253">
        <v>130000</v>
      </c>
      <c r="BF297" s="253">
        <v>117000</v>
      </c>
      <c r="BK297" s="121" t="s">
        <v>257</v>
      </c>
    </row>
    <row r="298" spans="53:63" x14ac:dyDescent="0.3">
      <c r="BA298" s="252">
        <v>291</v>
      </c>
      <c r="BB298" s="253">
        <v>135000</v>
      </c>
      <c r="BC298" s="253">
        <v>117000</v>
      </c>
      <c r="BD298" s="253">
        <v>130000</v>
      </c>
      <c r="BE298" s="253">
        <v>130000</v>
      </c>
      <c r="BF298" s="253">
        <v>117000</v>
      </c>
      <c r="BK298" s="121" t="s">
        <v>257</v>
      </c>
    </row>
    <row r="299" spans="53:63" x14ac:dyDescent="0.3">
      <c r="BA299" s="252">
        <v>292</v>
      </c>
      <c r="BB299" s="253">
        <v>135000</v>
      </c>
      <c r="BC299" s="253">
        <v>117000</v>
      </c>
      <c r="BD299" s="253">
        <v>130000</v>
      </c>
      <c r="BE299" s="253">
        <v>130000</v>
      </c>
      <c r="BF299" s="253">
        <v>117000</v>
      </c>
      <c r="BK299" s="121" t="s">
        <v>257</v>
      </c>
    </row>
    <row r="300" spans="53:63" x14ac:dyDescent="0.3">
      <c r="BA300" s="252">
        <v>293</v>
      </c>
      <c r="BB300" s="253">
        <v>135000</v>
      </c>
      <c r="BC300" s="253">
        <v>117000</v>
      </c>
      <c r="BD300" s="253">
        <v>130000</v>
      </c>
      <c r="BE300" s="253">
        <v>130000</v>
      </c>
      <c r="BF300" s="253">
        <v>117000</v>
      </c>
      <c r="BK300" s="121" t="s">
        <v>257</v>
      </c>
    </row>
    <row r="301" spans="53:63" x14ac:dyDescent="0.3">
      <c r="BA301" s="252">
        <v>294</v>
      </c>
      <c r="BB301" s="253">
        <v>135000</v>
      </c>
      <c r="BC301" s="253">
        <v>117000</v>
      </c>
      <c r="BD301" s="253">
        <v>130000</v>
      </c>
      <c r="BE301" s="253">
        <v>130000</v>
      </c>
      <c r="BF301" s="253">
        <v>117000</v>
      </c>
      <c r="BK301" s="121" t="s">
        <v>257</v>
      </c>
    </row>
    <row r="302" spans="53:63" x14ac:dyDescent="0.3">
      <c r="BA302" s="252">
        <v>295</v>
      </c>
      <c r="BB302" s="253">
        <v>135000</v>
      </c>
      <c r="BC302" s="253">
        <v>117000</v>
      </c>
      <c r="BD302" s="253">
        <v>130000</v>
      </c>
      <c r="BE302" s="253">
        <v>130000</v>
      </c>
      <c r="BF302" s="253">
        <v>117000</v>
      </c>
      <c r="BK302" s="121" t="s">
        <v>257</v>
      </c>
    </row>
    <row r="303" spans="53:63" x14ac:dyDescent="0.3">
      <c r="BA303" s="252">
        <v>296</v>
      </c>
      <c r="BB303" s="253">
        <v>135000</v>
      </c>
      <c r="BC303" s="253">
        <v>117000</v>
      </c>
      <c r="BD303" s="253">
        <v>130000</v>
      </c>
      <c r="BE303" s="253">
        <v>130000</v>
      </c>
      <c r="BF303" s="253">
        <v>117000</v>
      </c>
      <c r="BK303" s="121" t="s">
        <v>257</v>
      </c>
    </row>
    <row r="304" spans="53:63" x14ac:dyDescent="0.3">
      <c r="BA304" s="252">
        <v>297</v>
      </c>
      <c r="BB304" s="253">
        <v>135000</v>
      </c>
      <c r="BC304" s="253">
        <v>117000</v>
      </c>
      <c r="BD304" s="253">
        <v>130000</v>
      </c>
      <c r="BE304" s="253">
        <v>130000</v>
      </c>
      <c r="BF304" s="253">
        <v>117000</v>
      </c>
      <c r="BK304" s="121" t="s">
        <v>257</v>
      </c>
    </row>
    <row r="305" spans="53:63" x14ac:dyDescent="0.3">
      <c r="BA305" s="252">
        <v>298</v>
      </c>
      <c r="BB305" s="253">
        <v>135000</v>
      </c>
      <c r="BC305" s="253">
        <v>117000</v>
      </c>
      <c r="BD305" s="253">
        <v>130000</v>
      </c>
      <c r="BE305" s="253">
        <v>130000</v>
      </c>
      <c r="BF305" s="253">
        <v>117000</v>
      </c>
      <c r="BK305" s="121" t="s">
        <v>257</v>
      </c>
    </row>
    <row r="306" spans="53:63" x14ac:dyDescent="0.3">
      <c r="BA306" s="252">
        <v>299</v>
      </c>
      <c r="BB306" s="253">
        <v>135000</v>
      </c>
      <c r="BC306" s="253">
        <v>117000</v>
      </c>
      <c r="BD306" s="253">
        <v>130000</v>
      </c>
      <c r="BE306" s="253">
        <v>130000</v>
      </c>
      <c r="BF306" s="253">
        <v>117000</v>
      </c>
      <c r="BK306" s="121" t="s">
        <v>257</v>
      </c>
    </row>
    <row r="307" spans="53:63" x14ac:dyDescent="0.3">
      <c r="BA307" s="252">
        <v>300</v>
      </c>
      <c r="BB307" s="253">
        <v>135000</v>
      </c>
      <c r="BC307" s="253">
        <v>112500</v>
      </c>
      <c r="BD307" s="253">
        <v>125000</v>
      </c>
      <c r="BE307" s="253">
        <v>130000</v>
      </c>
      <c r="BF307" s="253">
        <v>112500</v>
      </c>
      <c r="BK307" s="121" t="s">
        <v>257</v>
      </c>
    </row>
    <row r="308" spans="53:63" x14ac:dyDescent="0.3">
      <c r="BA308" s="252">
        <v>301</v>
      </c>
      <c r="BB308" s="253">
        <v>135000</v>
      </c>
      <c r="BC308" s="253">
        <v>112500</v>
      </c>
      <c r="BD308" s="253">
        <v>125000</v>
      </c>
      <c r="BE308" s="253">
        <v>85000</v>
      </c>
      <c r="BF308" s="253">
        <v>112500</v>
      </c>
      <c r="BK308" s="121" t="s">
        <v>257</v>
      </c>
    </row>
    <row r="309" spans="53:63" x14ac:dyDescent="0.3">
      <c r="BA309" s="252">
        <v>302</v>
      </c>
      <c r="BB309" s="253">
        <v>135000</v>
      </c>
      <c r="BC309" s="253">
        <v>112500</v>
      </c>
      <c r="BD309" s="253">
        <v>125000</v>
      </c>
      <c r="BE309" s="253">
        <v>85000</v>
      </c>
      <c r="BF309" s="253">
        <v>112500</v>
      </c>
      <c r="BK309" s="121" t="s">
        <v>257</v>
      </c>
    </row>
    <row r="310" spans="53:63" x14ac:dyDescent="0.3">
      <c r="BA310" s="252">
        <v>303</v>
      </c>
      <c r="BB310" s="253">
        <v>135000</v>
      </c>
      <c r="BC310" s="253">
        <v>112500</v>
      </c>
      <c r="BD310" s="253">
        <v>125000</v>
      </c>
      <c r="BE310" s="253">
        <v>85000</v>
      </c>
      <c r="BF310" s="253">
        <v>112500</v>
      </c>
      <c r="BK310" s="121" t="s">
        <v>257</v>
      </c>
    </row>
    <row r="311" spans="53:63" x14ac:dyDescent="0.3">
      <c r="BA311" s="252">
        <v>304</v>
      </c>
      <c r="BB311" s="253">
        <v>135000</v>
      </c>
      <c r="BC311" s="253">
        <v>112500</v>
      </c>
      <c r="BD311" s="253">
        <v>125000</v>
      </c>
      <c r="BE311" s="253">
        <v>85000</v>
      </c>
      <c r="BF311" s="253">
        <v>112500</v>
      </c>
      <c r="BK311" s="121" t="s">
        <v>257</v>
      </c>
    </row>
    <row r="312" spans="53:63" x14ac:dyDescent="0.3">
      <c r="BA312" s="252">
        <v>305</v>
      </c>
      <c r="BB312" s="253">
        <v>135000</v>
      </c>
      <c r="BC312" s="253">
        <v>112500</v>
      </c>
      <c r="BD312" s="253">
        <v>125000</v>
      </c>
      <c r="BE312" s="253">
        <v>85000</v>
      </c>
      <c r="BF312" s="253">
        <v>112500</v>
      </c>
      <c r="BK312" s="121" t="s">
        <v>257</v>
      </c>
    </row>
    <row r="313" spans="53:63" x14ac:dyDescent="0.3">
      <c r="BA313" s="252">
        <v>306</v>
      </c>
      <c r="BB313" s="253">
        <v>135000</v>
      </c>
      <c r="BC313" s="253">
        <v>112500</v>
      </c>
      <c r="BD313" s="253">
        <v>125000</v>
      </c>
      <c r="BE313" s="253">
        <v>85000</v>
      </c>
      <c r="BF313" s="253">
        <v>112500</v>
      </c>
      <c r="BK313" s="121" t="s">
        <v>257</v>
      </c>
    </row>
    <row r="314" spans="53:63" x14ac:dyDescent="0.3">
      <c r="BA314" s="252">
        <v>307</v>
      </c>
      <c r="BB314" s="253">
        <v>135000</v>
      </c>
      <c r="BC314" s="253">
        <v>112500</v>
      </c>
      <c r="BD314" s="253">
        <v>125000</v>
      </c>
      <c r="BE314" s="253">
        <v>85000</v>
      </c>
      <c r="BF314" s="253">
        <v>112500</v>
      </c>
      <c r="BK314" s="121" t="s">
        <v>257</v>
      </c>
    </row>
    <row r="315" spans="53:63" x14ac:dyDescent="0.3">
      <c r="BA315" s="252">
        <v>308</v>
      </c>
      <c r="BB315" s="253">
        <v>135000</v>
      </c>
      <c r="BC315" s="253">
        <v>112500</v>
      </c>
      <c r="BD315" s="253">
        <v>125000</v>
      </c>
      <c r="BE315" s="253">
        <v>85000</v>
      </c>
      <c r="BF315" s="253">
        <v>112500</v>
      </c>
      <c r="BK315" s="121" t="s">
        <v>257</v>
      </c>
    </row>
    <row r="316" spans="53:63" x14ac:dyDescent="0.3">
      <c r="BA316" s="252">
        <v>309</v>
      </c>
      <c r="BB316" s="253">
        <v>135000</v>
      </c>
      <c r="BC316" s="253">
        <v>112500</v>
      </c>
      <c r="BD316" s="253">
        <v>125000</v>
      </c>
      <c r="BE316" s="253">
        <v>85000</v>
      </c>
      <c r="BF316" s="253">
        <v>112500</v>
      </c>
      <c r="BK316" s="121" t="s">
        <v>257</v>
      </c>
    </row>
    <row r="317" spans="53:63" x14ac:dyDescent="0.3">
      <c r="BA317" s="252">
        <v>310</v>
      </c>
      <c r="BB317" s="253">
        <v>135000</v>
      </c>
      <c r="BC317" s="253">
        <v>112500</v>
      </c>
      <c r="BD317" s="253">
        <v>125000</v>
      </c>
      <c r="BE317" s="253">
        <v>85000</v>
      </c>
      <c r="BF317" s="253">
        <v>112500</v>
      </c>
      <c r="BK317" s="121" t="s">
        <v>257</v>
      </c>
    </row>
    <row r="318" spans="53:63" x14ac:dyDescent="0.3">
      <c r="BA318" s="252">
        <v>311</v>
      </c>
      <c r="BB318" s="253">
        <v>135000</v>
      </c>
      <c r="BC318" s="253">
        <v>112500</v>
      </c>
      <c r="BD318" s="253">
        <v>125000</v>
      </c>
      <c r="BE318" s="253">
        <v>85000</v>
      </c>
      <c r="BF318" s="253">
        <v>112500</v>
      </c>
      <c r="BK318" s="121" t="s">
        <v>257</v>
      </c>
    </row>
    <row r="319" spans="53:63" x14ac:dyDescent="0.3">
      <c r="BA319" s="252">
        <v>312</v>
      </c>
      <c r="BB319" s="253">
        <v>135000</v>
      </c>
      <c r="BC319" s="253">
        <v>112500</v>
      </c>
      <c r="BD319" s="253">
        <v>125000</v>
      </c>
      <c r="BE319" s="253">
        <v>85000</v>
      </c>
      <c r="BF319" s="253">
        <v>112500</v>
      </c>
      <c r="BK319" s="121" t="s">
        <v>257</v>
      </c>
    </row>
    <row r="320" spans="53:63" x14ac:dyDescent="0.3">
      <c r="BA320" s="252">
        <v>313</v>
      </c>
      <c r="BB320" s="253">
        <v>135000</v>
      </c>
      <c r="BC320" s="253">
        <v>112500</v>
      </c>
      <c r="BD320" s="253">
        <v>125000</v>
      </c>
      <c r="BE320" s="253">
        <v>85000</v>
      </c>
      <c r="BF320" s="253">
        <v>112500</v>
      </c>
      <c r="BK320" s="121" t="s">
        <v>257</v>
      </c>
    </row>
    <row r="321" spans="53:63" x14ac:dyDescent="0.3">
      <c r="BA321" s="252">
        <v>314</v>
      </c>
      <c r="BB321" s="253">
        <v>135000</v>
      </c>
      <c r="BC321" s="253">
        <v>112500</v>
      </c>
      <c r="BD321" s="253">
        <v>125000</v>
      </c>
      <c r="BE321" s="253">
        <v>85000</v>
      </c>
      <c r="BF321" s="253">
        <v>112500</v>
      </c>
      <c r="BK321" s="121" t="s">
        <v>257</v>
      </c>
    </row>
    <row r="322" spans="53:63" x14ac:dyDescent="0.3">
      <c r="BA322" s="252">
        <v>315</v>
      </c>
      <c r="BB322" s="253">
        <v>135000</v>
      </c>
      <c r="BC322" s="253">
        <v>112500</v>
      </c>
      <c r="BD322" s="253">
        <v>125000</v>
      </c>
      <c r="BE322" s="253">
        <v>85000</v>
      </c>
      <c r="BF322" s="253">
        <v>112500</v>
      </c>
      <c r="BK322" s="121" t="s">
        <v>257</v>
      </c>
    </row>
    <row r="323" spans="53:63" x14ac:dyDescent="0.3">
      <c r="BA323" s="252">
        <v>316</v>
      </c>
      <c r="BB323" s="253">
        <v>135000</v>
      </c>
      <c r="BC323" s="253">
        <v>112500</v>
      </c>
      <c r="BD323" s="253">
        <v>125000</v>
      </c>
      <c r="BE323" s="253">
        <v>85000</v>
      </c>
      <c r="BF323" s="253">
        <v>112500</v>
      </c>
      <c r="BK323" s="121" t="s">
        <v>257</v>
      </c>
    </row>
    <row r="324" spans="53:63" x14ac:dyDescent="0.3">
      <c r="BA324" s="252">
        <v>317</v>
      </c>
      <c r="BB324" s="253">
        <v>135000</v>
      </c>
      <c r="BC324" s="253">
        <v>112500</v>
      </c>
      <c r="BD324" s="253">
        <v>125000</v>
      </c>
      <c r="BE324" s="253">
        <v>85000</v>
      </c>
      <c r="BF324" s="253">
        <v>112500</v>
      </c>
      <c r="BK324" s="121" t="s">
        <v>257</v>
      </c>
    </row>
    <row r="325" spans="53:63" x14ac:dyDescent="0.3">
      <c r="BA325" s="252">
        <v>318</v>
      </c>
      <c r="BB325" s="253">
        <v>135000</v>
      </c>
      <c r="BC325" s="253">
        <v>112500</v>
      </c>
      <c r="BD325" s="253">
        <v>125000</v>
      </c>
      <c r="BE325" s="253">
        <v>85000</v>
      </c>
      <c r="BF325" s="253">
        <v>112500</v>
      </c>
      <c r="BK325" s="121" t="s">
        <v>257</v>
      </c>
    </row>
    <row r="326" spans="53:63" x14ac:dyDescent="0.3">
      <c r="BA326" s="252">
        <v>319</v>
      </c>
      <c r="BB326" s="253">
        <v>135000</v>
      </c>
      <c r="BC326" s="253">
        <v>112500</v>
      </c>
      <c r="BD326" s="253">
        <v>125000</v>
      </c>
      <c r="BE326" s="253">
        <v>85000</v>
      </c>
      <c r="BF326" s="253">
        <v>112500</v>
      </c>
      <c r="BK326" s="121" t="s">
        <v>257</v>
      </c>
    </row>
    <row r="327" spans="53:63" x14ac:dyDescent="0.3">
      <c r="BA327" s="252">
        <v>320</v>
      </c>
      <c r="BB327" s="253">
        <v>135000</v>
      </c>
      <c r="BC327" s="253">
        <v>112500</v>
      </c>
      <c r="BD327" s="253">
        <v>125000</v>
      </c>
      <c r="BE327" s="253">
        <v>85000</v>
      </c>
      <c r="BF327" s="253">
        <v>112500</v>
      </c>
      <c r="BK327" s="121" t="s">
        <v>257</v>
      </c>
    </row>
    <row r="328" spans="53:63" x14ac:dyDescent="0.3">
      <c r="BA328" s="252">
        <v>321</v>
      </c>
      <c r="BB328" s="253">
        <v>135000</v>
      </c>
      <c r="BC328" s="253">
        <v>112500</v>
      </c>
      <c r="BD328" s="253">
        <v>125000</v>
      </c>
      <c r="BE328" s="253">
        <v>85000</v>
      </c>
      <c r="BF328" s="253">
        <v>112500</v>
      </c>
      <c r="BK328" s="121" t="s">
        <v>257</v>
      </c>
    </row>
    <row r="329" spans="53:63" x14ac:dyDescent="0.3">
      <c r="BA329" s="252">
        <v>322</v>
      </c>
      <c r="BB329" s="253">
        <v>135000</v>
      </c>
      <c r="BC329" s="253">
        <v>112500</v>
      </c>
      <c r="BD329" s="253">
        <v>125000</v>
      </c>
      <c r="BE329" s="253">
        <v>85000</v>
      </c>
      <c r="BF329" s="253">
        <v>112500</v>
      </c>
      <c r="BK329" s="121" t="s">
        <v>257</v>
      </c>
    </row>
    <row r="330" spans="53:63" x14ac:dyDescent="0.3">
      <c r="BA330" s="252">
        <v>323</v>
      </c>
      <c r="BB330" s="253">
        <v>135000</v>
      </c>
      <c r="BC330" s="253">
        <v>112500</v>
      </c>
      <c r="BD330" s="253">
        <v>125000</v>
      </c>
      <c r="BE330" s="253">
        <v>85000</v>
      </c>
      <c r="BF330" s="253">
        <v>112500</v>
      </c>
      <c r="BK330" s="121" t="s">
        <v>257</v>
      </c>
    </row>
    <row r="331" spans="53:63" x14ac:dyDescent="0.3">
      <c r="BA331" s="252">
        <v>324</v>
      </c>
      <c r="BB331" s="253">
        <v>135000</v>
      </c>
      <c r="BC331" s="253">
        <v>112500</v>
      </c>
      <c r="BD331" s="253">
        <v>125000</v>
      </c>
      <c r="BE331" s="253">
        <v>85000</v>
      </c>
      <c r="BF331" s="253">
        <v>112500</v>
      </c>
      <c r="BK331" s="121" t="s">
        <v>257</v>
      </c>
    </row>
    <row r="332" spans="53:63" x14ac:dyDescent="0.3">
      <c r="BA332" s="252">
        <v>325</v>
      </c>
      <c r="BB332" s="253">
        <v>135000</v>
      </c>
      <c r="BC332" s="253">
        <v>112500</v>
      </c>
      <c r="BD332" s="253">
        <v>125000</v>
      </c>
      <c r="BE332" s="253">
        <v>85000</v>
      </c>
      <c r="BF332" s="253">
        <v>112500</v>
      </c>
      <c r="BK332" s="121" t="s">
        <v>257</v>
      </c>
    </row>
    <row r="333" spans="53:63" x14ac:dyDescent="0.3">
      <c r="BA333" s="252">
        <v>326</v>
      </c>
      <c r="BB333" s="253">
        <v>135000</v>
      </c>
      <c r="BC333" s="253">
        <v>112500</v>
      </c>
      <c r="BD333" s="253">
        <v>125000</v>
      </c>
      <c r="BE333" s="253">
        <v>85000</v>
      </c>
      <c r="BF333" s="253">
        <v>112500</v>
      </c>
      <c r="BK333" s="121" t="s">
        <v>257</v>
      </c>
    </row>
    <row r="334" spans="53:63" x14ac:dyDescent="0.3">
      <c r="BA334" s="252">
        <v>327</v>
      </c>
      <c r="BB334" s="253">
        <v>135000</v>
      </c>
      <c r="BC334" s="253">
        <v>112500</v>
      </c>
      <c r="BD334" s="253">
        <v>125000</v>
      </c>
      <c r="BE334" s="253">
        <v>85000</v>
      </c>
      <c r="BF334" s="253">
        <v>112500</v>
      </c>
      <c r="BK334" s="121" t="s">
        <v>257</v>
      </c>
    </row>
    <row r="335" spans="53:63" x14ac:dyDescent="0.3">
      <c r="BA335" s="252">
        <v>328</v>
      </c>
      <c r="BB335" s="253">
        <v>135000</v>
      </c>
      <c r="BC335" s="253">
        <v>112500</v>
      </c>
      <c r="BD335" s="253">
        <v>125000</v>
      </c>
      <c r="BE335" s="253">
        <v>85000</v>
      </c>
      <c r="BF335" s="253">
        <v>112500</v>
      </c>
      <c r="BK335" s="121" t="s">
        <v>257</v>
      </c>
    </row>
    <row r="336" spans="53:63" x14ac:dyDescent="0.3">
      <c r="BA336" s="252">
        <v>329</v>
      </c>
      <c r="BB336" s="253">
        <v>135000</v>
      </c>
      <c r="BC336" s="253">
        <v>112500</v>
      </c>
      <c r="BD336" s="253">
        <v>125000</v>
      </c>
      <c r="BE336" s="253">
        <v>85000</v>
      </c>
      <c r="BF336" s="253">
        <v>112500</v>
      </c>
      <c r="BK336" s="121" t="s">
        <v>257</v>
      </c>
    </row>
    <row r="337" spans="53:63" x14ac:dyDescent="0.3">
      <c r="BA337" s="252">
        <v>330</v>
      </c>
      <c r="BB337" s="253">
        <v>135000</v>
      </c>
      <c r="BC337" s="253">
        <v>112500</v>
      </c>
      <c r="BD337" s="253">
        <v>125000</v>
      </c>
      <c r="BE337" s="253">
        <v>85000</v>
      </c>
      <c r="BF337" s="253">
        <v>112500</v>
      </c>
      <c r="BK337" s="121" t="s">
        <v>257</v>
      </c>
    </row>
    <row r="338" spans="53:63" x14ac:dyDescent="0.3">
      <c r="BA338" s="252">
        <v>331</v>
      </c>
      <c r="BB338" s="253">
        <v>135000</v>
      </c>
      <c r="BC338" s="253">
        <v>112500</v>
      </c>
      <c r="BD338" s="253">
        <v>125000</v>
      </c>
      <c r="BE338" s="253">
        <v>85000</v>
      </c>
      <c r="BF338" s="253">
        <v>112500</v>
      </c>
      <c r="BK338" s="121" t="s">
        <v>257</v>
      </c>
    </row>
    <row r="339" spans="53:63" x14ac:dyDescent="0.3">
      <c r="BA339" s="252">
        <v>332</v>
      </c>
      <c r="BB339" s="253">
        <v>135000</v>
      </c>
      <c r="BC339" s="253">
        <v>112500</v>
      </c>
      <c r="BD339" s="253">
        <v>125000</v>
      </c>
      <c r="BE339" s="253">
        <v>85000</v>
      </c>
      <c r="BF339" s="253">
        <v>112500</v>
      </c>
      <c r="BK339" s="121" t="s">
        <v>257</v>
      </c>
    </row>
    <row r="340" spans="53:63" x14ac:dyDescent="0.3">
      <c r="BA340" s="252">
        <v>333</v>
      </c>
      <c r="BB340" s="253">
        <v>135000</v>
      </c>
      <c r="BC340" s="253">
        <v>112500</v>
      </c>
      <c r="BD340" s="253">
        <v>125000</v>
      </c>
      <c r="BE340" s="253">
        <v>85000</v>
      </c>
      <c r="BF340" s="253">
        <v>112500</v>
      </c>
      <c r="BK340" s="121" t="s">
        <v>257</v>
      </c>
    </row>
    <row r="341" spans="53:63" x14ac:dyDescent="0.3">
      <c r="BA341" s="252">
        <v>334</v>
      </c>
      <c r="BB341" s="253">
        <v>135000</v>
      </c>
      <c r="BC341" s="253">
        <v>112500</v>
      </c>
      <c r="BD341" s="253">
        <v>125000</v>
      </c>
      <c r="BE341" s="253">
        <v>85000</v>
      </c>
      <c r="BF341" s="253">
        <v>112500</v>
      </c>
      <c r="BK341" s="121" t="s">
        <v>257</v>
      </c>
    </row>
    <row r="342" spans="53:63" x14ac:dyDescent="0.3">
      <c r="BA342" s="252">
        <v>335</v>
      </c>
      <c r="BB342" s="253">
        <v>135000</v>
      </c>
      <c r="BC342" s="253">
        <v>112500</v>
      </c>
      <c r="BD342" s="253">
        <v>125000</v>
      </c>
      <c r="BE342" s="253">
        <v>85000</v>
      </c>
      <c r="BF342" s="253">
        <v>112500</v>
      </c>
      <c r="BK342" s="121" t="s">
        <v>257</v>
      </c>
    </row>
    <row r="343" spans="53:63" x14ac:dyDescent="0.3">
      <c r="BA343" s="252">
        <v>336</v>
      </c>
      <c r="BB343" s="253">
        <v>135000</v>
      </c>
      <c r="BC343" s="253">
        <v>112500</v>
      </c>
      <c r="BD343" s="253">
        <v>125000</v>
      </c>
      <c r="BE343" s="253">
        <v>85000</v>
      </c>
      <c r="BF343" s="253">
        <v>112500</v>
      </c>
      <c r="BK343" s="121" t="s">
        <v>257</v>
      </c>
    </row>
    <row r="344" spans="53:63" x14ac:dyDescent="0.3">
      <c r="BA344" s="252">
        <v>337</v>
      </c>
      <c r="BB344" s="253">
        <v>135000</v>
      </c>
      <c r="BC344" s="253">
        <v>112500</v>
      </c>
      <c r="BD344" s="253">
        <v>125000</v>
      </c>
      <c r="BE344" s="253">
        <v>85000</v>
      </c>
      <c r="BF344" s="253">
        <v>112500</v>
      </c>
      <c r="BK344" s="121" t="s">
        <v>257</v>
      </c>
    </row>
    <row r="345" spans="53:63" x14ac:dyDescent="0.3">
      <c r="BA345" s="252">
        <v>338</v>
      </c>
      <c r="BB345" s="253">
        <v>135000</v>
      </c>
      <c r="BC345" s="253">
        <v>112500</v>
      </c>
      <c r="BD345" s="253">
        <v>125000</v>
      </c>
      <c r="BE345" s="253">
        <v>85000</v>
      </c>
      <c r="BF345" s="253">
        <v>112500</v>
      </c>
      <c r="BK345" s="121" t="s">
        <v>257</v>
      </c>
    </row>
    <row r="346" spans="53:63" x14ac:dyDescent="0.3">
      <c r="BA346" s="252">
        <v>339</v>
      </c>
      <c r="BB346" s="253">
        <v>135000</v>
      </c>
      <c r="BC346" s="253">
        <v>112500</v>
      </c>
      <c r="BD346" s="253">
        <v>125000</v>
      </c>
      <c r="BE346" s="253">
        <v>85000</v>
      </c>
      <c r="BF346" s="253">
        <v>112500</v>
      </c>
      <c r="BK346" s="121" t="s">
        <v>257</v>
      </c>
    </row>
    <row r="347" spans="53:63" x14ac:dyDescent="0.3">
      <c r="BA347" s="252">
        <v>340</v>
      </c>
      <c r="BB347" s="253">
        <v>135000</v>
      </c>
      <c r="BC347" s="253">
        <v>112500</v>
      </c>
      <c r="BD347" s="253">
        <v>125000</v>
      </c>
      <c r="BE347" s="253">
        <v>85000</v>
      </c>
      <c r="BF347" s="253">
        <v>112500</v>
      </c>
      <c r="BK347" s="121" t="s">
        <v>257</v>
      </c>
    </row>
    <row r="348" spans="53:63" x14ac:dyDescent="0.3">
      <c r="BA348" s="252">
        <v>341</v>
      </c>
      <c r="BB348" s="253">
        <v>135000</v>
      </c>
      <c r="BC348" s="253">
        <v>112500</v>
      </c>
      <c r="BD348" s="253">
        <v>125000</v>
      </c>
      <c r="BE348" s="253">
        <v>85000</v>
      </c>
      <c r="BF348" s="253">
        <v>112500</v>
      </c>
      <c r="BK348" s="121" t="s">
        <v>257</v>
      </c>
    </row>
    <row r="349" spans="53:63" x14ac:dyDescent="0.3">
      <c r="BA349" s="252">
        <v>342</v>
      </c>
      <c r="BB349" s="253">
        <v>135000</v>
      </c>
      <c r="BC349" s="253">
        <v>112500</v>
      </c>
      <c r="BD349" s="253">
        <v>125000</v>
      </c>
      <c r="BE349" s="253">
        <v>85000</v>
      </c>
      <c r="BF349" s="253">
        <v>112500</v>
      </c>
      <c r="BK349" s="121" t="s">
        <v>257</v>
      </c>
    </row>
    <row r="350" spans="53:63" x14ac:dyDescent="0.3">
      <c r="BA350" s="252">
        <v>343</v>
      </c>
      <c r="BB350" s="253">
        <v>135000</v>
      </c>
      <c r="BC350" s="253">
        <v>112500</v>
      </c>
      <c r="BD350" s="253">
        <v>125000</v>
      </c>
      <c r="BE350" s="253">
        <v>85000</v>
      </c>
      <c r="BF350" s="253">
        <v>112500</v>
      </c>
      <c r="BK350" s="121" t="s">
        <v>257</v>
      </c>
    </row>
    <row r="351" spans="53:63" x14ac:dyDescent="0.3">
      <c r="BA351" s="252">
        <v>344</v>
      </c>
      <c r="BB351" s="253">
        <v>135000</v>
      </c>
      <c r="BC351" s="253">
        <v>112500</v>
      </c>
      <c r="BD351" s="253">
        <v>125000</v>
      </c>
      <c r="BE351" s="253">
        <v>85000</v>
      </c>
      <c r="BF351" s="253">
        <v>112500</v>
      </c>
      <c r="BK351" s="121" t="s">
        <v>257</v>
      </c>
    </row>
    <row r="352" spans="53:63" x14ac:dyDescent="0.3">
      <c r="BA352" s="252">
        <v>345</v>
      </c>
      <c r="BB352" s="253">
        <v>135000</v>
      </c>
      <c r="BC352" s="253">
        <v>112500</v>
      </c>
      <c r="BD352" s="253">
        <v>125000</v>
      </c>
      <c r="BE352" s="253">
        <v>85000</v>
      </c>
      <c r="BF352" s="253">
        <v>112500</v>
      </c>
      <c r="BK352" s="121" t="s">
        <v>257</v>
      </c>
    </row>
    <row r="353" spans="53:63" x14ac:dyDescent="0.3">
      <c r="BA353" s="252">
        <v>346</v>
      </c>
      <c r="BB353" s="253">
        <v>135000</v>
      </c>
      <c r="BC353" s="253">
        <v>112500</v>
      </c>
      <c r="BD353" s="253">
        <v>125000</v>
      </c>
      <c r="BE353" s="253">
        <v>85000</v>
      </c>
      <c r="BF353" s="253">
        <v>112500</v>
      </c>
      <c r="BK353" s="121" t="s">
        <v>257</v>
      </c>
    </row>
    <row r="354" spans="53:63" x14ac:dyDescent="0.3">
      <c r="BA354" s="252">
        <v>347</v>
      </c>
      <c r="BB354" s="253">
        <v>135000</v>
      </c>
      <c r="BC354" s="253">
        <v>112500</v>
      </c>
      <c r="BD354" s="253">
        <v>125000</v>
      </c>
      <c r="BE354" s="253">
        <v>85000</v>
      </c>
      <c r="BF354" s="253">
        <v>112500</v>
      </c>
      <c r="BK354" s="121" t="s">
        <v>257</v>
      </c>
    </row>
    <row r="355" spans="53:63" x14ac:dyDescent="0.3">
      <c r="BA355" s="252">
        <v>348</v>
      </c>
      <c r="BB355" s="253">
        <v>135000</v>
      </c>
      <c r="BC355" s="253">
        <v>112500</v>
      </c>
      <c r="BD355" s="253">
        <v>125000</v>
      </c>
      <c r="BE355" s="253">
        <v>85000</v>
      </c>
      <c r="BF355" s="253">
        <v>112500</v>
      </c>
      <c r="BK355" s="121" t="s">
        <v>257</v>
      </c>
    </row>
    <row r="356" spans="53:63" x14ac:dyDescent="0.3">
      <c r="BA356" s="252">
        <v>349</v>
      </c>
      <c r="BB356" s="253">
        <v>135000</v>
      </c>
      <c r="BC356" s="253">
        <v>112500</v>
      </c>
      <c r="BD356" s="253">
        <v>125000</v>
      </c>
      <c r="BE356" s="253">
        <v>85000</v>
      </c>
      <c r="BF356" s="253">
        <v>112500</v>
      </c>
      <c r="BK356" s="121" t="s">
        <v>257</v>
      </c>
    </row>
    <row r="357" spans="53:63" x14ac:dyDescent="0.3">
      <c r="BA357" s="252">
        <v>350</v>
      </c>
      <c r="BB357" s="253">
        <v>135000</v>
      </c>
      <c r="BC357" s="253">
        <v>108000</v>
      </c>
      <c r="BD357" s="253">
        <v>120000</v>
      </c>
      <c r="BE357" s="253">
        <v>85000</v>
      </c>
      <c r="BF357" s="253">
        <v>108000</v>
      </c>
      <c r="BK357" s="121" t="s">
        <v>257</v>
      </c>
    </row>
    <row r="358" spans="53:63" x14ac:dyDescent="0.3">
      <c r="BA358" s="252">
        <v>351</v>
      </c>
      <c r="BB358" s="253">
        <v>135000</v>
      </c>
      <c r="BC358" s="253">
        <v>108000</v>
      </c>
      <c r="BD358" s="253">
        <v>120000</v>
      </c>
      <c r="BE358" s="253">
        <v>85000</v>
      </c>
      <c r="BF358" s="253">
        <v>108000</v>
      </c>
      <c r="BK358" s="121" t="s">
        <v>257</v>
      </c>
    </row>
    <row r="359" spans="53:63" x14ac:dyDescent="0.3">
      <c r="BA359" s="252">
        <v>352</v>
      </c>
      <c r="BB359" s="253">
        <v>135000</v>
      </c>
      <c r="BC359" s="253">
        <v>108000</v>
      </c>
      <c r="BD359" s="253">
        <v>120000</v>
      </c>
      <c r="BE359" s="253">
        <v>85000</v>
      </c>
      <c r="BF359" s="253">
        <v>108000</v>
      </c>
      <c r="BK359" s="121" t="s">
        <v>257</v>
      </c>
    </row>
    <row r="360" spans="53:63" x14ac:dyDescent="0.3">
      <c r="BA360" s="252">
        <v>353</v>
      </c>
      <c r="BB360" s="253">
        <v>135000</v>
      </c>
      <c r="BC360" s="253">
        <v>108000</v>
      </c>
      <c r="BD360" s="253">
        <v>120000</v>
      </c>
      <c r="BE360" s="253">
        <v>85000</v>
      </c>
      <c r="BF360" s="253">
        <v>108000</v>
      </c>
      <c r="BK360" s="121" t="s">
        <v>257</v>
      </c>
    </row>
    <row r="361" spans="53:63" x14ac:dyDescent="0.3">
      <c r="BA361" s="252">
        <v>354</v>
      </c>
      <c r="BB361" s="253">
        <v>135000</v>
      </c>
      <c r="BC361" s="253">
        <v>108000</v>
      </c>
      <c r="BD361" s="253">
        <v>120000</v>
      </c>
      <c r="BE361" s="253">
        <v>85000</v>
      </c>
      <c r="BF361" s="253">
        <v>108000</v>
      </c>
      <c r="BK361" s="121" t="s">
        <v>257</v>
      </c>
    </row>
    <row r="362" spans="53:63" x14ac:dyDescent="0.3">
      <c r="BA362" s="252">
        <v>355</v>
      </c>
      <c r="BB362" s="253">
        <v>135000</v>
      </c>
      <c r="BC362" s="253">
        <v>108000</v>
      </c>
      <c r="BD362" s="253">
        <v>120000</v>
      </c>
      <c r="BE362" s="253">
        <v>85000</v>
      </c>
      <c r="BF362" s="253">
        <v>108000</v>
      </c>
      <c r="BK362" s="121" t="s">
        <v>257</v>
      </c>
    </row>
    <row r="363" spans="53:63" x14ac:dyDescent="0.3">
      <c r="BA363" s="252">
        <v>356</v>
      </c>
      <c r="BB363" s="253">
        <v>135000</v>
      </c>
      <c r="BC363" s="253">
        <v>108000</v>
      </c>
      <c r="BD363" s="253">
        <v>120000</v>
      </c>
      <c r="BE363" s="253">
        <v>85000</v>
      </c>
      <c r="BF363" s="253">
        <v>108000</v>
      </c>
      <c r="BK363" s="121" t="s">
        <v>257</v>
      </c>
    </row>
    <row r="364" spans="53:63" x14ac:dyDescent="0.3">
      <c r="BA364" s="252">
        <v>357</v>
      </c>
      <c r="BB364" s="253">
        <v>135000</v>
      </c>
      <c r="BC364" s="253">
        <v>108000</v>
      </c>
      <c r="BD364" s="253">
        <v>120000</v>
      </c>
      <c r="BE364" s="253">
        <v>85000</v>
      </c>
      <c r="BF364" s="253">
        <v>108000</v>
      </c>
      <c r="BK364" s="121" t="s">
        <v>257</v>
      </c>
    </row>
    <row r="365" spans="53:63" x14ac:dyDescent="0.3">
      <c r="BA365" s="252">
        <v>358</v>
      </c>
      <c r="BB365" s="253">
        <v>135000</v>
      </c>
      <c r="BC365" s="253">
        <v>108000</v>
      </c>
      <c r="BD365" s="253">
        <v>120000</v>
      </c>
      <c r="BE365" s="253">
        <v>85000</v>
      </c>
      <c r="BF365" s="253">
        <v>108000</v>
      </c>
      <c r="BK365" s="121" t="s">
        <v>257</v>
      </c>
    </row>
    <row r="366" spans="53:63" x14ac:dyDescent="0.3">
      <c r="BA366" s="252">
        <v>359</v>
      </c>
      <c r="BB366" s="253">
        <v>135000</v>
      </c>
      <c r="BC366" s="253">
        <v>108000</v>
      </c>
      <c r="BD366" s="253">
        <v>120000</v>
      </c>
      <c r="BE366" s="253">
        <v>85000</v>
      </c>
      <c r="BF366" s="253">
        <v>108000</v>
      </c>
      <c r="BK366" s="121" t="s">
        <v>257</v>
      </c>
    </row>
    <row r="367" spans="53:63" x14ac:dyDescent="0.3">
      <c r="BA367" s="252">
        <v>360</v>
      </c>
      <c r="BB367" s="253">
        <v>135000</v>
      </c>
      <c r="BC367" s="253">
        <v>108000</v>
      </c>
      <c r="BD367" s="253">
        <v>120000</v>
      </c>
      <c r="BE367" s="253">
        <v>85000</v>
      </c>
      <c r="BF367" s="253">
        <v>108000</v>
      </c>
      <c r="BK367" s="121" t="s">
        <v>257</v>
      </c>
    </row>
    <row r="368" spans="53:63" x14ac:dyDescent="0.3">
      <c r="BA368" s="252">
        <v>361</v>
      </c>
      <c r="BB368" s="253">
        <v>135000</v>
      </c>
      <c r="BC368" s="253">
        <v>108000</v>
      </c>
      <c r="BD368" s="253">
        <v>120000</v>
      </c>
      <c r="BE368" s="253">
        <v>85000</v>
      </c>
      <c r="BF368" s="253">
        <v>108000</v>
      </c>
      <c r="BK368" s="121" t="s">
        <v>257</v>
      </c>
    </row>
    <row r="369" spans="53:63" x14ac:dyDescent="0.3">
      <c r="BA369" s="252">
        <v>362</v>
      </c>
      <c r="BB369" s="253">
        <v>135000</v>
      </c>
      <c r="BC369" s="253">
        <v>108000</v>
      </c>
      <c r="BD369" s="253">
        <v>120000</v>
      </c>
      <c r="BE369" s="253">
        <v>85000</v>
      </c>
      <c r="BF369" s="253">
        <v>108000</v>
      </c>
      <c r="BK369" s="121" t="s">
        <v>257</v>
      </c>
    </row>
    <row r="370" spans="53:63" x14ac:dyDescent="0.3">
      <c r="BA370" s="252">
        <v>363</v>
      </c>
      <c r="BB370" s="253">
        <v>135000</v>
      </c>
      <c r="BC370" s="253">
        <v>108000</v>
      </c>
      <c r="BD370" s="253">
        <v>120000</v>
      </c>
      <c r="BE370" s="253">
        <v>85000</v>
      </c>
      <c r="BF370" s="253">
        <v>108000</v>
      </c>
      <c r="BK370" s="121" t="s">
        <v>257</v>
      </c>
    </row>
    <row r="371" spans="53:63" x14ac:dyDescent="0.3">
      <c r="BA371" s="252">
        <v>364</v>
      </c>
      <c r="BB371" s="253">
        <v>135000</v>
      </c>
      <c r="BC371" s="253">
        <v>108000</v>
      </c>
      <c r="BD371" s="253">
        <v>120000</v>
      </c>
      <c r="BE371" s="253">
        <v>85000</v>
      </c>
      <c r="BF371" s="253">
        <v>108000</v>
      </c>
      <c r="BK371" s="121" t="s">
        <v>257</v>
      </c>
    </row>
    <row r="372" spans="53:63" x14ac:dyDescent="0.3">
      <c r="BA372" s="252">
        <v>365</v>
      </c>
      <c r="BB372" s="253">
        <v>135000</v>
      </c>
      <c r="BC372" s="253">
        <v>108000</v>
      </c>
      <c r="BD372" s="253">
        <v>120000</v>
      </c>
      <c r="BE372" s="253">
        <v>85000</v>
      </c>
      <c r="BF372" s="253">
        <v>108000</v>
      </c>
      <c r="BK372" s="121" t="s">
        <v>257</v>
      </c>
    </row>
    <row r="373" spans="53:63" x14ac:dyDescent="0.3">
      <c r="BA373" s="252">
        <v>366</v>
      </c>
      <c r="BB373" s="253">
        <v>135000</v>
      </c>
      <c r="BC373" s="253">
        <v>108000</v>
      </c>
      <c r="BD373" s="253">
        <v>120000</v>
      </c>
      <c r="BE373" s="253">
        <v>85000</v>
      </c>
      <c r="BF373" s="253">
        <v>108000</v>
      </c>
      <c r="BK373" s="121" t="s">
        <v>257</v>
      </c>
    </row>
    <row r="374" spans="53:63" x14ac:dyDescent="0.3">
      <c r="BA374" s="252">
        <v>367</v>
      </c>
      <c r="BB374" s="253">
        <v>135000</v>
      </c>
      <c r="BC374" s="253">
        <v>108000</v>
      </c>
      <c r="BD374" s="253">
        <v>120000</v>
      </c>
      <c r="BE374" s="253">
        <v>85000</v>
      </c>
      <c r="BF374" s="253">
        <v>108000</v>
      </c>
      <c r="BK374" s="121" t="s">
        <v>257</v>
      </c>
    </row>
    <row r="375" spans="53:63" x14ac:dyDescent="0.3">
      <c r="BA375" s="252">
        <v>368</v>
      </c>
      <c r="BB375" s="253">
        <v>135000</v>
      </c>
      <c r="BC375" s="253">
        <v>108000</v>
      </c>
      <c r="BD375" s="253">
        <v>120000</v>
      </c>
      <c r="BE375" s="253">
        <v>85000</v>
      </c>
      <c r="BF375" s="253">
        <v>108000</v>
      </c>
      <c r="BK375" s="121" t="s">
        <v>257</v>
      </c>
    </row>
    <row r="376" spans="53:63" x14ac:dyDescent="0.3">
      <c r="BA376" s="252">
        <v>369</v>
      </c>
      <c r="BB376" s="253">
        <v>135000</v>
      </c>
      <c r="BC376" s="253">
        <v>108000</v>
      </c>
      <c r="BD376" s="253">
        <v>120000</v>
      </c>
      <c r="BE376" s="253">
        <v>85000</v>
      </c>
      <c r="BF376" s="253">
        <v>108000</v>
      </c>
      <c r="BK376" s="121" t="s">
        <v>257</v>
      </c>
    </row>
    <row r="377" spans="53:63" x14ac:dyDescent="0.3">
      <c r="BA377" s="252">
        <v>370</v>
      </c>
      <c r="BB377" s="253">
        <v>135000</v>
      </c>
      <c r="BC377" s="253">
        <v>108000</v>
      </c>
      <c r="BD377" s="253">
        <v>120000</v>
      </c>
      <c r="BE377" s="253">
        <v>85000</v>
      </c>
      <c r="BF377" s="253">
        <v>108000</v>
      </c>
      <c r="BK377" s="121" t="s">
        <v>257</v>
      </c>
    </row>
    <row r="378" spans="53:63" x14ac:dyDescent="0.3">
      <c r="BA378" s="252">
        <v>371</v>
      </c>
      <c r="BB378" s="253">
        <v>135000</v>
      </c>
      <c r="BC378" s="253">
        <v>108000</v>
      </c>
      <c r="BD378" s="253">
        <v>120000</v>
      </c>
      <c r="BE378" s="253">
        <v>85000</v>
      </c>
      <c r="BF378" s="253">
        <v>108000</v>
      </c>
      <c r="BK378" s="121" t="s">
        <v>257</v>
      </c>
    </row>
    <row r="379" spans="53:63" x14ac:dyDescent="0.3">
      <c r="BA379" s="252">
        <v>372</v>
      </c>
      <c r="BB379" s="253">
        <v>135000</v>
      </c>
      <c r="BC379" s="253">
        <v>108000</v>
      </c>
      <c r="BD379" s="253">
        <v>120000</v>
      </c>
      <c r="BE379" s="253">
        <v>85000</v>
      </c>
      <c r="BF379" s="253">
        <v>108000</v>
      </c>
      <c r="BK379" s="121" t="s">
        <v>257</v>
      </c>
    </row>
    <row r="380" spans="53:63" x14ac:dyDescent="0.3">
      <c r="BA380" s="252">
        <v>373</v>
      </c>
      <c r="BB380" s="253">
        <v>135000</v>
      </c>
      <c r="BC380" s="253">
        <v>108000</v>
      </c>
      <c r="BD380" s="253">
        <v>120000</v>
      </c>
      <c r="BE380" s="253">
        <v>85000</v>
      </c>
      <c r="BF380" s="253">
        <v>108000</v>
      </c>
      <c r="BK380" s="121" t="s">
        <v>257</v>
      </c>
    </row>
    <row r="381" spans="53:63" x14ac:dyDescent="0.3">
      <c r="BA381" s="252">
        <v>374</v>
      </c>
      <c r="BB381" s="253">
        <v>135000</v>
      </c>
      <c r="BC381" s="253">
        <v>108000</v>
      </c>
      <c r="BD381" s="253">
        <v>120000</v>
      </c>
      <c r="BE381" s="253">
        <v>85000</v>
      </c>
      <c r="BF381" s="253">
        <v>108000</v>
      </c>
      <c r="BK381" s="121" t="s">
        <v>257</v>
      </c>
    </row>
    <row r="382" spans="53:63" x14ac:dyDescent="0.3">
      <c r="BA382" s="252">
        <v>375</v>
      </c>
      <c r="BB382" s="253">
        <v>135000</v>
      </c>
      <c r="BC382" s="253">
        <v>108000</v>
      </c>
      <c r="BD382" s="253">
        <v>120000</v>
      </c>
      <c r="BE382" s="253">
        <v>85000</v>
      </c>
      <c r="BF382" s="253">
        <v>108000</v>
      </c>
      <c r="BK382" s="121" t="s">
        <v>257</v>
      </c>
    </row>
    <row r="383" spans="53:63" x14ac:dyDescent="0.3">
      <c r="BA383" s="252">
        <v>376</v>
      </c>
      <c r="BB383" s="253">
        <v>135000</v>
      </c>
      <c r="BC383" s="253">
        <v>108000</v>
      </c>
      <c r="BD383" s="253">
        <v>120000</v>
      </c>
      <c r="BE383" s="253">
        <v>85000</v>
      </c>
      <c r="BF383" s="253">
        <v>108000</v>
      </c>
      <c r="BK383" s="121" t="s">
        <v>257</v>
      </c>
    </row>
    <row r="384" spans="53:63" x14ac:dyDescent="0.3">
      <c r="BA384" s="252">
        <v>377</v>
      </c>
      <c r="BB384" s="253">
        <v>135000</v>
      </c>
      <c r="BC384" s="253">
        <v>108000</v>
      </c>
      <c r="BD384" s="253">
        <v>120000</v>
      </c>
      <c r="BE384" s="253">
        <v>85000</v>
      </c>
      <c r="BF384" s="253">
        <v>108000</v>
      </c>
      <c r="BK384" s="121" t="s">
        <v>257</v>
      </c>
    </row>
    <row r="385" spans="53:63" x14ac:dyDescent="0.3">
      <c r="BA385" s="252">
        <v>378</v>
      </c>
      <c r="BB385" s="253">
        <v>135000</v>
      </c>
      <c r="BC385" s="253">
        <v>108000</v>
      </c>
      <c r="BD385" s="253">
        <v>120000</v>
      </c>
      <c r="BE385" s="253">
        <v>85000</v>
      </c>
      <c r="BF385" s="253">
        <v>108000</v>
      </c>
      <c r="BK385" s="121" t="s">
        <v>257</v>
      </c>
    </row>
    <row r="386" spans="53:63" x14ac:dyDescent="0.3">
      <c r="BA386" s="252">
        <v>379</v>
      </c>
      <c r="BB386" s="253">
        <v>135000</v>
      </c>
      <c r="BC386" s="253">
        <v>108000</v>
      </c>
      <c r="BD386" s="253">
        <v>120000</v>
      </c>
      <c r="BE386" s="253">
        <v>85000</v>
      </c>
      <c r="BF386" s="253">
        <v>108000</v>
      </c>
      <c r="BK386" s="121" t="s">
        <v>257</v>
      </c>
    </row>
    <row r="387" spans="53:63" x14ac:dyDescent="0.3">
      <c r="BA387" s="252">
        <v>380</v>
      </c>
      <c r="BB387" s="253">
        <v>135000</v>
      </c>
      <c r="BC387" s="253">
        <v>108000</v>
      </c>
      <c r="BD387" s="253">
        <v>120000</v>
      </c>
      <c r="BE387" s="253">
        <v>85000</v>
      </c>
      <c r="BF387" s="253">
        <v>108000</v>
      </c>
      <c r="BK387" s="121" t="s">
        <v>257</v>
      </c>
    </row>
    <row r="388" spans="53:63" x14ac:dyDescent="0.3">
      <c r="BA388" s="252">
        <v>381</v>
      </c>
      <c r="BB388" s="253">
        <v>135000</v>
      </c>
      <c r="BC388" s="253">
        <v>108000</v>
      </c>
      <c r="BD388" s="253">
        <v>120000</v>
      </c>
      <c r="BE388" s="253">
        <v>85000</v>
      </c>
      <c r="BF388" s="253">
        <v>108000</v>
      </c>
      <c r="BK388" s="121" t="s">
        <v>257</v>
      </c>
    </row>
    <row r="389" spans="53:63" x14ac:dyDescent="0.3">
      <c r="BA389" s="252">
        <v>382</v>
      </c>
      <c r="BB389" s="253">
        <v>135000</v>
      </c>
      <c r="BC389" s="253">
        <v>108000</v>
      </c>
      <c r="BD389" s="253">
        <v>120000</v>
      </c>
      <c r="BE389" s="253">
        <v>85000</v>
      </c>
      <c r="BF389" s="253">
        <v>108000</v>
      </c>
      <c r="BK389" s="121" t="s">
        <v>257</v>
      </c>
    </row>
    <row r="390" spans="53:63" x14ac:dyDescent="0.3">
      <c r="BA390" s="252">
        <v>383</v>
      </c>
      <c r="BB390" s="253">
        <v>135000</v>
      </c>
      <c r="BC390" s="253">
        <v>108000</v>
      </c>
      <c r="BD390" s="253">
        <v>120000</v>
      </c>
      <c r="BE390" s="253">
        <v>85000</v>
      </c>
      <c r="BF390" s="253">
        <v>108000</v>
      </c>
      <c r="BK390" s="121" t="s">
        <v>257</v>
      </c>
    </row>
    <row r="391" spans="53:63" x14ac:dyDescent="0.3">
      <c r="BA391" s="252">
        <v>384</v>
      </c>
      <c r="BB391" s="253">
        <v>135000</v>
      </c>
      <c r="BC391" s="253">
        <v>108000</v>
      </c>
      <c r="BD391" s="253">
        <v>120000</v>
      </c>
      <c r="BE391" s="253">
        <v>85000</v>
      </c>
      <c r="BF391" s="253">
        <v>108000</v>
      </c>
      <c r="BK391" s="121" t="s">
        <v>257</v>
      </c>
    </row>
    <row r="392" spans="53:63" x14ac:dyDescent="0.3">
      <c r="BA392" s="252">
        <v>385</v>
      </c>
      <c r="BB392" s="253">
        <v>135000</v>
      </c>
      <c r="BC392" s="253">
        <v>108000</v>
      </c>
      <c r="BD392" s="253">
        <v>120000</v>
      </c>
      <c r="BE392" s="253">
        <v>85000</v>
      </c>
      <c r="BF392" s="253">
        <v>108000</v>
      </c>
      <c r="BK392" s="121" t="s">
        <v>257</v>
      </c>
    </row>
    <row r="393" spans="53:63" x14ac:dyDescent="0.3">
      <c r="BA393" s="252">
        <v>386</v>
      </c>
      <c r="BB393" s="253">
        <v>135000</v>
      </c>
      <c r="BC393" s="253">
        <v>108000</v>
      </c>
      <c r="BD393" s="253">
        <v>120000</v>
      </c>
      <c r="BE393" s="253">
        <v>85000</v>
      </c>
      <c r="BF393" s="253">
        <v>108000</v>
      </c>
      <c r="BK393" s="121" t="s">
        <v>257</v>
      </c>
    </row>
    <row r="394" spans="53:63" x14ac:dyDescent="0.3">
      <c r="BA394" s="252">
        <v>387</v>
      </c>
      <c r="BB394" s="253">
        <v>135000</v>
      </c>
      <c r="BC394" s="253">
        <v>108000</v>
      </c>
      <c r="BD394" s="253">
        <v>120000</v>
      </c>
      <c r="BE394" s="253">
        <v>85000</v>
      </c>
      <c r="BF394" s="253">
        <v>108000</v>
      </c>
      <c r="BK394" s="121" t="s">
        <v>257</v>
      </c>
    </row>
    <row r="395" spans="53:63" x14ac:dyDescent="0.3">
      <c r="BA395" s="252">
        <v>388</v>
      </c>
      <c r="BB395" s="253">
        <v>135000</v>
      </c>
      <c r="BC395" s="253">
        <v>108000</v>
      </c>
      <c r="BD395" s="253">
        <v>120000</v>
      </c>
      <c r="BE395" s="253">
        <v>85000</v>
      </c>
      <c r="BF395" s="253">
        <v>108000</v>
      </c>
      <c r="BK395" s="121" t="s">
        <v>257</v>
      </c>
    </row>
    <row r="396" spans="53:63" x14ac:dyDescent="0.3">
      <c r="BA396" s="252">
        <v>389</v>
      </c>
      <c r="BB396" s="253">
        <v>135000</v>
      </c>
      <c r="BC396" s="253">
        <v>108000</v>
      </c>
      <c r="BD396" s="253">
        <v>120000</v>
      </c>
      <c r="BE396" s="253">
        <v>85000</v>
      </c>
      <c r="BF396" s="253">
        <v>108000</v>
      </c>
      <c r="BK396" s="121" t="s">
        <v>257</v>
      </c>
    </row>
    <row r="397" spans="53:63" x14ac:dyDescent="0.3">
      <c r="BA397" s="252">
        <v>390</v>
      </c>
      <c r="BB397" s="253">
        <v>135000</v>
      </c>
      <c r="BC397" s="253">
        <v>108000</v>
      </c>
      <c r="BD397" s="253">
        <v>120000</v>
      </c>
      <c r="BE397" s="253">
        <v>85000</v>
      </c>
      <c r="BF397" s="253">
        <v>108000</v>
      </c>
      <c r="BK397" s="121" t="s">
        <v>257</v>
      </c>
    </row>
    <row r="398" spans="53:63" x14ac:dyDescent="0.3">
      <c r="BA398" s="252">
        <v>391</v>
      </c>
      <c r="BB398" s="253">
        <v>135000</v>
      </c>
      <c r="BC398" s="253">
        <v>108000</v>
      </c>
      <c r="BD398" s="253">
        <v>120000</v>
      </c>
      <c r="BE398" s="253">
        <v>85000</v>
      </c>
      <c r="BF398" s="253">
        <v>108000</v>
      </c>
      <c r="BK398" s="121" t="s">
        <v>257</v>
      </c>
    </row>
    <row r="399" spans="53:63" x14ac:dyDescent="0.3">
      <c r="BA399" s="252">
        <v>392</v>
      </c>
      <c r="BB399" s="253">
        <v>135000</v>
      </c>
      <c r="BC399" s="253">
        <v>108000</v>
      </c>
      <c r="BD399" s="253">
        <v>120000</v>
      </c>
      <c r="BE399" s="253">
        <v>85000</v>
      </c>
      <c r="BF399" s="253">
        <v>108000</v>
      </c>
      <c r="BK399" s="121" t="s">
        <v>257</v>
      </c>
    </row>
    <row r="400" spans="53:63" x14ac:dyDescent="0.3">
      <c r="BA400" s="252">
        <v>393</v>
      </c>
      <c r="BB400" s="253">
        <v>135000</v>
      </c>
      <c r="BC400" s="253">
        <v>108000</v>
      </c>
      <c r="BD400" s="253">
        <v>120000</v>
      </c>
      <c r="BE400" s="253">
        <v>85000</v>
      </c>
      <c r="BF400" s="253">
        <v>108000</v>
      </c>
      <c r="BK400" s="121" t="s">
        <v>257</v>
      </c>
    </row>
    <row r="401" spans="53:63" x14ac:dyDescent="0.3">
      <c r="BA401" s="252">
        <v>394</v>
      </c>
      <c r="BB401" s="253">
        <v>135000</v>
      </c>
      <c r="BC401" s="253">
        <v>108000</v>
      </c>
      <c r="BD401" s="253">
        <v>120000</v>
      </c>
      <c r="BE401" s="253">
        <v>85000</v>
      </c>
      <c r="BF401" s="253">
        <v>108000</v>
      </c>
      <c r="BK401" s="121" t="s">
        <v>257</v>
      </c>
    </row>
    <row r="402" spans="53:63" x14ac:dyDescent="0.3">
      <c r="BA402" s="252">
        <v>395</v>
      </c>
      <c r="BB402" s="253">
        <v>135000</v>
      </c>
      <c r="BC402" s="253">
        <v>108000</v>
      </c>
      <c r="BD402" s="253">
        <v>120000</v>
      </c>
      <c r="BE402" s="253">
        <v>85000</v>
      </c>
      <c r="BF402" s="253">
        <v>108000</v>
      </c>
      <c r="BK402" s="121" t="s">
        <v>257</v>
      </c>
    </row>
    <row r="403" spans="53:63" x14ac:dyDescent="0.3">
      <c r="BA403" s="252">
        <v>396</v>
      </c>
      <c r="BB403" s="253">
        <v>135000</v>
      </c>
      <c r="BC403" s="253">
        <v>108000</v>
      </c>
      <c r="BD403" s="253">
        <v>120000</v>
      </c>
      <c r="BE403" s="253">
        <v>85000</v>
      </c>
      <c r="BF403" s="253">
        <v>108000</v>
      </c>
      <c r="BK403" s="121" t="s">
        <v>257</v>
      </c>
    </row>
    <row r="404" spans="53:63" x14ac:dyDescent="0.3">
      <c r="BA404" s="252">
        <v>397</v>
      </c>
      <c r="BB404" s="253">
        <v>135000</v>
      </c>
      <c r="BC404" s="253">
        <v>108000</v>
      </c>
      <c r="BD404" s="253">
        <v>120000</v>
      </c>
      <c r="BE404" s="253">
        <v>85000</v>
      </c>
      <c r="BF404" s="253">
        <v>108000</v>
      </c>
      <c r="BK404" s="121" t="s">
        <v>257</v>
      </c>
    </row>
    <row r="405" spans="53:63" x14ac:dyDescent="0.3">
      <c r="BA405" s="252">
        <v>398</v>
      </c>
      <c r="BB405" s="253">
        <v>135000</v>
      </c>
      <c r="BC405" s="253">
        <v>108000</v>
      </c>
      <c r="BD405" s="253">
        <v>120000</v>
      </c>
      <c r="BE405" s="253">
        <v>85000</v>
      </c>
      <c r="BF405" s="253">
        <v>108000</v>
      </c>
      <c r="BK405" s="121" t="s">
        <v>257</v>
      </c>
    </row>
    <row r="406" spans="53:63" x14ac:dyDescent="0.3">
      <c r="BA406" s="252">
        <v>399</v>
      </c>
      <c r="BB406" s="253">
        <v>135000</v>
      </c>
      <c r="BC406" s="253">
        <v>108000</v>
      </c>
      <c r="BD406" s="253">
        <v>120000</v>
      </c>
      <c r="BE406" s="253">
        <v>85000</v>
      </c>
      <c r="BF406" s="253">
        <v>108000</v>
      </c>
      <c r="BK406" s="121" t="s">
        <v>257</v>
      </c>
    </row>
    <row r="407" spans="53:63" x14ac:dyDescent="0.3">
      <c r="BA407" s="252">
        <v>400</v>
      </c>
      <c r="BB407" s="253">
        <v>135000</v>
      </c>
      <c r="BC407" s="253">
        <v>99000</v>
      </c>
      <c r="BD407" s="253">
        <v>110000</v>
      </c>
      <c r="BE407" s="253">
        <v>85000</v>
      </c>
      <c r="BF407" s="253">
        <v>99000</v>
      </c>
      <c r="BK407" s="121" t="s">
        <v>257</v>
      </c>
    </row>
    <row r="408" spans="53:63" x14ac:dyDescent="0.3">
      <c r="BA408" s="252">
        <v>401</v>
      </c>
      <c r="BB408" s="253">
        <v>135000</v>
      </c>
      <c r="BC408" s="253">
        <v>99000</v>
      </c>
      <c r="BD408" s="253">
        <v>110000</v>
      </c>
      <c r="BE408" s="253">
        <v>85000</v>
      </c>
      <c r="BF408" s="253">
        <v>99000</v>
      </c>
      <c r="BK408" s="121" t="s">
        <v>257</v>
      </c>
    </row>
    <row r="409" spans="53:63" x14ac:dyDescent="0.3">
      <c r="BA409" s="252">
        <v>402</v>
      </c>
      <c r="BB409" s="253">
        <v>135000</v>
      </c>
      <c r="BC409" s="253">
        <v>99000</v>
      </c>
      <c r="BD409" s="253">
        <v>110000</v>
      </c>
      <c r="BE409" s="253">
        <v>85000</v>
      </c>
      <c r="BF409" s="253">
        <v>99000</v>
      </c>
      <c r="BK409" s="121" t="s">
        <v>257</v>
      </c>
    </row>
    <row r="410" spans="53:63" x14ac:dyDescent="0.3">
      <c r="BA410" s="252">
        <v>403</v>
      </c>
      <c r="BB410" s="253">
        <v>135000</v>
      </c>
      <c r="BC410" s="253">
        <v>99000</v>
      </c>
      <c r="BD410" s="253">
        <v>110000</v>
      </c>
      <c r="BE410" s="253">
        <v>85000</v>
      </c>
      <c r="BF410" s="253">
        <v>99000</v>
      </c>
      <c r="BK410" s="121" t="s">
        <v>257</v>
      </c>
    </row>
    <row r="411" spans="53:63" x14ac:dyDescent="0.3">
      <c r="BA411" s="252">
        <v>404</v>
      </c>
      <c r="BB411" s="253">
        <v>135000</v>
      </c>
      <c r="BC411" s="253">
        <v>99000</v>
      </c>
      <c r="BD411" s="253">
        <v>110000</v>
      </c>
      <c r="BE411" s="253">
        <v>85000</v>
      </c>
      <c r="BF411" s="253">
        <v>99000</v>
      </c>
      <c r="BK411" s="121" t="s">
        <v>257</v>
      </c>
    </row>
    <row r="412" spans="53:63" x14ac:dyDescent="0.3">
      <c r="BA412" s="252">
        <v>405</v>
      </c>
      <c r="BB412" s="253">
        <v>135000</v>
      </c>
      <c r="BC412" s="253">
        <v>99000</v>
      </c>
      <c r="BD412" s="253">
        <v>110000</v>
      </c>
      <c r="BE412" s="253">
        <v>85000</v>
      </c>
      <c r="BF412" s="253">
        <v>99000</v>
      </c>
      <c r="BK412" s="121" t="s">
        <v>257</v>
      </c>
    </row>
    <row r="413" spans="53:63" x14ac:dyDescent="0.3">
      <c r="BA413" s="252">
        <v>406</v>
      </c>
      <c r="BB413" s="253">
        <v>135000</v>
      </c>
      <c r="BC413" s="253">
        <v>99000</v>
      </c>
      <c r="BD413" s="253">
        <v>110000</v>
      </c>
      <c r="BE413" s="253">
        <v>85000</v>
      </c>
      <c r="BF413" s="253">
        <v>99000</v>
      </c>
      <c r="BK413" s="121" t="s">
        <v>257</v>
      </c>
    </row>
    <row r="414" spans="53:63" x14ac:dyDescent="0.3">
      <c r="BA414" s="252">
        <v>407</v>
      </c>
      <c r="BB414" s="253">
        <v>135000</v>
      </c>
      <c r="BC414" s="253">
        <v>99000</v>
      </c>
      <c r="BD414" s="253">
        <v>110000</v>
      </c>
      <c r="BE414" s="253">
        <v>85000</v>
      </c>
      <c r="BF414" s="253">
        <v>99000</v>
      </c>
      <c r="BK414" s="121" t="s">
        <v>257</v>
      </c>
    </row>
    <row r="415" spans="53:63" x14ac:dyDescent="0.3">
      <c r="BA415" s="252">
        <v>408</v>
      </c>
      <c r="BB415" s="253">
        <v>135000</v>
      </c>
      <c r="BC415" s="253">
        <v>99000</v>
      </c>
      <c r="BD415" s="253">
        <v>110000</v>
      </c>
      <c r="BE415" s="253">
        <v>85000</v>
      </c>
      <c r="BF415" s="253">
        <v>99000</v>
      </c>
      <c r="BK415" s="121" t="s">
        <v>257</v>
      </c>
    </row>
    <row r="416" spans="53:63" x14ac:dyDescent="0.3">
      <c r="BA416" s="252">
        <v>409</v>
      </c>
      <c r="BB416" s="253">
        <v>135000</v>
      </c>
      <c r="BC416" s="253">
        <v>99000</v>
      </c>
      <c r="BD416" s="253">
        <v>110000</v>
      </c>
      <c r="BE416" s="253">
        <v>85000</v>
      </c>
      <c r="BF416" s="253">
        <v>99000</v>
      </c>
      <c r="BK416" s="121" t="s">
        <v>257</v>
      </c>
    </row>
    <row r="417" spans="53:63" x14ac:dyDescent="0.3">
      <c r="BA417" s="252">
        <v>410</v>
      </c>
      <c r="BB417" s="253">
        <v>135000</v>
      </c>
      <c r="BC417" s="253">
        <v>99000</v>
      </c>
      <c r="BD417" s="253">
        <v>110000</v>
      </c>
      <c r="BE417" s="253">
        <v>85000</v>
      </c>
      <c r="BF417" s="253">
        <v>99000</v>
      </c>
      <c r="BK417" s="121" t="s">
        <v>257</v>
      </c>
    </row>
    <row r="418" spans="53:63" x14ac:dyDescent="0.3">
      <c r="BA418" s="252">
        <v>411</v>
      </c>
      <c r="BB418" s="253">
        <v>135000</v>
      </c>
      <c r="BC418" s="253">
        <v>99000</v>
      </c>
      <c r="BD418" s="253">
        <v>110000</v>
      </c>
      <c r="BE418" s="253">
        <v>85000</v>
      </c>
      <c r="BF418" s="253">
        <v>99000</v>
      </c>
      <c r="BK418" s="121" t="s">
        <v>257</v>
      </c>
    </row>
    <row r="419" spans="53:63" x14ac:dyDescent="0.3">
      <c r="BA419" s="252">
        <v>412</v>
      </c>
      <c r="BB419" s="253">
        <v>135000</v>
      </c>
      <c r="BC419" s="253">
        <v>99000</v>
      </c>
      <c r="BD419" s="253">
        <v>110000</v>
      </c>
      <c r="BE419" s="253">
        <v>85000</v>
      </c>
      <c r="BF419" s="253">
        <v>99000</v>
      </c>
      <c r="BK419" s="121" t="s">
        <v>257</v>
      </c>
    </row>
    <row r="420" spans="53:63" x14ac:dyDescent="0.3">
      <c r="BA420" s="252">
        <v>413</v>
      </c>
      <c r="BB420" s="253">
        <v>135000</v>
      </c>
      <c r="BC420" s="253">
        <v>99000</v>
      </c>
      <c r="BD420" s="253">
        <v>110000</v>
      </c>
      <c r="BE420" s="253">
        <v>85000</v>
      </c>
      <c r="BF420" s="253">
        <v>99000</v>
      </c>
      <c r="BK420" s="121" t="s">
        <v>257</v>
      </c>
    </row>
    <row r="421" spans="53:63" x14ac:dyDescent="0.3">
      <c r="BA421" s="252">
        <v>414</v>
      </c>
      <c r="BB421" s="253">
        <v>135000</v>
      </c>
      <c r="BC421" s="253">
        <v>99000</v>
      </c>
      <c r="BD421" s="253">
        <v>110000</v>
      </c>
      <c r="BE421" s="253">
        <v>85000</v>
      </c>
      <c r="BF421" s="253">
        <v>99000</v>
      </c>
      <c r="BK421" s="121" t="s">
        <v>257</v>
      </c>
    </row>
    <row r="422" spans="53:63" x14ac:dyDescent="0.3">
      <c r="BA422" s="252">
        <v>415</v>
      </c>
      <c r="BB422" s="253">
        <v>135000</v>
      </c>
      <c r="BC422" s="253">
        <v>99000</v>
      </c>
      <c r="BD422" s="253">
        <v>110000</v>
      </c>
      <c r="BE422" s="253">
        <v>85000</v>
      </c>
      <c r="BF422" s="253">
        <v>99000</v>
      </c>
      <c r="BK422" s="121" t="s">
        <v>257</v>
      </c>
    </row>
    <row r="423" spans="53:63" x14ac:dyDescent="0.3">
      <c r="BA423" s="252">
        <v>416</v>
      </c>
      <c r="BB423" s="253">
        <v>135000</v>
      </c>
      <c r="BC423" s="253">
        <v>99000</v>
      </c>
      <c r="BD423" s="253">
        <v>110000</v>
      </c>
      <c r="BE423" s="253">
        <v>85000</v>
      </c>
      <c r="BF423" s="253">
        <v>99000</v>
      </c>
      <c r="BK423" s="121" t="s">
        <v>257</v>
      </c>
    </row>
    <row r="424" spans="53:63" x14ac:dyDescent="0.3">
      <c r="BA424" s="252">
        <v>417</v>
      </c>
      <c r="BB424" s="253">
        <v>135000</v>
      </c>
      <c r="BC424" s="253">
        <v>99000</v>
      </c>
      <c r="BD424" s="253">
        <v>110000</v>
      </c>
      <c r="BE424" s="253">
        <v>85000</v>
      </c>
      <c r="BF424" s="253">
        <v>99000</v>
      </c>
      <c r="BK424" s="121" t="s">
        <v>257</v>
      </c>
    </row>
    <row r="425" spans="53:63" x14ac:dyDescent="0.3">
      <c r="BA425" s="252">
        <v>418</v>
      </c>
      <c r="BB425" s="253">
        <v>135000</v>
      </c>
      <c r="BC425" s="253">
        <v>99000</v>
      </c>
      <c r="BD425" s="253">
        <v>110000</v>
      </c>
      <c r="BE425" s="253">
        <v>85000</v>
      </c>
      <c r="BF425" s="253">
        <v>99000</v>
      </c>
      <c r="BK425" s="121" t="s">
        <v>257</v>
      </c>
    </row>
    <row r="426" spans="53:63" x14ac:dyDescent="0.3">
      <c r="BA426" s="252">
        <v>419</v>
      </c>
      <c r="BB426" s="253">
        <v>135000</v>
      </c>
      <c r="BC426" s="253">
        <v>99000</v>
      </c>
      <c r="BD426" s="253">
        <v>110000</v>
      </c>
      <c r="BE426" s="253">
        <v>85000</v>
      </c>
      <c r="BF426" s="253">
        <v>99000</v>
      </c>
      <c r="BK426" s="121" t="s">
        <v>257</v>
      </c>
    </row>
    <row r="427" spans="53:63" x14ac:dyDescent="0.3">
      <c r="BA427" s="252">
        <v>420</v>
      </c>
      <c r="BB427" s="253">
        <v>135000</v>
      </c>
      <c r="BC427" s="253">
        <v>99000</v>
      </c>
      <c r="BD427" s="253">
        <v>110000</v>
      </c>
      <c r="BE427" s="253">
        <v>85000</v>
      </c>
      <c r="BF427" s="253">
        <v>99000</v>
      </c>
      <c r="BK427" s="121" t="s">
        <v>257</v>
      </c>
    </row>
    <row r="428" spans="53:63" x14ac:dyDescent="0.3">
      <c r="BA428" s="252">
        <v>421</v>
      </c>
      <c r="BB428" s="253">
        <v>135000</v>
      </c>
      <c r="BC428" s="253">
        <v>99000</v>
      </c>
      <c r="BD428" s="253">
        <v>110000</v>
      </c>
      <c r="BE428" s="253">
        <v>85000</v>
      </c>
      <c r="BF428" s="253">
        <v>99000</v>
      </c>
      <c r="BK428" s="121" t="s">
        <v>257</v>
      </c>
    </row>
    <row r="429" spans="53:63" x14ac:dyDescent="0.3">
      <c r="BA429" s="252">
        <v>422</v>
      </c>
      <c r="BB429" s="253">
        <v>135000</v>
      </c>
      <c r="BC429" s="253">
        <v>99000</v>
      </c>
      <c r="BD429" s="253">
        <v>110000</v>
      </c>
      <c r="BE429" s="253">
        <v>85000</v>
      </c>
      <c r="BF429" s="253">
        <v>99000</v>
      </c>
      <c r="BK429" s="121" t="s">
        <v>257</v>
      </c>
    </row>
    <row r="430" spans="53:63" x14ac:dyDescent="0.3">
      <c r="BA430" s="252">
        <v>423</v>
      </c>
      <c r="BB430" s="253">
        <v>135000</v>
      </c>
      <c r="BC430" s="253">
        <v>99000</v>
      </c>
      <c r="BD430" s="253">
        <v>110000</v>
      </c>
      <c r="BE430" s="253">
        <v>85000</v>
      </c>
      <c r="BF430" s="253">
        <v>99000</v>
      </c>
      <c r="BK430" s="121" t="s">
        <v>257</v>
      </c>
    </row>
    <row r="431" spans="53:63" x14ac:dyDescent="0.3">
      <c r="BA431" s="252">
        <v>424</v>
      </c>
      <c r="BB431" s="253">
        <v>135000</v>
      </c>
      <c r="BC431" s="253">
        <v>99000</v>
      </c>
      <c r="BD431" s="253">
        <v>110000</v>
      </c>
      <c r="BE431" s="253">
        <v>85000</v>
      </c>
      <c r="BF431" s="253">
        <v>99000</v>
      </c>
      <c r="BK431" s="121" t="s">
        <v>257</v>
      </c>
    </row>
    <row r="432" spans="53:63" x14ac:dyDescent="0.3">
      <c r="BA432" s="252">
        <v>425</v>
      </c>
      <c r="BB432" s="253">
        <v>135000</v>
      </c>
      <c r="BC432" s="253">
        <v>99000</v>
      </c>
      <c r="BD432" s="253">
        <v>110000</v>
      </c>
      <c r="BE432" s="253">
        <v>85000</v>
      </c>
      <c r="BF432" s="253">
        <v>99000</v>
      </c>
      <c r="BK432" s="121" t="s">
        <v>257</v>
      </c>
    </row>
    <row r="433" spans="53:63" x14ac:dyDescent="0.3">
      <c r="BA433" s="252">
        <v>426</v>
      </c>
      <c r="BB433" s="253">
        <v>135000</v>
      </c>
      <c r="BC433" s="253">
        <v>99000</v>
      </c>
      <c r="BD433" s="253">
        <v>110000</v>
      </c>
      <c r="BE433" s="253">
        <v>85000</v>
      </c>
      <c r="BF433" s="253">
        <v>99000</v>
      </c>
      <c r="BK433" s="121" t="s">
        <v>257</v>
      </c>
    </row>
    <row r="434" spans="53:63" x14ac:dyDescent="0.3">
      <c r="BA434" s="252">
        <v>427</v>
      </c>
      <c r="BB434" s="253">
        <v>135000</v>
      </c>
      <c r="BC434" s="253">
        <v>99000</v>
      </c>
      <c r="BD434" s="253">
        <v>110000</v>
      </c>
      <c r="BE434" s="253">
        <v>85000</v>
      </c>
      <c r="BF434" s="253">
        <v>99000</v>
      </c>
      <c r="BK434" s="121" t="s">
        <v>257</v>
      </c>
    </row>
    <row r="435" spans="53:63" x14ac:dyDescent="0.3">
      <c r="BA435" s="252">
        <v>428</v>
      </c>
      <c r="BB435" s="253">
        <v>135000</v>
      </c>
      <c r="BC435" s="253">
        <v>99000</v>
      </c>
      <c r="BD435" s="253">
        <v>110000</v>
      </c>
      <c r="BE435" s="253">
        <v>85000</v>
      </c>
      <c r="BF435" s="253">
        <v>99000</v>
      </c>
      <c r="BK435" s="121" t="s">
        <v>257</v>
      </c>
    </row>
    <row r="436" spans="53:63" x14ac:dyDescent="0.3">
      <c r="BA436" s="252">
        <v>429</v>
      </c>
      <c r="BB436" s="253">
        <v>135000</v>
      </c>
      <c r="BC436" s="253">
        <v>99000</v>
      </c>
      <c r="BD436" s="253">
        <v>110000</v>
      </c>
      <c r="BE436" s="253">
        <v>85000</v>
      </c>
      <c r="BF436" s="253">
        <v>99000</v>
      </c>
      <c r="BK436" s="121" t="s">
        <v>257</v>
      </c>
    </row>
    <row r="437" spans="53:63" x14ac:dyDescent="0.3">
      <c r="BA437" s="252">
        <v>430</v>
      </c>
      <c r="BB437" s="253">
        <v>135000</v>
      </c>
      <c r="BC437" s="253">
        <v>99000</v>
      </c>
      <c r="BD437" s="253">
        <v>110000</v>
      </c>
      <c r="BE437" s="253">
        <v>85000</v>
      </c>
      <c r="BF437" s="253">
        <v>99000</v>
      </c>
      <c r="BK437" s="121" t="s">
        <v>257</v>
      </c>
    </row>
    <row r="438" spans="53:63" x14ac:dyDescent="0.3">
      <c r="BA438" s="252">
        <v>431</v>
      </c>
      <c r="BB438" s="253">
        <v>135000</v>
      </c>
      <c r="BC438" s="253">
        <v>99000</v>
      </c>
      <c r="BD438" s="253">
        <v>110000</v>
      </c>
      <c r="BE438" s="253">
        <v>85000</v>
      </c>
      <c r="BF438" s="253">
        <v>99000</v>
      </c>
      <c r="BK438" s="121" t="s">
        <v>257</v>
      </c>
    </row>
    <row r="439" spans="53:63" x14ac:dyDescent="0.3">
      <c r="BA439" s="252">
        <v>432</v>
      </c>
      <c r="BB439" s="253">
        <v>135000</v>
      </c>
      <c r="BC439" s="253">
        <v>99000</v>
      </c>
      <c r="BD439" s="253">
        <v>110000</v>
      </c>
      <c r="BE439" s="253">
        <v>85000</v>
      </c>
      <c r="BF439" s="253">
        <v>99000</v>
      </c>
      <c r="BK439" s="121" t="s">
        <v>257</v>
      </c>
    </row>
    <row r="440" spans="53:63" x14ac:dyDescent="0.3">
      <c r="BA440" s="252">
        <v>433</v>
      </c>
      <c r="BB440" s="253">
        <v>135000</v>
      </c>
      <c r="BC440" s="253">
        <v>99000</v>
      </c>
      <c r="BD440" s="253">
        <v>110000</v>
      </c>
      <c r="BE440" s="253">
        <v>85000</v>
      </c>
      <c r="BF440" s="253">
        <v>99000</v>
      </c>
      <c r="BK440" s="121" t="s">
        <v>257</v>
      </c>
    </row>
    <row r="441" spans="53:63" x14ac:dyDescent="0.3">
      <c r="BA441" s="252">
        <v>434</v>
      </c>
      <c r="BB441" s="253">
        <v>135000</v>
      </c>
      <c r="BC441" s="253">
        <v>99000</v>
      </c>
      <c r="BD441" s="253">
        <v>110000</v>
      </c>
      <c r="BE441" s="253">
        <v>85000</v>
      </c>
      <c r="BF441" s="253">
        <v>99000</v>
      </c>
      <c r="BK441" s="121" t="s">
        <v>257</v>
      </c>
    </row>
    <row r="442" spans="53:63" x14ac:dyDescent="0.3">
      <c r="BA442" s="252">
        <v>435</v>
      </c>
      <c r="BB442" s="253">
        <v>135000</v>
      </c>
      <c r="BC442" s="253">
        <v>99000</v>
      </c>
      <c r="BD442" s="253">
        <v>110000</v>
      </c>
      <c r="BE442" s="253">
        <v>85000</v>
      </c>
      <c r="BF442" s="253">
        <v>99000</v>
      </c>
      <c r="BK442" s="121" t="s">
        <v>257</v>
      </c>
    </row>
    <row r="443" spans="53:63" x14ac:dyDescent="0.3">
      <c r="BA443" s="252">
        <v>436</v>
      </c>
      <c r="BB443" s="253">
        <v>135000</v>
      </c>
      <c r="BC443" s="253">
        <v>99000</v>
      </c>
      <c r="BD443" s="253">
        <v>110000</v>
      </c>
      <c r="BE443" s="253">
        <v>85000</v>
      </c>
      <c r="BF443" s="253">
        <v>99000</v>
      </c>
      <c r="BK443" s="121" t="s">
        <v>257</v>
      </c>
    </row>
    <row r="444" spans="53:63" x14ac:dyDescent="0.3">
      <c r="BA444" s="252">
        <v>437</v>
      </c>
      <c r="BB444" s="253">
        <v>135000</v>
      </c>
      <c r="BC444" s="253">
        <v>99000</v>
      </c>
      <c r="BD444" s="253">
        <v>110000</v>
      </c>
      <c r="BE444" s="253">
        <v>85000</v>
      </c>
      <c r="BF444" s="253">
        <v>99000</v>
      </c>
      <c r="BK444" s="121" t="s">
        <v>257</v>
      </c>
    </row>
    <row r="445" spans="53:63" x14ac:dyDescent="0.3">
      <c r="BA445" s="252">
        <v>438</v>
      </c>
      <c r="BB445" s="253">
        <v>135000</v>
      </c>
      <c r="BC445" s="253">
        <v>99000</v>
      </c>
      <c r="BD445" s="253">
        <v>110000</v>
      </c>
      <c r="BE445" s="253">
        <v>85000</v>
      </c>
      <c r="BF445" s="253">
        <v>99000</v>
      </c>
      <c r="BK445" s="121" t="s">
        <v>257</v>
      </c>
    </row>
    <row r="446" spans="53:63" x14ac:dyDescent="0.3">
      <c r="BA446" s="252">
        <v>439</v>
      </c>
      <c r="BB446" s="253">
        <v>135000</v>
      </c>
      <c r="BC446" s="253">
        <v>99000</v>
      </c>
      <c r="BD446" s="253">
        <v>110000</v>
      </c>
      <c r="BE446" s="253">
        <v>85000</v>
      </c>
      <c r="BF446" s="253">
        <v>99000</v>
      </c>
      <c r="BK446" s="121" t="s">
        <v>257</v>
      </c>
    </row>
    <row r="447" spans="53:63" x14ac:dyDescent="0.3">
      <c r="BA447" s="252">
        <v>440</v>
      </c>
      <c r="BB447" s="253">
        <v>135000</v>
      </c>
      <c r="BC447" s="253">
        <v>99000</v>
      </c>
      <c r="BD447" s="253">
        <v>110000</v>
      </c>
      <c r="BE447" s="253">
        <v>85000</v>
      </c>
      <c r="BF447" s="253">
        <v>99000</v>
      </c>
      <c r="BK447" s="121" t="s">
        <v>257</v>
      </c>
    </row>
    <row r="448" spans="53:63" x14ac:dyDescent="0.3">
      <c r="BA448" s="252">
        <v>441</v>
      </c>
      <c r="BB448" s="253">
        <v>135000</v>
      </c>
      <c r="BC448" s="253">
        <v>99000</v>
      </c>
      <c r="BD448" s="253">
        <v>110000</v>
      </c>
      <c r="BE448" s="253">
        <v>85000</v>
      </c>
      <c r="BF448" s="253">
        <v>99000</v>
      </c>
      <c r="BK448" s="121" t="s">
        <v>257</v>
      </c>
    </row>
    <row r="449" spans="53:63" x14ac:dyDescent="0.3">
      <c r="BA449" s="252">
        <v>442</v>
      </c>
      <c r="BB449" s="253">
        <v>135000</v>
      </c>
      <c r="BC449" s="253">
        <v>99000</v>
      </c>
      <c r="BD449" s="253">
        <v>110000</v>
      </c>
      <c r="BE449" s="253">
        <v>85000</v>
      </c>
      <c r="BF449" s="253">
        <v>99000</v>
      </c>
      <c r="BK449" s="121" t="s">
        <v>257</v>
      </c>
    </row>
    <row r="450" spans="53:63" x14ac:dyDescent="0.3">
      <c r="BA450" s="252">
        <v>443</v>
      </c>
      <c r="BB450" s="253">
        <v>135000</v>
      </c>
      <c r="BC450" s="253">
        <v>99000</v>
      </c>
      <c r="BD450" s="253">
        <v>110000</v>
      </c>
      <c r="BE450" s="253">
        <v>85000</v>
      </c>
      <c r="BF450" s="253">
        <v>99000</v>
      </c>
      <c r="BK450" s="121" t="s">
        <v>257</v>
      </c>
    </row>
    <row r="451" spans="53:63" x14ac:dyDescent="0.3">
      <c r="BA451" s="252">
        <v>444</v>
      </c>
      <c r="BB451" s="253">
        <v>135000</v>
      </c>
      <c r="BC451" s="253">
        <v>99000</v>
      </c>
      <c r="BD451" s="253">
        <v>110000</v>
      </c>
      <c r="BE451" s="253">
        <v>85000</v>
      </c>
      <c r="BF451" s="253">
        <v>99000</v>
      </c>
      <c r="BK451" s="121" t="s">
        <v>257</v>
      </c>
    </row>
    <row r="452" spans="53:63" x14ac:dyDescent="0.3">
      <c r="BA452" s="252">
        <v>445</v>
      </c>
      <c r="BB452" s="253">
        <v>135000</v>
      </c>
      <c r="BC452" s="253">
        <v>99000</v>
      </c>
      <c r="BD452" s="253">
        <v>110000</v>
      </c>
      <c r="BE452" s="253">
        <v>85000</v>
      </c>
      <c r="BF452" s="253">
        <v>99000</v>
      </c>
      <c r="BK452" s="121" t="s">
        <v>257</v>
      </c>
    </row>
    <row r="453" spans="53:63" x14ac:dyDescent="0.3">
      <c r="BA453" s="252">
        <v>446</v>
      </c>
      <c r="BB453" s="253">
        <v>135000</v>
      </c>
      <c r="BC453" s="253">
        <v>99000</v>
      </c>
      <c r="BD453" s="253">
        <v>110000</v>
      </c>
      <c r="BE453" s="253">
        <v>85000</v>
      </c>
      <c r="BF453" s="253">
        <v>99000</v>
      </c>
      <c r="BK453" s="121" t="s">
        <v>257</v>
      </c>
    </row>
    <row r="454" spans="53:63" x14ac:dyDescent="0.3">
      <c r="BA454" s="252">
        <v>447</v>
      </c>
      <c r="BB454" s="253">
        <v>135000</v>
      </c>
      <c r="BC454" s="253">
        <v>99000</v>
      </c>
      <c r="BD454" s="253">
        <v>110000</v>
      </c>
      <c r="BE454" s="253">
        <v>85000</v>
      </c>
      <c r="BF454" s="253">
        <v>99000</v>
      </c>
      <c r="BK454" s="121" t="s">
        <v>257</v>
      </c>
    </row>
    <row r="455" spans="53:63" x14ac:dyDescent="0.3">
      <c r="BA455" s="252">
        <v>448</v>
      </c>
      <c r="BB455" s="253">
        <v>135000</v>
      </c>
      <c r="BC455" s="253">
        <v>99000</v>
      </c>
      <c r="BD455" s="253">
        <v>110000</v>
      </c>
      <c r="BE455" s="253">
        <v>85000</v>
      </c>
      <c r="BF455" s="253">
        <v>99000</v>
      </c>
      <c r="BK455" s="121" t="s">
        <v>257</v>
      </c>
    </row>
    <row r="456" spans="53:63" x14ac:dyDescent="0.3">
      <c r="BA456" s="252">
        <v>449</v>
      </c>
      <c r="BB456" s="253">
        <v>135000</v>
      </c>
      <c r="BC456" s="253">
        <v>99000</v>
      </c>
      <c r="BD456" s="253">
        <v>110000</v>
      </c>
      <c r="BE456" s="253">
        <v>85000</v>
      </c>
      <c r="BF456" s="253">
        <v>99000</v>
      </c>
      <c r="BK456" s="121" t="s">
        <v>257</v>
      </c>
    </row>
    <row r="457" spans="53:63" x14ac:dyDescent="0.3">
      <c r="BA457" s="252">
        <v>450</v>
      </c>
      <c r="BB457" s="253">
        <v>135000</v>
      </c>
      <c r="BC457" s="253">
        <v>99000</v>
      </c>
      <c r="BD457" s="253">
        <v>110000</v>
      </c>
      <c r="BE457" s="253">
        <v>85000</v>
      </c>
      <c r="BF457" s="253">
        <v>99000</v>
      </c>
      <c r="BK457" s="121" t="s">
        <v>257</v>
      </c>
    </row>
    <row r="458" spans="53:63" x14ac:dyDescent="0.3">
      <c r="BA458" s="252">
        <v>451</v>
      </c>
      <c r="BB458" s="253">
        <v>135000</v>
      </c>
      <c r="BC458" s="253">
        <v>99000</v>
      </c>
      <c r="BD458" s="253">
        <v>110000</v>
      </c>
      <c r="BE458" s="253">
        <v>85000</v>
      </c>
      <c r="BF458" s="253">
        <v>99000</v>
      </c>
      <c r="BK458" s="121" t="s">
        <v>257</v>
      </c>
    </row>
    <row r="459" spans="53:63" x14ac:dyDescent="0.3">
      <c r="BA459" s="252">
        <v>452</v>
      </c>
      <c r="BB459" s="253">
        <v>135000</v>
      </c>
      <c r="BC459" s="253">
        <v>99000</v>
      </c>
      <c r="BD459" s="253">
        <v>110000</v>
      </c>
      <c r="BE459" s="253">
        <v>85000</v>
      </c>
      <c r="BF459" s="253">
        <v>99000</v>
      </c>
      <c r="BK459" s="121" t="s">
        <v>257</v>
      </c>
    </row>
    <row r="460" spans="53:63" x14ac:dyDescent="0.3">
      <c r="BA460" s="252">
        <v>453</v>
      </c>
      <c r="BB460" s="253">
        <v>135000</v>
      </c>
      <c r="BC460" s="253">
        <v>99000</v>
      </c>
      <c r="BD460" s="253">
        <v>110000</v>
      </c>
      <c r="BE460" s="253">
        <v>85000</v>
      </c>
      <c r="BF460" s="253">
        <v>99000</v>
      </c>
      <c r="BK460" s="121" t="s">
        <v>257</v>
      </c>
    </row>
    <row r="461" spans="53:63" x14ac:dyDescent="0.3">
      <c r="BA461" s="252">
        <v>454</v>
      </c>
      <c r="BB461" s="253">
        <v>135000</v>
      </c>
      <c r="BC461" s="253">
        <v>99000</v>
      </c>
      <c r="BD461" s="253">
        <v>110000</v>
      </c>
      <c r="BE461" s="253">
        <v>85000</v>
      </c>
      <c r="BF461" s="253">
        <v>99000</v>
      </c>
      <c r="BK461" s="121" t="s">
        <v>257</v>
      </c>
    </row>
    <row r="462" spans="53:63" x14ac:dyDescent="0.3">
      <c r="BA462" s="252">
        <v>455</v>
      </c>
      <c r="BB462" s="253">
        <v>135000</v>
      </c>
      <c r="BC462" s="253">
        <v>99000</v>
      </c>
      <c r="BD462" s="253">
        <v>110000</v>
      </c>
      <c r="BE462" s="253">
        <v>85000</v>
      </c>
      <c r="BF462" s="253">
        <v>99000</v>
      </c>
      <c r="BK462" s="121" t="s">
        <v>257</v>
      </c>
    </row>
    <row r="463" spans="53:63" x14ac:dyDescent="0.3">
      <c r="BA463" s="252">
        <v>456</v>
      </c>
      <c r="BB463" s="253">
        <v>135000</v>
      </c>
      <c r="BC463" s="253">
        <v>99000</v>
      </c>
      <c r="BD463" s="253">
        <v>110000</v>
      </c>
      <c r="BE463" s="253">
        <v>85000</v>
      </c>
      <c r="BF463" s="253">
        <v>99000</v>
      </c>
      <c r="BK463" s="121" t="s">
        <v>257</v>
      </c>
    </row>
    <row r="464" spans="53:63" x14ac:dyDescent="0.3">
      <c r="BA464" s="252">
        <v>457</v>
      </c>
      <c r="BB464" s="253">
        <v>135000</v>
      </c>
      <c r="BC464" s="253">
        <v>99000</v>
      </c>
      <c r="BD464" s="253">
        <v>110000</v>
      </c>
      <c r="BE464" s="253">
        <v>85000</v>
      </c>
      <c r="BF464" s="253">
        <v>99000</v>
      </c>
      <c r="BK464" s="121" t="s">
        <v>257</v>
      </c>
    </row>
    <row r="465" spans="53:63" x14ac:dyDescent="0.3">
      <c r="BA465" s="252">
        <v>458</v>
      </c>
      <c r="BB465" s="253">
        <v>135000</v>
      </c>
      <c r="BC465" s="253">
        <v>99000</v>
      </c>
      <c r="BD465" s="253">
        <v>110000</v>
      </c>
      <c r="BE465" s="253">
        <v>85000</v>
      </c>
      <c r="BF465" s="253">
        <v>99000</v>
      </c>
      <c r="BK465" s="121" t="s">
        <v>257</v>
      </c>
    </row>
    <row r="466" spans="53:63" x14ac:dyDescent="0.3">
      <c r="BA466" s="252">
        <v>459</v>
      </c>
      <c r="BB466" s="253">
        <v>135000</v>
      </c>
      <c r="BC466" s="253">
        <v>99000</v>
      </c>
      <c r="BD466" s="253">
        <v>110000</v>
      </c>
      <c r="BE466" s="253">
        <v>85000</v>
      </c>
      <c r="BF466" s="253">
        <v>99000</v>
      </c>
      <c r="BK466" s="121" t="s">
        <v>257</v>
      </c>
    </row>
    <row r="467" spans="53:63" x14ac:dyDescent="0.3">
      <c r="BA467" s="252">
        <v>460</v>
      </c>
      <c r="BB467" s="253">
        <v>135000</v>
      </c>
      <c r="BC467" s="253">
        <v>99000</v>
      </c>
      <c r="BD467" s="253">
        <v>110000</v>
      </c>
      <c r="BE467" s="253">
        <v>85000</v>
      </c>
      <c r="BF467" s="253">
        <v>99000</v>
      </c>
      <c r="BK467" s="121" t="s">
        <v>257</v>
      </c>
    </row>
    <row r="468" spans="53:63" x14ac:dyDescent="0.3">
      <c r="BA468" s="252">
        <v>461</v>
      </c>
      <c r="BB468" s="253">
        <v>135000</v>
      </c>
      <c r="BC468" s="253">
        <v>99000</v>
      </c>
      <c r="BD468" s="253">
        <v>110000</v>
      </c>
      <c r="BE468" s="253">
        <v>85000</v>
      </c>
      <c r="BF468" s="253">
        <v>99000</v>
      </c>
      <c r="BK468" s="121" t="s">
        <v>257</v>
      </c>
    </row>
    <row r="469" spans="53:63" x14ac:dyDescent="0.3">
      <c r="BA469" s="252">
        <v>462</v>
      </c>
      <c r="BB469" s="253">
        <v>135000</v>
      </c>
      <c r="BC469" s="253">
        <v>99000</v>
      </c>
      <c r="BD469" s="253">
        <v>110000</v>
      </c>
      <c r="BE469" s="253">
        <v>85000</v>
      </c>
      <c r="BF469" s="253">
        <v>99000</v>
      </c>
      <c r="BK469" s="121" t="s">
        <v>257</v>
      </c>
    </row>
    <row r="470" spans="53:63" x14ac:dyDescent="0.3">
      <c r="BA470" s="252">
        <v>463</v>
      </c>
      <c r="BB470" s="253">
        <v>135000</v>
      </c>
      <c r="BC470" s="253">
        <v>99000</v>
      </c>
      <c r="BD470" s="253">
        <v>110000</v>
      </c>
      <c r="BE470" s="253">
        <v>85000</v>
      </c>
      <c r="BF470" s="253">
        <v>99000</v>
      </c>
      <c r="BK470" s="121" t="s">
        <v>257</v>
      </c>
    </row>
    <row r="471" spans="53:63" x14ac:dyDescent="0.3">
      <c r="BA471" s="252">
        <v>464</v>
      </c>
      <c r="BB471" s="253">
        <v>135000</v>
      </c>
      <c r="BC471" s="253">
        <v>99000</v>
      </c>
      <c r="BD471" s="253">
        <v>110000</v>
      </c>
      <c r="BE471" s="253">
        <v>85000</v>
      </c>
      <c r="BF471" s="253">
        <v>99000</v>
      </c>
      <c r="BK471" s="121" t="s">
        <v>257</v>
      </c>
    </row>
    <row r="472" spans="53:63" x14ac:dyDescent="0.3">
      <c r="BA472" s="252">
        <v>465</v>
      </c>
      <c r="BB472" s="253">
        <v>135000</v>
      </c>
      <c r="BC472" s="253">
        <v>99000</v>
      </c>
      <c r="BD472" s="253">
        <v>110000</v>
      </c>
      <c r="BE472" s="253">
        <v>85000</v>
      </c>
      <c r="BF472" s="253">
        <v>99000</v>
      </c>
      <c r="BK472" s="121" t="s">
        <v>257</v>
      </c>
    </row>
    <row r="473" spans="53:63" x14ac:dyDescent="0.3">
      <c r="BA473" s="252">
        <v>466</v>
      </c>
      <c r="BB473" s="253">
        <v>135000</v>
      </c>
      <c r="BC473" s="253">
        <v>99000</v>
      </c>
      <c r="BD473" s="253">
        <v>110000</v>
      </c>
      <c r="BE473" s="253">
        <v>85000</v>
      </c>
      <c r="BF473" s="253">
        <v>99000</v>
      </c>
      <c r="BK473" s="121" t="s">
        <v>257</v>
      </c>
    </row>
    <row r="474" spans="53:63" x14ac:dyDescent="0.3">
      <c r="BA474" s="252">
        <v>467</v>
      </c>
      <c r="BB474" s="253">
        <v>135000</v>
      </c>
      <c r="BC474" s="253">
        <v>99000</v>
      </c>
      <c r="BD474" s="253">
        <v>110000</v>
      </c>
      <c r="BE474" s="253">
        <v>85000</v>
      </c>
      <c r="BF474" s="253">
        <v>99000</v>
      </c>
      <c r="BK474" s="121" t="s">
        <v>257</v>
      </c>
    </row>
    <row r="475" spans="53:63" x14ac:dyDescent="0.3">
      <c r="BA475" s="252">
        <v>468</v>
      </c>
      <c r="BB475" s="253">
        <v>135000</v>
      </c>
      <c r="BC475" s="253">
        <v>99000</v>
      </c>
      <c r="BD475" s="253">
        <v>110000</v>
      </c>
      <c r="BE475" s="253">
        <v>85000</v>
      </c>
      <c r="BF475" s="253">
        <v>99000</v>
      </c>
      <c r="BK475" s="121" t="s">
        <v>257</v>
      </c>
    </row>
    <row r="476" spans="53:63" x14ac:dyDescent="0.3">
      <c r="BA476" s="252">
        <v>469</v>
      </c>
      <c r="BB476" s="253">
        <v>135000</v>
      </c>
      <c r="BC476" s="253">
        <v>99000</v>
      </c>
      <c r="BD476" s="253">
        <v>110000</v>
      </c>
      <c r="BE476" s="253">
        <v>85000</v>
      </c>
      <c r="BF476" s="253">
        <v>99000</v>
      </c>
      <c r="BK476" s="121" t="s">
        <v>257</v>
      </c>
    </row>
    <row r="477" spans="53:63" x14ac:dyDescent="0.3">
      <c r="BA477" s="252">
        <v>470</v>
      </c>
      <c r="BB477" s="253">
        <v>135000</v>
      </c>
      <c r="BC477" s="253">
        <v>99000</v>
      </c>
      <c r="BD477" s="253">
        <v>110000</v>
      </c>
      <c r="BE477" s="253">
        <v>85000</v>
      </c>
      <c r="BF477" s="253">
        <v>99000</v>
      </c>
      <c r="BK477" s="121" t="s">
        <v>257</v>
      </c>
    </row>
    <row r="478" spans="53:63" x14ac:dyDescent="0.3">
      <c r="BA478" s="252">
        <v>471</v>
      </c>
      <c r="BB478" s="253">
        <v>135000</v>
      </c>
      <c r="BC478" s="253">
        <v>99000</v>
      </c>
      <c r="BD478" s="253">
        <v>110000</v>
      </c>
      <c r="BE478" s="253">
        <v>85000</v>
      </c>
      <c r="BF478" s="253">
        <v>99000</v>
      </c>
      <c r="BK478" s="121" t="s">
        <v>257</v>
      </c>
    </row>
    <row r="479" spans="53:63" x14ac:dyDescent="0.3">
      <c r="BA479" s="252">
        <v>472</v>
      </c>
      <c r="BB479" s="253">
        <v>135000</v>
      </c>
      <c r="BC479" s="253">
        <v>99000</v>
      </c>
      <c r="BD479" s="253">
        <v>110000</v>
      </c>
      <c r="BE479" s="253">
        <v>85000</v>
      </c>
      <c r="BF479" s="253">
        <v>99000</v>
      </c>
      <c r="BK479" s="121" t="s">
        <v>257</v>
      </c>
    </row>
    <row r="480" spans="53:63" x14ac:dyDescent="0.3">
      <c r="BA480" s="252">
        <v>473</v>
      </c>
      <c r="BB480" s="253">
        <v>135000</v>
      </c>
      <c r="BC480" s="253">
        <v>99000</v>
      </c>
      <c r="BD480" s="253">
        <v>110000</v>
      </c>
      <c r="BE480" s="253">
        <v>85000</v>
      </c>
      <c r="BF480" s="253">
        <v>99000</v>
      </c>
      <c r="BK480" s="121" t="s">
        <v>257</v>
      </c>
    </row>
    <row r="481" spans="53:63" x14ac:dyDescent="0.3">
      <c r="BA481" s="252">
        <v>474</v>
      </c>
      <c r="BB481" s="253">
        <v>135000</v>
      </c>
      <c r="BC481" s="253">
        <v>99000</v>
      </c>
      <c r="BD481" s="253">
        <v>110000</v>
      </c>
      <c r="BE481" s="253">
        <v>85000</v>
      </c>
      <c r="BF481" s="253">
        <v>99000</v>
      </c>
      <c r="BK481" s="121" t="s">
        <v>257</v>
      </c>
    </row>
    <row r="482" spans="53:63" x14ac:dyDescent="0.3">
      <c r="BA482" s="252">
        <v>475</v>
      </c>
      <c r="BB482" s="253">
        <v>135000</v>
      </c>
      <c r="BC482" s="253">
        <v>99000</v>
      </c>
      <c r="BD482" s="253">
        <v>110000</v>
      </c>
      <c r="BE482" s="253">
        <v>85000</v>
      </c>
      <c r="BF482" s="253">
        <v>99000</v>
      </c>
      <c r="BK482" s="121" t="s">
        <v>257</v>
      </c>
    </row>
    <row r="483" spans="53:63" x14ac:dyDescent="0.3">
      <c r="BA483" s="252">
        <v>476</v>
      </c>
      <c r="BB483" s="253">
        <v>135000</v>
      </c>
      <c r="BC483" s="253">
        <v>99000</v>
      </c>
      <c r="BD483" s="253">
        <v>110000</v>
      </c>
      <c r="BE483" s="253">
        <v>85000</v>
      </c>
      <c r="BF483" s="253">
        <v>99000</v>
      </c>
      <c r="BK483" s="121" t="s">
        <v>257</v>
      </c>
    </row>
    <row r="484" spans="53:63" x14ac:dyDescent="0.3">
      <c r="BA484" s="252">
        <v>477</v>
      </c>
      <c r="BB484" s="253">
        <v>135000</v>
      </c>
      <c r="BC484" s="253">
        <v>99000</v>
      </c>
      <c r="BD484" s="253">
        <v>110000</v>
      </c>
      <c r="BE484" s="253">
        <v>85000</v>
      </c>
      <c r="BF484" s="253">
        <v>99000</v>
      </c>
      <c r="BK484" s="121" t="s">
        <v>257</v>
      </c>
    </row>
    <row r="485" spans="53:63" x14ac:dyDescent="0.3">
      <c r="BA485" s="252">
        <v>478</v>
      </c>
      <c r="BB485" s="253">
        <v>135000</v>
      </c>
      <c r="BC485" s="253">
        <v>99000</v>
      </c>
      <c r="BD485" s="253">
        <v>110000</v>
      </c>
      <c r="BE485" s="253">
        <v>85000</v>
      </c>
      <c r="BF485" s="253">
        <v>99000</v>
      </c>
      <c r="BK485" s="121" t="s">
        <v>257</v>
      </c>
    </row>
    <row r="486" spans="53:63" x14ac:dyDescent="0.3">
      <c r="BA486" s="252">
        <v>479</v>
      </c>
      <c r="BB486" s="253">
        <v>135000</v>
      </c>
      <c r="BC486" s="253">
        <v>99000</v>
      </c>
      <c r="BD486" s="253">
        <v>110000</v>
      </c>
      <c r="BE486" s="253">
        <v>85000</v>
      </c>
      <c r="BF486" s="253">
        <v>99000</v>
      </c>
      <c r="BK486" s="121" t="s">
        <v>257</v>
      </c>
    </row>
    <row r="487" spans="53:63" x14ac:dyDescent="0.3">
      <c r="BA487" s="252">
        <v>480</v>
      </c>
      <c r="BB487" s="253">
        <v>135000</v>
      </c>
      <c r="BC487" s="253">
        <v>99000</v>
      </c>
      <c r="BD487" s="253">
        <v>110000</v>
      </c>
      <c r="BE487" s="253">
        <v>85000</v>
      </c>
      <c r="BF487" s="253">
        <v>99000</v>
      </c>
      <c r="BK487" s="121" t="s">
        <v>257</v>
      </c>
    </row>
    <row r="488" spans="53:63" x14ac:dyDescent="0.3">
      <c r="BA488" s="252">
        <v>481</v>
      </c>
      <c r="BB488" s="253">
        <v>135000</v>
      </c>
      <c r="BC488" s="253">
        <v>99000</v>
      </c>
      <c r="BD488" s="253">
        <v>110000</v>
      </c>
      <c r="BE488" s="253">
        <v>85000</v>
      </c>
      <c r="BF488" s="253">
        <v>99000</v>
      </c>
      <c r="BK488" s="121" t="s">
        <v>257</v>
      </c>
    </row>
    <row r="489" spans="53:63" x14ac:dyDescent="0.3">
      <c r="BA489" s="252">
        <v>482</v>
      </c>
      <c r="BB489" s="253">
        <v>135000</v>
      </c>
      <c r="BC489" s="253">
        <v>99000</v>
      </c>
      <c r="BD489" s="253">
        <v>110000</v>
      </c>
      <c r="BE489" s="253">
        <v>85000</v>
      </c>
      <c r="BF489" s="253">
        <v>99000</v>
      </c>
      <c r="BK489" s="121" t="s">
        <v>257</v>
      </c>
    </row>
    <row r="490" spans="53:63" x14ac:dyDescent="0.3">
      <c r="BA490" s="252">
        <v>483</v>
      </c>
      <c r="BB490" s="253">
        <v>135000</v>
      </c>
      <c r="BC490" s="253">
        <v>99000</v>
      </c>
      <c r="BD490" s="253">
        <v>110000</v>
      </c>
      <c r="BE490" s="253">
        <v>85000</v>
      </c>
      <c r="BF490" s="253">
        <v>99000</v>
      </c>
      <c r="BK490" s="121" t="s">
        <v>257</v>
      </c>
    </row>
    <row r="491" spans="53:63" x14ac:dyDescent="0.3">
      <c r="BA491" s="252">
        <v>484</v>
      </c>
      <c r="BB491" s="253">
        <v>135000</v>
      </c>
      <c r="BC491" s="253">
        <v>99000</v>
      </c>
      <c r="BD491" s="253">
        <v>110000</v>
      </c>
      <c r="BE491" s="253">
        <v>85000</v>
      </c>
      <c r="BF491" s="253">
        <v>99000</v>
      </c>
      <c r="BK491" s="121" t="s">
        <v>257</v>
      </c>
    </row>
    <row r="492" spans="53:63" x14ac:dyDescent="0.3">
      <c r="BA492" s="252">
        <v>485</v>
      </c>
      <c r="BB492" s="253">
        <v>135000</v>
      </c>
      <c r="BC492" s="253">
        <v>99000</v>
      </c>
      <c r="BD492" s="253">
        <v>110000</v>
      </c>
      <c r="BE492" s="253">
        <v>85000</v>
      </c>
      <c r="BF492" s="253">
        <v>99000</v>
      </c>
      <c r="BK492" s="121" t="s">
        <v>257</v>
      </c>
    </row>
    <row r="493" spans="53:63" x14ac:dyDescent="0.3">
      <c r="BA493" s="252">
        <v>486</v>
      </c>
      <c r="BB493" s="253">
        <v>135000</v>
      </c>
      <c r="BC493" s="253">
        <v>99000</v>
      </c>
      <c r="BD493" s="253">
        <v>110000</v>
      </c>
      <c r="BE493" s="253">
        <v>85000</v>
      </c>
      <c r="BF493" s="253">
        <v>99000</v>
      </c>
      <c r="BK493" s="121" t="s">
        <v>257</v>
      </c>
    </row>
    <row r="494" spans="53:63" x14ac:dyDescent="0.3">
      <c r="BA494" s="252">
        <v>487</v>
      </c>
      <c r="BB494" s="253">
        <v>135000</v>
      </c>
      <c r="BC494" s="253">
        <v>99000</v>
      </c>
      <c r="BD494" s="253">
        <v>110000</v>
      </c>
      <c r="BE494" s="253">
        <v>85000</v>
      </c>
      <c r="BF494" s="253">
        <v>99000</v>
      </c>
      <c r="BK494" s="121" t="s">
        <v>257</v>
      </c>
    </row>
    <row r="495" spans="53:63" x14ac:dyDescent="0.3">
      <c r="BA495" s="252">
        <v>488</v>
      </c>
      <c r="BB495" s="253">
        <v>135000</v>
      </c>
      <c r="BC495" s="253">
        <v>99000</v>
      </c>
      <c r="BD495" s="253">
        <v>110000</v>
      </c>
      <c r="BE495" s="253">
        <v>85000</v>
      </c>
      <c r="BF495" s="253">
        <v>99000</v>
      </c>
      <c r="BK495" s="121" t="s">
        <v>257</v>
      </c>
    </row>
    <row r="496" spans="53:63" x14ac:dyDescent="0.3">
      <c r="BA496" s="252">
        <v>489</v>
      </c>
      <c r="BB496" s="253">
        <v>135000</v>
      </c>
      <c r="BC496" s="253">
        <v>99000</v>
      </c>
      <c r="BD496" s="253">
        <v>110000</v>
      </c>
      <c r="BE496" s="253">
        <v>85000</v>
      </c>
      <c r="BF496" s="253">
        <v>99000</v>
      </c>
      <c r="BK496" s="121" t="s">
        <v>257</v>
      </c>
    </row>
    <row r="497" spans="53:63" x14ac:dyDescent="0.3">
      <c r="BA497" s="252">
        <v>490</v>
      </c>
      <c r="BB497" s="253">
        <v>135000</v>
      </c>
      <c r="BC497" s="253">
        <v>99000</v>
      </c>
      <c r="BD497" s="253">
        <v>110000</v>
      </c>
      <c r="BE497" s="253">
        <v>85000</v>
      </c>
      <c r="BF497" s="253">
        <v>99000</v>
      </c>
      <c r="BK497" s="121" t="s">
        <v>257</v>
      </c>
    </row>
    <row r="498" spans="53:63" x14ac:dyDescent="0.3">
      <c r="BA498" s="252">
        <v>491</v>
      </c>
      <c r="BB498" s="253">
        <v>135000</v>
      </c>
      <c r="BC498" s="253">
        <v>99000</v>
      </c>
      <c r="BD498" s="253">
        <v>110000</v>
      </c>
      <c r="BE498" s="253">
        <v>85000</v>
      </c>
      <c r="BF498" s="253">
        <v>99000</v>
      </c>
      <c r="BK498" s="121" t="s">
        <v>257</v>
      </c>
    </row>
    <row r="499" spans="53:63" x14ac:dyDescent="0.3">
      <c r="BA499" s="252">
        <v>492</v>
      </c>
      <c r="BB499" s="253">
        <v>135000</v>
      </c>
      <c r="BC499" s="253">
        <v>99000</v>
      </c>
      <c r="BD499" s="253">
        <v>110000</v>
      </c>
      <c r="BE499" s="253">
        <v>85000</v>
      </c>
      <c r="BF499" s="253">
        <v>99000</v>
      </c>
      <c r="BK499" s="121" t="s">
        <v>257</v>
      </c>
    </row>
    <row r="500" spans="53:63" x14ac:dyDescent="0.3">
      <c r="BA500" s="252">
        <v>493</v>
      </c>
      <c r="BB500" s="253">
        <v>135000</v>
      </c>
      <c r="BC500" s="253">
        <v>99000</v>
      </c>
      <c r="BD500" s="253">
        <v>110000</v>
      </c>
      <c r="BE500" s="253">
        <v>85000</v>
      </c>
      <c r="BF500" s="253">
        <v>99000</v>
      </c>
      <c r="BK500" s="121" t="s">
        <v>257</v>
      </c>
    </row>
    <row r="501" spans="53:63" x14ac:dyDescent="0.3">
      <c r="BA501" s="252">
        <v>494</v>
      </c>
      <c r="BB501" s="253">
        <v>135000</v>
      </c>
      <c r="BC501" s="253">
        <v>99000</v>
      </c>
      <c r="BD501" s="253">
        <v>110000</v>
      </c>
      <c r="BE501" s="253">
        <v>85000</v>
      </c>
      <c r="BF501" s="253">
        <v>99000</v>
      </c>
      <c r="BK501" s="121" t="s">
        <v>257</v>
      </c>
    </row>
    <row r="502" spans="53:63" x14ac:dyDescent="0.3">
      <c r="BA502" s="252">
        <v>495</v>
      </c>
      <c r="BB502" s="253">
        <v>135000</v>
      </c>
      <c r="BC502" s="253">
        <v>99000</v>
      </c>
      <c r="BD502" s="253">
        <v>110000</v>
      </c>
      <c r="BE502" s="253">
        <v>85000</v>
      </c>
      <c r="BF502" s="253">
        <v>99000</v>
      </c>
      <c r="BK502" s="121" t="s">
        <v>257</v>
      </c>
    </row>
    <row r="503" spans="53:63" x14ac:dyDescent="0.3">
      <c r="BA503" s="252">
        <v>496</v>
      </c>
      <c r="BB503" s="253">
        <v>135000</v>
      </c>
      <c r="BC503" s="253">
        <v>99000</v>
      </c>
      <c r="BD503" s="253">
        <v>110000</v>
      </c>
      <c r="BE503" s="253">
        <v>85000</v>
      </c>
      <c r="BF503" s="253">
        <v>99000</v>
      </c>
      <c r="BK503" s="121" t="s">
        <v>257</v>
      </c>
    </row>
    <row r="504" spans="53:63" x14ac:dyDescent="0.3">
      <c r="BA504" s="252">
        <v>497</v>
      </c>
      <c r="BB504" s="253">
        <v>135000</v>
      </c>
      <c r="BC504" s="253">
        <v>99000</v>
      </c>
      <c r="BD504" s="253">
        <v>110000</v>
      </c>
      <c r="BE504" s="253">
        <v>85000</v>
      </c>
      <c r="BF504" s="253">
        <v>99000</v>
      </c>
      <c r="BK504" s="121" t="s">
        <v>257</v>
      </c>
    </row>
    <row r="505" spans="53:63" x14ac:dyDescent="0.3">
      <c r="BA505" s="252">
        <v>498</v>
      </c>
      <c r="BB505" s="253">
        <v>135000</v>
      </c>
      <c r="BC505" s="253">
        <v>99000</v>
      </c>
      <c r="BD505" s="253">
        <v>110000</v>
      </c>
      <c r="BE505" s="253">
        <v>85000</v>
      </c>
      <c r="BF505" s="253">
        <v>99000</v>
      </c>
      <c r="BK505" s="121" t="s">
        <v>257</v>
      </c>
    </row>
    <row r="506" spans="53:63" x14ac:dyDescent="0.3">
      <c r="BA506" s="252">
        <v>499</v>
      </c>
      <c r="BB506" s="253">
        <v>135000</v>
      </c>
      <c r="BC506" s="253">
        <v>99000</v>
      </c>
      <c r="BD506" s="253">
        <v>110000</v>
      </c>
      <c r="BE506" s="253">
        <v>85000</v>
      </c>
      <c r="BF506" s="253">
        <v>99000</v>
      </c>
      <c r="BK506" s="121" t="s">
        <v>257</v>
      </c>
    </row>
    <row r="507" spans="53:63" x14ac:dyDescent="0.3">
      <c r="BA507" s="252">
        <v>500</v>
      </c>
      <c r="BB507" s="253">
        <v>135000</v>
      </c>
      <c r="BC507" s="253">
        <v>99000</v>
      </c>
      <c r="BD507" s="253">
        <v>110000</v>
      </c>
      <c r="BE507" s="253">
        <v>85000</v>
      </c>
      <c r="BF507" s="253">
        <v>99000</v>
      </c>
      <c r="BK507" s="121" t="s">
        <v>257</v>
      </c>
    </row>
    <row r="508" spans="53:63" x14ac:dyDescent="0.3">
      <c r="BA508" s="252">
        <v>501</v>
      </c>
      <c r="BB508" s="253">
        <v>135000</v>
      </c>
      <c r="BC508" s="253">
        <v>99000</v>
      </c>
      <c r="BD508" s="253">
        <v>110000</v>
      </c>
      <c r="BE508" s="253">
        <v>85000</v>
      </c>
      <c r="BF508" s="253">
        <v>99000</v>
      </c>
      <c r="BK508" s="121" t="s">
        <v>257</v>
      </c>
    </row>
    <row r="509" spans="53:63" x14ac:dyDescent="0.3">
      <c r="BA509" s="252">
        <v>502</v>
      </c>
      <c r="BB509" s="253">
        <v>135000</v>
      </c>
      <c r="BC509" s="253">
        <v>99000</v>
      </c>
      <c r="BD509" s="253">
        <v>110000</v>
      </c>
      <c r="BE509" s="253">
        <v>85000</v>
      </c>
      <c r="BF509" s="253">
        <v>99000</v>
      </c>
      <c r="BK509" s="121" t="s">
        <v>257</v>
      </c>
    </row>
    <row r="510" spans="53:63" x14ac:dyDescent="0.3">
      <c r="BA510" s="252">
        <v>503</v>
      </c>
      <c r="BB510" s="253">
        <v>135000</v>
      </c>
      <c r="BC510" s="253">
        <v>99000</v>
      </c>
      <c r="BD510" s="253">
        <v>110000</v>
      </c>
      <c r="BE510" s="253">
        <v>85000</v>
      </c>
      <c r="BF510" s="253">
        <v>99000</v>
      </c>
      <c r="BK510" s="121" t="s">
        <v>257</v>
      </c>
    </row>
    <row r="511" spans="53:63" x14ac:dyDescent="0.3">
      <c r="BA511" s="252">
        <v>504</v>
      </c>
      <c r="BB511" s="253">
        <v>135000</v>
      </c>
      <c r="BC511" s="253">
        <v>99000</v>
      </c>
      <c r="BD511" s="253">
        <v>110000</v>
      </c>
      <c r="BE511" s="253">
        <v>85000</v>
      </c>
      <c r="BF511" s="253">
        <v>99000</v>
      </c>
      <c r="BK511" s="121" t="s">
        <v>257</v>
      </c>
    </row>
    <row r="512" spans="53:63" x14ac:dyDescent="0.3">
      <c r="BA512" s="252">
        <v>505</v>
      </c>
      <c r="BB512" s="253">
        <v>135000</v>
      </c>
      <c r="BC512" s="253">
        <v>99000</v>
      </c>
      <c r="BD512" s="253">
        <v>110000</v>
      </c>
      <c r="BE512" s="253">
        <v>85000</v>
      </c>
      <c r="BF512" s="253">
        <v>99000</v>
      </c>
      <c r="BK512" s="121" t="s">
        <v>257</v>
      </c>
    </row>
    <row r="513" spans="53:63" x14ac:dyDescent="0.3">
      <c r="BA513" s="252">
        <v>506</v>
      </c>
      <c r="BB513" s="253">
        <v>135000</v>
      </c>
      <c r="BC513" s="253">
        <v>99000</v>
      </c>
      <c r="BD513" s="253">
        <v>110000</v>
      </c>
      <c r="BE513" s="253">
        <v>85000</v>
      </c>
      <c r="BF513" s="253">
        <v>99000</v>
      </c>
      <c r="BK513" s="121" t="s">
        <v>257</v>
      </c>
    </row>
    <row r="514" spans="53:63" x14ac:dyDescent="0.3">
      <c r="BA514" s="252">
        <v>507</v>
      </c>
      <c r="BB514" s="253">
        <v>135000</v>
      </c>
      <c r="BC514" s="253">
        <v>99000</v>
      </c>
      <c r="BD514" s="253">
        <v>110000</v>
      </c>
      <c r="BE514" s="253">
        <v>85000</v>
      </c>
      <c r="BF514" s="253">
        <v>99000</v>
      </c>
      <c r="BK514" s="121" t="s">
        <v>257</v>
      </c>
    </row>
    <row r="515" spans="53:63" x14ac:dyDescent="0.3">
      <c r="BA515" s="252">
        <v>508</v>
      </c>
      <c r="BB515" s="253">
        <v>135000</v>
      </c>
      <c r="BC515" s="253">
        <v>99000</v>
      </c>
      <c r="BD515" s="253">
        <v>110000</v>
      </c>
      <c r="BE515" s="253">
        <v>85000</v>
      </c>
      <c r="BF515" s="253">
        <v>99000</v>
      </c>
      <c r="BK515" s="121" t="s">
        <v>257</v>
      </c>
    </row>
    <row r="516" spans="53:63" x14ac:dyDescent="0.3">
      <c r="BA516" s="252">
        <v>509</v>
      </c>
      <c r="BB516" s="253">
        <v>135000</v>
      </c>
      <c r="BC516" s="253">
        <v>99000</v>
      </c>
      <c r="BD516" s="253">
        <v>110000</v>
      </c>
      <c r="BE516" s="253">
        <v>85000</v>
      </c>
      <c r="BF516" s="253">
        <v>99000</v>
      </c>
      <c r="BK516" s="121" t="s">
        <v>257</v>
      </c>
    </row>
    <row r="517" spans="53:63" x14ac:dyDescent="0.3">
      <c r="BA517" s="252">
        <v>510</v>
      </c>
      <c r="BB517" s="253">
        <v>135000</v>
      </c>
      <c r="BC517" s="253">
        <v>99000</v>
      </c>
      <c r="BD517" s="253">
        <v>110000</v>
      </c>
      <c r="BE517" s="253">
        <v>85000</v>
      </c>
      <c r="BF517" s="253">
        <v>99000</v>
      </c>
      <c r="BK517" s="121" t="s">
        <v>257</v>
      </c>
    </row>
    <row r="518" spans="53:63" x14ac:dyDescent="0.3">
      <c r="BA518" s="252">
        <v>511</v>
      </c>
      <c r="BB518" s="253">
        <v>135000</v>
      </c>
      <c r="BC518" s="253">
        <v>99000</v>
      </c>
      <c r="BD518" s="253">
        <v>110000</v>
      </c>
      <c r="BE518" s="253">
        <v>85000</v>
      </c>
      <c r="BF518" s="253">
        <v>99000</v>
      </c>
      <c r="BK518" s="121" t="s">
        <v>257</v>
      </c>
    </row>
    <row r="519" spans="53:63" x14ac:dyDescent="0.3">
      <c r="BA519" s="252">
        <v>512</v>
      </c>
      <c r="BB519" s="253">
        <v>135000</v>
      </c>
      <c r="BC519" s="253">
        <v>99000</v>
      </c>
      <c r="BD519" s="253">
        <v>110000</v>
      </c>
      <c r="BE519" s="253">
        <v>85000</v>
      </c>
      <c r="BF519" s="253">
        <v>99000</v>
      </c>
      <c r="BK519" s="121" t="s">
        <v>257</v>
      </c>
    </row>
    <row r="520" spans="53:63" x14ac:dyDescent="0.3">
      <c r="BA520" s="252">
        <v>513</v>
      </c>
      <c r="BB520" s="253">
        <v>135000</v>
      </c>
      <c r="BC520" s="253">
        <v>99000</v>
      </c>
      <c r="BD520" s="253">
        <v>110000</v>
      </c>
      <c r="BE520" s="253">
        <v>85000</v>
      </c>
      <c r="BF520" s="253">
        <v>99000</v>
      </c>
      <c r="BK520" s="121" t="s">
        <v>257</v>
      </c>
    </row>
    <row r="521" spans="53:63" x14ac:dyDescent="0.3">
      <c r="BA521" s="252">
        <v>514</v>
      </c>
      <c r="BB521" s="253">
        <v>135000</v>
      </c>
      <c r="BC521" s="253">
        <v>99000</v>
      </c>
      <c r="BD521" s="253">
        <v>110000</v>
      </c>
      <c r="BE521" s="253">
        <v>85000</v>
      </c>
      <c r="BF521" s="253">
        <v>99000</v>
      </c>
      <c r="BK521" s="121" t="s">
        <v>257</v>
      </c>
    </row>
    <row r="522" spans="53:63" x14ac:dyDescent="0.3">
      <c r="BA522" s="252">
        <v>515</v>
      </c>
      <c r="BB522" s="253">
        <v>135000</v>
      </c>
      <c r="BC522" s="253">
        <v>99000</v>
      </c>
      <c r="BD522" s="253">
        <v>110000</v>
      </c>
      <c r="BE522" s="253">
        <v>85000</v>
      </c>
      <c r="BF522" s="253">
        <v>99000</v>
      </c>
      <c r="BK522" s="121" t="s">
        <v>257</v>
      </c>
    </row>
    <row r="523" spans="53:63" x14ac:dyDescent="0.3">
      <c r="BA523" s="252">
        <v>516</v>
      </c>
      <c r="BB523" s="253">
        <v>135000</v>
      </c>
      <c r="BC523" s="253">
        <v>99000</v>
      </c>
      <c r="BD523" s="253">
        <v>110000</v>
      </c>
      <c r="BE523" s="253">
        <v>85000</v>
      </c>
      <c r="BF523" s="253">
        <v>99000</v>
      </c>
      <c r="BK523" s="121" t="s">
        <v>257</v>
      </c>
    </row>
    <row r="524" spans="53:63" x14ac:dyDescent="0.3">
      <c r="BA524" s="252">
        <v>517</v>
      </c>
      <c r="BB524" s="253">
        <v>135000</v>
      </c>
      <c r="BC524" s="253">
        <v>99000</v>
      </c>
      <c r="BD524" s="253">
        <v>110000</v>
      </c>
      <c r="BE524" s="253">
        <v>85000</v>
      </c>
      <c r="BF524" s="253">
        <v>99000</v>
      </c>
      <c r="BK524" s="121" t="s">
        <v>257</v>
      </c>
    </row>
    <row r="525" spans="53:63" x14ac:dyDescent="0.3">
      <c r="BA525" s="252">
        <v>518</v>
      </c>
      <c r="BB525" s="253">
        <v>135000</v>
      </c>
      <c r="BC525" s="253">
        <v>99000</v>
      </c>
      <c r="BD525" s="253">
        <v>110000</v>
      </c>
      <c r="BE525" s="253">
        <v>85000</v>
      </c>
      <c r="BF525" s="253">
        <v>99000</v>
      </c>
      <c r="BK525" s="121" t="s">
        <v>257</v>
      </c>
    </row>
    <row r="526" spans="53:63" x14ac:dyDescent="0.3">
      <c r="BA526" s="252">
        <v>519</v>
      </c>
      <c r="BB526" s="253">
        <v>135000</v>
      </c>
      <c r="BC526" s="253">
        <v>99000</v>
      </c>
      <c r="BD526" s="253">
        <v>110000</v>
      </c>
      <c r="BE526" s="253">
        <v>85000</v>
      </c>
      <c r="BF526" s="253">
        <v>99000</v>
      </c>
      <c r="BK526" s="121" t="s">
        <v>257</v>
      </c>
    </row>
    <row r="527" spans="53:63" x14ac:dyDescent="0.3">
      <c r="BA527" s="252">
        <v>520</v>
      </c>
      <c r="BB527" s="253">
        <v>135000</v>
      </c>
      <c r="BC527" s="253">
        <v>99000</v>
      </c>
      <c r="BD527" s="253">
        <v>110000</v>
      </c>
      <c r="BE527" s="253">
        <v>85000</v>
      </c>
      <c r="BF527" s="253">
        <v>99000</v>
      </c>
      <c r="BK527" s="121" t="s">
        <v>257</v>
      </c>
    </row>
    <row r="528" spans="53:63" x14ac:dyDescent="0.3">
      <c r="BA528" s="252">
        <v>521</v>
      </c>
      <c r="BB528" s="253">
        <v>135000</v>
      </c>
      <c r="BC528" s="253">
        <v>99000</v>
      </c>
      <c r="BD528" s="253">
        <v>110000</v>
      </c>
      <c r="BE528" s="253">
        <v>85000</v>
      </c>
      <c r="BF528" s="253">
        <v>99000</v>
      </c>
      <c r="BK528" s="121" t="s">
        <v>257</v>
      </c>
    </row>
    <row r="529" spans="53:63" x14ac:dyDescent="0.3">
      <c r="BA529" s="252">
        <v>522</v>
      </c>
      <c r="BB529" s="253">
        <v>135000</v>
      </c>
      <c r="BC529" s="253">
        <v>99000</v>
      </c>
      <c r="BD529" s="253">
        <v>110000</v>
      </c>
      <c r="BE529" s="253">
        <v>85000</v>
      </c>
      <c r="BF529" s="253">
        <v>99000</v>
      </c>
      <c r="BK529" s="121" t="s">
        <v>257</v>
      </c>
    </row>
    <row r="530" spans="53:63" x14ac:dyDescent="0.3">
      <c r="BA530" s="252">
        <v>523</v>
      </c>
      <c r="BB530" s="253">
        <v>135000</v>
      </c>
      <c r="BC530" s="253">
        <v>99000</v>
      </c>
      <c r="BD530" s="253">
        <v>110000</v>
      </c>
      <c r="BE530" s="253">
        <v>85000</v>
      </c>
      <c r="BF530" s="253">
        <v>99000</v>
      </c>
      <c r="BK530" s="121" t="s">
        <v>257</v>
      </c>
    </row>
    <row r="531" spans="53:63" x14ac:dyDescent="0.3">
      <c r="BA531" s="252">
        <v>524</v>
      </c>
      <c r="BB531" s="253">
        <v>135000</v>
      </c>
      <c r="BC531" s="253">
        <v>99000</v>
      </c>
      <c r="BD531" s="253">
        <v>110000</v>
      </c>
      <c r="BE531" s="253">
        <v>85000</v>
      </c>
      <c r="BF531" s="253">
        <v>99000</v>
      </c>
      <c r="BK531" s="121" t="s">
        <v>257</v>
      </c>
    </row>
    <row r="532" spans="53:63" x14ac:dyDescent="0.3">
      <c r="BA532" s="252">
        <v>525</v>
      </c>
      <c r="BB532" s="253">
        <v>135000</v>
      </c>
      <c r="BC532" s="253">
        <v>99000</v>
      </c>
      <c r="BD532" s="253">
        <v>110000</v>
      </c>
      <c r="BE532" s="253">
        <v>85000</v>
      </c>
      <c r="BF532" s="253">
        <v>99000</v>
      </c>
      <c r="BK532" s="121" t="s">
        <v>257</v>
      </c>
    </row>
    <row r="533" spans="53:63" x14ac:dyDescent="0.3">
      <c r="BA533" s="252">
        <v>526</v>
      </c>
      <c r="BB533" s="253">
        <v>135000</v>
      </c>
      <c r="BC533" s="253">
        <v>99000</v>
      </c>
      <c r="BD533" s="253">
        <v>110000</v>
      </c>
      <c r="BE533" s="253">
        <v>85000</v>
      </c>
      <c r="BF533" s="253">
        <v>99000</v>
      </c>
      <c r="BK533" s="121" t="s">
        <v>257</v>
      </c>
    </row>
    <row r="534" spans="53:63" x14ac:dyDescent="0.3">
      <c r="BA534" s="252">
        <v>527</v>
      </c>
      <c r="BB534" s="253">
        <v>135000</v>
      </c>
      <c r="BC534" s="253">
        <v>99000</v>
      </c>
      <c r="BD534" s="253">
        <v>110000</v>
      </c>
      <c r="BE534" s="253">
        <v>85000</v>
      </c>
      <c r="BF534" s="253">
        <v>99000</v>
      </c>
      <c r="BK534" s="121" t="s">
        <v>257</v>
      </c>
    </row>
    <row r="535" spans="53:63" x14ac:dyDescent="0.3">
      <c r="BA535" s="252">
        <v>528</v>
      </c>
      <c r="BB535" s="253">
        <v>135000</v>
      </c>
      <c r="BC535" s="253">
        <v>99000</v>
      </c>
      <c r="BD535" s="253">
        <v>110000</v>
      </c>
      <c r="BE535" s="253">
        <v>85000</v>
      </c>
      <c r="BF535" s="253">
        <v>99000</v>
      </c>
      <c r="BK535" s="121" t="s">
        <v>257</v>
      </c>
    </row>
    <row r="536" spans="53:63" x14ac:dyDescent="0.3">
      <c r="BA536" s="252">
        <v>529</v>
      </c>
      <c r="BB536" s="253">
        <v>135000</v>
      </c>
      <c r="BC536" s="253">
        <v>99000</v>
      </c>
      <c r="BD536" s="253">
        <v>110000</v>
      </c>
      <c r="BE536" s="253">
        <v>85000</v>
      </c>
      <c r="BF536" s="253">
        <v>99000</v>
      </c>
      <c r="BK536" s="121" t="s">
        <v>257</v>
      </c>
    </row>
    <row r="537" spans="53:63" x14ac:dyDescent="0.3">
      <c r="BA537" s="252">
        <v>530</v>
      </c>
      <c r="BB537" s="253">
        <v>135000</v>
      </c>
      <c r="BC537" s="253">
        <v>99000</v>
      </c>
      <c r="BD537" s="253">
        <v>110000</v>
      </c>
      <c r="BE537" s="253">
        <v>85000</v>
      </c>
      <c r="BF537" s="253">
        <v>99000</v>
      </c>
      <c r="BK537" s="121" t="s">
        <v>257</v>
      </c>
    </row>
    <row r="538" spans="53:63" x14ac:dyDescent="0.3">
      <c r="BA538" s="252">
        <v>531</v>
      </c>
      <c r="BB538" s="253">
        <v>135000</v>
      </c>
      <c r="BC538" s="253">
        <v>99000</v>
      </c>
      <c r="BD538" s="253">
        <v>110000</v>
      </c>
      <c r="BE538" s="253">
        <v>85000</v>
      </c>
      <c r="BF538" s="253">
        <v>99000</v>
      </c>
      <c r="BK538" s="121" t="s">
        <v>257</v>
      </c>
    </row>
    <row r="539" spans="53:63" x14ac:dyDescent="0.3">
      <c r="BA539" s="252">
        <v>532</v>
      </c>
      <c r="BB539" s="253">
        <v>135000</v>
      </c>
      <c r="BC539" s="253">
        <v>99000</v>
      </c>
      <c r="BD539" s="253">
        <v>110000</v>
      </c>
      <c r="BE539" s="253">
        <v>85000</v>
      </c>
      <c r="BF539" s="253">
        <v>99000</v>
      </c>
      <c r="BK539" s="121" t="s">
        <v>257</v>
      </c>
    </row>
    <row r="540" spans="53:63" x14ac:dyDescent="0.3">
      <c r="BA540" s="252">
        <v>533</v>
      </c>
      <c r="BB540" s="253">
        <v>135000</v>
      </c>
      <c r="BC540" s="253">
        <v>99000</v>
      </c>
      <c r="BD540" s="253">
        <v>110000</v>
      </c>
      <c r="BE540" s="253">
        <v>85000</v>
      </c>
      <c r="BF540" s="253">
        <v>99000</v>
      </c>
      <c r="BK540" s="121" t="s">
        <v>257</v>
      </c>
    </row>
    <row r="541" spans="53:63" x14ac:dyDescent="0.3">
      <c r="BA541" s="252">
        <v>534</v>
      </c>
      <c r="BB541" s="253">
        <v>135000</v>
      </c>
      <c r="BC541" s="253">
        <v>99000</v>
      </c>
      <c r="BD541" s="253">
        <v>110000</v>
      </c>
      <c r="BE541" s="253">
        <v>85000</v>
      </c>
      <c r="BF541" s="253">
        <v>99000</v>
      </c>
      <c r="BK541" s="121" t="s">
        <v>257</v>
      </c>
    </row>
    <row r="542" spans="53:63" x14ac:dyDescent="0.3">
      <c r="BA542" s="252">
        <v>535</v>
      </c>
      <c r="BB542" s="253">
        <v>135000</v>
      </c>
      <c r="BC542" s="253">
        <v>99000</v>
      </c>
      <c r="BD542" s="253">
        <v>110000</v>
      </c>
      <c r="BE542" s="253">
        <v>85000</v>
      </c>
      <c r="BF542" s="253">
        <v>99000</v>
      </c>
      <c r="BK542" s="121" t="s">
        <v>257</v>
      </c>
    </row>
    <row r="543" spans="53:63" x14ac:dyDescent="0.3">
      <c r="BA543" s="252">
        <v>536</v>
      </c>
      <c r="BB543" s="253">
        <v>135000</v>
      </c>
      <c r="BC543" s="253">
        <v>99000</v>
      </c>
      <c r="BD543" s="253">
        <v>110000</v>
      </c>
      <c r="BE543" s="253">
        <v>85000</v>
      </c>
      <c r="BF543" s="253">
        <v>99000</v>
      </c>
      <c r="BK543" s="121" t="s">
        <v>257</v>
      </c>
    </row>
    <row r="544" spans="53:63" x14ac:dyDescent="0.3">
      <c r="BA544" s="252">
        <v>537</v>
      </c>
      <c r="BB544" s="253">
        <v>135000</v>
      </c>
      <c r="BC544" s="253">
        <v>99000</v>
      </c>
      <c r="BD544" s="253">
        <v>110000</v>
      </c>
      <c r="BE544" s="253">
        <v>85000</v>
      </c>
      <c r="BF544" s="253">
        <v>99000</v>
      </c>
      <c r="BK544" s="121" t="s">
        <v>257</v>
      </c>
    </row>
    <row r="545" spans="53:63" x14ac:dyDescent="0.3">
      <c r="BA545" s="252">
        <v>538</v>
      </c>
      <c r="BB545" s="253">
        <v>135000</v>
      </c>
      <c r="BC545" s="253">
        <v>99000</v>
      </c>
      <c r="BD545" s="253">
        <v>110000</v>
      </c>
      <c r="BE545" s="253">
        <v>85000</v>
      </c>
      <c r="BF545" s="253">
        <v>99000</v>
      </c>
      <c r="BK545" s="121" t="s">
        <v>257</v>
      </c>
    </row>
    <row r="546" spans="53:63" x14ac:dyDescent="0.3">
      <c r="BA546" s="252">
        <v>539</v>
      </c>
      <c r="BB546" s="253">
        <v>135000</v>
      </c>
      <c r="BC546" s="253">
        <v>99000</v>
      </c>
      <c r="BD546" s="253">
        <v>110000</v>
      </c>
      <c r="BE546" s="253">
        <v>85000</v>
      </c>
      <c r="BF546" s="253">
        <v>99000</v>
      </c>
      <c r="BK546" s="121" t="s">
        <v>257</v>
      </c>
    </row>
    <row r="547" spans="53:63" x14ac:dyDescent="0.3">
      <c r="BA547" s="252">
        <v>540</v>
      </c>
      <c r="BB547" s="253">
        <v>135000</v>
      </c>
      <c r="BC547" s="253">
        <v>99000</v>
      </c>
      <c r="BD547" s="253">
        <v>110000</v>
      </c>
      <c r="BE547" s="253">
        <v>85000</v>
      </c>
      <c r="BF547" s="253">
        <v>99000</v>
      </c>
      <c r="BK547" s="121" t="s">
        <v>257</v>
      </c>
    </row>
    <row r="548" spans="53:63" x14ac:dyDescent="0.3">
      <c r="BA548" s="252">
        <v>541</v>
      </c>
      <c r="BB548" s="253">
        <v>135000</v>
      </c>
      <c r="BC548" s="253">
        <v>99000</v>
      </c>
      <c r="BD548" s="253">
        <v>110000</v>
      </c>
      <c r="BE548" s="253">
        <v>85000</v>
      </c>
      <c r="BF548" s="253">
        <v>99000</v>
      </c>
      <c r="BK548" s="121" t="s">
        <v>257</v>
      </c>
    </row>
    <row r="549" spans="53:63" x14ac:dyDescent="0.3">
      <c r="BA549" s="252">
        <v>542</v>
      </c>
      <c r="BB549" s="253">
        <v>135000</v>
      </c>
      <c r="BC549" s="253">
        <v>99000</v>
      </c>
      <c r="BD549" s="253">
        <v>110000</v>
      </c>
      <c r="BE549" s="253">
        <v>85000</v>
      </c>
      <c r="BF549" s="253">
        <v>99000</v>
      </c>
      <c r="BK549" s="121" t="s">
        <v>257</v>
      </c>
    </row>
    <row r="550" spans="53:63" x14ac:dyDescent="0.3">
      <c r="BA550" s="252">
        <v>543</v>
      </c>
      <c r="BB550" s="253">
        <v>135000</v>
      </c>
      <c r="BC550" s="253">
        <v>99000</v>
      </c>
      <c r="BD550" s="253">
        <v>110000</v>
      </c>
      <c r="BE550" s="253">
        <v>85000</v>
      </c>
      <c r="BF550" s="253">
        <v>99000</v>
      </c>
      <c r="BK550" s="121" t="s">
        <v>257</v>
      </c>
    </row>
    <row r="551" spans="53:63" x14ac:dyDescent="0.3">
      <c r="BA551" s="252">
        <v>544</v>
      </c>
      <c r="BB551" s="253">
        <v>135000</v>
      </c>
      <c r="BC551" s="253">
        <v>99000</v>
      </c>
      <c r="BD551" s="253">
        <v>110000</v>
      </c>
      <c r="BE551" s="253">
        <v>85000</v>
      </c>
      <c r="BF551" s="253">
        <v>99000</v>
      </c>
      <c r="BK551" s="121" t="s">
        <v>257</v>
      </c>
    </row>
    <row r="552" spans="53:63" x14ac:dyDescent="0.3">
      <c r="BA552" s="252">
        <v>545</v>
      </c>
      <c r="BB552" s="253">
        <v>135000</v>
      </c>
      <c r="BC552" s="253">
        <v>99000</v>
      </c>
      <c r="BD552" s="253">
        <v>110000</v>
      </c>
      <c r="BE552" s="253">
        <v>85000</v>
      </c>
      <c r="BF552" s="253">
        <v>99000</v>
      </c>
      <c r="BK552" s="121" t="s">
        <v>257</v>
      </c>
    </row>
    <row r="553" spans="53:63" x14ac:dyDescent="0.3">
      <c r="BA553" s="252">
        <v>546</v>
      </c>
      <c r="BB553" s="253">
        <v>135000</v>
      </c>
      <c r="BC553" s="253">
        <v>99000</v>
      </c>
      <c r="BD553" s="253">
        <v>110000</v>
      </c>
      <c r="BE553" s="253">
        <v>85000</v>
      </c>
      <c r="BF553" s="253">
        <v>99000</v>
      </c>
      <c r="BK553" s="121" t="s">
        <v>257</v>
      </c>
    </row>
    <row r="554" spans="53:63" x14ac:dyDescent="0.3">
      <c r="BA554" s="252">
        <v>547</v>
      </c>
      <c r="BB554" s="253">
        <v>135000</v>
      </c>
      <c r="BC554" s="253">
        <v>99000</v>
      </c>
      <c r="BD554" s="253">
        <v>110000</v>
      </c>
      <c r="BE554" s="253">
        <v>85000</v>
      </c>
      <c r="BF554" s="253">
        <v>99000</v>
      </c>
      <c r="BK554" s="121" t="s">
        <v>257</v>
      </c>
    </row>
    <row r="555" spans="53:63" x14ac:dyDescent="0.3">
      <c r="BA555" s="252">
        <v>548</v>
      </c>
      <c r="BB555" s="253">
        <v>135000</v>
      </c>
      <c r="BC555" s="253">
        <v>99000</v>
      </c>
      <c r="BD555" s="253">
        <v>110000</v>
      </c>
      <c r="BE555" s="253">
        <v>85000</v>
      </c>
      <c r="BF555" s="253">
        <v>99000</v>
      </c>
      <c r="BK555" s="121" t="s">
        <v>257</v>
      </c>
    </row>
    <row r="556" spans="53:63" x14ac:dyDescent="0.3">
      <c r="BA556" s="252">
        <v>549</v>
      </c>
      <c r="BB556" s="253">
        <v>135000</v>
      </c>
      <c r="BC556" s="253">
        <v>99000</v>
      </c>
      <c r="BD556" s="253">
        <v>110000</v>
      </c>
      <c r="BE556" s="253">
        <v>85000</v>
      </c>
      <c r="BF556" s="253">
        <v>99000</v>
      </c>
      <c r="BK556" s="121" t="s">
        <v>257</v>
      </c>
    </row>
    <row r="557" spans="53:63" x14ac:dyDescent="0.3">
      <c r="BA557" s="252">
        <v>550</v>
      </c>
      <c r="BB557" s="253">
        <v>135000</v>
      </c>
      <c r="BC557" s="253">
        <v>99000</v>
      </c>
      <c r="BD557" s="253">
        <v>110000</v>
      </c>
      <c r="BE557" s="253">
        <v>85000</v>
      </c>
      <c r="BF557" s="253">
        <v>99000</v>
      </c>
      <c r="BK557" s="121" t="s">
        <v>257</v>
      </c>
    </row>
    <row r="558" spans="53:63" x14ac:dyDescent="0.3">
      <c r="BA558" s="252">
        <v>551</v>
      </c>
      <c r="BB558" s="253">
        <v>135000</v>
      </c>
      <c r="BC558" s="253">
        <v>99000</v>
      </c>
      <c r="BD558" s="253">
        <v>110000</v>
      </c>
      <c r="BE558" s="253">
        <v>85000</v>
      </c>
      <c r="BF558" s="253">
        <v>99000</v>
      </c>
      <c r="BK558" s="121" t="s">
        <v>257</v>
      </c>
    </row>
    <row r="559" spans="53:63" x14ac:dyDescent="0.3">
      <c r="BA559" s="252">
        <v>552</v>
      </c>
      <c r="BB559" s="253">
        <v>135000</v>
      </c>
      <c r="BC559" s="253">
        <v>99000</v>
      </c>
      <c r="BD559" s="253">
        <v>110000</v>
      </c>
      <c r="BE559" s="253">
        <v>85000</v>
      </c>
      <c r="BF559" s="253">
        <v>99000</v>
      </c>
      <c r="BK559" s="121" t="s">
        <v>257</v>
      </c>
    </row>
    <row r="560" spans="53:63" x14ac:dyDescent="0.3">
      <c r="BA560" s="252">
        <v>553</v>
      </c>
      <c r="BB560" s="253">
        <v>135000</v>
      </c>
      <c r="BC560" s="253">
        <v>99000</v>
      </c>
      <c r="BD560" s="253">
        <v>110000</v>
      </c>
      <c r="BE560" s="253">
        <v>85000</v>
      </c>
      <c r="BF560" s="253">
        <v>99000</v>
      </c>
      <c r="BK560" s="121" t="s">
        <v>257</v>
      </c>
    </row>
    <row r="561" spans="53:63" x14ac:dyDescent="0.3">
      <c r="BA561" s="252">
        <v>554</v>
      </c>
      <c r="BB561" s="253">
        <v>135000</v>
      </c>
      <c r="BC561" s="253">
        <v>99000</v>
      </c>
      <c r="BD561" s="253">
        <v>110000</v>
      </c>
      <c r="BE561" s="253">
        <v>85000</v>
      </c>
      <c r="BF561" s="253">
        <v>99000</v>
      </c>
      <c r="BK561" s="121" t="s">
        <v>257</v>
      </c>
    </row>
    <row r="562" spans="53:63" x14ac:dyDescent="0.3">
      <c r="BA562" s="252">
        <v>555</v>
      </c>
      <c r="BB562" s="253">
        <v>135000</v>
      </c>
      <c r="BC562" s="253">
        <v>99000</v>
      </c>
      <c r="BD562" s="253">
        <v>110000</v>
      </c>
      <c r="BE562" s="253">
        <v>85000</v>
      </c>
      <c r="BF562" s="253">
        <v>99000</v>
      </c>
      <c r="BK562" s="121" t="s">
        <v>257</v>
      </c>
    </row>
    <row r="563" spans="53:63" x14ac:dyDescent="0.3">
      <c r="BA563" s="252">
        <v>556</v>
      </c>
      <c r="BB563" s="253">
        <v>135000</v>
      </c>
      <c r="BC563" s="253">
        <v>99000</v>
      </c>
      <c r="BD563" s="253">
        <v>110000</v>
      </c>
      <c r="BE563" s="253">
        <v>85000</v>
      </c>
      <c r="BF563" s="253">
        <v>99000</v>
      </c>
      <c r="BK563" s="121" t="s">
        <v>257</v>
      </c>
    </row>
    <row r="564" spans="53:63" x14ac:dyDescent="0.3">
      <c r="BA564" s="252">
        <v>557</v>
      </c>
      <c r="BB564" s="253">
        <v>135000</v>
      </c>
      <c r="BC564" s="253">
        <v>99000</v>
      </c>
      <c r="BD564" s="253">
        <v>110000</v>
      </c>
      <c r="BE564" s="253">
        <v>85000</v>
      </c>
      <c r="BF564" s="253">
        <v>99000</v>
      </c>
      <c r="BK564" s="121" t="s">
        <v>257</v>
      </c>
    </row>
    <row r="565" spans="53:63" x14ac:dyDescent="0.3">
      <c r="BA565" s="252">
        <v>558</v>
      </c>
      <c r="BB565" s="253">
        <v>135000</v>
      </c>
      <c r="BC565" s="253">
        <v>99000</v>
      </c>
      <c r="BD565" s="253">
        <v>110000</v>
      </c>
      <c r="BE565" s="253">
        <v>85000</v>
      </c>
      <c r="BF565" s="253">
        <v>99000</v>
      </c>
      <c r="BK565" s="121" t="s">
        <v>257</v>
      </c>
    </row>
    <row r="566" spans="53:63" x14ac:dyDescent="0.3">
      <c r="BA566" s="252">
        <v>559</v>
      </c>
      <c r="BB566" s="253">
        <v>135000</v>
      </c>
      <c r="BC566" s="253">
        <v>99000</v>
      </c>
      <c r="BD566" s="253">
        <v>110000</v>
      </c>
      <c r="BE566" s="253">
        <v>85000</v>
      </c>
      <c r="BF566" s="253">
        <v>99000</v>
      </c>
      <c r="BK566" s="121" t="s">
        <v>257</v>
      </c>
    </row>
    <row r="567" spans="53:63" x14ac:dyDescent="0.3">
      <c r="BA567" s="252">
        <v>560</v>
      </c>
      <c r="BB567" s="253">
        <v>135000</v>
      </c>
      <c r="BC567" s="253">
        <v>99000</v>
      </c>
      <c r="BD567" s="253">
        <v>110000</v>
      </c>
      <c r="BE567" s="253">
        <v>85000</v>
      </c>
      <c r="BF567" s="253">
        <v>99000</v>
      </c>
      <c r="BK567" s="121" t="s">
        <v>257</v>
      </c>
    </row>
    <row r="568" spans="53:63" x14ac:dyDescent="0.3">
      <c r="BA568" s="252">
        <v>561</v>
      </c>
      <c r="BB568" s="253">
        <v>135000</v>
      </c>
      <c r="BC568" s="253">
        <v>99000</v>
      </c>
      <c r="BD568" s="253">
        <v>110000</v>
      </c>
      <c r="BE568" s="253">
        <v>85000</v>
      </c>
      <c r="BF568" s="253">
        <v>99000</v>
      </c>
      <c r="BK568" s="121" t="s">
        <v>257</v>
      </c>
    </row>
    <row r="569" spans="53:63" x14ac:dyDescent="0.3">
      <c r="BA569" s="252">
        <v>562</v>
      </c>
      <c r="BB569" s="253">
        <v>135000</v>
      </c>
      <c r="BC569" s="253">
        <v>99000</v>
      </c>
      <c r="BD569" s="253">
        <v>110000</v>
      </c>
      <c r="BE569" s="253">
        <v>85000</v>
      </c>
      <c r="BF569" s="253">
        <v>99000</v>
      </c>
      <c r="BK569" s="121" t="s">
        <v>257</v>
      </c>
    </row>
    <row r="570" spans="53:63" x14ac:dyDescent="0.3">
      <c r="BA570" s="252">
        <v>563</v>
      </c>
      <c r="BB570" s="253">
        <v>135000</v>
      </c>
      <c r="BC570" s="253">
        <v>99000</v>
      </c>
      <c r="BD570" s="253">
        <v>110000</v>
      </c>
      <c r="BE570" s="253">
        <v>85000</v>
      </c>
      <c r="BF570" s="253">
        <v>99000</v>
      </c>
      <c r="BK570" s="121" t="s">
        <v>257</v>
      </c>
    </row>
    <row r="571" spans="53:63" x14ac:dyDescent="0.3">
      <c r="BA571" s="252">
        <v>564</v>
      </c>
      <c r="BB571" s="253">
        <v>135000</v>
      </c>
      <c r="BC571" s="253">
        <v>99000</v>
      </c>
      <c r="BD571" s="253">
        <v>110000</v>
      </c>
      <c r="BE571" s="253">
        <v>85000</v>
      </c>
      <c r="BF571" s="253">
        <v>99000</v>
      </c>
      <c r="BK571" s="121" t="s">
        <v>257</v>
      </c>
    </row>
    <row r="572" spans="53:63" x14ac:dyDescent="0.3">
      <c r="BA572" s="252">
        <v>565</v>
      </c>
      <c r="BB572" s="253">
        <v>135000</v>
      </c>
      <c r="BC572" s="253">
        <v>99000</v>
      </c>
      <c r="BD572" s="253">
        <v>110000</v>
      </c>
      <c r="BE572" s="253">
        <v>85000</v>
      </c>
      <c r="BF572" s="253">
        <v>99000</v>
      </c>
      <c r="BK572" s="121" t="s">
        <v>257</v>
      </c>
    </row>
    <row r="573" spans="53:63" x14ac:dyDescent="0.3">
      <c r="BA573" s="252">
        <v>566</v>
      </c>
      <c r="BB573" s="253">
        <v>135000</v>
      </c>
      <c r="BC573" s="253">
        <v>99000</v>
      </c>
      <c r="BD573" s="253">
        <v>110000</v>
      </c>
      <c r="BE573" s="253">
        <v>85000</v>
      </c>
      <c r="BF573" s="253">
        <v>99000</v>
      </c>
      <c r="BK573" s="121" t="s">
        <v>257</v>
      </c>
    </row>
    <row r="574" spans="53:63" x14ac:dyDescent="0.3">
      <c r="BA574" s="252">
        <v>567</v>
      </c>
      <c r="BB574" s="253">
        <v>135000</v>
      </c>
      <c r="BC574" s="253">
        <v>99000</v>
      </c>
      <c r="BD574" s="253">
        <v>110000</v>
      </c>
      <c r="BE574" s="253">
        <v>85000</v>
      </c>
      <c r="BF574" s="253">
        <v>99000</v>
      </c>
      <c r="BK574" s="121" t="s">
        <v>257</v>
      </c>
    </row>
    <row r="575" spans="53:63" x14ac:dyDescent="0.3">
      <c r="BA575" s="252">
        <v>568</v>
      </c>
      <c r="BB575" s="253">
        <v>135000</v>
      </c>
      <c r="BC575" s="253">
        <v>99000</v>
      </c>
      <c r="BD575" s="253">
        <v>110000</v>
      </c>
      <c r="BE575" s="253">
        <v>85000</v>
      </c>
      <c r="BF575" s="253">
        <v>99000</v>
      </c>
      <c r="BK575" s="121" t="s">
        <v>257</v>
      </c>
    </row>
    <row r="576" spans="53:63" x14ac:dyDescent="0.3">
      <c r="BA576" s="252">
        <v>569</v>
      </c>
      <c r="BB576" s="253">
        <v>135000</v>
      </c>
      <c r="BC576" s="253">
        <v>99000</v>
      </c>
      <c r="BD576" s="253">
        <v>110000</v>
      </c>
      <c r="BE576" s="253">
        <v>85000</v>
      </c>
      <c r="BF576" s="253">
        <v>99000</v>
      </c>
      <c r="BK576" s="121" t="s">
        <v>257</v>
      </c>
    </row>
    <row r="577" spans="53:63" x14ac:dyDescent="0.3">
      <c r="BA577" s="252">
        <v>570</v>
      </c>
      <c r="BB577" s="253">
        <v>135000</v>
      </c>
      <c r="BC577" s="253">
        <v>99000</v>
      </c>
      <c r="BD577" s="253">
        <v>110000</v>
      </c>
      <c r="BE577" s="253">
        <v>85000</v>
      </c>
      <c r="BF577" s="253">
        <v>99000</v>
      </c>
      <c r="BK577" s="121" t="s">
        <v>257</v>
      </c>
    </row>
    <row r="578" spans="53:63" x14ac:dyDescent="0.3">
      <c r="BA578" s="252">
        <v>571</v>
      </c>
      <c r="BB578" s="253">
        <v>135000</v>
      </c>
      <c r="BC578" s="253">
        <v>99000</v>
      </c>
      <c r="BD578" s="253">
        <v>110000</v>
      </c>
      <c r="BE578" s="253">
        <v>85000</v>
      </c>
      <c r="BF578" s="253">
        <v>99000</v>
      </c>
      <c r="BK578" s="121" t="s">
        <v>257</v>
      </c>
    </row>
    <row r="579" spans="53:63" x14ac:dyDescent="0.3">
      <c r="BA579" s="252">
        <v>572</v>
      </c>
      <c r="BB579" s="253">
        <v>135000</v>
      </c>
      <c r="BC579" s="253">
        <v>99000</v>
      </c>
      <c r="BD579" s="253">
        <v>110000</v>
      </c>
      <c r="BE579" s="253">
        <v>85000</v>
      </c>
      <c r="BF579" s="253">
        <v>99000</v>
      </c>
      <c r="BK579" s="121" t="s">
        <v>257</v>
      </c>
    </row>
    <row r="580" spans="53:63" x14ac:dyDescent="0.3">
      <c r="BA580" s="252">
        <v>573</v>
      </c>
      <c r="BB580" s="253">
        <v>135000</v>
      </c>
      <c r="BC580" s="253">
        <v>99000</v>
      </c>
      <c r="BD580" s="253">
        <v>110000</v>
      </c>
      <c r="BE580" s="253">
        <v>85000</v>
      </c>
      <c r="BF580" s="253">
        <v>99000</v>
      </c>
      <c r="BK580" s="121" t="s">
        <v>257</v>
      </c>
    </row>
    <row r="581" spans="53:63" x14ac:dyDescent="0.3">
      <c r="BA581" s="252">
        <v>574</v>
      </c>
      <c r="BB581" s="253">
        <v>135000</v>
      </c>
      <c r="BC581" s="253">
        <v>99000</v>
      </c>
      <c r="BD581" s="253">
        <v>110000</v>
      </c>
      <c r="BE581" s="253">
        <v>85000</v>
      </c>
      <c r="BF581" s="253">
        <v>99000</v>
      </c>
      <c r="BK581" s="121" t="s">
        <v>257</v>
      </c>
    </row>
    <row r="582" spans="53:63" x14ac:dyDescent="0.3">
      <c r="BA582" s="252">
        <v>575</v>
      </c>
      <c r="BB582" s="253">
        <v>135000</v>
      </c>
      <c r="BC582" s="253">
        <v>99000</v>
      </c>
      <c r="BD582" s="253">
        <v>110000</v>
      </c>
      <c r="BE582" s="253">
        <v>85000</v>
      </c>
      <c r="BF582" s="253">
        <v>99000</v>
      </c>
      <c r="BK582" s="121" t="s">
        <v>257</v>
      </c>
    </row>
    <row r="583" spans="53:63" x14ac:dyDescent="0.3">
      <c r="BA583" s="252">
        <v>576</v>
      </c>
      <c r="BB583" s="253">
        <v>135000</v>
      </c>
      <c r="BC583" s="253">
        <v>99000</v>
      </c>
      <c r="BD583" s="253">
        <v>110000</v>
      </c>
      <c r="BE583" s="253">
        <v>85000</v>
      </c>
      <c r="BF583" s="253">
        <v>99000</v>
      </c>
      <c r="BK583" s="121" t="s">
        <v>257</v>
      </c>
    </row>
    <row r="584" spans="53:63" x14ac:dyDescent="0.3">
      <c r="BA584" s="252">
        <v>577</v>
      </c>
      <c r="BB584" s="253">
        <v>135000</v>
      </c>
      <c r="BC584" s="253">
        <v>99000</v>
      </c>
      <c r="BD584" s="253">
        <v>110000</v>
      </c>
      <c r="BE584" s="253">
        <v>85000</v>
      </c>
      <c r="BF584" s="253">
        <v>99000</v>
      </c>
      <c r="BK584" s="121" t="s">
        <v>257</v>
      </c>
    </row>
    <row r="585" spans="53:63" x14ac:dyDescent="0.3">
      <c r="BA585" s="252">
        <v>578</v>
      </c>
      <c r="BB585" s="253">
        <v>135000</v>
      </c>
      <c r="BC585" s="253">
        <v>99000</v>
      </c>
      <c r="BD585" s="253">
        <v>110000</v>
      </c>
      <c r="BE585" s="253">
        <v>85000</v>
      </c>
      <c r="BF585" s="253">
        <v>99000</v>
      </c>
      <c r="BK585" s="121" t="s">
        <v>257</v>
      </c>
    </row>
    <row r="586" spans="53:63" x14ac:dyDescent="0.3">
      <c r="BA586" s="252">
        <v>579</v>
      </c>
      <c r="BB586" s="253">
        <v>135000</v>
      </c>
      <c r="BC586" s="253">
        <v>99000</v>
      </c>
      <c r="BD586" s="253">
        <v>110000</v>
      </c>
      <c r="BE586" s="253">
        <v>85000</v>
      </c>
      <c r="BF586" s="253">
        <v>99000</v>
      </c>
      <c r="BK586" s="121" t="s">
        <v>257</v>
      </c>
    </row>
    <row r="587" spans="53:63" x14ac:dyDescent="0.3">
      <c r="BA587" s="252">
        <v>580</v>
      </c>
      <c r="BB587" s="253">
        <v>135000</v>
      </c>
      <c r="BC587" s="253">
        <v>99000</v>
      </c>
      <c r="BD587" s="253">
        <v>110000</v>
      </c>
      <c r="BE587" s="253">
        <v>85000</v>
      </c>
      <c r="BF587" s="253">
        <v>99000</v>
      </c>
      <c r="BK587" s="121" t="s">
        <v>257</v>
      </c>
    </row>
    <row r="588" spans="53:63" x14ac:dyDescent="0.3">
      <c r="BA588" s="252">
        <v>581</v>
      </c>
      <c r="BB588" s="253">
        <v>135000</v>
      </c>
      <c r="BC588" s="253">
        <v>99000</v>
      </c>
      <c r="BD588" s="253">
        <v>110000</v>
      </c>
      <c r="BE588" s="253">
        <v>85000</v>
      </c>
      <c r="BF588" s="253">
        <v>99000</v>
      </c>
      <c r="BK588" s="121" t="s">
        <v>257</v>
      </c>
    </row>
    <row r="589" spans="53:63" x14ac:dyDescent="0.3">
      <c r="BA589" s="252">
        <v>582</v>
      </c>
      <c r="BB589" s="253">
        <v>135000</v>
      </c>
      <c r="BC589" s="253">
        <v>99000</v>
      </c>
      <c r="BD589" s="253">
        <v>110000</v>
      </c>
      <c r="BE589" s="253">
        <v>85000</v>
      </c>
      <c r="BF589" s="253">
        <v>99000</v>
      </c>
      <c r="BK589" s="121" t="s">
        <v>257</v>
      </c>
    </row>
    <row r="590" spans="53:63" x14ac:dyDescent="0.3">
      <c r="BA590" s="252">
        <v>583</v>
      </c>
      <c r="BB590" s="253">
        <v>135000</v>
      </c>
      <c r="BC590" s="253">
        <v>99000</v>
      </c>
      <c r="BD590" s="253">
        <v>110000</v>
      </c>
      <c r="BE590" s="253">
        <v>85000</v>
      </c>
      <c r="BF590" s="253">
        <v>99000</v>
      </c>
      <c r="BK590" s="121" t="s">
        <v>257</v>
      </c>
    </row>
    <row r="591" spans="53:63" x14ac:dyDescent="0.3">
      <c r="BA591" s="252">
        <v>584</v>
      </c>
      <c r="BB591" s="253">
        <v>135000</v>
      </c>
      <c r="BC591" s="253">
        <v>99000</v>
      </c>
      <c r="BD591" s="253">
        <v>110000</v>
      </c>
      <c r="BE591" s="253">
        <v>85000</v>
      </c>
      <c r="BF591" s="253">
        <v>99000</v>
      </c>
      <c r="BK591" s="121" t="s">
        <v>257</v>
      </c>
    </row>
    <row r="592" spans="53:63" x14ac:dyDescent="0.3">
      <c r="BA592" s="252">
        <v>585</v>
      </c>
      <c r="BB592" s="253">
        <v>135000</v>
      </c>
      <c r="BC592" s="253">
        <v>99000</v>
      </c>
      <c r="BD592" s="253">
        <v>110000</v>
      </c>
      <c r="BE592" s="253">
        <v>85000</v>
      </c>
      <c r="BF592" s="253">
        <v>99000</v>
      </c>
      <c r="BK592" s="121" t="s">
        <v>257</v>
      </c>
    </row>
    <row r="593" spans="53:63" x14ac:dyDescent="0.3">
      <c r="BA593" s="252">
        <v>586</v>
      </c>
      <c r="BB593" s="253">
        <v>135000</v>
      </c>
      <c r="BC593" s="253">
        <v>99000</v>
      </c>
      <c r="BD593" s="253">
        <v>110000</v>
      </c>
      <c r="BE593" s="253">
        <v>85000</v>
      </c>
      <c r="BF593" s="253">
        <v>99000</v>
      </c>
      <c r="BK593" s="121" t="s">
        <v>257</v>
      </c>
    </row>
    <row r="594" spans="53:63" x14ac:dyDescent="0.3">
      <c r="BA594" s="252">
        <v>587</v>
      </c>
      <c r="BB594" s="253">
        <v>135000</v>
      </c>
      <c r="BC594" s="253">
        <v>99000</v>
      </c>
      <c r="BD594" s="253">
        <v>110000</v>
      </c>
      <c r="BE594" s="253">
        <v>85000</v>
      </c>
      <c r="BF594" s="253">
        <v>99000</v>
      </c>
      <c r="BK594" s="121" t="s">
        <v>257</v>
      </c>
    </row>
    <row r="595" spans="53:63" x14ac:dyDescent="0.3">
      <c r="BA595" s="252">
        <v>588</v>
      </c>
      <c r="BB595" s="253">
        <v>135000</v>
      </c>
      <c r="BC595" s="253">
        <v>99000</v>
      </c>
      <c r="BD595" s="253">
        <v>110000</v>
      </c>
      <c r="BE595" s="253">
        <v>85000</v>
      </c>
      <c r="BF595" s="253">
        <v>99000</v>
      </c>
      <c r="BK595" s="121" t="s">
        <v>257</v>
      </c>
    </row>
    <row r="596" spans="53:63" x14ac:dyDescent="0.3">
      <c r="BA596" s="252">
        <v>589</v>
      </c>
      <c r="BB596" s="253">
        <v>135000</v>
      </c>
      <c r="BC596" s="253">
        <v>99000</v>
      </c>
      <c r="BD596" s="253">
        <v>110000</v>
      </c>
      <c r="BE596" s="253">
        <v>85000</v>
      </c>
      <c r="BF596" s="253">
        <v>99000</v>
      </c>
      <c r="BK596" s="121" t="s">
        <v>257</v>
      </c>
    </row>
    <row r="597" spans="53:63" x14ac:dyDescent="0.3">
      <c r="BA597" s="252">
        <v>590</v>
      </c>
      <c r="BB597" s="253">
        <v>135000</v>
      </c>
      <c r="BC597" s="253">
        <v>99000</v>
      </c>
      <c r="BD597" s="253">
        <v>110000</v>
      </c>
      <c r="BE597" s="253">
        <v>85000</v>
      </c>
      <c r="BF597" s="253">
        <v>99000</v>
      </c>
      <c r="BK597" s="121" t="s">
        <v>257</v>
      </c>
    </row>
    <row r="598" spans="53:63" x14ac:dyDescent="0.3">
      <c r="BA598" s="252">
        <v>591</v>
      </c>
      <c r="BB598" s="253">
        <v>135000</v>
      </c>
      <c r="BC598" s="253">
        <v>99000</v>
      </c>
      <c r="BD598" s="253">
        <v>110000</v>
      </c>
      <c r="BE598" s="253">
        <v>85000</v>
      </c>
      <c r="BF598" s="253">
        <v>99000</v>
      </c>
      <c r="BK598" s="121" t="s">
        <v>257</v>
      </c>
    </row>
    <row r="599" spans="53:63" x14ac:dyDescent="0.3">
      <c r="BA599" s="252">
        <v>592</v>
      </c>
      <c r="BB599" s="253">
        <v>135000</v>
      </c>
      <c r="BC599" s="253">
        <v>99000</v>
      </c>
      <c r="BD599" s="253">
        <v>110000</v>
      </c>
      <c r="BE599" s="253">
        <v>85000</v>
      </c>
      <c r="BF599" s="253">
        <v>99000</v>
      </c>
      <c r="BK599" s="121" t="s">
        <v>257</v>
      </c>
    </row>
    <row r="600" spans="53:63" x14ac:dyDescent="0.3">
      <c r="BA600" s="252">
        <v>593</v>
      </c>
      <c r="BB600" s="253">
        <v>135000</v>
      </c>
      <c r="BC600" s="253">
        <v>99000</v>
      </c>
      <c r="BD600" s="253">
        <v>110000</v>
      </c>
      <c r="BE600" s="253">
        <v>85000</v>
      </c>
      <c r="BF600" s="253">
        <v>99000</v>
      </c>
      <c r="BK600" s="121" t="s">
        <v>257</v>
      </c>
    </row>
    <row r="601" spans="53:63" x14ac:dyDescent="0.3">
      <c r="BA601" s="252">
        <v>594</v>
      </c>
      <c r="BB601" s="253">
        <v>135000</v>
      </c>
      <c r="BC601" s="253">
        <v>99000</v>
      </c>
      <c r="BD601" s="253">
        <v>110000</v>
      </c>
      <c r="BE601" s="253">
        <v>85000</v>
      </c>
      <c r="BF601" s="253">
        <v>99000</v>
      </c>
      <c r="BK601" s="121" t="s">
        <v>257</v>
      </c>
    </row>
    <row r="602" spans="53:63" x14ac:dyDescent="0.3">
      <c r="BA602" s="252">
        <v>595</v>
      </c>
      <c r="BB602" s="253">
        <v>135000</v>
      </c>
      <c r="BC602" s="253">
        <v>99000</v>
      </c>
      <c r="BD602" s="253">
        <v>110000</v>
      </c>
      <c r="BE602" s="253">
        <v>85000</v>
      </c>
      <c r="BF602" s="253">
        <v>99000</v>
      </c>
      <c r="BK602" s="121" t="s">
        <v>257</v>
      </c>
    </row>
    <row r="603" spans="53:63" x14ac:dyDescent="0.3">
      <c r="BA603" s="252">
        <v>596</v>
      </c>
      <c r="BB603" s="253">
        <v>135000</v>
      </c>
      <c r="BC603" s="253">
        <v>99000</v>
      </c>
      <c r="BD603" s="253">
        <v>110000</v>
      </c>
      <c r="BE603" s="253">
        <v>85000</v>
      </c>
      <c r="BF603" s="253">
        <v>99000</v>
      </c>
      <c r="BK603" s="121" t="s">
        <v>257</v>
      </c>
    </row>
    <row r="604" spans="53:63" x14ac:dyDescent="0.3">
      <c r="BA604" s="252">
        <v>597</v>
      </c>
      <c r="BB604" s="253">
        <v>135000</v>
      </c>
      <c r="BC604" s="253">
        <v>99000</v>
      </c>
      <c r="BD604" s="253">
        <v>110000</v>
      </c>
      <c r="BE604" s="253">
        <v>85000</v>
      </c>
      <c r="BF604" s="253">
        <v>99000</v>
      </c>
      <c r="BK604" s="121" t="s">
        <v>257</v>
      </c>
    </row>
    <row r="605" spans="53:63" x14ac:dyDescent="0.3">
      <c r="BA605" s="252">
        <v>598</v>
      </c>
      <c r="BB605" s="253">
        <v>135000</v>
      </c>
      <c r="BC605" s="253">
        <v>99000</v>
      </c>
      <c r="BD605" s="253">
        <v>110000</v>
      </c>
      <c r="BE605" s="253">
        <v>85000</v>
      </c>
      <c r="BF605" s="253">
        <v>99000</v>
      </c>
      <c r="BK605" s="121" t="s">
        <v>257</v>
      </c>
    </row>
    <row r="606" spans="53:63" x14ac:dyDescent="0.3">
      <c r="BA606" s="252">
        <v>599</v>
      </c>
      <c r="BB606" s="253">
        <v>135000</v>
      </c>
      <c r="BC606" s="253">
        <v>99000</v>
      </c>
      <c r="BD606" s="253">
        <v>110000</v>
      </c>
      <c r="BE606" s="253">
        <v>85000</v>
      </c>
      <c r="BF606" s="253">
        <v>99000</v>
      </c>
      <c r="BK606" s="121" t="s">
        <v>257</v>
      </c>
    </row>
    <row r="607" spans="53:63" x14ac:dyDescent="0.3">
      <c r="BA607" s="252">
        <v>600</v>
      </c>
      <c r="BB607" s="253">
        <v>135000</v>
      </c>
      <c r="BC607" s="253">
        <v>99000</v>
      </c>
      <c r="BD607" s="253">
        <v>110000</v>
      </c>
      <c r="BE607" s="253">
        <v>85000</v>
      </c>
      <c r="BF607" s="253">
        <v>99000</v>
      </c>
      <c r="BK607" s="121" t="s">
        <v>257</v>
      </c>
    </row>
    <row r="608" spans="53:63" x14ac:dyDescent="0.3">
      <c r="BA608" s="252">
        <v>601</v>
      </c>
      <c r="BB608" s="253">
        <v>135000</v>
      </c>
      <c r="BC608" s="253">
        <v>99000</v>
      </c>
      <c r="BD608" s="253">
        <v>110000</v>
      </c>
      <c r="BE608" s="253">
        <v>85000</v>
      </c>
      <c r="BF608" s="253">
        <v>99000</v>
      </c>
      <c r="BK608" s="121" t="s">
        <v>257</v>
      </c>
    </row>
    <row r="609" spans="53:63" x14ac:dyDescent="0.3">
      <c r="BA609" s="252">
        <v>602</v>
      </c>
      <c r="BB609" s="253">
        <v>135000</v>
      </c>
      <c r="BC609" s="253">
        <v>99000</v>
      </c>
      <c r="BD609" s="253">
        <v>110000</v>
      </c>
      <c r="BE609" s="253">
        <v>85000</v>
      </c>
      <c r="BF609" s="253">
        <v>99000</v>
      </c>
      <c r="BK609" s="121" t="s">
        <v>257</v>
      </c>
    </row>
    <row r="610" spans="53:63" x14ac:dyDescent="0.3">
      <c r="BA610" s="252">
        <v>603</v>
      </c>
      <c r="BB610" s="253">
        <v>135000</v>
      </c>
      <c r="BC610" s="253">
        <v>99000</v>
      </c>
      <c r="BD610" s="253">
        <v>110000</v>
      </c>
      <c r="BE610" s="253">
        <v>85000</v>
      </c>
      <c r="BF610" s="253">
        <v>99000</v>
      </c>
      <c r="BK610" s="121" t="s">
        <v>257</v>
      </c>
    </row>
    <row r="611" spans="53:63" x14ac:dyDescent="0.3">
      <c r="BA611" s="252">
        <v>604</v>
      </c>
      <c r="BB611" s="253">
        <v>135000</v>
      </c>
      <c r="BC611" s="253">
        <v>99000</v>
      </c>
      <c r="BD611" s="253">
        <v>110000</v>
      </c>
      <c r="BE611" s="253">
        <v>85000</v>
      </c>
      <c r="BF611" s="253">
        <v>99000</v>
      </c>
      <c r="BK611" s="121" t="s">
        <v>257</v>
      </c>
    </row>
    <row r="612" spans="53:63" x14ac:dyDescent="0.3">
      <c r="BA612" s="252">
        <v>605</v>
      </c>
      <c r="BB612" s="253">
        <v>135000</v>
      </c>
      <c r="BC612" s="253">
        <v>99000</v>
      </c>
      <c r="BD612" s="253">
        <v>110000</v>
      </c>
      <c r="BE612" s="253">
        <v>85000</v>
      </c>
      <c r="BF612" s="253">
        <v>99000</v>
      </c>
      <c r="BK612" s="121" t="s">
        <v>257</v>
      </c>
    </row>
    <row r="613" spans="53:63" x14ac:dyDescent="0.3">
      <c r="BA613" s="252">
        <v>606</v>
      </c>
      <c r="BB613" s="253">
        <v>135000</v>
      </c>
      <c r="BC613" s="253">
        <v>99000</v>
      </c>
      <c r="BD613" s="253">
        <v>110000</v>
      </c>
      <c r="BE613" s="253">
        <v>85000</v>
      </c>
      <c r="BF613" s="253">
        <v>99000</v>
      </c>
      <c r="BK613" s="121" t="s">
        <v>257</v>
      </c>
    </row>
    <row r="614" spans="53:63" x14ac:dyDescent="0.3">
      <c r="BA614" s="252">
        <v>607</v>
      </c>
      <c r="BB614" s="253">
        <v>135000</v>
      </c>
      <c r="BC614" s="253">
        <v>99000</v>
      </c>
      <c r="BD614" s="253">
        <v>110000</v>
      </c>
      <c r="BE614" s="253">
        <v>85000</v>
      </c>
      <c r="BF614" s="253">
        <v>99000</v>
      </c>
      <c r="BK614" s="121" t="s">
        <v>257</v>
      </c>
    </row>
    <row r="615" spans="53:63" x14ac:dyDescent="0.3">
      <c r="BA615" s="252">
        <v>608</v>
      </c>
      <c r="BB615" s="253">
        <v>135000</v>
      </c>
      <c r="BC615" s="253">
        <v>99000</v>
      </c>
      <c r="BD615" s="253">
        <v>110000</v>
      </c>
      <c r="BE615" s="253">
        <v>85000</v>
      </c>
      <c r="BF615" s="253">
        <v>99000</v>
      </c>
      <c r="BK615" s="121" t="s">
        <v>257</v>
      </c>
    </row>
    <row r="616" spans="53:63" x14ac:dyDescent="0.3">
      <c r="BA616" s="252">
        <v>609</v>
      </c>
      <c r="BB616" s="253">
        <v>135000</v>
      </c>
      <c r="BC616" s="253">
        <v>99000</v>
      </c>
      <c r="BD616" s="253">
        <v>110000</v>
      </c>
      <c r="BE616" s="253">
        <v>85000</v>
      </c>
      <c r="BF616" s="253">
        <v>99000</v>
      </c>
      <c r="BK616" s="121" t="s">
        <v>257</v>
      </c>
    </row>
    <row r="617" spans="53:63" x14ac:dyDescent="0.3">
      <c r="BA617" s="252">
        <v>610</v>
      </c>
      <c r="BB617" s="253">
        <v>135000</v>
      </c>
      <c r="BC617" s="253">
        <v>99000</v>
      </c>
      <c r="BD617" s="253">
        <v>110000</v>
      </c>
      <c r="BE617" s="253">
        <v>85000</v>
      </c>
      <c r="BF617" s="253">
        <v>99000</v>
      </c>
      <c r="BK617" s="121" t="s">
        <v>257</v>
      </c>
    </row>
    <row r="618" spans="53:63" x14ac:dyDescent="0.3">
      <c r="BA618" s="252">
        <v>611</v>
      </c>
      <c r="BB618" s="253">
        <v>135000</v>
      </c>
      <c r="BC618" s="253">
        <v>99000</v>
      </c>
      <c r="BD618" s="253">
        <v>110000</v>
      </c>
      <c r="BE618" s="253">
        <v>85000</v>
      </c>
      <c r="BF618" s="253">
        <v>99000</v>
      </c>
      <c r="BK618" s="121" t="s">
        <v>257</v>
      </c>
    </row>
    <row r="619" spans="53:63" x14ac:dyDescent="0.3">
      <c r="BA619" s="252">
        <v>612</v>
      </c>
      <c r="BB619" s="253">
        <v>135000</v>
      </c>
      <c r="BC619" s="253">
        <v>99000</v>
      </c>
      <c r="BD619" s="253">
        <v>110000</v>
      </c>
      <c r="BE619" s="253">
        <v>85000</v>
      </c>
      <c r="BF619" s="253">
        <v>99000</v>
      </c>
      <c r="BK619" s="121" t="s">
        <v>257</v>
      </c>
    </row>
    <row r="620" spans="53:63" x14ac:dyDescent="0.3">
      <c r="BA620" s="252">
        <v>613</v>
      </c>
      <c r="BB620" s="253">
        <v>135000</v>
      </c>
      <c r="BC620" s="253">
        <v>99000</v>
      </c>
      <c r="BD620" s="253">
        <v>110000</v>
      </c>
      <c r="BE620" s="253">
        <v>85000</v>
      </c>
      <c r="BF620" s="253">
        <v>99000</v>
      </c>
      <c r="BK620" s="121" t="s">
        <v>257</v>
      </c>
    </row>
    <row r="621" spans="53:63" x14ac:dyDescent="0.3">
      <c r="BA621" s="252">
        <v>614</v>
      </c>
      <c r="BB621" s="253">
        <v>135000</v>
      </c>
      <c r="BC621" s="253">
        <v>99000</v>
      </c>
      <c r="BD621" s="253">
        <v>110000</v>
      </c>
      <c r="BE621" s="253">
        <v>85000</v>
      </c>
      <c r="BF621" s="253">
        <v>99000</v>
      </c>
      <c r="BK621" s="121" t="s">
        <v>257</v>
      </c>
    </row>
    <row r="622" spans="53:63" x14ac:dyDescent="0.3">
      <c r="BA622" s="252">
        <v>615</v>
      </c>
      <c r="BB622" s="253">
        <v>135000</v>
      </c>
      <c r="BC622" s="253">
        <v>99000</v>
      </c>
      <c r="BD622" s="253">
        <v>110000</v>
      </c>
      <c r="BE622" s="253">
        <v>85000</v>
      </c>
      <c r="BF622" s="253">
        <v>99000</v>
      </c>
      <c r="BK622" s="121" t="s">
        <v>257</v>
      </c>
    </row>
    <row r="623" spans="53:63" x14ac:dyDescent="0.3">
      <c r="BA623" s="252">
        <v>616</v>
      </c>
      <c r="BB623" s="253">
        <v>135000</v>
      </c>
      <c r="BC623" s="253">
        <v>99000</v>
      </c>
      <c r="BD623" s="253">
        <v>110000</v>
      </c>
      <c r="BE623" s="253">
        <v>85000</v>
      </c>
      <c r="BF623" s="253">
        <v>99000</v>
      </c>
      <c r="BK623" s="121" t="s">
        <v>257</v>
      </c>
    </row>
    <row r="624" spans="53:63" x14ac:dyDescent="0.3">
      <c r="BA624" s="252">
        <v>617</v>
      </c>
      <c r="BB624" s="253">
        <v>135000</v>
      </c>
      <c r="BC624" s="253">
        <v>99000</v>
      </c>
      <c r="BD624" s="253">
        <v>110000</v>
      </c>
      <c r="BE624" s="253">
        <v>85000</v>
      </c>
      <c r="BF624" s="253">
        <v>99000</v>
      </c>
      <c r="BK624" s="121" t="s">
        <v>257</v>
      </c>
    </row>
    <row r="625" spans="53:63" x14ac:dyDescent="0.3">
      <c r="BA625" s="252">
        <v>618</v>
      </c>
      <c r="BB625" s="253">
        <v>135000</v>
      </c>
      <c r="BC625" s="253">
        <v>99000</v>
      </c>
      <c r="BD625" s="253">
        <v>110000</v>
      </c>
      <c r="BE625" s="253">
        <v>85000</v>
      </c>
      <c r="BF625" s="253">
        <v>99000</v>
      </c>
      <c r="BK625" s="121" t="s">
        <v>257</v>
      </c>
    </row>
    <row r="626" spans="53:63" x14ac:dyDescent="0.3">
      <c r="BA626" s="252">
        <v>619</v>
      </c>
      <c r="BB626" s="253">
        <v>135000</v>
      </c>
      <c r="BC626" s="253">
        <v>99000</v>
      </c>
      <c r="BD626" s="253">
        <v>110000</v>
      </c>
      <c r="BE626" s="253">
        <v>85000</v>
      </c>
      <c r="BF626" s="253">
        <v>99000</v>
      </c>
      <c r="BK626" s="121" t="s">
        <v>257</v>
      </c>
    </row>
    <row r="627" spans="53:63" x14ac:dyDescent="0.3">
      <c r="BA627" s="252">
        <v>620</v>
      </c>
      <c r="BB627" s="253">
        <v>135000</v>
      </c>
      <c r="BC627" s="253">
        <v>99000</v>
      </c>
      <c r="BD627" s="253">
        <v>110000</v>
      </c>
      <c r="BE627" s="253">
        <v>85000</v>
      </c>
      <c r="BF627" s="253">
        <v>99000</v>
      </c>
      <c r="BK627" s="121" t="s">
        <v>257</v>
      </c>
    </row>
    <row r="628" spans="53:63" x14ac:dyDescent="0.3">
      <c r="BA628" s="252">
        <v>621</v>
      </c>
      <c r="BB628" s="253">
        <v>135000</v>
      </c>
      <c r="BC628" s="253">
        <v>99000</v>
      </c>
      <c r="BD628" s="253">
        <v>110000</v>
      </c>
      <c r="BE628" s="253">
        <v>85000</v>
      </c>
      <c r="BF628" s="253">
        <v>99000</v>
      </c>
      <c r="BK628" s="121" t="s">
        <v>257</v>
      </c>
    </row>
    <row r="629" spans="53:63" x14ac:dyDescent="0.3">
      <c r="BA629" s="252">
        <v>622</v>
      </c>
      <c r="BB629" s="253">
        <v>135000</v>
      </c>
      <c r="BC629" s="253">
        <v>99000</v>
      </c>
      <c r="BD629" s="253">
        <v>110000</v>
      </c>
      <c r="BE629" s="253">
        <v>85000</v>
      </c>
      <c r="BF629" s="253">
        <v>99000</v>
      </c>
      <c r="BK629" s="121" t="s">
        <v>257</v>
      </c>
    </row>
    <row r="630" spans="53:63" x14ac:dyDescent="0.3">
      <c r="BA630" s="252">
        <v>623</v>
      </c>
      <c r="BB630" s="253">
        <v>135000</v>
      </c>
      <c r="BC630" s="253">
        <v>99000</v>
      </c>
      <c r="BD630" s="253">
        <v>110000</v>
      </c>
      <c r="BE630" s="253">
        <v>85000</v>
      </c>
      <c r="BF630" s="253">
        <v>99000</v>
      </c>
      <c r="BK630" s="121" t="s">
        <v>257</v>
      </c>
    </row>
    <row r="631" spans="53:63" x14ac:dyDescent="0.3">
      <c r="BA631" s="252">
        <v>624</v>
      </c>
      <c r="BB631" s="253">
        <v>135000</v>
      </c>
      <c r="BC631" s="253">
        <v>99000</v>
      </c>
      <c r="BD631" s="253">
        <v>110000</v>
      </c>
      <c r="BE631" s="253">
        <v>85000</v>
      </c>
      <c r="BF631" s="253">
        <v>99000</v>
      </c>
      <c r="BK631" s="121" t="s">
        <v>257</v>
      </c>
    </row>
    <row r="632" spans="53:63" x14ac:dyDescent="0.3">
      <c r="BA632" s="252">
        <v>625</v>
      </c>
      <c r="BB632" s="253">
        <v>135000</v>
      </c>
      <c r="BC632" s="253">
        <v>99000</v>
      </c>
      <c r="BD632" s="253">
        <v>110000</v>
      </c>
      <c r="BE632" s="253">
        <v>85000</v>
      </c>
      <c r="BF632" s="253">
        <v>99000</v>
      </c>
      <c r="BK632" s="121" t="s">
        <v>257</v>
      </c>
    </row>
    <row r="633" spans="53:63" x14ac:dyDescent="0.3">
      <c r="BA633" s="252">
        <v>626</v>
      </c>
      <c r="BB633" s="253">
        <v>135000</v>
      </c>
      <c r="BC633" s="253">
        <v>99000</v>
      </c>
      <c r="BD633" s="253">
        <v>110000</v>
      </c>
      <c r="BE633" s="253">
        <v>85000</v>
      </c>
      <c r="BF633" s="253">
        <v>99000</v>
      </c>
      <c r="BK633" s="121" t="s">
        <v>257</v>
      </c>
    </row>
    <row r="634" spans="53:63" x14ac:dyDescent="0.3">
      <c r="BA634" s="252">
        <v>627</v>
      </c>
      <c r="BB634" s="253">
        <v>135000</v>
      </c>
      <c r="BC634" s="253">
        <v>99000</v>
      </c>
      <c r="BD634" s="253">
        <v>110000</v>
      </c>
      <c r="BE634" s="253">
        <v>85000</v>
      </c>
      <c r="BF634" s="253">
        <v>99000</v>
      </c>
      <c r="BK634" s="121" t="s">
        <v>257</v>
      </c>
    </row>
    <row r="635" spans="53:63" x14ac:dyDescent="0.3">
      <c r="BA635" s="252">
        <v>628</v>
      </c>
      <c r="BB635" s="253">
        <v>135000</v>
      </c>
      <c r="BC635" s="253">
        <v>99000</v>
      </c>
      <c r="BD635" s="253">
        <v>110000</v>
      </c>
      <c r="BE635" s="253">
        <v>85000</v>
      </c>
      <c r="BF635" s="253">
        <v>99000</v>
      </c>
      <c r="BK635" s="121" t="s">
        <v>257</v>
      </c>
    </row>
    <row r="636" spans="53:63" x14ac:dyDescent="0.3">
      <c r="BA636" s="252">
        <v>629</v>
      </c>
      <c r="BB636" s="253">
        <v>135000</v>
      </c>
      <c r="BC636" s="253">
        <v>99000</v>
      </c>
      <c r="BD636" s="253">
        <v>110000</v>
      </c>
      <c r="BE636" s="253">
        <v>85000</v>
      </c>
      <c r="BF636" s="253">
        <v>99000</v>
      </c>
      <c r="BK636" s="121" t="s">
        <v>257</v>
      </c>
    </row>
    <row r="637" spans="53:63" x14ac:dyDescent="0.3">
      <c r="BA637" s="252">
        <v>630</v>
      </c>
      <c r="BB637" s="253">
        <v>135000</v>
      </c>
      <c r="BC637" s="253">
        <v>99000</v>
      </c>
      <c r="BD637" s="253">
        <v>110000</v>
      </c>
      <c r="BE637" s="253">
        <v>85000</v>
      </c>
      <c r="BF637" s="253">
        <v>99000</v>
      </c>
      <c r="BK637" s="121" t="s">
        <v>257</v>
      </c>
    </row>
    <row r="638" spans="53:63" x14ac:dyDescent="0.3">
      <c r="BA638" s="252">
        <v>631</v>
      </c>
      <c r="BB638" s="253">
        <v>135000</v>
      </c>
      <c r="BC638" s="253">
        <v>99000</v>
      </c>
      <c r="BD638" s="253">
        <v>110000</v>
      </c>
      <c r="BE638" s="253">
        <v>85000</v>
      </c>
      <c r="BF638" s="253">
        <v>99000</v>
      </c>
      <c r="BK638" s="121" t="s">
        <v>257</v>
      </c>
    </row>
    <row r="639" spans="53:63" x14ac:dyDescent="0.3">
      <c r="BA639" s="252">
        <v>632</v>
      </c>
      <c r="BB639" s="253">
        <v>135000</v>
      </c>
      <c r="BC639" s="253">
        <v>99000</v>
      </c>
      <c r="BD639" s="253">
        <v>110000</v>
      </c>
      <c r="BE639" s="253">
        <v>85000</v>
      </c>
      <c r="BF639" s="253">
        <v>99000</v>
      </c>
      <c r="BK639" s="121" t="s">
        <v>257</v>
      </c>
    </row>
    <row r="640" spans="53:63" x14ac:dyDescent="0.3">
      <c r="BA640" s="252">
        <v>633</v>
      </c>
      <c r="BB640" s="253">
        <v>135000</v>
      </c>
      <c r="BC640" s="253">
        <v>99000</v>
      </c>
      <c r="BD640" s="253">
        <v>110000</v>
      </c>
      <c r="BE640" s="253">
        <v>85000</v>
      </c>
      <c r="BF640" s="253">
        <v>99000</v>
      </c>
      <c r="BK640" s="121" t="s">
        <v>257</v>
      </c>
    </row>
    <row r="641" spans="53:63" x14ac:dyDescent="0.3">
      <c r="BA641" s="252">
        <v>634</v>
      </c>
      <c r="BB641" s="253">
        <v>135000</v>
      </c>
      <c r="BC641" s="253">
        <v>99000</v>
      </c>
      <c r="BD641" s="253">
        <v>110000</v>
      </c>
      <c r="BE641" s="253">
        <v>85000</v>
      </c>
      <c r="BF641" s="253">
        <v>99000</v>
      </c>
      <c r="BK641" s="121" t="s">
        <v>257</v>
      </c>
    </row>
    <row r="642" spans="53:63" x14ac:dyDescent="0.3">
      <c r="BA642" s="252">
        <v>635</v>
      </c>
      <c r="BB642" s="253">
        <v>135000</v>
      </c>
      <c r="BC642" s="253">
        <v>99000</v>
      </c>
      <c r="BD642" s="253">
        <v>110000</v>
      </c>
      <c r="BE642" s="253">
        <v>85000</v>
      </c>
      <c r="BF642" s="253">
        <v>99000</v>
      </c>
      <c r="BK642" s="121" t="s">
        <v>257</v>
      </c>
    </row>
    <row r="643" spans="53:63" x14ac:dyDescent="0.3">
      <c r="BA643" s="252">
        <v>636</v>
      </c>
      <c r="BB643" s="253">
        <v>135000</v>
      </c>
      <c r="BC643" s="253">
        <v>99000</v>
      </c>
      <c r="BD643" s="253">
        <v>110000</v>
      </c>
      <c r="BE643" s="253">
        <v>85000</v>
      </c>
      <c r="BF643" s="253">
        <v>99000</v>
      </c>
      <c r="BK643" s="121" t="s">
        <v>257</v>
      </c>
    </row>
    <row r="644" spans="53:63" x14ac:dyDescent="0.3">
      <c r="BA644" s="252">
        <v>637</v>
      </c>
      <c r="BB644" s="253">
        <v>135000</v>
      </c>
      <c r="BC644" s="253">
        <v>99000</v>
      </c>
      <c r="BD644" s="253">
        <v>110000</v>
      </c>
      <c r="BE644" s="253">
        <v>85000</v>
      </c>
      <c r="BF644" s="253">
        <v>99000</v>
      </c>
      <c r="BK644" s="121" t="s">
        <v>257</v>
      </c>
    </row>
    <row r="645" spans="53:63" x14ac:dyDescent="0.3">
      <c r="BA645" s="252">
        <v>638</v>
      </c>
      <c r="BB645" s="253">
        <v>135000</v>
      </c>
      <c r="BC645" s="253">
        <v>99000</v>
      </c>
      <c r="BD645" s="253">
        <v>110000</v>
      </c>
      <c r="BE645" s="253">
        <v>85000</v>
      </c>
      <c r="BF645" s="253">
        <v>99000</v>
      </c>
      <c r="BK645" s="121" t="s">
        <v>257</v>
      </c>
    </row>
    <row r="646" spans="53:63" x14ac:dyDescent="0.3">
      <c r="BA646" s="252">
        <v>639</v>
      </c>
      <c r="BB646" s="253">
        <v>135000</v>
      </c>
      <c r="BC646" s="253">
        <v>99000</v>
      </c>
      <c r="BD646" s="253">
        <v>110000</v>
      </c>
      <c r="BE646" s="253">
        <v>85000</v>
      </c>
      <c r="BF646" s="253">
        <v>99000</v>
      </c>
      <c r="BK646" s="121" t="s">
        <v>257</v>
      </c>
    </row>
    <row r="647" spans="53:63" x14ac:dyDescent="0.3">
      <c r="BA647" s="252">
        <v>640</v>
      </c>
      <c r="BB647" s="253">
        <v>135000</v>
      </c>
      <c r="BC647" s="253">
        <v>99000</v>
      </c>
      <c r="BD647" s="253">
        <v>110000</v>
      </c>
      <c r="BE647" s="253">
        <v>85000</v>
      </c>
      <c r="BF647" s="253">
        <v>99000</v>
      </c>
      <c r="BK647" s="121" t="s">
        <v>257</v>
      </c>
    </row>
    <row r="648" spans="53:63" x14ac:dyDescent="0.3">
      <c r="BA648" s="252">
        <v>641</v>
      </c>
      <c r="BB648" s="253">
        <v>135000</v>
      </c>
      <c r="BC648" s="253">
        <v>99000</v>
      </c>
      <c r="BD648" s="253">
        <v>110000</v>
      </c>
      <c r="BE648" s="253">
        <v>85000</v>
      </c>
      <c r="BF648" s="253">
        <v>99000</v>
      </c>
      <c r="BK648" s="121" t="s">
        <v>257</v>
      </c>
    </row>
    <row r="649" spans="53:63" x14ac:dyDescent="0.3">
      <c r="BA649" s="252">
        <v>642</v>
      </c>
      <c r="BB649" s="253">
        <v>135000</v>
      </c>
      <c r="BC649" s="253">
        <v>99000</v>
      </c>
      <c r="BD649" s="253">
        <v>110000</v>
      </c>
      <c r="BE649" s="253">
        <v>85000</v>
      </c>
      <c r="BF649" s="253">
        <v>99000</v>
      </c>
      <c r="BK649" s="121" t="s">
        <v>257</v>
      </c>
    </row>
    <row r="650" spans="53:63" x14ac:dyDescent="0.3">
      <c r="BA650" s="252">
        <v>643</v>
      </c>
      <c r="BB650" s="253">
        <v>135000</v>
      </c>
      <c r="BC650" s="253">
        <v>99000</v>
      </c>
      <c r="BD650" s="253">
        <v>110000</v>
      </c>
      <c r="BE650" s="253">
        <v>85000</v>
      </c>
      <c r="BF650" s="253">
        <v>99000</v>
      </c>
      <c r="BK650" s="121" t="s">
        <v>257</v>
      </c>
    </row>
    <row r="651" spans="53:63" x14ac:dyDescent="0.3">
      <c r="BA651" s="252">
        <v>644</v>
      </c>
      <c r="BB651" s="253">
        <v>135000</v>
      </c>
      <c r="BC651" s="253">
        <v>99000</v>
      </c>
      <c r="BD651" s="253">
        <v>110000</v>
      </c>
      <c r="BE651" s="253">
        <v>85000</v>
      </c>
      <c r="BF651" s="253">
        <v>99000</v>
      </c>
      <c r="BK651" s="121" t="s">
        <v>257</v>
      </c>
    </row>
    <row r="652" spans="53:63" x14ac:dyDescent="0.3">
      <c r="BA652" s="252">
        <v>645</v>
      </c>
      <c r="BB652" s="253">
        <v>135000</v>
      </c>
      <c r="BC652" s="253">
        <v>99000</v>
      </c>
      <c r="BD652" s="253">
        <v>110000</v>
      </c>
      <c r="BE652" s="253">
        <v>85000</v>
      </c>
      <c r="BF652" s="253">
        <v>99000</v>
      </c>
      <c r="BK652" s="121" t="s">
        <v>257</v>
      </c>
    </row>
    <row r="653" spans="53:63" x14ac:dyDescent="0.3">
      <c r="BA653" s="252">
        <v>646</v>
      </c>
      <c r="BB653" s="253">
        <v>135000</v>
      </c>
      <c r="BC653" s="253">
        <v>99000</v>
      </c>
      <c r="BD653" s="253">
        <v>110000</v>
      </c>
      <c r="BE653" s="253">
        <v>85000</v>
      </c>
      <c r="BF653" s="253">
        <v>99000</v>
      </c>
      <c r="BK653" s="121" t="s">
        <v>257</v>
      </c>
    </row>
    <row r="654" spans="53:63" x14ac:dyDescent="0.3">
      <c r="BA654" s="252">
        <v>647</v>
      </c>
      <c r="BB654" s="253">
        <v>135000</v>
      </c>
      <c r="BC654" s="253">
        <v>99000</v>
      </c>
      <c r="BD654" s="253">
        <v>110000</v>
      </c>
      <c r="BE654" s="253">
        <v>85000</v>
      </c>
      <c r="BF654" s="253">
        <v>99000</v>
      </c>
      <c r="BK654" s="121" t="s">
        <v>257</v>
      </c>
    </row>
    <row r="655" spans="53:63" x14ac:dyDescent="0.3">
      <c r="BA655" s="252">
        <v>648</v>
      </c>
      <c r="BB655" s="253">
        <v>135000</v>
      </c>
      <c r="BC655" s="253">
        <v>99000</v>
      </c>
      <c r="BD655" s="253">
        <v>110000</v>
      </c>
      <c r="BE655" s="253">
        <v>85000</v>
      </c>
      <c r="BF655" s="253">
        <v>99000</v>
      </c>
      <c r="BK655" s="121" t="s">
        <v>257</v>
      </c>
    </row>
    <row r="656" spans="53:63" x14ac:dyDescent="0.3">
      <c r="BA656" s="252">
        <v>649</v>
      </c>
      <c r="BB656" s="253">
        <v>135000</v>
      </c>
      <c r="BC656" s="253">
        <v>99000</v>
      </c>
      <c r="BD656" s="253">
        <v>110000</v>
      </c>
      <c r="BE656" s="253">
        <v>85000</v>
      </c>
      <c r="BF656" s="253">
        <v>99000</v>
      </c>
      <c r="BK656" s="121" t="s">
        <v>257</v>
      </c>
    </row>
    <row r="657" spans="53:63" x14ac:dyDescent="0.3">
      <c r="BA657" s="252">
        <v>650</v>
      </c>
      <c r="BB657" s="253">
        <v>135000</v>
      </c>
      <c r="BC657" s="253">
        <v>99000</v>
      </c>
      <c r="BD657" s="253">
        <v>110000</v>
      </c>
      <c r="BE657" s="253">
        <v>85000</v>
      </c>
      <c r="BF657" s="253">
        <v>99000</v>
      </c>
      <c r="BK657" s="121" t="s">
        <v>257</v>
      </c>
    </row>
    <row r="658" spans="53:63" x14ac:dyDescent="0.3">
      <c r="BA658" s="252">
        <v>651</v>
      </c>
      <c r="BB658" s="253">
        <v>135000</v>
      </c>
      <c r="BC658" s="253">
        <v>99000</v>
      </c>
      <c r="BD658" s="253">
        <v>110000</v>
      </c>
      <c r="BE658" s="253">
        <v>85000</v>
      </c>
      <c r="BF658" s="253">
        <v>99000</v>
      </c>
      <c r="BK658" s="121" t="s">
        <v>257</v>
      </c>
    </row>
    <row r="659" spans="53:63" x14ac:dyDescent="0.3">
      <c r="BA659" s="252">
        <v>652</v>
      </c>
      <c r="BB659" s="253">
        <v>135000</v>
      </c>
      <c r="BC659" s="253">
        <v>99000</v>
      </c>
      <c r="BD659" s="253">
        <v>110000</v>
      </c>
      <c r="BE659" s="253">
        <v>85000</v>
      </c>
      <c r="BF659" s="253">
        <v>99000</v>
      </c>
      <c r="BK659" s="121" t="s">
        <v>257</v>
      </c>
    </row>
    <row r="660" spans="53:63" x14ac:dyDescent="0.3">
      <c r="BA660" s="252">
        <v>653</v>
      </c>
      <c r="BB660" s="253">
        <v>135000</v>
      </c>
      <c r="BC660" s="253">
        <v>99000</v>
      </c>
      <c r="BD660" s="253">
        <v>110000</v>
      </c>
      <c r="BE660" s="253">
        <v>85000</v>
      </c>
      <c r="BF660" s="253">
        <v>99000</v>
      </c>
      <c r="BK660" s="121" t="s">
        <v>257</v>
      </c>
    </row>
    <row r="661" spans="53:63" x14ac:dyDescent="0.3">
      <c r="BA661" s="252">
        <v>654</v>
      </c>
      <c r="BB661" s="253">
        <v>135000</v>
      </c>
      <c r="BC661" s="253">
        <v>99000</v>
      </c>
      <c r="BD661" s="253">
        <v>110000</v>
      </c>
      <c r="BE661" s="253">
        <v>85000</v>
      </c>
      <c r="BF661" s="253">
        <v>99000</v>
      </c>
      <c r="BK661" s="121" t="s">
        <v>257</v>
      </c>
    </row>
    <row r="662" spans="53:63" x14ac:dyDescent="0.3">
      <c r="BA662" s="252">
        <v>655</v>
      </c>
      <c r="BB662" s="253">
        <v>135000</v>
      </c>
      <c r="BC662" s="253">
        <v>99000</v>
      </c>
      <c r="BD662" s="253">
        <v>110000</v>
      </c>
      <c r="BE662" s="253">
        <v>85000</v>
      </c>
      <c r="BF662" s="253">
        <v>99000</v>
      </c>
      <c r="BK662" s="121" t="s">
        <v>257</v>
      </c>
    </row>
    <row r="663" spans="53:63" x14ac:dyDescent="0.3">
      <c r="BA663" s="252">
        <v>656</v>
      </c>
      <c r="BB663" s="253">
        <v>135000</v>
      </c>
      <c r="BC663" s="253">
        <v>99000</v>
      </c>
      <c r="BD663" s="253">
        <v>110000</v>
      </c>
      <c r="BE663" s="253">
        <v>85000</v>
      </c>
      <c r="BF663" s="253">
        <v>99000</v>
      </c>
      <c r="BK663" s="121" t="s">
        <v>257</v>
      </c>
    </row>
    <row r="664" spans="53:63" x14ac:dyDescent="0.3">
      <c r="BA664" s="252">
        <v>657</v>
      </c>
      <c r="BB664" s="253">
        <v>135000</v>
      </c>
      <c r="BC664" s="253">
        <v>99000</v>
      </c>
      <c r="BD664" s="253">
        <v>110000</v>
      </c>
      <c r="BE664" s="253">
        <v>85000</v>
      </c>
      <c r="BF664" s="253">
        <v>99000</v>
      </c>
      <c r="BK664" s="121" t="s">
        <v>257</v>
      </c>
    </row>
    <row r="665" spans="53:63" x14ac:dyDescent="0.3">
      <c r="BA665" s="252">
        <v>658</v>
      </c>
      <c r="BB665" s="253">
        <v>135000</v>
      </c>
      <c r="BC665" s="253">
        <v>99000</v>
      </c>
      <c r="BD665" s="253">
        <v>110000</v>
      </c>
      <c r="BE665" s="253">
        <v>85000</v>
      </c>
      <c r="BF665" s="253">
        <v>99000</v>
      </c>
      <c r="BK665" s="121" t="s">
        <v>257</v>
      </c>
    </row>
    <row r="666" spans="53:63" x14ac:dyDescent="0.3">
      <c r="BA666" s="252">
        <v>659</v>
      </c>
      <c r="BB666" s="253">
        <v>135000</v>
      </c>
      <c r="BC666" s="253">
        <v>99000</v>
      </c>
      <c r="BD666" s="253">
        <v>110000</v>
      </c>
      <c r="BE666" s="253">
        <v>85000</v>
      </c>
      <c r="BF666" s="253">
        <v>99000</v>
      </c>
      <c r="BK666" s="121" t="s">
        <v>257</v>
      </c>
    </row>
    <row r="667" spans="53:63" x14ac:dyDescent="0.3">
      <c r="BA667" s="252">
        <v>660</v>
      </c>
      <c r="BB667" s="253">
        <v>135000</v>
      </c>
      <c r="BC667" s="253">
        <v>99000</v>
      </c>
      <c r="BD667" s="253">
        <v>110000</v>
      </c>
      <c r="BE667" s="253">
        <v>85000</v>
      </c>
      <c r="BF667" s="253">
        <v>99000</v>
      </c>
      <c r="BK667" s="121" t="s">
        <v>257</v>
      </c>
    </row>
    <row r="668" spans="53:63" x14ac:dyDescent="0.3">
      <c r="BA668" s="252">
        <v>661</v>
      </c>
      <c r="BB668" s="253">
        <v>135000</v>
      </c>
      <c r="BC668" s="253">
        <v>99000</v>
      </c>
      <c r="BD668" s="253">
        <v>110000</v>
      </c>
      <c r="BE668" s="253">
        <v>85000</v>
      </c>
      <c r="BF668" s="253">
        <v>99000</v>
      </c>
      <c r="BK668" s="121" t="s">
        <v>257</v>
      </c>
    </row>
    <row r="669" spans="53:63" x14ac:dyDescent="0.3">
      <c r="BA669" s="252">
        <v>662</v>
      </c>
      <c r="BB669" s="253">
        <v>135000</v>
      </c>
      <c r="BC669" s="253">
        <v>99000</v>
      </c>
      <c r="BD669" s="253">
        <v>110000</v>
      </c>
      <c r="BE669" s="253">
        <v>85000</v>
      </c>
      <c r="BF669" s="253">
        <v>99000</v>
      </c>
      <c r="BK669" s="121" t="s">
        <v>257</v>
      </c>
    </row>
    <row r="670" spans="53:63" x14ac:dyDescent="0.3">
      <c r="BA670" s="252">
        <v>663</v>
      </c>
      <c r="BB670" s="253">
        <v>135000</v>
      </c>
      <c r="BC670" s="253">
        <v>99000</v>
      </c>
      <c r="BD670" s="253">
        <v>110000</v>
      </c>
      <c r="BE670" s="253">
        <v>85000</v>
      </c>
      <c r="BF670" s="253">
        <v>99000</v>
      </c>
      <c r="BK670" s="121" t="s">
        <v>257</v>
      </c>
    </row>
    <row r="671" spans="53:63" x14ac:dyDescent="0.3">
      <c r="BA671" s="252">
        <v>664</v>
      </c>
      <c r="BB671" s="253">
        <v>135000</v>
      </c>
      <c r="BC671" s="253">
        <v>99000</v>
      </c>
      <c r="BD671" s="253">
        <v>110000</v>
      </c>
      <c r="BE671" s="253">
        <v>85000</v>
      </c>
      <c r="BF671" s="253">
        <v>99000</v>
      </c>
      <c r="BK671" s="121" t="s">
        <v>257</v>
      </c>
    </row>
    <row r="672" spans="53:63" x14ac:dyDescent="0.3">
      <c r="BA672" s="252">
        <v>665</v>
      </c>
      <c r="BB672" s="253">
        <v>135000</v>
      </c>
      <c r="BC672" s="253">
        <v>99000</v>
      </c>
      <c r="BD672" s="253">
        <v>110000</v>
      </c>
      <c r="BE672" s="253">
        <v>85000</v>
      </c>
      <c r="BF672" s="253">
        <v>99000</v>
      </c>
      <c r="BK672" s="121" t="s">
        <v>257</v>
      </c>
    </row>
    <row r="673" spans="53:63" x14ac:dyDescent="0.3">
      <c r="BA673" s="252">
        <v>666</v>
      </c>
      <c r="BB673" s="253">
        <v>135000</v>
      </c>
      <c r="BC673" s="253">
        <v>99000</v>
      </c>
      <c r="BD673" s="253">
        <v>110000</v>
      </c>
      <c r="BE673" s="253">
        <v>85000</v>
      </c>
      <c r="BF673" s="253">
        <v>99000</v>
      </c>
      <c r="BK673" s="121" t="s">
        <v>257</v>
      </c>
    </row>
    <row r="674" spans="53:63" x14ac:dyDescent="0.3">
      <c r="BA674" s="252">
        <v>667</v>
      </c>
      <c r="BB674" s="253">
        <v>135000</v>
      </c>
      <c r="BC674" s="253">
        <v>99000</v>
      </c>
      <c r="BD674" s="253">
        <v>110000</v>
      </c>
      <c r="BE674" s="253">
        <v>85000</v>
      </c>
      <c r="BF674" s="253">
        <v>99000</v>
      </c>
      <c r="BK674" s="121" t="s">
        <v>257</v>
      </c>
    </row>
    <row r="675" spans="53:63" x14ac:dyDescent="0.3">
      <c r="BA675" s="252">
        <v>668</v>
      </c>
      <c r="BB675" s="253">
        <v>135000</v>
      </c>
      <c r="BC675" s="253">
        <v>99000</v>
      </c>
      <c r="BD675" s="253">
        <v>110000</v>
      </c>
      <c r="BE675" s="253">
        <v>85000</v>
      </c>
      <c r="BF675" s="253">
        <v>99000</v>
      </c>
      <c r="BK675" s="121" t="s">
        <v>257</v>
      </c>
    </row>
    <row r="676" spans="53:63" x14ac:dyDescent="0.3">
      <c r="BA676" s="252">
        <v>669</v>
      </c>
      <c r="BB676" s="253">
        <v>135000</v>
      </c>
      <c r="BC676" s="253">
        <v>99000</v>
      </c>
      <c r="BD676" s="253">
        <v>110000</v>
      </c>
      <c r="BE676" s="253">
        <v>85000</v>
      </c>
      <c r="BF676" s="253">
        <v>99000</v>
      </c>
      <c r="BK676" s="121" t="s">
        <v>257</v>
      </c>
    </row>
    <row r="677" spans="53:63" x14ac:dyDescent="0.3">
      <c r="BA677" s="252">
        <v>670</v>
      </c>
      <c r="BB677" s="253">
        <v>135000</v>
      </c>
      <c r="BC677" s="253">
        <v>99000</v>
      </c>
      <c r="BD677" s="253">
        <v>110000</v>
      </c>
      <c r="BE677" s="253">
        <v>85000</v>
      </c>
      <c r="BF677" s="253">
        <v>99000</v>
      </c>
      <c r="BK677" s="121" t="s">
        <v>257</v>
      </c>
    </row>
    <row r="678" spans="53:63" x14ac:dyDescent="0.3">
      <c r="BA678" s="252">
        <v>671</v>
      </c>
      <c r="BB678" s="253">
        <v>135000</v>
      </c>
      <c r="BC678" s="253">
        <v>99000</v>
      </c>
      <c r="BD678" s="253">
        <v>110000</v>
      </c>
      <c r="BE678" s="253">
        <v>85000</v>
      </c>
      <c r="BF678" s="253">
        <v>99000</v>
      </c>
      <c r="BK678" s="121" t="s">
        <v>257</v>
      </c>
    </row>
    <row r="679" spans="53:63" x14ac:dyDescent="0.3">
      <c r="BA679" s="252">
        <v>672</v>
      </c>
      <c r="BB679" s="253">
        <v>135000</v>
      </c>
      <c r="BC679" s="253">
        <v>99000</v>
      </c>
      <c r="BD679" s="253">
        <v>110000</v>
      </c>
      <c r="BE679" s="253">
        <v>85000</v>
      </c>
      <c r="BF679" s="253">
        <v>99000</v>
      </c>
      <c r="BK679" s="121" t="s">
        <v>257</v>
      </c>
    </row>
    <row r="680" spans="53:63" x14ac:dyDescent="0.3">
      <c r="BA680" s="252">
        <v>673</v>
      </c>
      <c r="BB680" s="253">
        <v>135000</v>
      </c>
      <c r="BC680" s="253">
        <v>99000</v>
      </c>
      <c r="BD680" s="253">
        <v>110000</v>
      </c>
      <c r="BE680" s="253">
        <v>85000</v>
      </c>
      <c r="BF680" s="253">
        <v>99000</v>
      </c>
      <c r="BK680" s="121" t="s">
        <v>257</v>
      </c>
    </row>
    <row r="681" spans="53:63" x14ac:dyDescent="0.3">
      <c r="BA681" s="252">
        <v>674</v>
      </c>
      <c r="BB681" s="253">
        <v>135000</v>
      </c>
      <c r="BC681" s="253">
        <v>99000</v>
      </c>
      <c r="BD681" s="253">
        <v>110000</v>
      </c>
      <c r="BE681" s="253">
        <v>85000</v>
      </c>
      <c r="BF681" s="253">
        <v>99000</v>
      </c>
      <c r="BK681" s="121" t="s">
        <v>257</v>
      </c>
    </row>
    <row r="682" spans="53:63" x14ac:dyDescent="0.3">
      <c r="BA682" s="252">
        <v>675</v>
      </c>
      <c r="BB682" s="253">
        <v>135000</v>
      </c>
      <c r="BC682" s="253">
        <v>99000</v>
      </c>
      <c r="BD682" s="253">
        <v>110000</v>
      </c>
      <c r="BE682" s="253">
        <v>85000</v>
      </c>
      <c r="BF682" s="253">
        <v>99000</v>
      </c>
      <c r="BK682" s="121" t="s">
        <v>257</v>
      </c>
    </row>
    <row r="683" spans="53:63" x14ac:dyDescent="0.3">
      <c r="BA683" s="252">
        <v>676</v>
      </c>
      <c r="BB683" s="253">
        <v>135000</v>
      </c>
      <c r="BC683" s="253">
        <v>99000</v>
      </c>
      <c r="BD683" s="253">
        <v>110000</v>
      </c>
      <c r="BE683" s="253">
        <v>85000</v>
      </c>
      <c r="BF683" s="253">
        <v>99000</v>
      </c>
      <c r="BK683" s="121" t="s">
        <v>257</v>
      </c>
    </row>
    <row r="684" spans="53:63" x14ac:dyDescent="0.3">
      <c r="BA684" s="252">
        <v>677</v>
      </c>
      <c r="BB684" s="253">
        <v>135000</v>
      </c>
      <c r="BC684" s="253">
        <v>99000</v>
      </c>
      <c r="BD684" s="253">
        <v>110000</v>
      </c>
      <c r="BE684" s="253">
        <v>85000</v>
      </c>
      <c r="BF684" s="253">
        <v>99000</v>
      </c>
      <c r="BK684" s="121" t="s">
        <v>257</v>
      </c>
    </row>
    <row r="685" spans="53:63" x14ac:dyDescent="0.3">
      <c r="BA685" s="252">
        <v>678</v>
      </c>
      <c r="BB685" s="253">
        <v>135000</v>
      </c>
      <c r="BC685" s="253">
        <v>99000</v>
      </c>
      <c r="BD685" s="253">
        <v>110000</v>
      </c>
      <c r="BE685" s="253">
        <v>85000</v>
      </c>
      <c r="BF685" s="253">
        <v>99000</v>
      </c>
      <c r="BK685" s="121" t="s">
        <v>257</v>
      </c>
    </row>
    <row r="686" spans="53:63" x14ac:dyDescent="0.3">
      <c r="BA686" s="252">
        <v>679</v>
      </c>
      <c r="BB686" s="253">
        <v>135000</v>
      </c>
      <c r="BC686" s="253">
        <v>99000</v>
      </c>
      <c r="BD686" s="253">
        <v>110000</v>
      </c>
      <c r="BE686" s="253">
        <v>85000</v>
      </c>
      <c r="BF686" s="253">
        <v>99000</v>
      </c>
      <c r="BK686" s="121" t="s">
        <v>257</v>
      </c>
    </row>
    <row r="687" spans="53:63" x14ac:dyDescent="0.3">
      <c r="BA687" s="252">
        <v>680</v>
      </c>
      <c r="BB687" s="253">
        <v>135000</v>
      </c>
      <c r="BC687" s="253">
        <v>99000</v>
      </c>
      <c r="BD687" s="253">
        <v>110000</v>
      </c>
      <c r="BE687" s="253">
        <v>85000</v>
      </c>
      <c r="BF687" s="253">
        <v>99000</v>
      </c>
      <c r="BK687" s="121" t="s">
        <v>257</v>
      </c>
    </row>
    <row r="688" spans="53:63" x14ac:dyDescent="0.3">
      <c r="BA688" s="252">
        <v>681</v>
      </c>
      <c r="BB688" s="253">
        <v>135000</v>
      </c>
      <c r="BC688" s="253">
        <v>99000</v>
      </c>
      <c r="BD688" s="253">
        <v>110000</v>
      </c>
      <c r="BE688" s="253">
        <v>85000</v>
      </c>
      <c r="BF688" s="253">
        <v>99000</v>
      </c>
      <c r="BK688" s="121" t="s">
        <v>257</v>
      </c>
    </row>
    <row r="689" spans="53:63" x14ac:dyDescent="0.3">
      <c r="BA689" s="252">
        <v>682</v>
      </c>
      <c r="BB689" s="253">
        <v>135000</v>
      </c>
      <c r="BC689" s="253">
        <v>99000</v>
      </c>
      <c r="BD689" s="253">
        <v>110000</v>
      </c>
      <c r="BE689" s="253">
        <v>85000</v>
      </c>
      <c r="BF689" s="253">
        <v>99000</v>
      </c>
      <c r="BK689" s="121" t="s">
        <v>257</v>
      </c>
    </row>
    <row r="690" spans="53:63" x14ac:dyDescent="0.3">
      <c r="BA690" s="252">
        <v>683</v>
      </c>
      <c r="BB690" s="253">
        <v>135000</v>
      </c>
      <c r="BC690" s="253">
        <v>99000</v>
      </c>
      <c r="BD690" s="253">
        <v>110000</v>
      </c>
      <c r="BE690" s="253">
        <v>85000</v>
      </c>
      <c r="BF690" s="253">
        <v>99000</v>
      </c>
      <c r="BK690" s="121" t="s">
        <v>257</v>
      </c>
    </row>
    <row r="691" spans="53:63" x14ac:dyDescent="0.3">
      <c r="BA691" s="252">
        <v>684</v>
      </c>
      <c r="BB691" s="253">
        <v>135000</v>
      </c>
      <c r="BC691" s="253">
        <v>99000</v>
      </c>
      <c r="BD691" s="253">
        <v>110000</v>
      </c>
      <c r="BE691" s="253">
        <v>85000</v>
      </c>
      <c r="BF691" s="253">
        <v>99000</v>
      </c>
      <c r="BK691" s="121" t="s">
        <v>257</v>
      </c>
    </row>
    <row r="692" spans="53:63" x14ac:dyDescent="0.3">
      <c r="BA692" s="252">
        <v>685</v>
      </c>
      <c r="BB692" s="253">
        <v>135000</v>
      </c>
      <c r="BC692" s="253">
        <v>99000</v>
      </c>
      <c r="BD692" s="253">
        <v>110000</v>
      </c>
      <c r="BE692" s="253">
        <v>85000</v>
      </c>
      <c r="BF692" s="253">
        <v>99000</v>
      </c>
      <c r="BK692" s="121" t="s">
        <v>257</v>
      </c>
    </row>
    <row r="693" spans="53:63" x14ac:dyDescent="0.3">
      <c r="BA693" s="252">
        <v>686</v>
      </c>
      <c r="BB693" s="253">
        <v>135000</v>
      </c>
      <c r="BC693" s="253">
        <v>99000</v>
      </c>
      <c r="BD693" s="253">
        <v>110000</v>
      </c>
      <c r="BE693" s="253">
        <v>85000</v>
      </c>
      <c r="BF693" s="253">
        <v>99000</v>
      </c>
      <c r="BK693" s="121" t="s">
        <v>257</v>
      </c>
    </row>
    <row r="694" spans="53:63" x14ac:dyDescent="0.3">
      <c r="BA694" s="252">
        <v>687</v>
      </c>
      <c r="BB694" s="253">
        <v>135000</v>
      </c>
      <c r="BC694" s="253">
        <v>99000</v>
      </c>
      <c r="BD694" s="253">
        <v>110000</v>
      </c>
      <c r="BE694" s="253">
        <v>85000</v>
      </c>
      <c r="BF694" s="253">
        <v>99000</v>
      </c>
      <c r="BK694" s="121" t="s">
        <v>257</v>
      </c>
    </row>
    <row r="695" spans="53:63" x14ac:dyDescent="0.3">
      <c r="BA695" s="252">
        <v>688</v>
      </c>
      <c r="BB695" s="253">
        <v>135000</v>
      </c>
      <c r="BC695" s="253">
        <v>99000</v>
      </c>
      <c r="BD695" s="253">
        <v>110000</v>
      </c>
      <c r="BE695" s="253">
        <v>85000</v>
      </c>
      <c r="BF695" s="253">
        <v>99000</v>
      </c>
      <c r="BK695" s="121" t="s">
        <v>257</v>
      </c>
    </row>
    <row r="696" spans="53:63" x14ac:dyDescent="0.3">
      <c r="BA696" s="252">
        <v>689</v>
      </c>
      <c r="BB696" s="253">
        <v>135000</v>
      </c>
      <c r="BC696" s="253">
        <v>99000</v>
      </c>
      <c r="BD696" s="253">
        <v>110000</v>
      </c>
      <c r="BE696" s="253">
        <v>85000</v>
      </c>
      <c r="BF696" s="253">
        <v>99000</v>
      </c>
      <c r="BK696" s="121" t="s">
        <v>257</v>
      </c>
    </row>
    <row r="697" spans="53:63" x14ac:dyDescent="0.3">
      <c r="BA697" s="252">
        <v>690</v>
      </c>
      <c r="BB697" s="253">
        <v>135000</v>
      </c>
      <c r="BC697" s="253">
        <v>99000</v>
      </c>
      <c r="BD697" s="253">
        <v>110000</v>
      </c>
      <c r="BE697" s="253">
        <v>85000</v>
      </c>
      <c r="BF697" s="253">
        <v>99000</v>
      </c>
      <c r="BK697" s="121" t="s">
        <v>257</v>
      </c>
    </row>
    <row r="698" spans="53:63" x14ac:dyDescent="0.3">
      <c r="BA698" s="252">
        <v>691</v>
      </c>
      <c r="BB698" s="253">
        <v>135000</v>
      </c>
      <c r="BC698" s="253">
        <v>99000</v>
      </c>
      <c r="BD698" s="253">
        <v>110000</v>
      </c>
      <c r="BE698" s="253">
        <v>85000</v>
      </c>
      <c r="BF698" s="253">
        <v>99000</v>
      </c>
      <c r="BK698" s="121" t="s">
        <v>257</v>
      </c>
    </row>
    <row r="699" spans="53:63" x14ac:dyDescent="0.3">
      <c r="BA699" s="252">
        <v>692</v>
      </c>
      <c r="BB699" s="253">
        <v>135000</v>
      </c>
      <c r="BC699" s="253">
        <v>99000</v>
      </c>
      <c r="BD699" s="253">
        <v>110000</v>
      </c>
      <c r="BE699" s="253">
        <v>85000</v>
      </c>
      <c r="BF699" s="253">
        <v>99000</v>
      </c>
      <c r="BK699" s="121" t="s">
        <v>257</v>
      </c>
    </row>
    <row r="700" spans="53:63" x14ac:dyDescent="0.3">
      <c r="BA700" s="252">
        <v>693</v>
      </c>
      <c r="BB700" s="253">
        <v>135000</v>
      </c>
      <c r="BC700" s="253">
        <v>99000</v>
      </c>
      <c r="BD700" s="253">
        <v>110000</v>
      </c>
      <c r="BE700" s="253">
        <v>85000</v>
      </c>
      <c r="BF700" s="253">
        <v>99000</v>
      </c>
      <c r="BK700" s="121" t="s">
        <v>257</v>
      </c>
    </row>
    <row r="701" spans="53:63" x14ac:dyDescent="0.3">
      <c r="BA701" s="252">
        <v>694</v>
      </c>
      <c r="BB701" s="253">
        <v>135000</v>
      </c>
      <c r="BC701" s="253">
        <v>99000</v>
      </c>
      <c r="BD701" s="253">
        <v>110000</v>
      </c>
      <c r="BE701" s="253">
        <v>85000</v>
      </c>
      <c r="BF701" s="253">
        <v>99000</v>
      </c>
      <c r="BK701" s="121" t="s">
        <v>257</v>
      </c>
    </row>
    <row r="702" spans="53:63" x14ac:dyDescent="0.3">
      <c r="BA702" s="252">
        <v>695</v>
      </c>
      <c r="BB702" s="253">
        <v>135000</v>
      </c>
      <c r="BC702" s="253">
        <v>99000</v>
      </c>
      <c r="BD702" s="253">
        <v>110000</v>
      </c>
      <c r="BE702" s="253">
        <v>85000</v>
      </c>
      <c r="BF702" s="253">
        <v>99000</v>
      </c>
      <c r="BK702" s="121" t="s">
        <v>257</v>
      </c>
    </row>
    <row r="703" spans="53:63" x14ac:dyDescent="0.3">
      <c r="BA703" s="252">
        <v>696</v>
      </c>
      <c r="BB703" s="253">
        <v>135000</v>
      </c>
      <c r="BC703" s="253">
        <v>99000</v>
      </c>
      <c r="BD703" s="253">
        <v>110000</v>
      </c>
      <c r="BE703" s="253">
        <v>85000</v>
      </c>
      <c r="BF703" s="253">
        <v>99000</v>
      </c>
      <c r="BK703" s="121" t="s">
        <v>257</v>
      </c>
    </row>
    <row r="704" spans="53:63" x14ac:dyDescent="0.3">
      <c r="BA704" s="252">
        <v>697</v>
      </c>
      <c r="BB704" s="253">
        <v>135000</v>
      </c>
      <c r="BC704" s="253">
        <v>99000</v>
      </c>
      <c r="BD704" s="253">
        <v>110000</v>
      </c>
      <c r="BE704" s="253">
        <v>85000</v>
      </c>
      <c r="BF704" s="253">
        <v>99000</v>
      </c>
      <c r="BK704" s="121" t="s">
        <v>257</v>
      </c>
    </row>
    <row r="705" spans="53:63" x14ac:dyDescent="0.3">
      <c r="BA705" s="252">
        <v>698</v>
      </c>
      <c r="BB705" s="253">
        <v>135000</v>
      </c>
      <c r="BC705" s="253">
        <v>99000</v>
      </c>
      <c r="BD705" s="253">
        <v>110000</v>
      </c>
      <c r="BE705" s="253">
        <v>85000</v>
      </c>
      <c r="BF705" s="253">
        <v>99000</v>
      </c>
      <c r="BK705" s="121" t="s">
        <v>257</v>
      </c>
    </row>
    <row r="706" spans="53:63" x14ac:dyDescent="0.3">
      <c r="BA706" s="252">
        <v>699</v>
      </c>
      <c r="BB706" s="253">
        <v>135000</v>
      </c>
      <c r="BC706" s="253">
        <v>99000</v>
      </c>
      <c r="BD706" s="253">
        <v>110000</v>
      </c>
      <c r="BE706" s="253">
        <v>85000</v>
      </c>
      <c r="BF706" s="253">
        <v>99000</v>
      </c>
      <c r="BK706" s="121" t="s">
        <v>257</v>
      </c>
    </row>
    <row r="707" spans="53:63" x14ac:dyDescent="0.3">
      <c r="BA707" s="252">
        <v>700</v>
      </c>
      <c r="BB707" s="253">
        <v>135000</v>
      </c>
      <c r="BC707" s="253">
        <v>99000</v>
      </c>
      <c r="BD707" s="253">
        <v>110000</v>
      </c>
      <c r="BE707" s="253">
        <v>85000</v>
      </c>
      <c r="BF707" s="253">
        <v>99000</v>
      </c>
      <c r="BK707" s="121" t="s">
        <v>257</v>
      </c>
    </row>
    <row r="708" spans="53:63" x14ac:dyDescent="0.3">
      <c r="BA708" s="252">
        <v>701</v>
      </c>
      <c r="BB708" s="253">
        <v>135000</v>
      </c>
      <c r="BC708" s="253">
        <v>99000</v>
      </c>
      <c r="BD708" s="253">
        <v>110000</v>
      </c>
      <c r="BE708" s="253">
        <v>85000</v>
      </c>
      <c r="BF708" s="253">
        <v>99000</v>
      </c>
      <c r="BK708" s="121" t="s">
        <v>257</v>
      </c>
    </row>
    <row r="709" spans="53:63" x14ac:dyDescent="0.3">
      <c r="BA709" s="252">
        <v>702</v>
      </c>
      <c r="BB709" s="253">
        <v>135000</v>
      </c>
      <c r="BC709" s="253">
        <v>99000</v>
      </c>
      <c r="BD709" s="253">
        <v>110000</v>
      </c>
      <c r="BE709" s="253">
        <v>85000</v>
      </c>
      <c r="BF709" s="253">
        <v>99000</v>
      </c>
      <c r="BK709" s="121" t="s">
        <v>257</v>
      </c>
    </row>
    <row r="710" spans="53:63" x14ac:dyDescent="0.3">
      <c r="BA710" s="252">
        <v>703</v>
      </c>
      <c r="BB710" s="253">
        <v>135000</v>
      </c>
      <c r="BC710" s="253">
        <v>99000</v>
      </c>
      <c r="BD710" s="253">
        <v>110000</v>
      </c>
      <c r="BE710" s="253">
        <v>85000</v>
      </c>
      <c r="BF710" s="253">
        <v>99000</v>
      </c>
      <c r="BK710" s="121" t="s">
        <v>257</v>
      </c>
    </row>
    <row r="711" spans="53:63" x14ac:dyDescent="0.3">
      <c r="BA711" s="252">
        <v>704</v>
      </c>
      <c r="BB711" s="253">
        <v>135000</v>
      </c>
      <c r="BC711" s="253">
        <v>99000</v>
      </c>
      <c r="BD711" s="253">
        <v>110000</v>
      </c>
      <c r="BE711" s="253">
        <v>85000</v>
      </c>
      <c r="BF711" s="253">
        <v>99000</v>
      </c>
      <c r="BK711" s="121" t="s">
        <v>257</v>
      </c>
    </row>
    <row r="712" spans="53:63" x14ac:dyDescent="0.3">
      <c r="BA712" s="252">
        <v>705</v>
      </c>
      <c r="BB712" s="253">
        <v>135000</v>
      </c>
      <c r="BC712" s="253">
        <v>99000</v>
      </c>
      <c r="BD712" s="253">
        <v>110000</v>
      </c>
      <c r="BE712" s="253">
        <v>85000</v>
      </c>
      <c r="BF712" s="253">
        <v>99000</v>
      </c>
      <c r="BK712" s="121" t="s">
        <v>257</v>
      </c>
    </row>
    <row r="713" spans="53:63" x14ac:dyDescent="0.3">
      <c r="BA713" s="252">
        <v>706</v>
      </c>
      <c r="BB713" s="253">
        <v>135000</v>
      </c>
      <c r="BC713" s="253">
        <v>99000</v>
      </c>
      <c r="BD713" s="253">
        <v>110000</v>
      </c>
      <c r="BE713" s="253">
        <v>85000</v>
      </c>
      <c r="BF713" s="253">
        <v>99000</v>
      </c>
      <c r="BK713" s="121" t="s">
        <v>257</v>
      </c>
    </row>
    <row r="714" spans="53:63" x14ac:dyDescent="0.3">
      <c r="BA714" s="252">
        <v>707</v>
      </c>
      <c r="BB714" s="253">
        <v>135000</v>
      </c>
      <c r="BC714" s="253">
        <v>99000</v>
      </c>
      <c r="BD714" s="253">
        <v>110000</v>
      </c>
      <c r="BE714" s="253">
        <v>85000</v>
      </c>
      <c r="BF714" s="253">
        <v>99000</v>
      </c>
      <c r="BK714" s="121" t="s">
        <v>257</v>
      </c>
    </row>
    <row r="715" spans="53:63" x14ac:dyDescent="0.3">
      <c r="BA715" s="252">
        <v>708</v>
      </c>
      <c r="BB715" s="253">
        <v>135000</v>
      </c>
      <c r="BC715" s="253">
        <v>99000</v>
      </c>
      <c r="BD715" s="253">
        <v>110000</v>
      </c>
      <c r="BE715" s="253">
        <v>85000</v>
      </c>
      <c r="BF715" s="253">
        <v>99000</v>
      </c>
      <c r="BK715" s="121" t="s">
        <v>257</v>
      </c>
    </row>
    <row r="716" spans="53:63" x14ac:dyDescent="0.3">
      <c r="BA716" s="252">
        <v>709</v>
      </c>
      <c r="BB716" s="253">
        <v>135000</v>
      </c>
      <c r="BC716" s="253">
        <v>99000</v>
      </c>
      <c r="BD716" s="253">
        <v>110000</v>
      </c>
      <c r="BE716" s="253">
        <v>85000</v>
      </c>
      <c r="BF716" s="253">
        <v>99000</v>
      </c>
      <c r="BK716" s="121" t="s">
        <v>257</v>
      </c>
    </row>
    <row r="717" spans="53:63" x14ac:dyDescent="0.3">
      <c r="BA717" s="252">
        <v>710</v>
      </c>
      <c r="BB717" s="253">
        <v>135000</v>
      </c>
      <c r="BC717" s="253">
        <v>99000</v>
      </c>
      <c r="BD717" s="253">
        <v>110000</v>
      </c>
      <c r="BE717" s="253">
        <v>85000</v>
      </c>
      <c r="BF717" s="253">
        <v>99000</v>
      </c>
      <c r="BK717" s="121" t="s">
        <v>257</v>
      </c>
    </row>
    <row r="718" spans="53:63" x14ac:dyDescent="0.3">
      <c r="BA718" s="252">
        <v>711</v>
      </c>
      <c r="BB718" s="253">
        <v>135000</v>
      </c>
      <c r="BC718" s="253">
        <v>99000</v>
      </c>
      <c r="BD718" s="253">
        <v>110000</v>
      </c>
      <c r="BE718" s="253">
        <v>85000</v>
      </c>
      <c r="BF718" s="253">
        <v>99000</v>
      </c>
      <c r="BK718" s="121" t="s">
        <v>257</v>
      </c>
    </row>
    <row r="719" spans="53:63" x14ac:dyDescent="0.3">
      <c r="BA719" s="252">
        <v>712</v>
      </c>
      <c r="BB719" s="253">
        <v>135000</v>
      </c>
      <c r="BC719" s="253">
        <v>99000</v>
      </c>
      <c r="BD719" s="253">
        <v>110000</v>
      </c>
      <c r="BE719" s="253">
        <v>85000</v>
      </c>
      <c r="BF719" s="253">
        <v>99000</v>
      </c>
      <c r="BK719" s="121" t="s">
        <v>257</v>
      </c>
    </row>
    <row r="720" spans="53:63" x14ac:dyDescent="0.3">
      <c r="BA720" s="252">
        <v>713</v>
      </c>
      <c r="BB720" s="253">
        <v>135000</v>
      </c>
      <c r="BC720" s="253">
        <v>99000</v>
      </c>
      <c r="BD720" s="253">
        <v>110000</v>
      </c>
      <c r="BE720" s="253">
        <v>85000</v>
      </c>
      <c r="BF720" s="253">
        <v>99000</v>
      </c>
      <c r="BK720" s="121" t="s">
        <v>257</v>
      </c>
    </row>
    <row r="721" spans="53:63" x14ac:dyDescent="0.3">
      <c r="BA721" s="252">
        <v>714</v>
      </c>
      <c r="BB721" s="253">
        <v>135000</v>
      </c>
      <c r="BC721" s="253">
        <v>99000</v>
      </c>
      <c r="BD721" s="253">
        <v>110000</v>
      </c>
      <c r="BE721" s="253">
        <v>85000</v>
      </c>
      <c r="BF721" s="253">
        <v>99000</v>
      </c>
      <c r="BK721" s="121" t="s">
        <v>257</v>
      </c>
    </row>
    <row r="722" spans="53:63" x14ac:dyDescent="0.3">
      <c r="BA722" s="252">
        <v>715</v>
      </c>
      <c r="BB722" s="253">
        <v>135000</v>
      </c>
      <c r="BC722" s="253">
        <v>99000</v>
      </c>
      <c r="BD722" s="253">
        <v>110000</v>
      </c>
      <c r="BE722" s="253">
        <v>85000</v>
      </c>
      <c r="BF722" s="253">
        <v>99000</v>
      </c>
      <c r="BK722" s="121" t="s">
        <v>257</v>
      </c>
    </row>
    <row r="723" spans="53:63" x14ac:dyDescent="0.3">
      <c r="BA723" s="252">
        <v>716</v>
      </c>
      <c r="BB723" s="253">
        <v>135000</v>
      </c>
      <c r="BC723" s="253">
        <v>99000</v>
      </c>
      <c r="BD723" s="253">
        <v>110000</v>
      </c>
      <c r="BE723" s="253">
        <v>85000</v>
      </c>
      <c r="BF723" s="253">
        <v>99000</v>
      </c>
      <c r="BK723" s="121" t="s">
        <v>257</v>
      </c>
    </row>
    <row r="724" spans="53:63" x14ac:dyDescent="0.3">
      <c r="BA724" s="252">
        <v>717</v>
      </c>
      <c r="BB724" s="253">
        <v>135000</v>
      </c>
      <c r="BC724" s="253">
        <v>99000</v>
      </c>
      <c r="BD724" s="253">
        <v>110000</v>
      </c>
      <c r="BE724" s="253">
        <v>85000</v>
      </c>
      <c r="BF724" s="253">
        <v>99000</v>
      </c>
      <c r="BK724" s="121" t="s">
        <v>257</v>
      </c>
    </row>
    <row r="725" spans="53:63" x14ac:dyDescent="0.3">
      <c r="BA725" s="252">
        <v>718</v>
      </c>
      <c r="BB725" s="253">
        <v>135000</v>
      </c>
      <c r="BC725" s="253">
        <v>99000</v>
      </c>
      <c r="BD725" s="253">
        <v>110000</v>
      </c>
      <c r="BE725" s="253">
        <v>85000</v>
      </c>
      <c r="BF725" s="253">
        <v>99000</v>
      </c>
      <c r="BK725" s="121" t="s">
        <v>257</v>
      </c>
    </row>
    <row r="726" spans="53:63" x14ac:dyDescent="0.3">
      <c r="BA726" s="252">
        <v>719</v>
      </c>
      <c r="BB726" s="253">
        <v>135000</v>
      </c>
      <c r="BC726" s="253">
        <v>99000</v>
      </c>
      <c r="BD726" s="253">
        <v>110000</v>
      </c>
      <c r="BE726" s="253">
        <v>85000</v>
      </c>
      <c r="BF726" s="253">
        <v>99000</v>
      </c>
      <c r="BK726" s="121" t="s">
        <v>257</v>
      </c>
    </row>
    <row r="727" spans="53:63" x14ac:dyDescent="0.3">
      <c r="BA727" s="252">
        <v>720</v>
      </c>
      <c r="BB727" s="253">
        <v>135000</v>
      </c>
      <c r="BC727" s="253">
        <v>99000</v>
      </c>
      <c r="BD727" s="253">
        <v>110000</v>
      </c>
      <c r="BE727" s="253">
        <v>85000</v>
      </c>
      <c r="BF727" s="253">
        <v>99000</v>
      </c>
      <c r="BK727" s="121" t="s">
        <v>257</v>
      </c>
    </row>
    <row r="728" spans="53:63" x14ac:dyDescent="0.3">
      <c r="BA728" s="252">
        <v>721</v>
      </c>
      <c r="BB728" s="253">
        <v>135000</v>
      </c>
      <c r="BC728" s="253">
        <v>99000</v>
      </c>
      <c r="BD728" s="253">
        <v>110000</v>
      </c>
      <c r="BE728" s="253">
        <v>85000</v>
      </c>
      <c r="BF728" s="253">
        <v>99000</v>
      </c>
      <c r="BK728" s="121" t="s">
        <v>257</v>
      </c>
    </row>
    <row r="729" spans="53:63" x14ac:dyDescent="0.3">
      <c r="BA729" s="252">
        <v>722</v>
      </c>
      <c r="BB729" s="253">
        <v>135000</v>
      </c>
      <c r="BC729" s="253">
        <v>99000</v>
      </c>
      <c r="BD729" s="253">
        <v>110000</v>
      </c>
      <c r="BE729" s="253">
        <v>85000</v>
      </c>
      <c r="BF729" s="253">
        <v>99000</v>
      </c>
      <c r="BK729" s="121" t="s">
        <v>257</v>
      </c>
    </row>
    <row r="730" spans="53:63" x14ac:dyDescent="0.3">
      <c r="BA730" s="252">
        <v>723</v>
      </c>
      <c r="BB730" s="253">
        <v>135000</v>
      </c>
      <c r="BC730" s="253">
        <v>99000</v>
      </c>
      <c r="BD730" s="253">
        <v>110000</v>
      </c>
      <c r="BE730" s="253">
        <v>85000</v>
      </c>
      <c r="BF730" s="253">
        <v>99000</v>
      </c>
      <c r="BK730" s="121" t="s">
        <v>257</v>
      </c>
    </row>
    <row r="731" spans="53:63" x14ac:dyDescent="0.3">
      <c r="BA731" s="252">
        <v>724</v>
      </c>
      <c r="BB731" s="253">
        <v>135000</v>
      </c>
      <c r="BC731" s="253">
        <v>99000</v>
      </c>
      <c r="BD731" s="253">
        <v>110000</v>
      </c>
      <c r="BE731" s="253">
        <v>85000</v>
      </c>
      <c r="BF731" s="253">
        <v>99000</v>
      </c>
      <c r="BK731" s="121" t="s">
        <v>257</v>
      </c>
    </row>
    <row r="732" spans="53:63" x14ac:dyDescent="0.3">
      <c r="BA732" s="252">
        <v>725</v>
      </c>
      <c r="BB732" s="253">
        <v>135000</v>
      </c>
      <c r="BC732" s="253">
        <v>99000</v>
      </c>
      <c r="BD732" s="253">
        <v>110000</v>
      </c>
      <c r="BE732" s="253">
        <v>85000</v>
      </c>
      <c r="BF732" s="253">
        <v>99000</v>
      </c>
      <c r="BK732" s="121" t="s">
        <v>257</v>
      </c>
    </row>
    <row r="733" spans="53:63" x14ac:dyDescent="0.3">
      <c r="BA733" s="252">
        <v>726</v>
      </c>
      <c r="BB733" s="253">
        <v>135000</v>
      </c>
      <c r="BC733" s="253">
        <v>99000</v>
      </c>
      <c r="BD733" s="253">
        <v>110000</v>
      </c>
      <c r="BE733" s="253">
        <v>85000</v>
      </c>
      <c r="BF733" s="253">
        <v>99000</v>
      </c>
      <c r="BK733" s="121" t="s">
        <v>257</v>
      </c>
    </row>
    <row r="734" spans="53:63" x14ac:dyDescent="0.3">
      <c r="BA734" s="252">
        <v>727</v>
      </c>
      <c r="BB734" s="253">
        <v>135000</v>
      </c>
      <c r="BC734" s="253">
        <v>99000</v>
      </c>
      <c r="BD734" s="253">
        <v>110000</v>
      </c>
      <c r="BE734" s="253">
        <v>85000</v>
      </c>
      <c r="BF734" s="253">
        <v>99000</v>
      </c>
      <c r="BK734" s="121" t="s">
        <v>257</v>
      </c>
    </row>
    <row r="735" spans="53:63" x14ac:dyDescent="0.3">
      <c r="BA735" s="252">
        <v>728</v>
      </c>
      <c r="BB735" s="253">
        <v>135000</v>
      </c>
      <c r="BC735" s="253">
        <v>99000</v>
      </c>
      <c r="BD735" s="253">
        <v>110000</v>
      </c>
      <c r="BE735" s="253">
        <v>85000</v>
      </c>
      <c r="BF735" s="253">
        <v>99000</v>
      </c>
      <c r="BK735" s="121" t="s">
        <v>257</v>
      </c>
    </row>
    <row r="736" spans="53:63" x14ac:dyDescent="0.3">
      <c r="BA736" s="252">
        <v>729</v>
      </c>
      <c r="BB736" s="253">
        <v>135000</v>
      </c>
      <c r="BC736" s="253">
        <v>99000</v>
      </c>
      <c r="BD736" s="253">
        <v>110000</v>
      </c>
      <c r="BE736" s="253">
        <v>85000</v>
      </c>
      <c r="BF736" s="253">
        <v>99000</v>
      </c>
      <c r="BK736" s="121" t="s">
        <v>257</v>
      </c>
    </row>
    <row r="737" spans="53:63" x14ac:dyDescent="0.3">
      <c r="BA737" s="252">
        <v>730</v>
      </c>
      <c r="BB737" s="253">
        <v>135000</v>
      </c>
      <c r="BC737" s="253">
        <v>99000</v>
      </c>
      <c r="BD737" s="253">
        <v>110000</v>
      </c>
      <c r="BE737" s="253">
        <v>85000</v>
      </c>
      <c r="BF737" s="253">
        <v>99000</v>
      </c>
      <c r="BK737" s="121" t="s">
        <v>257</v>
      </c>
    </row>
    <row r="738" spans="53:63" x14ac:dyDescent="0.3">
      <c r="BA738" s="252">
        <v>731</v>
      </c>
      <c r="BB738" s="253">
        <v>135000</v>
      </c>
      <c r="BC738" s="253">
        <v>99000</v>
      </c>
      <c r="BD738" s="253">
        <v>110000</v>
      </c>
      <c r="BE738" s="253">
        <v>85000</v>
      </c>
      <c r="BF738" s="253">
        <v>99000</v>
      </c>
      <c r="BK738" s="121" t="s">
        <v>257</v>
      </c>
    </row>
    <row r="739" spans="53:63" x14ac:dyDescent="0.3">
      <c r="BA739" s="252">
        <v>732</v>
      </c>
      <c r="BB739" s="253">
        <v>135000</v>
      </c>
      <c r="BC739" s="253">
        <v>99000</v>
      </c>
      <c r="BD739" s="253">
        <v>110000</v>
      </c>
      <c r="BE739" s="253">
        <v>85000</v>
      </c>
      <c r="BF739" s="253">
        <v>99000</v>
      </c>
      <c r="BK739" s="121" t="s">
        <v>257</v>
      </c>
    </row>
    <row r="740" spans="53:63" x14ac:dyDescent="0.3">
      <c r="BA740" s="252">
        <v>733</v>
      </c>
      <c r="BB740" s="253">
        <v>135000</v>
      </c>
      <c r="BC740" s="253">
        <v>99000</v>
      </c>
      <c r="BD740" s="253">
        <v>110000</v>
      </c>
      <c r="BE740" s="253">
        <v>85000</v>
      </c>
      <c r="BF740" s="253">
        <v>99000</v>
      </c>
      <c r="BK740" s="121" t="s">
        <v>257</v>
      </c>
    </row>
    <row r="741" spans="53:63" x14ac:dyDescent="0.3">
      <c r="BA741" s="252">
        <v>734</v>
      </c>
      <c r="BB741" s="253">
        <v>135000</v>
      </c>
      <c r="BC741" s="253">
        <v>99000</v>
      </c>
      <c r="BD741" s="253">
        <v>110000</v>
      </c>
      <c r="BE741" s="253">
        <v>85000</v>
      </c>
      <c r="BF741" s="253">
        <v>99000</v>
      </c>
      <c r="BK741" s="121" t="s">
        <v>257</v>
      </c>
    </row>
    <row r="742" spans="53:63" x14ac:dyDescent="0.3">
      <c r="BA742" s="252">
        <v>735</v>
      </c>
      <c r="BB742" s="253">
        <v>135000</v>
      </c>
      <c r="BC742" s="253">
        <v>99000</v>
      </c>
      <c r="BD742" s="253">
        <v>110000</v>
      </c>
      <c r="BE742" s="253">
        <v>85000</v>
      </c>
      <c r="BF742" s="253">
        <v>99000</v>
      </c>
      <c r="BK742" s="121" t="s">
        <v>257</v>
      </c>
    </row>
    <row r="743" spans="53:63" x14ac:dyDescent="0.3">
      <c r="BA743" s="252">
        <v>736</v>
      </c>
      <c r="BB743" s="253">
        <v>135000</v>
      </c>
      <c r="BC743" s="253">
        <v>99000</v>
      </c>
      <c r="BD743" s="253">
        <v>110000</v>
      </c>
      <c r="BE743" s="253">
        <v>85000</v>
      </c>
      <c r="BF743" s="253">
        <v>99000</v>
      </c>
      <c r="BK743" s="121" t="s">
        <v>257</v>
      </c>
    </row>
    <row r="744" spans="53:63" x14ac:dyDescent="0.3">
      <c r="BA744" s="252">
        <v>737</v>
      </c>
      <c r="BB744" s="253">
        <v>135000</v>
      </c>
      <c r="BC744" s="253">
        <v>99000</v>
      </c>
      <c r="BD744" s="253">
        <v>110000</v>
      </c>
      <c r="BE744" s="253">
        <v>85000</v>
      </c>
      <c r="BF744" s="253">
        <v>99000</v>
      </c>
      <c r="BK744" s="121" t="s">
        <v>257</v>
      </c>
    </row>
    <row r="745" spans="53:63" x14ac:dyDescent="0.3">
      <c r="BA745" s="252">
        <v>738</v>
      </c>
      <c r="BB745" s="253">
        <v>135000</v>
      </c>
      <c r="BC745" s="253">
        <v>99000</v>
      </c>
      <c r="BD745" s="253">
        <v>110000</v>
      </c>
      <c r="BE745" s="253">
        <v>85000</v>
      </c>
      <c r="BF745" s="253">
        <v>99000</v>
      </c>
      <c r="BK745" s="121" t="s">
        <v>257</v>
      </c>
    </row>
    <row r="746" spans="53:63" x14ac:dyDescent="0.3">
      <c r="BA746" s="252">
        <v>739</v>
      </c>
      <c r="BB746" s="253">
        <v>135000</v>
      </c>
      <c r="BC746" s="253">
        <v>99000</v>
      </c>
      <c r="BD746" s="253">
        <v>110000</v>
      </c>
      <c r="BE746" s="253">
        <v>85000</v>
      </c>
      <c r="BF746" s="253">
        <v>99000</v>
      </c>
      <c r="BK746" s="121" t="s">
        <v>257</v>
      </c>
    </row>
    <row r="747" spans="53:63" x14ac:dyDescent="0.3">
      <c r="BA747" s="252">
        <v>740</v>
      </c>
      <c r="BB747" s="253">
        <v>135000</v>
      </c>
      <c r="BC747" s="253">
        <v>99000</v>
      </c>
      <c r="BD747" s="253">
        <v>110000</v>
      </c>
      <c r="BE747" s="253">
        <v>85000</v>
      </c>
      <c r="BF747" s="253">
        <v>99000</v>
      </c>
      <c r="BK747" s="121" t="s">
        <v>257</v>
      </c>
    </row>
    <row r="748" spans="53:63" x14ac:dyDescent="0.3">
      <c r="BA748" s="252">
        <v>741</v>
      </c>
      <c r="BB748" s="253">
        <v>135000</v>
      </c>
      <c r="BC748" s="253">
        <v>99000</v>
      </c>
      <c r="BD748" s="253">
        <v>110000</v>
      </c>
      <c r="BE748" s="253">
        <v>85000</v>
      </c>
      <c r="BF748" s="253">
        <v>99000</v>
      </c>
      <c r="BK748" s="121" t="s">
        <v>257</v>
      </c>
    </row>
    <row r="749" spans="53:63" x14ac:dyDescent="0.3">
      <c r="BA749" s="252">
        <v>742</v>
      </c>
      <c r="BB749" s="253">
        <v>135000</v>
      </c>
      <c r="BC749" s="253">
        <v>99000</v>
      </c>
      <c r="BD749" s="253">
        <v>110000</v>
      </c>
      <c r="BE749" s="253">
        <v>85000</v>
      </c>
      <c r="BF749" s="253">
        <v>99000</v>
      </c>
      <c r="BK749" s="121" t="s">
        <v>257</v>
      </c>
    </row>
    <row r="750" spans="53:63" x14ac:dyDescent="0.3">
      <c r="BA750" s="252">
        <v>743</v>
      </c>
      <c r="BB750" s="253">
        <v>135000</v>
      </c>
      <c r="BC750" s="253">
        <v>99000</v>
      </c>
      <c r="BD750" s="253">
        <v>110000</v>
      </c>
      <c r="BE750" s="253">
        <v>85000</v>
      </c>
      <c r="BF750" s="253">
        <v>99000</v>
      </c>
      <c r="BK750" s="121" t="s">
        <v>257</v>
      </c>
    </row>
    <row r="751" spans="53:63" x14ac:dyDescent="0.3">
      <c r="BA751" s="252">
        <v>744</v>
      </c>
      <c r="BB751" s="253">
        <v>135000</v>
      </c>
      <c r="BC751" s="253">
        <v>99000</v>
      </c>
      <c r="BD751" s="253">
        <v>110000</v>
      </c>
      <c r="BE751" s="253">
        <v>85000</v>
      </c>
      <c r="BF751" s="253">
        <v>99000</v>
      </c>
      <c r="BK751" s="121" t="s">
        <v>257</v>
      </c>
    </row>
    <row r="752" spans="53:63" x14ac:dyDescent="0.3">
      <c r="BA752" s="252">
        <v>745</v>
      </c>
      <c r="BB752" s="253">
        <v>135000</v>
      </c>
      <c r="BC752" s="253">
        <v>99000</v>
      </c>
      <c r="BD752" s="253">
        <v>110000</v>
      </c>
      <c r="BE752" s="253">
        <v>85000</v>
      </c>
      <c r="BF752" s="253">
        <v>99000</v>
      </c>
      <c r="BK752" s="121" t="s">
        <v>257</v>
      </c>
    </row>
    <row r="753" spans="53:63" x14ac:dyDescent="0.3">
      <c r="BA753" s="252">
        <v>746</v>
      </c>
      <c r="BB753" s="253">
        <v>135000</v>
      </c>
      <c r="BC753" s="253">
        <v>99000</v>
      </c>
      <c r="BD753" s="253">
        <v>110000</v>
      </c>
      <c r="BE753" s="253">
        <v>85000</v>
      </c>
      <c r="BF753" s="253">
        <v>99000</v>
      </c>
      <c r="BK753" s="121" t="s">
        <v>257</v>
      </c>
    </row>
    <row r="754" spans="53:63" x14ac:dyDescent="0.3">
      <c r="BA754" s="252">
        <v>747</v>
      </c>
      <c r="BB754" s="253">
        <v>135000</v>
      </c>
      <c r="BC754" s="253">
        <v>99000</v>
      </c>
      <c r="BD754" s="253">
        <v>110000</v>
      </c>
      <c r="BE754" s="253">
        <v>85000</v>
      </c>
      <c r="BF754" s="253">
        <v>99000</v>
      </c>
      <c r="BK754" s="121" t="s">
        <v>257</v>
      </c>
    </row>
    <row r="755" spans="53:63" x14ac:dyDescent="0.3">
      <c r="BA755" s="252">
        <v>748</v>
      </c>
      <c r="BB755" s="253">
        <v>135000</v>
      </c>
      <c r="BC755" s="253">
        <v>99000</v>
      </c>
      <c r="BD755" s="253">
        <v>110000</v>
      </c>
      <c r="BE755" s="253">
        <v>85000</v>
      </c>
      <c r="BF755" s="253">
        <v>99000</v>
      </c>
      <c r="BK755" s="121" t="s">
        <v>257</v>
      </c>
    </row>
    <row r="756" spans="53:63" x14ac:dyDescent="0.3">
      <c r="BA756" s="252">
        <v>749</v>
      </c>
      <c r="BB756" s="253">
        <v>135000</v>
      </c>
      <c r="BC756" s="253">
        <v>99000</v>
      </c>
      <c r="BD756" s="253">
        <v>110000</v>
      </c>
      <c r="BE756" s="253">
        <v>85000</v>
      </c>
      <c r="BF756" s="253">
        <v>99000</v>
      </c>
      <c r="BK756" s="121" t="s">
        <v>257</v>
      </c>
    </row>
    <row r="757" spans="53:63" x14ac:dyDescent="0.3">
      <c r="BA757" s="252">
        <v>750</v>
      </c>
      <c r="BB757" s="253">
        <v>135000</v>
      </c>
      <c r="BC757" s="253">
        <v>99000</v>
      </c>
      <c r="BD757" s="253">
        <v>110000</v>
      </c>
      <c r="BE757" s="253">
        <v>85000</v>
      </c>
      <c r="BF757" s="253">
        <v>99000</v>
      </c>
      <c r="BK757" s="121" t="s">
        <v>257</v>
      </c>
    </row>
    <row r="759" spans="53:63" x14ac:dyDescent="0.3">
      <c r="BA759" s="252" t="s">
        <v>244</v>
      </c>
      <c r="BB759" s="253" t="s">
        <v>272</v>
      </c>
      <c r="BC759" s="253" t="s">
        <v>272</v>
      </c>
      <c r="BD759" s="253" t="s">
        <v>272</v>
      </c>
      <c r="BE759" s="253">
        <v>160000</v>
      </c>
      <c r="BF759" s="253">
        <v>250000</v>
      </c>
    </row>
  </sheetData>
  <sheetProtection algorithmName="SHA-512" hashValue="hpDIhUOlWGZk9wnmRyvoEVNz+2jNKcVVG+ylZLc1z9+lejX4Yc9usqo9iUMWlCxnJqjmCz9C7u4ZJ3h61+HByA==" saltValue="CEy2KkrYtDSfgtybI9iDiw==" spinCount="100000" sheet="1" objects="1" scenarios="1"/>
  <mergeCells count="11">
    <mergeCell ref="F5:M5"/>
    <mergeCell ref="G10:I10"/>
    <mergeCell ref="F6:O6"/>
    <mergeCell ref="F7:I7"/>
    <mergeCell ref="F8:I8"/>
    <mergeCell ref="F9:I9"/>
    <mergeCell ref="N68:O73"/>
    <mergeCell ref="M68:M73"/>
    <mergeCell ref="R68:S73"/>
    <mergeCell ref="Q68:Q73"/>
    <mergeCell ref="F11:I11"/>
  </mergeCells>
  <conditionalFormatting sqref="K33:K41">
    <cfRule type="containsText" dxfId="13" priority="17" operator="containsText" text="Salah">
      <formula>NOT(ISERROR(SEARCH("Salah",K33)))</formula>
    </cfRule>
    <cfRule type="expression" dxfId="12" priority="18">
      <formula>"Salah"</formula>
    </cfRule>
  </conditionalFormatting>
  <conditionalFormatting sqref="E21:J29">
    <cfRule type="cellIs" dxfId="11" priority="15" operator="lessThan">
      <formula>0</formula>
    </cfRule>
  </conditionalFormatting>
  <conditionalFormatting sqref="S35:S37">
    <cfRule type="cellIs" dxfId="10" priority="14" operator="lessThan">
      <formula>0</formula>
    </cfRule>
  </conditionalFormatting>
  <conditionalFormatting sqref="S40">
    <cfRule type="cellIs" dxfId="9" priority="13" operator="lessThan">
      <formula>0</formula>
    </cfRule>
  </conditionalFormatting>
  <conditionalFormatting sqref="N31:O31">
    <cfRule type="cellIs" dxfId="8" priority="12" operator="lessThan">
      <formula>0</formula>
    </cfRule>
  </conditionalFormatting>
  <conditionalFormatting sqref="Q16">
    <cfRule type="cellIs" dxfId="7" priority="10" operator="lessThan">
      <formula>0</formula>
    </cfRule>
  </conditionalFormatting>
  <conditionalFormatting sqref="S44:T52">
    <cfRule type="cellIs" dxfId="6" priority="9" operator="lessThan">
      <formula>0</formula>
    </cfRule>
  </conditionalFormatting>
  <conditionalFormatting sqref="X22:X30 X33:X35">
    <cfRule type="cellIs" dxfId="5" priority="8" operator="lessThan">
      <formula>0</formula>
    </cfRule>
  </conditionalFormatting>
  <conditionalFormatting sqref="U58:U65">
    <cfRule type="containsText" dxfId="4" priority="7" operator="containsText" text="Salah">
      <formula>NOT(ISERROR(SEARCH("Salah",U58)))</formula>
    </cfRule>
  </conditionalFormatting>
  <conditionalFormatting sqref="O45:O47 O34:O42">
    <cfRule type="cellIs" dxfId="3" priority="6" operator="lessThan">
      <formula>0</formula>
    </cfRule>
  </conditionalFormatting>
  <conditionalFormatting sqref="M68:O73">
    <cfRule type="cellIs" dxfId="2" priority="5" operator="lessThan">
      <formula>0.2</formula>
    </cfRule>
  </conditionalFormatting>
  <conditionalFormatting sqref="M68:M73">
    <cfRule type="containsText" dxfId="1" priority="2" operator="containsText" text="IRR.">
      <formula>NOT(ISERROR(SEARCH("IRR.",M68)))</formula>
    </cfRule>
  </conditionalFormatting>
  <conditionalFormatting sqref="Q17">
    <cfRule type="cellIs" dxfId="0" priority="1" operator="lessThan">
      <formula>0</formula>
    </cfRule>
  </conditionalFormatting>
  <dataValidations count="12">
    <dataValidation type="list" allowBlank="1" showInputMessage="1" showErrorMessage="1" sqref="F7:I7" xr:uid="{00000000-0002-0000-0A00-000000000000}">
      <formula1>$AC$8:$AC$18</formula1>
    </dataValidation>
    <dataValidation type="list" allowBlank="1" showInputMessage="1" showErrorMessage="1" sqref="F8:I8" xr:uid="{00000000-0002-0000-0A00-000001000000}">
      <formula1>$AD$8:$AD$18</formula1>
    </dataValidation>
    <dataValidation type="list" allowBlank="1" showInputMessage="1" showErrorMessage="1" sqref="F9:I9" xr:uid="{00000000-0002-0000-0A00-000002000000}">
      <formula1>$AE$8:$AE$10</formula1>
    </dataValidation>
    <dataValidation type="list" allowBlank="1" showInputMessage="1" showErrorMessage="1" sqref="F10" xr:uid="{00000000-0002-0000-0A00-000003000000}">
      <formula1>$AF$8:$AF$39</formula1>
    </dataValidation>
    <dataValidation type="list" allowBlank="1" showInputMessage="1" showErrorMessage="1" sqref="G10:I10" xr:uid="{00000000-0002-0000-0A00-000004000000}">
      <formula1>$AG$8:$AG$20</formula1>
    </dataValidation>
    <dataValidation type="list" allowBlank="1" showInputMessage="1" showErrorMessage="1" sqref="J10" xr:uid="{00000000-0002-0000-0A00-000005000000}">
      <formula1>$AH$8:$AH$20</formula1>
    </dataValidation>
    <dataValidation type="list" allowBlank="1" showInputMessage="1" showErrorMessage="1" sqref="F11:I11" xr:uid="{00000000-0002-0000-0A00-000006000000}">
      <formula1>$AI$8:$AI$12</formula1>
    </dataValidation>
    <dataValidation type="list" allowBlank="1" showInputMessage="1" showErrorMessage="1" sqref="E33:J41" xr:uid="{00000000-0002-0000-0A00-000007000000}">
      <formula1>$AJ$8:$AJ$9</formula1>
    </dataValidation>
    <dataValidation type="list" allowBlank="1" showInputMessage="1" showErrorMessage="1" sqref="M8" xr:uid="{00000000-0002-0000-0A00-000008000000}">
      <formula1>$AK$8:$AK$12</formula1>
    </dataValidation>
    <dataValidation type="list" allowBlank="1" showInputMessage="1" showErrorMessage="1" sqref="M48 V36" xr:uid="{00000000-0002-0000-0A00-000009000000}">
      <formula1>$AL$8:$AL$10</formula1>
    </dataValidation>
    <dataValidation type="list" allowBlank="1" showInputMessage="1" showErrorMessage="1" sqref="O58:T65" xr:uid="{00000000-0002-0000-0A00-00000A000000}">
      <formula1>$AM$9:$AM$28</formula1>
    </dataValidation>
    <dataValidation type="list" allowBlank="1" showInputMessage="1" showErrorMessage="1" sqref="K21:K29" xr:uid="{00000000-0002-0000-0A00-00000B000000}">
      <formula1>$BA$759:$BA$760</formula1>
    </dataValidation>
  </dataValidations>
  <printOptions horizontalCentered="1" verticalCentered="1"/>
  <pageMargins left="0.45" right="0.45" top="0.5" bottom="0.5" header="0.3" footer="0.3"/>
  <pageSetup paperSize="9" scale="42" orientation="landscape"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X16"/>
  <sheetViews>
    <sheetView workbookViewId="0">
      <selection activeCell="K20" sqref="K20"/>
    </sheetView>
  </sheetViews>
  <sheetFormatPr defaultRowHeight="14.5" x14ac:dyDescent="0.35"/>
  <cols>
    <col min="2" max="2" width="13.453125" customWidth="1"/>
    <col min="3" max="3" width="13.54296875" customWidth="1"/>
    <col min="4" max="4" width="11.08984375" customWidth="1"/>
    <col min="5" max="6" width="15.54296875" customWidth="1"/>
    <col min="7" max="7" width="11" hidden="1" customWidth="1"/>
    <col min="8" max="8" width="14.90625" hidden="1" customWidth="1"/>
    <col min="9" max="9" width="6" customWidth="1"/>
    <col min="10" max="10" width="12.6328125" customWidth="1"/>
    <col min="11" max="11" width="18.08984375" customWidth="1"/>
    <col min="12" max="12" width="11.6328125" hidden="1" customWidth="1"/>
    <col min="13" max="13" width="9.08984375" hidden="1" customWidth="1"/>
    <col min="14" max="14" width="10.54296875" customWidth="1"/>
    <col min="15" max="15" width="15.54296875" customWidth="1"/>
    <col min="16" max="16" width="12.54296875" bestFit="1" customWidth="1"/>
    <col min="17" max="17" width="15.08984375" customWidth="1"/>
    <col min="18" max="18" width="11.54296875" bestFit="1" customWidth="1"/>
    <col min="19" max="19" width="12.54296875" bestFit="1" customWidth="1"/>
    <col min="20" max="20" width="13.36328125" customWidth="1"/>
    <col min="23" max="23" width="12.6328125" bestFit="1" customWidth="1"/>
    <col min="24" max="24" width="12.54296875" bestFit="1" customWidth="1"/>
  </cols>
  <sheetData>
    <row r="2" spans="2:24" x14ac:dyDescent="0.35">
      <c r="Q2">
        <v>2015</v>
      </c>
      <c r="R2">
        <v>2016</v>
      </c>
      <c r="S2">
        <v>2017</v>
      </c>
      <c r="T2">
        <v>2018</v>
      </c>
      <c r="U2">
        <v>2019</v>
      </c>
      <c r="V2">
        <v>2020</v>
      </c>
      <c r="W2">
        <v>2021</v>
      </c>
    </row>
    <row r="3" spans="2:24" x14ac:dyDescent="0.35">
      <c r="P3" t="s">
        <v>31</v>
      </c>
      <c r="Q3" s="259">
        <f>O4+O8</f>
        <v>119145047.14</v>
      </c>
      <c r="R3" s="259"/>
      <c r="S3" s="259">
        <f>O5+O6+O9+O10</f>
        <v>354402686.82000005</v>
      </c>
      <c r="T3" s="259">
        <f>N17+N18</f>
        <v>0</v>
      </c>
      <c r="U3" s="259">
        <f>N19</f>
        <v>0</v>
      </c>
      <c r="W3" s="289">
        <f>O7+O11</f>
        <v>52813465.839999981</v>
      </c>
      <c r="X3" s="267">
        <f>SUM(Q3:W3)</f>
        <v>526361199.80000001</v>
      </c>
    </row>
    <row r="4" spans="2:24" x14ac:dyDescent="0.35">
      <c r="B4" s="278" t="s">
        <v>300</v>
      </c>
      <c r="C4" s="277" t="s">
        <v>301</v>
      </c>
      <c r="D4" s="278" t="s">
        <v>302</v>
      </c>
      <c r="E4" s="279" t="s">
        <v>303</v>
      </c>
      <c r="F4" s="280">
        <v>28139.63</v>
      </c>
      <c r="G4" s="277"/>
      <c r="H4" s="277"/>
      <c r="I4" s="281">
        <v>0.2</v>
      </c>
      <c r="J4" s="283">
        <v>42076</v>
      </c>
      <c r="K4" s="284" t="s">
        <v>304</v>
      </c>
      <c r="L4" s="284"/>
      <c r="M4" s="282">
        <v>12998</v>
      </c>
      <c r="N4" s="277">
        <v>5627.93</v>
      </c>
      <c r="O4" s="285">
        <v>73151834.140000001</v>
      </c>
    </row>
    <row r="5" spans="2:24" x14ac:dyDescent="0.35">
      <c r="B5" s="278" t="s">
        <v>300</v>
      </c>
      <c r="C5" s="277" t="s">
        <v>301</v>
      </c>
      <c r="D5" s="278" t="s">
        <v>302</v>
      </c>
      <c r="E5" s="279" t="s">
        <v>303</v>
      </c>
      <c r="F5" s="277">
        <v>22396.75</v>
      </c>
      <c r="G5" s="277">
        <v>22396.75</v>
      </c>
      <c r="H5" s="277"/>
      <c r="I5" s="281">
        <v>0.5</v>
      </c>
      <c r="J5" s="283">
        <v>42857</v>
      </c>
      <c r="K5" s="284" t="s">
        <v>305</v>
      </c>
      <c r="L5" s="277"/>
      <c r="M5" s="277">
        <v>13313</v>
      </c>
      <c r="N5" s="277">
        <v>10049.790000000001</v>
      </c>
      <c r="O5" s="277">
        <v>133792854.27000001</v>
      </c>
    </row>
    <row r="6" spans="2:24" x14ac:dyDescent="0.35">
      <c r="B6" s="278" t="s">
        <v>300</v>
      </c>
      <c r="C6" s="277" t="s">
        <v>301</v>
      </c>
      <c r="D6" s="278" t="s">
        <v>302</v>
      </c>
      <c r="E6" s="279" t="s">
        <v>303</v>
      </c>
      <c r="F6" s="277">
        <v>22396.75</v>
      </c>
      <c r="G6" s="277"/>
      <c r="H6" s="277"/>
      <c r="I6" s="281">
        <v>0.2</v>
      </c>
      <c r="J6" s="283">
        <v>43009</v>
      </c>
      <c r="K6" s="284" t="s">
        <v>306</v>
      </c>
      <c r="L6" s="277"/>
      <c r="M6" s="277"/>
      <c r="N6" s="277">
        <f>F6*I6</f>
        <v>4479.3500000000004</v>
      </c>
      <c r="O6" s="277">
        <v>59633586.550000004</v>
      </c>
    </row>
    <row r="7" spans="2:24" x14ac:dyDescent="0.35">
      <c r="B7" s="278" t="s">
        <v>300</v>
      </c>
      <c r="C7" s="277" t="s">
        <v>301</v>
      </c>
      <c r="D7" s="278" t="s">
        <v>302</v>
      </c>
      <c r="E7" s="279" t="s">
        <v>303</v>
      </c>
      <c r="F7" s="277">
        <v>22396.75</v>
      </c>
      <c r="G7" s="277"/>
      <c r="H7" s="277"/>
      <c r="I7" s="281">
        <v>0.1</v>
      </c>
      <c r="J7" s="283"/>
      <c r="K7" s="284"/>
      <c r="L7" s="277"/>
      <c r="M7" s="277"/>
      <c r="N7" s="277">
        <f>F5-N4-N5-N6</f>
        <v>2239.6799999999985</v>
      </c>
      <c r="O7" s="277">
        <v>29816859.839999981</v>
      </c>
    </row>
    <row r="8" spans="2:24" x14ac:dyDescent="0.35">
      <c r="B8" s="278" t="s">
        <v>300</v>
      </c>
      <c r="C8" s="277" t="s">
        <v>301</v>
      </c>
      <c r="D8" s="277" t="s">
        <v>302</v>
      </c>
      <c r="E8" s="279" t="s">
        <v>307</v>
      </c>
      <c r="F8" s="277">
        <v>229966065</v>
      </c>
      <c r="G8" s="277"/>
      <c r="H8" s="277">
        <f>F8</f>
        <v>229966065</v>
      </c>
      <c r="I8" s="281">
        <v>0.2</v>
      </c>
      <c r="J8" s="283">
        <v>42076</v>
      </c>
      <c r="K8" s="284" t="s">
        <v>308</v>
      </c>
      <c r="L8" s="277"/>
      <c r="M8" s="277"/>
      <c r="N8" s="277"/>
      <c r="O8" s="277">
        <v>45993213</v>
      </c>
    </row>
    <row r="9" spans="2:24" x14ac:dyDescent="0.35">
      <c r="B9" s="278" t="s">
        <v>300</v>
      </c>
      <c r="C9" s="277" t="s">
        <v>301</v>
      </c>
      <c r="D9" s="277" t="s">
        <v>302</v>
      </c>
      <c r="E9" s="279" t="s">
        <v>307</v>
      </c>
      <c r="F9" s="277">
        <v>229966065</v>
      </c>
      <c r="G9" s="277"/>
      <c r="H9" s="277"/>
      <c r="I9" s="281">
        <v>0.5</v>
      </c>
      <c r="J9" s="283">
        <v>42826</v>
      </c>
      <c r="K9" s="284" t="s">
        <v>309</v>
      </c>
      <c r="L9" s="277"/>
      <c r="M9" s="277"/>
      <c r="N9" s="277"/>
      <c r="O9" s="277">
        <v>114983033</v>
      </c>
    </row>
    <row r="10" spans="2:24" x14ac:dyDescent="0.35">
      <c r="B10" s="278" t="s">
        <v>300</v>
      </c>
      <c r="C10" s="277" t="s">
        <v>301</v>
      </c>
      <c r="D10" s="277" t="s">
        <v>302</v>
      </c>
      <c r="E10" s="279" t="s">
        <v>307</v>
      </c>
      <c r="F10" s="277">
        <v>229966065</v>
      </c>
      <c r="G10" s="277"/>
      <c r="H10" s="277"/>
      <c r="I10" s="281">
        <v>0.2</v>
      </c>
      <c r="J10" s="283">
        <v>43009</v>
      </c>
      <c r="K10" s="284" t="s">
        <v>310</v>
      </c>
      <c r="L10" s="277"/>
      <c r="M10" s="277"/>
      <c r="N10" s="277"/>
      <c r="O10" s="277">
        <v>45993213</v>
      </c>
    </row>
    <row r="11" spans="2:24" x14ac:dyDescent="0.35">
      <c r="B11" s="278" t="s">
        <v>300</v>
      </c>
      <c r="C11" s="277" t="s">
        <v>301</v>
      </c>
      <c r="D11" s="277" t="s">
        <v>302</v>
      </c>
      <c r="E11" s="279" t="s">
        <v>307</v>
      </c>
      <c r="F11" s="277">
        <v>229966065</v>
      </c>
      <c r="G11" s="277"/>
      <c r="H11" s="277"/>
      <c r="I11" s="281">
        <v>0.1</v>
      </c>
      <c r="J11" s="283"/>
      <c r="K11" s="284"/>
      <c r="L11" s="277"/>
      <c r="M11" s="277"/>
      <c r="N11" s="277"/>
      <c r="O11" s="277">
        <v>22996606</v>
      </c>
    </row>
    <row r="12" spans="2:24" x14ac:dyDescent="0.35">
      <c r="B12" s="278" t="s">
        <v>300</v>
      </c>
      <c r="C12" s="277" t="s">
        <v>301</v>
      </c>
      <c r="D12" s="277" t="s">
        <v>302</v>
      </c>
      <c r="E12" s="279"/>
      <c r="F12" s="277">
        <f>254105291-F8</f>
        <v>24139226</v>
      </c>
      <c r="G12" s="277"/>
      <c r="H12" s="277"/>
      <c r="I12" s="281"/>
      <c r="J12" s="283"/>
      <c r="K12" s="284"/>
      <c r="L12" s="277"/>
      <c r="M12" s="277"/>
      <c r="N12" s="277"/>
      <c r="O12" s="277"/>
    </row>
    <row r="13" spans="2:24" x14ac:dyDescent="0.35">
      <c r="B13" s="278" t="s">
        <v>300</v>
      </c>
      <c r="C13" s="277" t="s">
        <v>311</v>
      </c>
      <c r="D13" s="278" t="s">
        <v>312</v>
      </c>
      <c r="E13" s="279" t="s">
        <v>313</v>
      </c>
      <c r="F13" s="280">
        <v>275000000</v>
      </c>
      <c r="G13" s="277"/>
      <c r="H13" s="280">
        <v>275000000</v>
      </c>
      <c r="I13" s="281">
        <v>1</v>
      </c>
      <c r="J13" s="283">
        <v>42614</v>
      </c>
      <c r="K13" s="286" t="s">
        <v>314</v>
      </c>
      <c r="L13" s="284"/>
      <c r="M13" s="282"/>
      <c r="N13" s="282"/>
      <c r="O13" s="280">
        <v>275000000</v>
      </c>
    </row>
    <row r="14" spans="2:24" x14ac:dyDescent="0.35">
      <c r="B14" s="278" t="s">
        <v>300</v>
      </c>
      <c r="C14" s="277"/>
      <c r="D14" s="278"/>
      <c r="E14" s="279"/>
      <c r="F14" s="280"/>
      <c r="G14" s="277"/>
      <c r="H14" s="277"/>
      <c r="I14" s="281"/>
      <c r="J14" s="283"/>
      <c r="K14" s="284"/>
      <c r="L14" s="284"/>
      <c r="M14" s="282"/>
      <c r="N14" s="282"/>
      <c r="O14" s="287"/>
    </row>
    <row r="15" spans="2:24" x14ac:dyDescent="0.35">
      <c r="B15" s="278" t="s">
        <v>300</v>
      </c>
      <c r="C15" s="277"/>
      <c r="D15" s="278"/>
      <c r="E15" s="279"/>
      <c r="F15" s="280"/>
      <c r="G15" s="277"/>
      <c r="H15" s="277"/>
      <c r="I15" s="281"/>
      <c r="J15" s="283"/>
      <c r="K15" s="284"/>
      <c r="L15" s="284"/>
      <c r="M15" s="282"/>
      <c r="N15" s="282"/>
      <c r="O15" s="287"/>
    </row>
    <row r="16" spans="2:24" x14ac:dyDescent="0.35">
      <c r="B16" s="278" t="s">
        <v>300</v>
      </c>
      <c r="C16" s="288"/>
      <c r="D16" s="278"/>
      <c r="E16" s="279"/>
      <c r="F16" s="280"/>
      <c r="G16" s="277"/>
      <c r="H16" s="277"/>
      <c r="I16" s="281"/>
      <c r="J16" s="283"/>
      <c r="K16" s="286"/>
      <c r="L16" s="284"/>
      <c r="M16" s="282"/>
      <c r="N16" s="277"/>
      <c r="O16" s="28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D6F86-E138-43F3-B23F-C485CCC6AD62}">
  <dimension ref="A2:M20"/>
  <sheetViews>
    <sheetView workbookViewId="0">
      <selection activeCell="A2" sqref="A2:F20"/>
    </sheetView>
  </sheetViews>
  <sheetFormatPr defaultRowHeight="14.5" x14ac:dyDescent="0.35"/>
  <cols>
    <col min="1" max="1" width="16.1796875" customWidth="1"/>
    <col min="2" max="2" width="12.90625" customWidth="1"/>
    <col min="3" max="3" width="14" customWidth="1"/>
    <col min="4" max="4" width="8.90625" customWidth="1"/>
    <col min="5" max="5" width="16.08984375" bestFit="1" customWidth="1"/>
    <col min="6" max="6" width="14.36328125" bestFit="1" customWidth="1"/>
  </cols>
  <sheetData>
    <row r="2" spans="1:13" x14ac:dyDescent="0.35">
      <c r="A2" s="653" t="s">
        <v>368</v>
      </c>
      <c r="B2" s="653"/>
      <c r="C2" s="653"/>
      <c r="D2" s="653"/>
      <c r="E2" s="653"/>
      <c r="F2" s="653"/>
      <c r="G2" s="324"/>
      <c r="H2" s="324"/>
      <c r="I2" s="324"/>
      <c r="J2" s="324"/>
      <c r="K2" s="324"/>
      <c r="L2" s="324"/>
      <c r="M2" s="324"/>
    </row>
    <row r="3" spans="1:13" x14ac:dyDescent="0.35">
      <c r="A3" s="325" t="s">
        <v>345</v>
      </c>
      <c r="B3" s="325" t="s">
        <v>346</v>
      </c>
      <c r="C3" s="325" t="s">
        <v>347</v>
      </c>
      <c r="D3" s="326"/>
      <c r="G3" s="324"/>
      <c r="H3" s="324"/>
      <c r="I3" s="324"/>
      <c r="J3" s="324"/>
      <c r="K3" s="324"/>
      <c r="L3" s="324"/>
      <c r="M3" s="324"/>
    </row>
    <row r="4" spans="1:13" x14ac:dyDescent="0.35">
      <c r="A4" s="327" t="s">
        <v>341</v>
      </c>
      <c r="B4" s="328">
        <v>45444</v>
      </c>
      <c r="C4" s="328">
        <v>46538</v>
      </c>
      <c r="D4" s="329"/>
      <c r="E4" s="330"/>
      <c r="F4" s="330"/>
      <c r="G4" s="324"/>
      <c r="H4" s="324"/>
      <c r="I4" s="324"/>
      <c r="J4" s="324"/>
      <c r="K4" s="324"/>
      <c r="L4" s="324"/>
      <c r="M4" s="324"/>
    </row>
    <row r="5" spans="1:13" x14ac:dyDescent="0.35">
      <c r="A5" s="327" t="s">
        <v>342</v>
      </c>
      <c r="B5" s="328">
        <v>45444</v>
      </c>
      <c r="C5" s="328">
        <v>45807</v>
      </c>
      <c r="D5" s="329"/>
      <c r="G5" s="324"/>
      <c r="H5" s="324"/>
      <c r="I5" s="324"/>
      <c r="J5" s="324"/>
      <c r="K5" s="324"/>
      <c r="L5" s="324"/>
      <c r="M5" s="324"/>
    </row>
    <row r="6" spans="1:13" x14ac:dyDescent="0.35">
      <c r="A6" s="324"/>
      <c r="G6" s="324"/>
      <c r="H6" s="324"/>
      <c r="I6" s="324"/>
      <c r="J6" s="324"/>
      <c r="K6" s="324"/>
      <c r="L6" s="324"/>
      <c r="M6" s="324"/>
    </row>
    <row r="7" spans="1:13" x14ac:dyDescent="0.35">
      <c r="A7" s="324"/>
      <c r="B7" s="325" t="s">
        <v>346</v>
      </c>
      <c r="C7" s="325" t="s">
        <v>347</v>
      </c>
      <c r="D7" s="325" t="s">
        <v>362</v>
      </c>
      <c r="E7" s="329"/>
      <c r="F7" s="329"/>
      <c r="G7" s="324"/>
      <c r="H7" s="324"/>
      <c r="I7" s="324"/>
      <c r="J7" s="324"/>
      <c r="K7" s="324"/>
      <c r="L7" s="324"/>
      <c r="M7" s="324"/>
    </row>
    <row r="8" spans="1:13" x14ac:dyDescent="0.35">
      <c r="A8" s="324" t="s">
        <v>412</v>
      </c>
      <c r="B8" s="324"/>
      <c r="C8" s="324"/>
      <c r="D8" s="324"/>
      <c r="E8" s="324"/>
      <c r="F8" s="324"/>
      <c r="G8" s="324"/>
      <c r="H8" s="324"/>
      <c r="I8" s="324"/>
      <c r="J8" s="324"/>
      <c r="K8" s="324"/>
      <c r="L8" s="324"/>
      <c r="M8" s="324"/>
    </row>
    <row r="9" spans="1:13" x14ac:dyDescent="0.35">
      <c r="A9" s="324" t="s">
        <v>341</v>
      </c>
      <c r="B9" s="328">
        <v>45444</v>
      </c>
      <c r="C9" s="328">
        <v>45807</v>
      </c>
      <c r="D9" s="331">
        <f t="shared" ref="D9:D11" si="0">C9-B9</f>
        <v>363</v>
      </c>
      <c r="E9" s="332">
        <v>150000000</v>
      </c>
      <c r="F9" s="333">
        <f>E9/365*D9</f>
        <v>149178082.19178084</v>
      </c>
      <c r="G9" s="324"/>
      <c r="H9" s="324"/>
      <c r="I9" s="324"/>
      <c r="J9" s="324"/>
      <c r="K9" s="324"/>
      <c r="L9" s="324"/>
      <c r="M9" s="324"/>
    </row>
    <row r="10" spans="1:13" x14ac:dyDescent="0.35">
      <c r="A10" s="324" t="s">
        <v>363</v>
      </c>
      <c r="B10" s="328">
        <v>45444</v>
      </c>
      <c r="C10" s="328">
        <v>45807</v>
      </c>
      <c r="D10" s="331">
        <f t="shared" si="0"/>
        <v>363</v>
      </c>
      <c r="E10" s="332">
        <v>30000000</v>
      </c>
      <c r="F10" s="333">
        <f>-E10/365*D10</f>
        <v>-29835616.438356165</v>
      </c>
      <c r="G10" s="324"/>
      <c r="H10" s="324"/>
      <c r="I10" s="324"/>
      <c r="J10" s="324"/>
      <c r="K10" s="324"/>
      <c r="L10" s="324"/>
      <c r="M10" s="324"/>
    </row>
    <row r="11" spans="1:13" x14ac:dyDescent="0.35">
      <c r="A11" s="324" t="s">
        <v>364</v>
      </c>
      <c r="B11" s="328">
        <v>45444</v>
      </c>
      <c r="C11" s="328">
        <v>45807</v>
      </c>
      <c r="D11" s="331">
        <f t="shared" si="0"/>
        <v>363</v>
      </c>
      <c r="E11" s="332">
        <v>15000000</v>
      </c>
      <c r="F11" s="333">
        <f>-E11/365*D11</f>
        <v>-14917808.219178082</v>
      </c>
      <c r="G11" s="324"/>
      <c r="H11" s="324"/>
      <c r="I11" s="324"/>
      <c r="J11" s="324"/>
      <c r="K11" s="324"/>
      <c r="L11" s="324"/>
      <c r="M11" s="324"/>
    </row>
    <row r="12" spans="1:13" x14ac:dyDescent="0.35">
      <c r="A12" s="324" t="s">
        <v>365</v>
      </c>
      <c r="B12" s="324"/>
      <c r="C12" s="324"/>
      <c r="D12" s="324"/>
      <c r="E12" s="334">
        <v>100000000</v>
      </c>
      <c r="F12" s="335"/>
      <c r="G12" s="324"/>
      <c r="H12" s="324"/>
      <c r="I12" s="324"/>
      <c r="J12" s="324"/>
      <c r="K12" s="324"/>
      <c r="L12" s="324"/>
      <c r="M12" s="324"/>
    </row>
    <row r="13" spans="1:13" x14ac:dyDescent="0.35">
      <c r="A13" s="324" t="s">
        <v>349</v>
      </c>
      <c r="B13" s="324"/>
      <c r="C13" s="324"/>
      <c r="D13" s="324"/>
      <c r="E13" s="324"/>
      <c r="F13" s="333">
        <f>SUM(F9:F12)</f>
        <v>104424657.53424659</v>
      </c>
      <c r="G13" s="324"/>
      <c r="H13" s="324"/>
      <c r="I13" s="324"/>
      <c r="J13" s="324"/>
      <c r="K13" s="324"/>
      <c r="L13" s="324"/>
      <c r="M13" s="324"/>
    </row>
    <row r="14" spans="1:13" x14ac:dyDescent="0.35">
      <c r="A14" s="324"/>
      <c r="B14" s="324"/>
      <c r="C14" s="324"/>
      <c r="D14" s="324"/>
      <c r="E14" s="324"/>
      <c r="F14" s="324"/>
      <c r="G14" s="324"/>
      <c r="H14" s="324"/>
      <c r="I14" s="324"/>
      <c r="J14" s="324"/>
      <c r="K14" s="324"/>
      <c r="L14" s="324"/>
      <c r="M14" s="324"/>
    </row>
    <row r="15" spans="1:13" x14ac:dyDescent="0.35">
      <c r="A15" s="324" t="s">
        <v>366</v>
      </c>
      <c r="B15" s="324"/>
      <c r="C15" s="324"/>
      <c r="D15" s="324"/>
      <c r="E15" s="324"/>
      <c r="F15" s="324"/>
      <c r="G15" s="324"/>
      <c r="H15" s="324"/>
      <c r="I15" s="324"/>
      <c r="J15" s="324"/>
      <c r="K15" s="324"/>
      <c r="L15" s="324"/>
      <c r="M15" s="324"/>
    </row>
    <row r="16" spans="1:13" x14ac:dyDescent="0.35">
      <c r="A16" s="324" t="s">
        <v>367</v>
      </c>
      <c r="B16" s="328">
        <v>45444</v>
      </c>
      <c r="C16" s="328">
        <v>46538</v>
      </c>
      <c r="D16" s="331">
        <f>C16-B16</f>
        <v>1094</v>
      </c>
      <c r="E16" s="332">
        <v>150000000</v>
      </c>
      <c r="F16" s="333">
        <f>E16/365*D16</f>
        <v>449589041.0958904</v>
      </c>
      <c r="G16" s="324"/>
      <c r="H16" s="324"/>
      <c r="I16" s="324"/>
      <c r="J16" s="324"/>
      <c r="K16" s="324"/>
      <c r="L16" s="324"/>
      <c r="M16" s="324"/>
    </row>
    <row r="17" spans="1:13" x14ac:dyDescent="0.35">
      <c r="A17" s="324" t="s">
        <v>363</v>
      </c>
      <c r="B17" s="328">
        <v>45444</v>
      </c>
      <c r="C17" s="328">
        <v>46538</v>
      </c>
      <c r="D17" s="331">
        <f t="shared" ref="D17:D18" si="1">C17-B17</f>
        <v>1094</v>
      </c>
      <c r="E17" s="332">
        <v>30000000</v>
      </c>
      <c r="F17" s="333">
        <f>-E17/365*D17</f>
        <v>-89917808.219178081</v>
      </c>
      <c r="G17" s="324"/>
      <c r="H17" s="324"/>
      <c r="I17" s="324"/>
      <c r="J17" s="324"/>
      <c r="K17" s="324"/>
      <c r="L17" s="324"/>
      <c r="M17" s="324"/>
    </row>
    <row r="18" spans="1:13" x14ac:dyDescent="0.35">
      <c r="A18" s="324" t="s">
        <v>364</v>
      </c>
      <c r="B18" s="328">
        <v>45444</v>
      </c>
      <c r="C18" s="328">
        <v>46538</v>
      </c>
      <c r="D18" s="331">
        <f t="shared" si="1"/>
        <v>1094</v>
      </c>
      <c r="E18" s="332">
        <v>15000000</v>
      </c>
      <c r="F18" s="333">
        <f>-E18/365*D18</f>
        <v>-44958904.10958904</v>
      </c>
      <c r="G18" s="324"/>
      <c r="H18" s="324"/>
      <c r="I18" s="324"/>
      <c r="J18" s="324"/>
      <c r="K18" s="324"/>
      <c r="L18" s="324"/>
      <c r="M18" s="324"/>
    </row>
    <row r="19" spans="1:13" x14ac:dyDescent="0.35">
      <c r="A19" s="324" t="s">
        <v>365</v>
      </c>
      <c r="B19" s="324"/>
      <c r="C19" s="324"/>
      <c r="D19" s="324"/>
      <c r="E19" s="334">
        <v>100000000</v>
      </c>
      <c r="F19" s="336"/>
      <c r="G19" s="324"/>
      <c r="H19" s="324"/>
      <c r="I19" s="324"/>
      <c r="J19" s="324"/>
      <c r="K19" s="324"/>
      <c r="L19" s="324"/>
      <c r="M19" s="324"/>
    </row>
    <row r="20" spans="1:13" x14ac:dyDescent="0.35">
      <c r="A20" s="324" t="s">
        <v>349</v>
      </c>
      <c r="B20" s="324"/>
      <c r="C20" s="324"/>
      <c r="D20" s="324"/>
      <c r="E20" s="324"/>
      <c r="F20" s="333">
        <f>SUM(F16:F19)</f>
        <v>314712328.76712328</v>
      </c>
      <c r="G20" s="324"/>
      <c r="H20" s="324"/>
      <c r="I20" s="324"/>
      <c r="J20" s="324"/>
      <c r="K20" s="324"/>
      <c r="L20" s="324"/>
      <c r="M20" s="324"/>
    </row>
  </sheetData>
  <mergeCells count="1">
    <mergeCell ref="A2:F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6</vt:i4>
      </vt:variant>
    </vt:vector>
  </HeadingPairs>
  <TitlesOfParts>
    <vt:vector size="17" baseType="lpstr">
      <vt:lpstr>Harga Jual</vt:lpstr>
      <vt:lpstr>COST </vt:lpstr>
      <vt:lpstr>contoh IRR existing</vt:lpstr>
      <vt:lpstr>Commercial</vt:lpstr>
      <vt:lpstr>Summary</vt:lpstr>
      <vt:lpstr>IRR</vt:lpstr>
      <vt:lpstr>Summary BR</vt:lpstr>
      <vt:lpstr>Parameter</vt:lpstr>
      <vt:lpstr>New IRR</vt:lpstr>
      <vt:lpstr>CApex</vt:lpstr>
      <vt:lpstr>Analisa</vt:lpstr>
      <vt:lpstr>Analisa!Print_Area</vt:lpstr>
      <vt:lpstr>'contoh IRR existing'!Print_Area</vt:lpstr>
      <vt:lpstr>IRR!Print_Area</vt:lpstr>
      <vt:lpstr>'New IRR'!Print_Area</vt:lpstr>
      <vt:lpstr>Summary!Print_Area</vt:lpstr>
      <vt:lpstr>'Summary BR'!Print_Area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meta rukmitasari</dc:creator>
  <cp:lastModifiedBy>Citra Kartika</cp:lastModifiedBy>
  <cp:lastPrinted>2024-07-23T02:43:36Z</cp:lastPrinted>
  <dcterms:created xsi:type="dcterms:W3CDTF">2012-12-17T04:01:09Z</dcterms:created>
  <dcterms:modified xsi:type="dcterms:W3CDTF">2024-07-25T08:43:25Z</dcterms:modified>
</cp:coreProperties>
</file>