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UDGET\IRR\IBC\IBC Confirm\IRR Sulianti Saroso\"/>
    </mc:Choice>
  </mc:AlternateContent>
  <xr:revisionPtr revIDLastSave="0" documentId="13_ncr:1_{E22C4CF2-4F27-4318-9D23-DA095611C1B2}" xr6:coauthVersionLast="47" xr6:coauthVersionMax="47" xr10:uidLastSave="{00000000-0000-0000-0000-000000000000}"/>
  <bookViews>
    <workbookView xWindow="-108" yWindow="-108" windowWidth="23256" windowHeight="12456" activeTab="4" xr2:uid="{A4174494-61B9-4994-8303-9C4639E059BD}"/>
  </bookViews>
  <sheets>
    <sheet name="Summary" sheetId="1" r:id="rId1"/>
    <sheet name="IRR" sheetId="2" r:id="rId2"/>
    <sheet name="Summary Review  (2)" sheetId="8" r:id="rId3"/>
    <sheet name="Parameter" sheetId="4" r:id="rId4"/>
    <sheet name="Analisa" sheetId="9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 localSheetId="1">#REF!</definedName>
    <definedName name="jk" localSheetId="0">#REF!</definedName>
    <definedName name="jk" localSheetId="2">#REF!</definedName>
    <definedName name="jk">#REF!</definedName>
    <definedName name="_xlnm.Print_Area" localSheetId="1">IRR!$B$1:$Q$51</definedName>
    <definedName name="_xlnm.Print_Area" localSheetId="0">Summary!$B$2:$N$35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8" i="2" l="1"/>
  <c r="F21" i="9"/>
  <c r="D21" i="9"/>
  <c r="D26" i="9" l="1"/>
  <c r="F26" i="9" s="1"/>
  <c r="D25" i="9"/>
  <c r="F25" i="9" s="1"/>
  <c r="D24" i="9"/>
  <c r="F24" i="9" s="1"/>
  <c r="E23" i="9"/>
  <c r="D23" i="9"/>
  <c r="D22" i="9"/>
  <c r="F22" i="9" s="1"/>
  <c r="D20" i="9"/>
  <c r="F20" i="9" s="1"/>
  <c r="D15" i="9"/>
  <c r="F15" i="9" s="1"/>
  <c r="D11" i="9"/>
  <c r="F11" i="9" s="1"/>
  <c r="D13" i="9"/>
  <c r="F13" i="9" s="1"/>
  <c r="J17" i="2"/>
  <c r="I34" i="4"/>
  <c r="F23" i="9" l="1"/>
  <c r="F28" i="9"/>
  <c r="D14" i="9" l="1"/>
  <c r="F14" i="9" s="1"/>
  <c r="E12" i="9"/>
  <c r="D12" i="9"/>
  <c r="D10" i="9"/>
  <c r="F10" i="9" s="1"/>
  <c r="F12" i="9" l="1"/>
  <c r="F17" i="9"/>
  <c r="A6" i="4" l="1"/>
  <c r="G24" i="2"/>
  <c r="G23" i="2"/>
  <c r="G16" i="2" l="1"/>
  <c r="H16" i="2" s="1"/>
  <c r="I16" i="2" s="1"/>
  <c r="J16" i="2" s="1"/>
  <c r="K16" i="2" s="1"/>
  <c r="D12" i="8"/>
  <c r="N2" i="1" l="1"/>
  <c r="H17" i="2"/>
  <c r="G46" i="2"/>
  <c r="K36" i="2"/>
  <c r="A9" i="4"/>
  <c r="A12" i="4" s="1"/>
  <c r="A15" i="4" s="1"/>
  <c r="A18" i="4" s="1"/>
  <c r="A21" i="4" s="1"/>
  <c r="A24" i="4" s="1"/>
  <c r="A27" i="4" s="1"/>
  <c r="A30" i="4" s="1"/>
  <c r="G10" i="2"/>
  <c r="G36" i="2" s="1"/>
  <c r="Q9" i="2"/>
  <c r="Q10" i="2" s="1"/>
  <c r="Q1" i="2" l="1"/>
  <c r="M12" i="1" l="1"/>
  <c r="C70" i="4"/>
  <c r="H69" i="4"/>
  <c r="H74" i="4" s="1"/>
  <c r="I17" i="2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G16" i="4"/>
  <c r="H15" i="4" s="1"/>
  <c r="H17" i="4" s="1"/>
  <c r="G17" i="4"/>
  <c r="F13" i="4"/>
  <c r="F14" i="4"/>
  <c r="E11" i="4"/>
  <c r="D8" i="4"/>
  <c r="D7" i="4"/>
  <c r="C5" i="4"/>
  <c r="C34" i="4" s="1"/>
  <c r="K17" i="2" l="1"/>
  <c r="H73" i="4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K31" i="2" s="1"/>
  <c r="N26" i="4"/>
  <c r="M23" i="4"/>
  <c r="K17" i="4"/>
  <c r="L20" i="4"/>
  <c r="Q27" i="4"/>
  <c r="O24" i="4"/>
  <c r="O26" i="4" s="1"/>
  <c r="O34" i="4" s="1"/>
  <c r="J31" i="2" s="1"/>
  <c r="N21" i="4"/>
  <c r="N23" i="4" s="1"/>
  <c r="M18" i="4"/>
  <c r="M20" i="4" s="1"/>
  <c r="L15" i="4"/>
  <c r="L17" i="4" s="1"/>
  <c r="N34" i="4" l="1"/>
  <c r="I31" i="2" s="1"/>
  <c r="L34" i="4"/>
  <c r="G31" i="2" s="1"/>
  <c r="M34" i="4"/>
  <c r="H31" i="2" s="1"/>
  <c r="R30" i="4"/>
  <c r="R32" i="4" s="1"/>
  <c r="R34" i="4" s="1"/>
  <c r="Q29" i="4"/>
  <c r="Q34" i="4" s="1"/>
  <c r="M8" i="1" l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I48" i="2"/>
  <c r="K48" i="2" s="1"/>
  <c r="H47" i="2"/>
  <c r="J47" i="2" s="1"/>
  <c r="K47" i="2" s="1"/>
  <c r="K45" i="2"/>
  <c r="J45" i="2"/>
  <c r="I45" i="2"/>
  <c r="H45" i="2"/>
  <c r="G45" i="2"/>
  <c r="J36" i="2"/>
  <c r="I36" i="2"/>
  <c r="H36" i="2"/>
  <c r="H23" i="2"/>
  <c r="Q22" i="2"/>
  <c r="M13" i="1" s="1"/>
  <c r="K19" i="2"/>
  <c r="Q17" i="2"/>
  <c r="G19" i="2"/>
  <c r="F37" i="2"/>
  <c r="M10" i="1"/>
  <c r="F11" i="4" l="1"/>
  <c r="E8" i="4"/>
  <c r="G14" i="4"/>
  <c r="D5" i="4"/>
  <c r="D34" i="4" s="1"/>
  <c r="I70" i="4"/>
  <c r="I73" i="4"/>
  <c r="I19" i="2"/>
  <c r="I25" i="2" s="1"/>
  <c r="J19" i="2"/>
  <c r="J25" i="2" s="1"/>
  <c r="Q16" i="2"/>
  <c r="Q18" i="2"/>
  <c r="H12" i="4"/>
  <c r="H14" i="4" s="1"/>
  <c r="G9" i="4"/>
  <c r="C43" i="4"/>
  <c r="E3" i="4"/>
  <c r="F6" i="4"/>
  <c r="F8" i="4" s="1"/>
  <c r="F38" i="2"/>
  <c r="K25" i="2"/>
  <c r="G25" i="2"/>
  <c r="H19" i="2"/>
  <c r="I23" i="2"/>
  <c r="I75" i="4" l="1"/>
  <c r="J75" i="4" s="1"/>
  <c r="L77" i="4" s="1"/>
  <c r="Q19" i="2"/>
  <c r="M11" i="1" s="1"/>
  <c r="E5" i="4"/>
  <c r="E34" i="4" s="1"/>
  <c r="G11" i="4"/>
  <c r="D45" i="4"/>
  <c r="D44" i="4" s="1"/>
  <c r="F3" i="4"/>
  <c r="H9" i="4"/>
  <c r="H11" i="4" s="1"/>
  <c r="I12" i="4"/>
  <c r="G6" i="4"/>
  <c r="J23" i="2"/>
  <c r="H25" i="2"/>
  <c r="G51" i="2"/>
  <c r="H46" i="2"/>
  <c r="J76" i="4" l="1"/>
  <c r="G29" i="2"/>
  <c r="L76" i="4"/>
  <c r="I14" i="4"/>
  <c r="G8" i="4"/>
  <c r="F5" i="4"/>
  <c r="F34" i="4" s="1"/>
  <c r="D43" i="4"/>
  <c r="H6" i="4"/>
  <c r="I8" i="4" s="1"/>
  <c r="J12" i="4"/>
  <c r="G3" i="4"/>
  <c r="I9" i="4"/>
  <c r="E45" i="4"/>
  <c r="E44" i="4" s="1"/>
  <c r="H51" i="2"/>
  <c r="H29" i="2" s="1"/>
  <c r="I46" i="2"/>
  <c r="J46" i="2" s="1"/>
  <c r="K23" i="2"/>
  <c r="Q25" i="2"/>
  <c r="G26" i="2" l="1"/>
  <c r="G27" i="2" s="1"/>
  <c r="G30" i="2" s="1"/>
  <c r="H24" i="2"/>
  <c r="I11" i="4"/>
  <c r="G5" i="4"/>
  <c r="G34" i="4" s="1"/>
  <c r="H8" i="4"/>
  <c r="J14" i="4"/>
  <c r="E43" i="4"/>
  <c r="F45" i="4"/>
  <c r="F43" i="4"/>
  <c r="F44" i="4"/>
  <c r="J9" i="4"/>
  <c r="J11" i="4" s="1"/>
  <c r="K12" i="4"/>
  <c r="K14" i="4" s="1"/>
  <c r="K34" i="4" s="1"/>
  <c r="H3" i="4"/>
  <c r="H5" i="4" s="1"/>
  <c r="I51" i="2"/>
  <c r="I29" i="2" s="1"/>
  <c r="Q23" i="2"/>
  <c r="H34" i="4" l="1"/>
  <c r="I24" i="2"/>
  <c r="J24" i="2" s="1"/>
  <c r="H26" i="2"/>
  <c r="H27" i="2" s="1"/>
  <c r="I3" i="4"/>
  <c r="I5" i="4" s="1"/>
  <c r="G45" i="4"/>
  <c r="G44" i="4" s="1"/>
  <c r="J51" i="2"/>
  <c r="J29" i="2" s="1"/>
  <c r="K46" i="2"/>
  <c r="K51" i="2" l="1"/>
  <c r="K29" i="2" s="1"/>
  <c r="Q46" i="2"/>
  <c r="G32" i="2"/>
  <c r="Q51" i="2"/>
  <c r="H28" i="2"/>
  <c r="H30" i="2"/>
  <c r="I26" i="2"/>
  <c r="I27" i="2" s="1"/>
  <c r="G43" i="4"/>
  <c r="H45" i="4" s="1"/>
  <c r="Q29" i="2"/>
  <c r="J3" i="4"/>
  <c r="J5" i="4"/>
  <c r="J34" i="4" s="1"/>
  <c r="Q31" i="2" s="1"/>
  <c r="H32" i="2" l="1"/>
  <c r="H33" i="2" s="1"/>
  <c r="H34" i="2" s="1"/>
  <c r="H37" i="2" s="1"/>
  <c r="G33" i="2"/>
  <c r="G34" i="2" s="1"/>
  <c r="G37" i="2" s="1"/>
  <c r="G38" i="2" s="1"/>
  <c r="I28" i="2"/>
  <c r="I30" i="2"/>
  <c r="I32" i="2" s="1"/>
  <c r="J26" i="2"/>
  <c r="J27" i="2" s="1"/>
  <c r="K24" i="2"/>
  <c r="K26" i="2" s="1"/>
  <c r="K27" i="2" s="1"/>
  <c r="H44" i="4"/>
  <c r="H43" i="4"/>
  <c r="I45" i="4"/>
  <c r="I44" i="4" s="1"/>
  <c r="H38" i="2" l="1"/>
  <c r="H39" i="2" s="1"/>
  <c r="G39" i="2"/>
  <c r="Q24" i="2"/>
  <c r="M14" i="1" s="1"/>
  <c r="K28" i="2"/>
  <c r="K30" i="2"/>
  <c r="K32" i="2" s="1"/>
  <c r="K33" i="2" s="1"/>
  <c r="K34" i="2" s="1"/>
  <c r="K37" i="2" s="1"/>
  <c r="J28" i="2"/>
  <c r="J30" i="2"/>
  <c r="J32" i="2" s="1"/>
  <c r="J33" i="2" s="1"/>
  <c r="J34" i="2" s="1"/>
  <c r="J37" i="2" s="1"/>
  <c r="I33" i="2"/>
  <c r="I43" i="4"/>
  <c r="J45" i="4"/>
  <c r="J44" i="4" s="1"/>
  <c r="F41" i="2" l="1"/>
  <c r="F40" i="2"/>
  <c r="J38" i="2"/>
  <c r="Q26" i="2"/>
  <c r="Q27" i="2" s="1"/>
  <c r="F42" i="2" s="1"/>
  <c r="M18" i="1" s="1"/>
  <c r="Q32" i="2"/>
  <c r="Q33" i="2"/>
  <c r="I34" i="2"/>
  <c r="I37" i="2" s="1"/>
  <c r="J43" i="4"/>
  <c r="K45" i="4" s="1"/>
  <c r="K44" i="4" s="1"/>
  <c r="Q34" i="2" l="1"/>
  <c r="Q30" i="2"/>
  <c r="Q37" i="2"/>
  <c r="M17" i="1"/>
  <c r="I38" i="2"/>
  <c r="M16" i="1"/>
  <c r="K43" i="4"/>
  <c r="I39" i="2" l="1"/>
  <c r="J39" i="2" l="1"/>
  <c r="K38" i="2"/>
  <c r="K39" i="2" s="1"/>
  <c r="F43" i="2" l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<sst xmlns="http://schemas.openxmlformats.org/spreadsheetml/2006/main" count="320" uniqueCount="233">
  <si>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</si>
  <si>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</si>
  <si>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</si>
  <si>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</si>
  <si>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</si>
  <si>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</si>
  <si>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</si>
  <si>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</si>
  <si>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</si>
  <si>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</si>
  <si>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</si>
  <si>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</si>
  <si>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</si>
  <si>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</si>
  <si>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</si>
  <si>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</si>
  <si>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</si>
  <si>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</si>
  <si>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</si>
  <si>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</si>
  <si>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</si>
  <si>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</si>
  <si>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</si>
  <si>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</si>
  <si>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</si>
  <si>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</si>
  <si>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</si>
  <si>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</si>
  <si>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</si>
  <si>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</si>
  <si>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</si>
  <si>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</si>
  <si>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</si>
  <si>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</si>
  <si>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</si>
  <si>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</si>
  <si>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</si>
  <si>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</si>
  <si>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</si>
  <si>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</si>
  <si>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</si>
  <si>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</si>
  <si>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</si>
  <si>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</si>
  <si>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</si>
  <si>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</si>
  <si>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</si>
  <si>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</si>
  <si>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</si>
  <si>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IOH</t>
  </si>
  <si>
    <t>SG&amp;A</t>
  </si>
  <si>
    <t>from Revenues</t>
  </si>
  <si>
    <t>BHPUSO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</si>
  <si>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</si>
  <si>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</si>
  <si>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</si>
  <si>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</si>
  <si>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</si>
  <si>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</si>
  <si>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</si>
  <si>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</si>
  <si>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</si>
  <si>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</si>
  <si>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</si>
  <si>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</si>
  <si>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</si>
  <si>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</si>
  <si>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</si>
  <si>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</si>
  <si>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</si>
  <si>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</si>
  <si>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</si>
  <si>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</si>
  <si>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</si>
  <si>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</si>
  <si>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</si>
  <si>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</si>
  <si>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</si>
  <si>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</si>
  <si>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</si>
  <si>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</si>
  <si>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</si>
  <si>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</si>
  <si>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</si>
  <si>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</si>
  <si>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</si>
  <si>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</si>
  <si>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</si>
  <si>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Nama Site                   </t>
  </si>
  <si>
    <t xml:space="preserve">Nama Pemilik           </t>
  </si>
  <si>
    <t xml:space="preserve">Alamat Pemilik       </t>
  </si>
  <si>
    <t xml:space="preserve">Telp                           </t>
  </si>
  <si>
    <t xml:space="preserve">Obyek Sewa             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</si>
  <si>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</si>
  <si>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</si>
  <si>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</si>
  <si>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</si>
  <si>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</si>
  <si>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</si>
  <si>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</si>
  <si>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</si>
  <si>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</si>
  <si>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</si>
  <si>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</si>
  <si>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</si>
  <si>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</si>
  <si>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</si>
  <si>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</si>
  <si>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</si>
  <si>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</si>
  <si>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</si>
  <si>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</si>
  <si>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</si>
  <si>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</si>
  <si>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</si>
  <si>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</si>
  <si>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</si>
  <si>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</si>
  <si>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</si>
  <si>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</si>
  <si>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</si>
  <si>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</si>
  <si>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</si>
  <si>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</si>
  <si>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</si>
  <si>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</si>
  <si>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</si>
  <si>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</si>
  <si>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</si>
  <si>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</si>
  <si>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</si>
  <si>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</si>
  <si>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</si>
  <si>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</si>
  <si>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</si>
  <si>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</si>
  <si>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</si>
  <si>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</si>
  <si>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</si>
  <si>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</si>
  <si>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</si>
  <si>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</si>
  <si>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</si>
  <si>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</si>
  <si>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</si>
  <si>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</si>
  <si>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</si>
  <si>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</si>
  <si>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</si>
  <si>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</si>
  <si>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</si>
  <si>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</si>
  <si>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</si>
  <si>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</si>
  <si>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</si>
  <si>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</si>
  <si>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</si>
  <si>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</si>
  <si>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</si>
  <si>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</si>
  <si>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</si>
  <si>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</si>
  <si>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</si>
  <si>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</si>
  <si>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</si>
  <si>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</si>
  <si>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</si>
  <si>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</si>
  <si>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</si>
  <si>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</si>
  <si>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</si>
  <si>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</si>
  <si>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</si>
  <si>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</si>
  <si>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</si>
  <si>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</si>
  <si>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</si>
  <si>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</si>
  <si>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</si>
  <si>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</si>
  <si>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</si>
  <si>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</si>
  <si>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</si>
  <si>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</si>
  <si>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BV 31Jul24</t>
  </si>
  <si>
    <t>Total Capex BV 31Jul24</t>
  </si>
  <si>
    <t>No</t>
  </si>
  <si>
    <t>: RSPI Sulianti Saroso</t>
  </si>
  <si>
    <t>: RSPI Prof. DR. Sulianti Saroso</t>
  </si>
  <si>
    <t>:  Jl. Baru Sunter Permai Raya</t>
  </si>
  <si>
    <t>: 021 - 6506559</t>
  </si>
  <si>
    <t>: 134 Omni + 8 Unit Pole Antenna + RBS  45m²</t>
  </si>
  <si>
    <t xml:space="preserve">Indoor &amp; outdoor coverage </t>
  </si>
  <si>
    <t xml:space="preserve"> 134 Omni + 8 Unit Pole Antenna + RBS  45m²</t>
  </si>
  <si>
    <t>23 Agust 2019 s.d 22 Agust 2024</t>
  </si>
  <si>
    <t>4.</t>
  </si>
  <si>
    <t>Harga Sewa / Masa Sewa</t>
  </si>
  <si>
    <t>Rp. 450.000.000 (untuk 2 operator)</t>
  </si>
  <si>
    <t>Rp. 500.000.000 (untuk 2 operator)</t>
  </si>
  <si>
    <t>Harga Sewa / Tahun</t>
  </si>
  <si>
    <t>Rp. 45.000.000/th/operator</t>
  </si>
  <si>
    <t>Rp. 50.000.000/th/operator</t>
  </si>
  <si>
    <t>Termin Pemby.</t>
  </si>
  <si>
    <t>100 % setelah PKS</t>
  </si>
  <si>
    <t xml:space="preserve"> - XL (24 Oct 2019 s.d 23 Oct 2024) </t>
  </si>
  <si>
    <t xml:space="preserve"> - XL (24 Oct 2019 s.d 23 Oct 2024) on process renewal</t>
  </si>
  <si>
    <t xml:space="preserve"> - Telkomsel (05 Dec 2019 s.d 04 Dec 2024)</t>
  </si>
  <si>
    <t xml:space="preserve"> - Telkomsel (05 Dec 2024 s.d 04 Dec 2027) on process renewal</t>
  </si>
  <si>
    <t>Harga mengalami Kenaikan sebesar 11%</t>
  </si>
  <si>
    <t>RSPI Sulianti Saroso</t>
  </si>
  <si>
    <t>Jl. Sunter Permai Raya No.2, RT.2/RW.12, Papanggo, Kec. Tj. Priok</t>
  </si>
  <si>
    <t>Jakarta</t>
  </si>
  <si>
    <t>Rumah Sakit</t>
  </si>
  <si>
    <t>8 Unit Pole Antenna + RBS  45m²</t>
  </si>
  <si>
    <t>0023/IRR/IBC/VIII/2024</t>
  </si>
  <si>
    <t xml:space="preserve">Periode </t>
  </si>
  <si>
    <t>Start</t>
  </si>
  <si>
    <t>End</t>
  </si>
  <si>
    <t>Rev Tsel</t>
  </si>
  <si>
    <t>Rev XL</t>
  </si>
  <si>
    <t>Sewa BM</t>
  </si>
  <si>
    <t>Days</t>
  </si>
  <si>
    <t xml:space="preserve">Sewa BM </t>
  </si>
  <si>
    <t>Antisipasi Add Capex and Pole</t>
  </si>
  <si>
    <t>Profit</t>
  </si>
  <si>
    <t>SITE Soelianti Saroso</t>
  </si>
  <si>
    <t>23 Agust 2024 s.d 22 Agust 2029</t>
  </si>
  <si>
    <t>OM Tsel</t>
  </si>
  <si>
    <t>OM XL</t>
  </si>
  <si>
    <t>Listrik Tsel</t>
  </si>
  <si>
    <t>Worse &gt;&gt; Jika Sewa BM diperpanjang 5 tahun dan XL, Tsel  sesuai existing, maka:</t>
  </si>
  <si>
    <t>Tsel 2024</t>
  </si>
  <si>
    <t>Optimis&gt;&gt; ika Sewa BM diperpanjang 5thn, XL dgn existing period, Tsel extend 3 tahun, maka: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</si>
</sst>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2" formatCode="_(&quot;Rp&quot;* #,##0_);_(&quot;Rp&quot;* \(#,##0\);_(&quot;Rp&quot;* &quot;-&quot;_);_(@_)"/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(* #,##0_);_(* \(#,##0\);_(* &quot;-&quot;??_);_(@_)"/>
    <numFmt numFmtId="167" formatCode="_-* #,##0.0_-;\-* #,##0.0_-;_-* &quot;-&quot;_-;_-@_-"/>
    <numFmt numFmtId="168" formatCode="_(* #,##0.0_);_(* \(#,##0.0\);_(* &quot;-&quot;??_);_(@_)"/>
    <numFmt numFmtId="169" formatCode="_(&quot;$&quot;* #,##0.00_);_(&quot;$&quot;* \(#,##0.00\);_(&quot;$&quot;* &quot;-&quot;??_);_(@_)"/>
    <numFmt numFmtId="170" formatCode="[$-C09]dd\-mmm\-yy;@"/>
    <numFmt numFmtId="171" formatCode="#,###&quot;/thn&quot;"/>
    <numFmt numFmtId="172" formatCode="#,###&quot;/pole&quot;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42" fontId="19" fillId="0" borderId="0" applyFont="0" applyFill="0" applyBorder="0" applyAlignment="0" applyProtection="0"/>
    <xf numFmtId="0" fontId="19" fillId="0" borderId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8" fillId="0" borderId="0"/>
    <xf numFmtId="43" fontId="28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43" fontId="1" fillId="0" borderId="0" applyFont="0" applyFill="0" applyBorder="0" applyAlignment="0" applyProtection="0"/>
  </cellStyleXfs>
  <cellXfs count="249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6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6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164" fontId="4" fillId="0" borderId="8" xfId="4" applyFont="1" applyBorder="1"/>
    <xf numFmtId="9" fontId="4" fillId="0" borderId="8" xfId="4" applyNumberFormat="1" applyFont="1" applyBorder="1"/>
    <xf numFmtId="167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164" fontId="10" fillId="0" borderId="0" xfId="3" applyNumberFormat="1" applyFont="1"/>
    <xf numFmtId="0" fontId="11" fillId="0" borderId="0" xfId="3" applyFont="1"/>
    <xf numFmtId="0" fontId="12" fillId="0" borderId="0" xfId="3" applyFont="1"/>
    <xf numFmtId="164" fontId="11" fillId="0" borderId="0" xfId="3" applyNumberFormat="1" applyFont="1"/>
    <xf numFmtId="164" fontId="11" fillId="0" borderId="13" xfId="3" applyNumberFormat="1" applyFont="1" applyBorder="1"/>
    <xf numFmtId="164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164" fontId="3" fillId="2" borderId="0" xfId="3" applyNumberFormat="1" applyFill="1" applyAlignment="1">
      <alignment vertical="center"/>
    </xf>
    <xf numFmtId="0" fontId="12" fillId="3" borderId="0" xfId="3" applyFont="1" applyFill="1"/>
    <xf numFmtId="43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164" fontId="12" fillId="0" borderId="0" xfId="4" applyFont="1" applyAlignment="1">
      <alignment vertical="center"/>
    </xf>
    <xf numFmtId="43" fontId="13" fillId="0" borderId="0" xfId="1" applyFont="1"/>
    <xf numFmtId="164" fontId="12" fillId="3" borderId="0" xfId="3" applyNumberFormat="1" applyFont="1" applyFill="1"/>
    <xf numFmtId="164" fontId="0" fillId="0" borderId="0" xfId="4" applyFont="1" applyAlignment="1">
      <alignment vertical="center"/>
    </xf>
    <xf numFmtId="164" fontId="0" fillId="2" borderId="0" xfId="4" applyFont="1" applyFill="1" applyBorder="1" applyAlignment="1">
      <alignment vertical="center"/>
    </xf>
    <xf numFmtId="0" fontId="4" fillId="0" borderId="14" xfId="3" applyFont="1" applyBorder="1"/>
    <xf numFmtId="164" fontId="4" fillId="0" borderId="14" xfId="3" applyNumberFormat="1" applyFont="1" applyBorder="1" applyAlignment="1">
      <alignment vertical="center"/>
    </xf>
    <xf numFmtId="164" fontId="11" fillId="3" borderId="14" xfId="3" applyNumberFormat="1" applyFont="1" applyFill="1" applyBorder="1" applyAlignment="1">
      <alignment vertical="center"/>
    </xf>
    <xf numFmtId="164" fontId="4" fillId="2" borderId="0" xfId="3" applyNumberFormat="1" applyFont="1" applyFill="1" applyAlignment="1">
      <alignment vertical="center"/>
    </xf>
    <xf numFmtId="43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164" fontId="3" fillId="0" borderId="0" xfId="3" applyNumberFormat="1" applyAlignment="1">
      <alignment vertical="center"/>
    </xf>
    <xf numFmtId="164" fontId="12" fillId="3" borderId="0" xfId="3" applyNumberFormat="1" applyFont="1" applyFill="1" applyAlignment="1">
      <alignment vertical="center"/>
    </xf>
    <xf numFmtId="164" fontId="3" fillId="2" borderId="0" xfId="3" applyNumberFormat="1" applyFill="1"/>
    <xf numFmtId="165" fontId="3" fillId="0" borderId="0" xfId="3" applyNumberFormat="1"/>
    <xf numFmtId="38" fontId="3" fillId="2" borderId="0" xfId="3" applyNumberFormat="1" applyFill="1" applyAlignment="1">
      <alignment vertical="center"/>
    </xf>
    <xf numFmtId="164" fontId="3" fillId="0" borderId="0" xfId="3" quotePrefix="1" applyNumberFormat="1" applyAlignment="1">
      <alignment vertical="center"/>
    </xf>
    <xf numFmtId="0" fontId="3" fillId="0" borderId="15" xfId="3" applyBorder="1"/>
    <xf numFmtId="164" fontId="4" fillId="3" borderId="14" xfId="3" applyNumberFormat="1" applyFont="1" applyFill="1" applyBorder="1" applyAlignment="1">
      <alignment vertical="center"/>
    </xf>
    <xf numFmtId="164" fontId="0" fillId="2" borderId="0" xfId="4" applyFont="1" applyFill="1" applyBorder="1"/>
    <xf numFmtId="0" fontId="4" fillId="2" borderId="0" xfId="3" applyFont="1" applyFill="1"/>
    <xf numFmtId="164" fontId="4" fillId="0" borderId="0" xfId="3" applyNumberFormat="1" applyFont="1" applyAlignment="1">
      <alignment vertical="center"/>
    </xf>
    <xf numFmtId="164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164" fontId="3" fillId="0" borderId="15" xfId="3" applyNumberFormat="1" applyBorder="1" applyAlignment="1">
      <alignment vertical="center"/>
    </xf>
    <xf numFmtId="164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164" fontId="3" fillId="0" borderId="0" xfId="4" applyFont="1" applyFill="1"/>
    <xf numFmtId="164" fontId="0" fillId="3" borderId="0" xfId="4" applyFont="1" applyFill="1" applyBorder="1"/>
    <xf numFmtId="166" fontId="17" fillId="0" borderId="0" xfId="1" applyNumberFormat="1" applyFont="1"/>
    <xf numFmtId="166" fontId="3" fillId="0" borderId="0" xfId="6" applyNumberFormat="1"/>
    <xf numFmtId="164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43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6" fontId="17" fillId="3" borderId="0" xfId="1" applyNumberFormat="1" applyFont="1" applyFill="1"/>
    <xf numFmtId="166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164" fontId="11" fillId="0" borderId="21" xfId="3" applyNumberFormat="1" applyFont="1" applyBorder="1"/>
    <xf numFmtId="164" fontId="3" fillId="0" borderId="0" xfId="3" applyNumberFormat="1" applyAlignment="1">
      <alignment horizontal="right" vertical="center"/>
    </xf>
    <xf numFmtId="164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8" fontId="11" fillId="0" borderId="23" xfId="1" applyNumberFormat="1" applyFont="1" applyBorder="1"/>
    <xf numFmtId="166" fontId="4" fillId="0" borderId="0" xfId="3" applyNumberFormat="1" applyFont="1" applyAlignment="1">
      <alignment vertical="center"/>
    </xf>
    <xf numFmtId="0" fontId="18" fillId="0" borderId="0" xfId="3" applyFont="1"/>
    <xf numFmtId="166" fontId="3" fillId="5" borderId="0" xfId="3" applyNumberFormat="1" applyFill="1" applyAlignment="1">
      <alignment vertical="center"/>
    </xf>
    <xf numFmtId="166" fontId="3" fillId="0" borderId="0" xfId="3" applyNumberFormat="1"/>
    <xf numFmtId="0" fontId="4" fillId="0" borderId="13" xfId="3" applyFont="1" applyBorder="1"/>
    <xf numFmtId="0" fontId="3" fillId="0" borderId="13" xfId="3" applyBorder="1"/>
    <xf numFmtId="166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1" fillId="0" borderId="0" xfId="8" applyFont="1"/>
    <xf numFmtId="42" fontId="0" fillId="0" borderId="24" xfId="9" applyFont="1" applyBorder="1"/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164" fontId="0" fillId="0" borderId="0" xfId="4" applyFont="1"/>
    <xf numFmtId="164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164" fontId="0" fillId="0" borderId="24" xfId="4" applyFont="1" applyBorder="1"/>
    <xf numFmtId="0" fontId="0" fillId="7" borderId="0" xfId="0" applyFill="1"/>
    <xf numFmtId="41" fontId="0" fillId="0" borderId="0" xfId="2" applyFont="1" applyFill="1"/>
    <xf numFmtId="0" fontId="0" fillId="0" borderId="0" xfId="0" quotePrefix="1"/>
    <xf numFmtId="0" fontId="0" fillId="0" borderId="24" xfId="0" applyBorder="1"/>
    <xf numFmtId="164" fontId="0" fillId="0" borderId="24" xfId="0" applyNumberFormat="1" applyBorder="1"/>
    <xf numFmtId="9" fontId="0" fillId="0" borderId="24" xfId="0" applyNumberFormat="1" applyBorder="1"/>
    <xf numFmtId="164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164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6" fontId="0" fillId="11" borderId="24" xfId="0" applyNumberFormat="1" applyFill="1" applyBorder="1"/>
    <xf numFmtId="0" fontId="0" fillId="0" borderId="27" xfId="0" applyBorder="1" applyAlignment="1">
      <alignment horizontal="center"/>
    </xf>
    <xf numFmtId="166" fontId="0" fillId="0" borderId="24" xfId="0" applyNumberFormat="1" applyBorder="1" applyAlignment="1">
      <alignment horizontal="center"/>
    </xf>
    <xf numFmtId="166" fontId="0" fillId="0" borderId="24" xfId="1" applyNumberFormat="1" applyFont="1" applyBorder="1"/>
    <xf numFmtId="166" fontId="0" fillId="0" borderId="24" xfId="0" applyNumberFormat="1" applyBorder="1"/>
    <xf numFmtId="166" fontId="0" fillId="0" borderId="25" xfId="1" applyNumberFormat="1" applyFont="1" applyFill="1" applyBorder="1"/>
    <xf numFmtId="3" fontId="0" fillId="0" borderId="0" xfId="0" applyNumberFormat="1"/>
    <xf numFmtId="164" fontId="0" fillId="0" borderId="0" xfId="4" applyFont="1" applyBorder="1" applyAlignment="1">
      <alignment vertical="center"/>
    </xf>
    <xf numFmtId="166" fontId="4" fillId="0" borderId="0" xfId="3" applyNumberFormat="1" applyFont="1" applyBorder="1" applyAlignment="1">
      <alignment vertical="center"/>
    </xf>
    <xf numFmtId="38" fontId="27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41" fontId="12" fillId="0" borderId="0" xfId="2" applyFont="1" applyAlignment="1">
      <alignment vertical="center"/>
    </xf>
    <xf numFmtId="164" fontId="3" fillId="0" borderId="0" xfId="4" applyFont="1" applyAlignment="1">
      <alignment vertical="center"/>
    </xf>
    <xf numFmtId="166" fontId="0" fillId="0" borderId="0" xfId="0" applyNumberFormat="1"/>
    <xf numFmtId="164" fontId="3" fillId="0" borderId="15" xfId="4" applyFont="1" applyBorder="1" applyAlignment="1">
      <alignment vertical="center"/>
    </xf>
    <xf numFmtId="164" fontId="27" fillId="0" borderId="0" xfId="4" applyFont="1" applyFill="1"/>
    <xf numFmtId="0" fontId="19" fillId="0" borderId="0" xfId="8" applyFont="1"/>
    <xf numFmtId="0" fontId="19" fillId="0" borderId="24" xfId="8" applyFont="1" applyBorder="1" applyAlignment="1">
      <alignment horizontal="center" vertical="center"/>
    </xf>
    <xf numFmtId="0" fontId="19" fillId="0" borderId="24" xfId="8" applyFont="1" applyBorder="1"/>
    <xf numFmtId="0" fontId="19" fillId="0" borderId="24" xfId="8" applyFont="1" applyFill="1" applyBorder="1"/>
    <xf numFmtId="0" fontId="19" fillId="0" borderId="24" xfId="8" applyFont="1" applyBorder="1" applyAlignment="1">
      <alignment wrapText="1"/>
    </xf>
    <xf numFmtId="0" fontId="19" fillId="0" borderId="24" xfId="8" applyFont="1" applyFill="1" applyBorder="1" applyAlignment="1">
      <alignment horizontal="center" vertical="center"/>
    </xf>
    <xf numFmtId="0" fontId="4" fillId="0" borderId="0" xfId="17" applyFont="1"/>
    <xf numFmtId="164" fontId="1" fillId="0" borderId="0" xfId="4" applyFont="1" applyBorder="1"/>
    <xf numFmtId="41" fontId="1" fillId="0" borderId="0" xfId="2" applyFont="1"/>
    <xf numFmtId="164" fontId="1" fillId="0" borderId="0" xfId="4" applyFont="1" applyFill="1" applyBorder="1"/>
    <xf numFmtId="9" fontId="1" fillId="0" borderId="0" xfId="4" applyNumberFormat="1" applyFont="1" applyBorder="1"/>
    <xf numFmtId="0" fontId="19" fillId="0" borderId="27" xfId="8" applyFont="1" applyBorder="1" applyAlignment="1">
      <alignment wrapText="1"/>
    </xf>
    <xf numFmtId="0" fontId="19" fillId="0" borderId="24" xfId="18" applyFont="1" applyBorder="1" applyAlignment="1"/>
    <xf numFmtId="42" fontId="19" fillId="0" borderId="0" xfId="8" applyNumberFormat="1" applyFont="1"/>
    <xf numFmtId="0" fontId="4" fillId="0" borderId="0" xfId="19" applyFont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0" fontId="19" fillId="0" borderId="24" xfId="8" applyNumberFormat="1" applyBorder="1" applyAlignment="1">
      <alignment horizontal="center"/>
    </xf>
    <xf numFmtId="170" fontId="19" fillId="0" borderId="0" xfId="8" applyNumberFormat="1"/>
    <xf numFmtId="0" fontId="2" fillId="0" borderId="0" xfId="10" applyFont="1" applyAlignment="1">
      <alignment horizontal="center"/>
    </xf>
    <xf numFmtId="170" fontId="19" fillId="0" borderId="0" xfId="8" applyNumberFormat="1" applyAlignment="1">
      <alignment horizontal="center"/>
    </xf>
    <xf numFmtId="41" fontId="19" fillId="0" borderId="0" xfId="2" applyFont="1" applyBorder="1"/>
    <xf numFmtId="171" fontId="19" fillId="0" borderId="0" xfId="11" applyNumberFormat="1" applyFont="1"/>
    <xf numFmtId="41" fontId="19" fillId="0" borderId="0" xfId="8" applyNumberFormat="1"/>
    <xf numFmtId="172" fontId="19" fillId="0" borderId="0" xfId="12" applyNumberFormat="1" applyFont="1"/>
    <xf numFmtId="164" fontId="19" fillId="0" borderId="15" xfId="11" applyFont="1" applyBorder="1"/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6" fontId="0" fillId="0" borderId="0" xfId="5" applyNumberFormat="1" applyFont="1" applyFill="1" applyBorder="1" applyAlignment="1" applyProtection="1">
      <alignment horizontal="left" vertical="top" wrapText="1"/>
      <protection locked="0"/>
    </xf>
    <xf numFmtId="166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164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19" fillId="0" borderId="24" xfId="8" applyFont="1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23" fillId="6" borderId="17" xfId="8" applyFont="1" applyFill="1" applyBorder="1" applyAlignment="1">
      <alignment horizontal="center" vertical="center"/>
    </xf>
    <xf numFmtId="0" fontId="23" fillId="6" borderId="22" xfId="8" applyFont="1" applyFill="1" applyBorder="1" applyAlignment="1">
      <alignment horizontal="center" vertical="center"/>
    </xf>
    <xf numFmtId="0" fontId="23" fillId="6" borderId="24" xfId="8" applyFont="1" applyFill="1" applyBorder="1" applyAlignment="1">
      <alignment horizontal="center" vertical="center"/>
    </xf>
    <xf numFmtId="0" fontId="19" fillId="0" borderId="25" xfId="8" applyFont="1" applyBorder="1" applyAlignment="1">
      <alignment horizontal="center" vertical="center"/>
    </xf>
    <xf numFmtId="0" fontId="19" fillId="0" borderId="26" xfId="8" applyFont="1" applyBorder="1" applyAlignment="1">
      <alignment horizontal="center" vertical="center"/>
    </xf>
    <xf numFmtId="0" fontId="19" fillId="0" borderId="28" xfId="8" applyFont="1" applyBorder="1" applyAlignment="1">
      <alignment horizontal="center" vertical="center"/>
    </xf>
    <xf numFmtId="0" fontId="19" fillId="0" borderId="25" xfId="8" applyFont="1" applyFill="1" applyBorder="1" applyAlignment="1">
      <alignment vertical="center"/>
    </xf>
    <xf numFmtId="0" fontId="19" fillId="0" borderId="28" xfId="8" applyFont="1" applyFill="1" applyBorder="1" applyAlignment="1">
      <alignment vertic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19" fillId="0" borderId="24" xfId="8" applyBorder="1" applyAlignment="1">
      <alignment horizontal="center"/>
    </xf>
  </cellXfs>
  <cellStyles count="21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4 3 2 5" xfId="20" xr:uid="{A5926300-446C-4DC7-A125-66E38D0B313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696687" y="5756840"/>
          <a:ext cx="8850084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08433" y="7016680"/>
          <a:ext cx="9049612" cy="171065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zoomScale="70" zoomScaleNormal="70" workbookViewId="0">
      <selection activeCell="H20" sqref="H20"/>
    </sheetView>
  </sheetViews>
  <sheetFormatPr defaultColWidth="9.5546875" defaultRowHeight="15.6" x14ac:dyDescent="0.3"/>
  <cols>
    <col min="1" max="1" width="4.5546875" style="1" customWidth="1"/>
    <col min="2" max="2" width="4.44140625" style="1" customWidth="1"/>
    <col min="3" max="3" width="18.44140625" style="1" customWidth="1"/>
    <col min="4" max="4" width="28.33203125" style="1" customWidth="1"/>
    <col min="5" max="5" width="4.6640625" style="1" customWidth="1"/>
    <col min="6" max="6" width="5.44140625" style="1" customWidth="1"/>
    <col min="7" max="7" width="11.77734375" style="1" customWidth="1"/>
    <col min="8" max="8" width="9.33203125" style="1" customWidth="1"/>
    <col min="9" max="9" width="6" style="1" customWidth="1"/>
    <col min="10" max="10" width="2.33203125" style="1" customWidth="1"/>
    <col min="11" max="11" width="5.6640625" style="1" customWidth="1"/>
    <col min="12" max="12" width="20.44140625" style="1" bestFit="1" customWidth="1"/>
    <col min="13" max="13" width="18.33203125" style="1" customWidth="1"/>
    <col min="14" max="14" width="2.33203125" style="1" customWidth="1"/>
    <col min="15" max="15" width="4" style="1" customWidth="1"/>
    <col min="16" max="16384" width="9.5546875" style="1"/>
  </cols>
  <sheetData>
    <row r="1" spans="2:14" ht="8.4" customHeight="1" x14ac:dyDescent="0.3"/>
    <row r="2" spans="2:14" ht="24" customHeight="1" x14ac:dyDescent="0.45">
      <c r="B2" s="1" t="s">
        <v>0</v>
      </c>
      <c r="C2" s="2" t="s">
        <v>214</v>
      </c>
      <c r="M2" s="3"/>
      <c r="N2" s="4" t="str">
        <f>D7</f>
        <v>RSPI Sulianti Saroso</v>
      </c>
    </row>
    <row r="3" spans="2:14" ht="18" x14ac:dyDescent="0.35">
      <c r="C3" s="5" t="s">
        <v>1</v>
      </c>
      <c r="D3" s="2" t="s">
        <v>2</v>
      </c>
      <c r="J3" s="5" t="s">
        <v>3</v>
      </c>
      <c r="K3" s="5"/>
      <c r="L3" s="5"/>
      <c r="M3" s="6">
        <v>45523</v>
      </c>
    </row>
    <row r="4" spans="2:14" ht="18" x14ac:dyDescent="0.35">
      <c r="C4" s="5" t="s">
        <v>4</v>
      </c>
      <c r="D4" s="2" t="s">
        <v>182</v>
      </c>
    </row>
    <row r="5" spans="2:14" ht="0.9" customHeight="1" thickBot="1" x14ac:dyDescent="0.35">
      <c r="C5" s="2"/>
    </row>
    <row r="6" spans="2:14" s="7" customFormat="1" ht="18.600000000000001" thickBot="1" x14ac:dyDescent="0.4">
      <c r="B6" s="217" t="s">
        <v>5</v>
      </c>
      <c r="C6" s="218"/>
      <c r="D6" s="219"/>
      <c r="E6" s="217" t="s">
        <v>6</v>
      </c>
      <c r="F6" s="218"/>
      <c r="G6" s="218"/>
      <c r="H6" s="218"/>
      <c r="I6" s="218"/>
      <c r="J6" s="217" t="s">
        <v>7</v>
      </c>
      <c r="K6" s="218"/>
      <c r="L6" s="218"/>
      <c r="M6" s="218"/>
      <c r="N6" s="219"/>
    </row>
    <row r="7" spans="2:14" x14ac:dyDescent="0.3">
      <c r="B7" s="220" t="s">
        <v>8</v>
      </c>
      <c r="C7" s="221"/>
      <c r="D7" s="8" t="s">
        <v>209</v>
      </c>
      <c r="E7" s="222" t="s">
        <v>9</v>
      </c>
      <c r="F7" s="222"/>
      <c r="G7" s="222"/>
      <c r="H7" s="222"/>
      <c r="I7" s="222"/>
      <c r="J7" s="9"/>
      <c r="K7" s="221" t="s">
        <v>10</v>
      </c>
      <c r="L7" s="221"/>
      <c r="M7" s="180">
        <v>1190665577</v>
      </c>
      <c r="N7" s="8"/>
    </row>
    <row r="8" spans="2:14" ht="46.8" x14ac:dyDescent="0.3">
      <c r="B8" s="213" t="s">
        <v>11</v>
      </c>
      <c r="C8" s="214"/>
      <c r="D8" s="10" t="s">
        <v>210</v>
      </c>
      <c r="E8" s="212" t="s">
        <v>12</v>
      </c>
      <c r="F8" s="212"/>
      <c r="G8" s="212"/>
      <c r="H8" s="11">
        <v>134</v>
      </c>
      <c r="J8" s="12"/>
      <c r="K8" s="212" t="s">
        <v>13</v>
      </c>
      <c r="L8" s="212"/>
      <c r="M8" s="181">
        <f>M7/H9</f>
        <v>9229965.7131782938</v>
      </c>
      <c r="N8" s="13"/>
    </row>
    <row r="9" spans="2:14" x14ac:dyDescent="0.3">
      <c r="B9" s="213"/>
      <c r="C9" s="214"/>
      <c r="D9" s="13"/>
      <c r="E9" s="212" t="s">
        <v>14</v>
      </c>
      <c r="F9" s="212"/>
      <c r="G9" s="212"/>
      <c r="H9" s="11">
        <v>129</v>
      </c>
      <c r="J9" s="12"/>
      <c r="K9" s="212" t="s">
        <v>15</v>
      </c>
      <c r="L9" s="212"/>
      <c r="M9" s="182">
        <v>5</v>
      </c>
      <c r="N9" s="13"/>
    </row>
    <row r="10" spans="2:14" x14ac:dyDescent="0.3">
      <c r="B10" s="14" t="s">
        <v>16</v>
      </c>
      <c r="C10" s="15"/>
      <c r="D10" s="13" t="s">
        <v>211</v>
      </c>
      <c r="E10" s="212" t="s">
        <v>17</v>
      </c>
      <c r="F10" s="212"/>
      <c r="G10" s="212"/>
      <c r="H10" s="215" t="s">
        <v>213</v>
      </c>
      <c r="I10" s="216"/>
      <c r="J10" s="12"/>
      <c r="K10" s="16" t="s">
        <v>18</v>
      </c>
      <c r="L10" s="16"/>
      <c r="M10" s="183">
        <f>[2]IRR!F3</f>
        <v>0.1</v>
      </c>
      <c r="N10" s="13"/>
    </row>
    <row r="11" spans="2:14" x14ac:dyDescent="0.3">
      <c r="B11" s="17" t="s">
        <v>19</v>
      </c>
      <c r="C11" s="16"/>
      <c r="D11" s="13" t="s">
        <v>212</v>
      </c>
      <c r="H11" s="215"/>
      <c r="I11" s="216"/>
      <c r="J11" s="18"/>
      <c r="K11" s="212" t="s">
        <v>21</v>
      </c>
      <c r="L11" s="212"/>
      <c r="M11" s="180">
        <f>IRR!Q19</f>
        <v>1593600000</v>
      </c>
      <c r="N11" s="13"/>
    </row>
    <row r="12" spans="2:14" x14ac:dyDescent="0.3">
      <c r="B12" s="17" t="s">
        <v>22</v>
      </c>
      <c r="C12" s="16"/>
      <c r="D12" s="13" t="s">
        <v>23</v>
      </c>
      <c r="E12" s="206" t="s">
        <v>20</v>
      </c>
      <c r="F12" s="206"/>
      <c r="G12" s="206"/>
      <c r="H12" s="206"/>
      <c r="I12" s="206"/>
      <c r="J12" s="12"/>
      <c r="K12" s="212" t="s">
        <v>185</v>
      </c>
      <c r="L12" s="212"/>
      <c r="M12" s="180">
        <f>IRR!G10</f>
        <v>27961340</v>
      </c>
      <c r="N12" s="13"/>
    </row>
    <row r="13" spans="2:14" x14ac:dyDescent="0.3">
      <c r="B13" s="17" t="s">
        <v>25</v>
      </c>
      <c r="C13" s="16"/>
      <c r="D13" s="20"/>
      <c r="E13" s="205" t="s">
        <v>24</v>
      </c>
      <c r="F13" s="205"/>
      <c r="G13" s="205"/>
      <c r="H13" s="19">
        <v>0</v>
      </c>
      <c r="J13" s="12"/>
      <c r="K13" s="212" t="s">
        <v>27</v>
      </c>
      <c r="L13" s="212"/>
      <c r="M13" s="180">
        <f>IRR!Q22</f>
        <v>500000000</v>
      </c>
      <c r="N13" s="13"/>
    </row>
    <row r="14" spans="2:14" x14ac:dyDescent="0.3">
      <c r="B14" s="17" t="s">
        <v>28</v>
      </c>
      <c r="C14" s="16"/>
      <c r="D14" s="20"/>
      <c r="E14" s="205" t="s">
        <v>26</v>
      </c>
      <c r="F14" s="205"/>
      <c r="G14" s="205"/>
      <c r="H14" s="19">
        <v>0</v>
      </c>
      <c r="J14" s="12"/>
      <c r="K14" s="167" t="s">
        <v>30</v>
      </c>
      <c r="L14" s="167"/>
      <c r="M14" s="181">
        <f>IRR!Q23+IRR!Q24+IRR!Q25</f>
        <v>359680000</v>
      </c>
      <c r="N14" s="13"/>
    </row>
    <row r="15" spans="2:14" ht="16.2" thickBot="1" x14ac:dyDescent="0.35">
      <c r="B15" s="17" t="s">
        <v>31</v>
      </c>
      <c r="C15" s="16"/>
      <c r="D15" s="21"/>
      <c r="E15" s="205" t="s">
        <v>29</v>
      </c>
      <c r="F15" s="205"/>
      <c r="G15" s="205"/>
      <c r="H15" s="19">
        <v>0</v>
      </c>
      <c r="J15" s="12"/>
      <c r="N15" s="13"/>
    </row>
    <row r="16" spans="2:14" x14ac:dyDescent="0.3">
      <c r="B16" s="12"/>
      <c r="D16" s="13"/>
      <c r="E16" s="206" t="s">
        <v>32</v>
      </c>
      <c r="F16" s="206"/>
      <c r="G16" s="206"/>
      <c r="H16" s="206"/>
      <c r="I16" s="206"/>
      <c r="J16" s="22"/>
      <c r="K16" s="207" t="s">
        <v>33</v>
      </c>
      <c r="L16" s="208"/>
      <c r="M16" s="23">
        <f>IRR!F40</f>
        <v>0.77044738975068849</v>
      </c>
      <c r="N16" s="13"/>
    </row>
    <row r="17" spans="2:18" x14ac:dyDescent="0.3">
      <c r="B17" s="12"/>
      <c r="D17" s="13"/>
      <c r="J17" s="24"/>
      <c r="K17" s="209" t="s">
        <v>34</v>
      </c>
      <c r="L17" s="210"/>
      <c r="M17" s="25">
        <f>IRR!F41</f>
        <v>484697333.41912913</v>
      </c>
      <c r="N17" s="13"/>
    </row>
    <row r="18" spans="2:18" x14ac:dyDescent="0.3">
      <c r="B18" s="12"/>
      <c r="D18" s="13"/>
      <c r="J18" s="24"/>
      <c r="K18" s="209" t="s">
        <v>35</v>
      </c>
      <c r="L18" s="210"/>
      <c r="M18" s="26">
        <f>IRR!F42</f>
        <v>0.46054216867469877</v>
      </c>
      <c r="N18" s="13"/>
      <c r="R18" s="1" t="s">
        <v>36</v>
      </c>
    </row>
    <row r="19" spans="2:18" ht="16.2" thickBot="1" x14ac:dyDescent="0.35">
      <c r="B19" s="12"/>
      <c r="D19" s="13"/>
      <c r="J19" s="24"/>
      <c r="K19" s="201" t="s">
        <v>37</v>
      </c>
      <c r="L19" s="202"/>
      <c r="M19" s="27">
        <f>IRR!F43</f>
        <v>2.1664495591891519</v>
      </c>
      <c r="N19" s="13"/>
      <c r="Q19" s="1" t="s">
        <v>36</v>
      </c>
    </row>
    <row r="20" spans="2:18" ht="16.2" thickBot="1" x14ac:dyDescent="0.35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K21" s="211" t="s">
        <v>39</v>
      </c>
      <c r="L21" s="211"/>
      <c r="M21" s="211"/>
      <c r="N21" s="8"/>
    </row>
    <row r="22" spans="2:18" x14ac:dyDescent="0.3">
      <c r="B22" s="12" t="s">
        <v>40</v>
      </c>
      <c r="D22" s="1" t="s">
        <v>41</v>
      </c>
      <c r="L22" s="203" t="s">
        <v>42</v>
      </c>
      <c r="M22" s="204"/>
      <c r="N22" s="13"/>
    </row>
    <row r="23" spans="2:18" x14ac:dyDescent="0.3">
      <c r="B23" s="12"/>
      <c r="D23" s="1" t="s">
        <v>41</v>
      </c>
      <c r="N23" s="13"/>
    </row>
    <row r="24" spans="2:18" x14ac:dyDescent="0.3">
      <c r="B24" s="12"/>
      <c r="D24" s="1" t="s">
        <v>41</v>
      </c>
      <c r="N24" s="13"/>
    </row>
    <row r="25" spans="2:18" x14ac:dyDescent="0.3">
      <c r="B25" s="12"/>
      <c r="N25" s="13"/>
    </row>
    <row r="26" spans="2:18" ht="16.2" thickBot="1" x14ac:dyDescent="0.35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7" spans="2:18" ht="4.2" customHeight="1" x14ac:dyDescent="0.3"/>
    <row r="28" spans="2:18" x14ac:dyDescent="0.3">
      <c r="B28" s="2" t="s">
        <v>43</v>
      </c>
    </row>
    <row r="29" spans="2:18" x14ac:dyDescent="0.3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2:18" x14ac:dyDescent="0.3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2:18" x14ac:dyDescent="0.3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2:18" x14ac:dyDescent="0.3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2:15" x14ac:dyDescent="0.3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2:15" x14ac:dyDescent="0.3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</row>
    <row r="35" spans="2:15" x14ac:dyDescent="0.3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</mergeCells>
  <pageMargins left="0.7" right="0.7" top="0.75" bottom="0.75" header="0.3" footer="0.3"/>
  <pageSetup paperSize="9" scale="91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4"/>
  <sheetViews>
    <sheetView showGridLines="0" zoomScale="86" zoomScaleNormal="86" workbookViewId="0">
      <selection activeCell="J38" sqref="J38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8.77734375" style="1" customWidth="1"/>
    <col min="7" max="7" width="19.5546875" style="35" customWidth="1"/>
    <col min="8" max="8" width="19.88671875" style="1" customWidth="1"/>
    <col min="9" max="9" width="14" style="1" bestFit="1" customWidth="1"/>
    <col min="10" max="11" width="14.33203125" style="1" bestFit="1" customWidth="1"/>
    <col min="12" max="15" width="6.77734375" style="1" hidden="1" customWidth="1"/>
    <col min="16" max="16" width="7.88671875" style="1" hidden="1" customWidth="1"/>
    <col min="17" max="17" width="19.21875" style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B1" s="1" t="s">
        <v>186</v>
      </c>
      <c r="C1" s="1" t="s">
        <v>214</v>
      </c>
      <c r="Q1" s="4" t="str">
        <f>Summary!D7</f>
        <v>RSPI Sulianti Saroso</v>
      </c>
    </row>
    <row r="2" spans="2:25" x14ac:dyDescent="0.3">
      <c r="B2" s="36" t="s">
        <v>44</v>
      </c>
      <c r="H2" s="164" t="s">
        <v>45</v>
      </c>
      <c r="I2" s="165" t="s">
        <v>46</v>
      </c>
    </row>
    <row r="3" spans="2:25" x14ac:dyDescent="0.3">
      <c r="C3" s="1" t="s">
        <v>47</v>
      </c>
      <c r="E3" s="38">
        <v>0.02</v>
      </c>
      <c r="H3" s="166" t="s">
        <v>231</v>
      </c>
      <c r="I3" s="39">
        <v>-0.05</v>
      </c>
      <c r="L3" s="39"/>
      <c r="M3" s="39"/>
      <c r="N3" s="39"/>
      <c r="O3" s="39"/>
      <c r="P3" s="39"/>
      <c r="R3" s="40"/>
      <c r="S3" s="40"/>
    </row>
    <row r="4" spans="2:25" x14ac:dyDescent="0.3">
      <c r="C4" s="1" t="s">
        <v>48</v>
      </c>
      <c r="E4" s="38">
        <v>0.1</v>
      </c>
      <c r="H4" s="166"/>
      <c r="I4" s="39"/>
      <c r="L4" s="39"/>
      <c r="M4" s="39"/>
      <c r="N4" s="39"/>
      <c r="O4" s="39"/>
      <c r="P4" s="39"/>
      <c r="R4" s="40"/>
      <c r="S4" s="40"/>
    </row>
    <row r="5" spans="2:25" x14ac:dyDescent="0.3">
      <c r="C5" s="1" t="s">
        <v>50</v>
      </c>
      <c r="E5" s="38">
        <v>0.05</v>
      </c>
      <c r="F5" s="35" t="s">
        <v>51</v>
      </c>
      <c r="H5" s="166"/>
      <c r="I5" s="39"/>
      <c r="S5" s="41"/>
      <c r="T5" s="41"/>
      <c r="U5" s="41"/>
      <c r="V5" s="41"/>
    </row>
    <row r="6" spans="2:25" x14ac:dyDescent="0.3">
      <c r="C6" s="1" t="s">
        <v>52</v>
      </c>
      <c r="E6" s="42">
        <v>0</v>
      </c>
      <c r="F6" s="35" t="s">
        <v>51</v>
      </c>
      <c r="H6" s="166"/>
    </row>
    <row r="7" spans="2:25" ht="3.6" customHeight="1" x14ac:dyDescent="0.3">
      <c r="F7" s="38"/>
    </row>
    <row r="8" spans="2:25" ht="14.4" customHeight="1" x14ac:dyDescent="0.3">
      <c r="B8" s="2"/>
      <c r="G8" s="37">
        <v>2024</v>
      </c>
      <c r="H8" s="37">
        <v>2025</v>
      </c>
      <c r="I8" s="37">
        <v>2026</v>
      </c>
      <c r="J8" s="37">
        <v>2027</v>
      </c>
      <c r="K8" s="37">
        <v>2028</v>
      </c>
      <c r="L8" s="37" t="s">
        <v>177</v>
      </c>
      <c r="M8" s="37" t="s">
        <v>178</v>
      </c>
      <c r="N8" s="37" t="s">
        <v>179</v>
      </c>
      <c r="O8" s="37" t="s">
        <v>180</v>
      </c>
      <c r="P8" s="37" t="s">
        <v>181</v>
      </c>
      <c r="R8" s="43"/>
      <c r="W8" s="43"/>
      <c r="X8" s="43"/>
      <c r="Y8" s="43"/>
    </row>
    <row r="9" spans="2:25" s="45" customFormat="1" ht="16.2" thickBot="1" x14ac:dyDescent="0.35">
      <c r="B9" s="44" t="s">
        <v>53</v>
      </c>
      <c r="E9" s="45" t="s">
        <v>184</v>
      </c>
      <c r="F9" s="46"/>
      <c r="G9" s="47">
        <v>27961340</v>
      </c>
      <c r="H9" s="47">
        <v>0</v>
      </c>
      <c r="I9" s="47">
        <v>0</v>
      </c>
      <c r="J9" s="47">
        <v>0</v>
      </c>
      <c r="K9" s="47"/>
      <c r="L9" s="47"/>
      <c r="M9" s="47"/>
      <c r="N9" s="47"/>
      <c r="O9" s="47"/>
      <c r="P9" s="47"/>
      <c r="Q9" s="47">
        <f>SUM(G9:K9)</f>
        <v>27961340</v>
      </c>
      <c r="R9" s="46"/>
      <c r="S9" s="1"/>
      <c r="T9" s="1"/>
      <c r="U9" s="1"/>
      <c r="V9" s="1"/>
      <c r="W9" s="46"/>
      <c r="X9" s="46"/>
      <c r="Y9" s="46"/>
    </row>
    <row r="10" spans="2:25" s="45" customFormat="1" ht="16.2" thickTop="1" x14ac:dyDescent="0.3">
      <c r="B10" s="44"/>
      <c r="F10" s="46"/>
      <c r="G10" s="46">
        <f>G9</f>
        <v>27961340</v>
      </c>
      <c r="H10" s="46"/>
      <c r="I10" s="46"/>
      <c r="J10" s="46"/>
      <c r="K10" s="46"/>
      <c r="L10" s="46"/>
      <c r="M10" s="46"/>
      <c r="N10" s="46"/>
      <c r="O10" s="46"/>
      <c r="P10" s="46"/>
      <c r="Q10" s="46">
        <f>SUM(Q9)</f>
        <v>27961340</v>
      </c>
      <c r="R10" s="46"/>
      <c r="S10" s="1"/>
      <c r="T10" s="1"/>
      <c r="U10" s="1"/>
      <c r="V10" s="1"/>
      <c r="W10" s="46"/>
      <c r="X10" s="46"/>
      <c r="Y10" s="46"/>
    </row>
    <row r="11" spans="2:25" ht="5.4" customHeight="1" x14ac:dyDescent="0.3">
      <c r="F11" s="48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</row>
    <row r="12" spans="2:25" ht="16.2" thickBot="1" x14ac:dyDescent="0.35">
      <c r="B12" s="50" t="s">
        <v>54</v>
      </c>
      <c r="C12" s="29"/>
      <c r="D12" s="29"/>
      <c r="E12" s="29"/>
      <c r="F12" s="51" t="s">
        <v>176</v>
      </c>
      <c r="G12" s="51" t="s">
        <v>55</v>
      </c>
      <c r="H12" s="52" t="s">
        <v>56</v>
      </c>
      <c r="I12" s="51" t="s">
        <v>57</v>
      </c>
      <c r="J12" s="52" t="s">
        <v>58</v>
      </c>
      <c r="K12" s="51" t="s">
        <v>59</v>
      </c>
      <c r="L12" s="51" t="s">
        <v>85</v>
      </c>
      <c r="M12" s="51" t="s">
        <v>172</v>
      </c>
      <c r="N12" s="51" t="s">
        <v>173</v>
      </c>
      <c r="O12" s="51" t="s">
        <v>174</v>
      </c>
      <c r="P12" s="51" t="s">
        <v>175</v>
      </c>
      <c r="Q12" s="53" t="s">
        <v>60</v>
      </c>
      <c r="R12" s="41"/>
      <c r="S12" s="54"/>
      <c r="T12" s="54"/>
      <c r="U12" s="54"/>
      <c r="V12" s="54"/>
      <c r="W12" s="41"/>
    </row>
    <row r="13" spans="2:25" x14ac:dyDescent="0.3">
      <c r="B13" s="1" t="s">
        <v>61</v>
      </c>
      <c r="G13" s="49">
        <v>12</v>
      </c>
      <c r="H13" s="49">
        <v>12</v>
      </c>
      <c r="I13" s="49">
        <v>12</v>
      </c>
      <c r="J13" s="49">
        <v>12</v>
      </c>
      <c r="K13" s="49">
        <v>12</v>
      </c>
      <c r="L13" s="49"/>
      <c r="M13" s="49"/>
      <c r="N13" s="49"/>
      <c r="O13" s="49"/>
      <c r="P13" s="49"/>
      <c r="Q13" s="55"/>
      <c r="S13" s="40"/>
      <c r="T13" s="40"/>
      <c r="U13" s="40"/>
      <c r="V13" s="40"/>
    </row>
    <row r="14" spans="2:25" ht="6.6" customHeight="1" x14ac:dyDescent="0.3">
      <c r="Q14" s="55"/>
      <c r="S14" s="56"/>
      <c r="T14" s="56"/>
      <c r="U14" s="56"/>
      <c r="V14" s="56"/>
    </row>
    <row r="15" spans="2:25" x14ac:dyDescent="0.3">
      <c r="B15" s="2" t="s">
        <v>62</v>
      </c>
      <c r="E15" s="57"/>
      <c r="G15" s="58"/>
      <c r="H15" s="59"/>
      <c r="I15" s="60"/>
      <c r="J15" s="60"/>
      <c r="K15" s="60"/>
      <c r="L15" s="60"/>
      <c r="M15" s="60"/>
      <c r="N15" s="60"/>
      <c r="O15" s="60"/>
      <c r="P15" s="60"/>
      <c r="Q15" s="55"/>
      <c r="S15" s="54"/>
      <c r="T15" s="54"/>
      <c r="U15" s="54"/>
      <c r="V15" s="54"/>
    </row>
    <row r="16" spans="2:25" x14ac:dyDescent="0.3">
      <c r="B16" s="2"/>
      <c r="C16" s="1" t="s">
        <v>63</v>
      </c>
      <c r="E16" s="57"/>
      <c r="G16" s="59">
        <f>177600000*95%</f>
        <v>168720000</v>
      </c>
      <c r="H16" s="168">
        <f>G16</f>
        <v>168720000</v>
      </c>
      <c r="I16" s="59">
        <f>H16</f>
        <v>168720000</v>
      </c>
      <c r="J16" s="59">
        <f>I16</f>
        <v>168720000</v>
      </c>
      <c r="K16" s="59">
        <f>J16</f>
        <v>168720000</v>
      </c>
      <c r="L16" s="59"/>
      <c r="M16" s="59"/>
      <c r="N16" s="59"/>
      <c r="O16" s="59"/>
      <c r="P16" s="59"/>
      <c r="Q16" s="61">
        <f>SUM(G16:K16)</f>
        <v>843600000</v>
      </c>
      <c r="S16" s="54"/>
      <c r="T16" s="54"/>
      <c r="U16" s="54"/>
      <c r="V16" s="54"/>
    </row>
    <row r="17" spans="2:24" x14ac:dyDescent="0.3">
      <c r="B17" s="2"/>
      <c r="C17" s="1" t="s">
        <v>183</v>
      </c>
      <c r="E17" s="57"/>
      <c r="G17" s="59">
        <v>150000000</v>
      </c>
      <c r="H17" s="168">
        <f>G17</f>
        <v>150000000</v>
      </c>
      <c r="I17" s="59">
        <f>H17</f>
        <v>150000000</v>
      </c>
      <c r="J17" s="59">
        <f>I17</f>
        <v>150000000</v>
      </c>
      <c r="K17" s="59">
        <f t="shared" ref="K17" si="0">J17</f>
        <v>150000000</v>
      </c>
      <c r="L17" s="59"/>
      <c r="M17" s="59"/>
      <c r="N17" s="59"/>
      <c r="O17" s="59"/>
      <c r="P17" s="59"/>
      <c r="Q17" s="61">
        <f t="shared" ref="Q17:Q18" si="1">SUM(G17:K17)</f>
        <v>750000000</v>
      </c>
      <c r="S17" s="54"/>
      <c r="T17" s="54"/>
      <c r="U17" s="54"/>
      <c r="V17" s="54"/>
    </row>
    <row r="18" spans="2:24" x14ac:dyDescent="0.3">
      <c r="B18" s="2"/>
      <c r="C18" s="1" t="s">
        <v>49</v>
      </c>
      <c r="E18" s="57"/>
      <c r="G18" s="59"/>
      <c r="H18" s="168"/>
      <c r="I18" s="169"/>
      <c r="J18" s="169"/>
      <c r="K18" s="169"/>
      <c r="L18" s="62"/>
      <c r="M18" s="62"/>
      <c r="N18" s="62"/>
      <c r="O18" s="62"/>
      <c r="P18" s="62"/>
      <c r="Q18" s="61">
        <f t="shared" si="1"/>
        <v>0</v>
      </c>
      <c r="S18" s="54"/>
      <c r="T18" s="54"/>
      <c r="U18" s="54"/>
      <c r="V18" s="54"/>
    </row>
    <row r="19" spans="2:24" x14ac:dyDescent="0.3">
      <c r="B19" s="64" t="s">
        <v>64</v>
      </c>
      <c r="C19" s="64"/>
      <c r="D19" s="64"/>
      <c r="E19" s="223"/>
      <c r="F19" s="224"/>
      <c r="G19" s="65">
        <f>SUM(G16:G18)</f>
        <v>318720000</v>
      </c>
      <c r="H19" s="65">
        <f>SUM(H16:H18)</f>
        <v>318720000</v>
      </c>
      <c r="I19" s="65">
        <f>SUM(I16:I18)</f>
        <v>318720000</v>
      </c>
      <c r="J19" s="65">
        <f>SUM(J16:J18)</f>
        <v>318720000</v>
      </c>
      <c r="K19" s="65">
        <f>SUM(K16:K18)</f>
        <v>318720000</v>
      </c>
      <c r="L19" s="65"/>
      <c r="M19" s="65"/>
      <c r="N19" s="65"/>
      <c r="O19" s="65"/>
      <c r="P19" s="65"/>
      <c r="Q19" s="66">
        <f>SUM(G19:K19)</f>
        <v>1593600000</v>
      </c>
      <c r="R19" s="54"/>
      <c r="S19" s="67"/>
      <c r="T19" s="67"/>
      <c r="U19" s="67"/>
      <c r="V19" s="67"/>
      <c r="W19" s="54"/>
      <c r="X19" s="40"/>
    </row>
    <row r="20" spans="2:24" ht="6" customHeight="1" x14ac:dyDescent="0.3">
      <c r="Q20" s="55"/>
      <c r="R20" s="40"/>
      <c r="S20" s="67"/>
      <c r="T20" s="67"/>
      <c r="U20" s="67"/>
      <c r="V20" s="67"/>
      <c r="W20" s="40"/>
      <c r="X20" s="40"/>
    </row>
    <row r="21" spans="2:24" ht="13.8" customHeight="1" x14ac:dyDescent="0.3">
      <c r="B21" s="2" t="s">
        <v>65</v>
      </c>
      <c r="E21" s="57"/>
      <c r="F21" s="57"/>
      <c r="G21" s="58"/>
      <c r="H21" s="57"/>
      <c r="I21" s="60"/>
      <c r="J21" s="60"/>
      <c r="K21" s="60"/>
      <c r="L21" s="60"/>
      <c r="M21" s="60"/>
      <c r="N21" s="60"/>
      <c r="O21" s="60"/>
      <c r="P21" s="60"/>
      <c r="Q21" s="68"/>
      <c r="R21" s="56"/>
      <c r="S21" s="69"/>
      <c r="T21" s="69"/>
      <c r="U21" s="69"/>
      <c r="V21" s="69"/>
      <c r="W21" s="40"/>
      <c r="X21" s="40"/>
    </row>
    <row r="22" spans="2:24" x14ac:dyDescent="0.3">
      <c r="C22" s="1" t="s">
        <v>66</v>
      </c>
      <c r="E22" s="70"/>
      <c r="G22" s="71">
        <v>500000000</v>
      </c>
      <c r="H22" s="71"/>
      <c r="I22" s="71"/>
      <c r="J22" s="71"/>
      <c r="K22" s="71"/>
      <c r="L22" s="71"/>
      <c r="M22" s="71"/>
      <c r="N22" s="71"/>
      <c r="O22" s="71"/>
      <c r="P22" s="71"/>
      <c r="Q22" s="72">
        <f>SUM(G22:K22)</f>
        <v>500000000</v>
      </c>
      <c r="R22" s="54" t="s">
        <v>36</v>
      </c>
      <c r="S22" s="54"/>
      <c r="T22" s="54"/>
      <c r="U22" s="54"/>
      <c r="V22" s="54"/>
      <c r="W22" s="73"/>
      <c r="X22" s="40"/>
    </row>
    <row r="23" spans="2:24" x14ac:dyDescent="0.3">
      <c r="C23" s="1" t="s">
        <v>67</v>
      </c>
      <c r="F23" s="74"/>
      <c r="G23" s="71">
        <f>Parameter!B85</f>
        <v>42000000</v>
      </c>
      <c r="H23" s="71">
        <f>G23</f>
        <v>42000000</v>
      </c>
      <c r="I23" s="71">
        <f>H23</f>
        <v>42000000</v>
      </c>
      <c r="J23" s="71">
        <f>I23</f>
        <v>42000000</v>
      </c>
      <c r="K23" s="71">
        <f>J23</f>
        <v>42000000</v>
      </c>
      <c r="L23" s="71"/>
      <c r="M23" s="71"/>
      <c r="N23" s="71"/>
      <c r="O23" s="71"/>
      <c r="P23" s="71"/>
      <c r="Q23" s="72">
        <f>SUM(G23:K23)</f>
        <v>210000000</v>
      </c>
      <c r="R23" s="54"/>
      <c r="S23" s="75"/>
      <c r="T23" s="75"/>
      <c r="U23" s="75"/>
      <c r="V23" s="75"/>
      <c r="W23" s="73"/>
      <c r="X23" s="40"/>
    </row>
    <row r="24" spans="2:24" x14ac:dyDescent="0.3">
      <c r="C24" s="1" t="s">
        <v>68</v>
      </c>
      <c r="G24" s="76">
        <f>7000000*2</f>
        <v>14000000</v>
      </c>
      <c r="H24" s="76">
        <f>G24</f>
        <v>14000000</v>
      </c>
      <c r="I24" s="76">
        <f t="shared" ref="I24:K24" si="2">H24</f>
        <v>14000000</v>
      </c>
      <c r="J24" s="76">
        <f>I24</f>
        <v>14000000</v>
      </c>
      <c r="K24" s="76">
        <f t="shared" si="2"/>
        <v>14000000</v>
      </c>
      <c r="L24" s="76"/>
      <c r="M24" s="76"/>
      <c r="N24" s="76"/>
      <c r="O24" s="76"/>
      <c r="P24" s="76"/>
      <c r="Q24" s="72">
        <f t="shared" ref="Q24:Q25" si="3">SUM(G24:K24)</f>
        <v>70000000</v>
      </c>
      <c r="R24" s="54"/>
      <c r="S24" s="75"/>
      <c r="T24" s="75"/>
      <c r="U24" s="75"/>
      <c r="V24" s="75"/>
      <c r="W24" s="73"/>
      <c r="X24" s="40"/>
    </row>
    <row r="25" spans="2:24" x14ac:dyDescent="0.3">
      <c r="B25" s="77"/>
      <c r="C25" s="77" t="s">
        <v>50</v>
      </c>
      <c r="D25" s="77"/>
      <c r="E25" s="77"/>
      <c r="F25" s="77"/>
      <c r="G25" s="171">
        <f>G19*$E$5</f>
        <v>15936000</v>
      </c>
      <c r="H25" s="171">
        <f>H19*$E$5</f>
        <v>15936000</v>
      </c>
      <c r="I25" s="171">
        <f>I19*$E$5</f>
        <v>15936000</v>
      </c>
      <c r="J25" s="171">
        <f>J19*$E$5</f>
        <v>15936000</v>
      </c>
      <c r="K25" s="171">
        <f>K19*$E$5</f>
        <v>15936000</v>
      </c>
      <c r="L25" s="161"/>
      <c r="M25" s="161"/>
      <c r="N25" s="161"/>
      <c r="O25" s="161"/>
      <c r="P25" s="161"/>
      <c r="Q25" s="72">
        <f t="shared" si="3"/>
        <v>79680000</v>
      </c>
      <c r="R25" s="63"/>
      <c r="S25" s="75"/>
      <c r="T25" s="75"/>
      <c r="U25" s="75"/>
      <c r="V25" s="75"/>
      <c r="W25" s="73"/>
      <c r="X25" s="40"/>
    </row>
    <row r="26" spans="2:24" s="2" customFormat="1" x14ac:dyDescent="0.3">
      <c r="B26" s="64" t="s">
        <v>69</v>
      </c>
      <c r="C26" s="64"/>
      <c r="D26" s="64"/>
      <c r="E26" s="64"/>
      <c r="F26" s="64"/>
      <c r="G26" s="65">
        <f>SUM(G22:G25)</f>
        <v>571936000</v>
      </c>
      <c r="H26" s="65">
        <f t="shared" ref="H26:K26" si="4">SUM(H22:H25)</f>
        <v>71936000</v>
      </c>
      <c r="I26" s="65">
        <f t="shared" si="4"/>
        <v>71936000</v>
      </c>
      <c r="J26" s="65">
        <f>SUM(J22:J25)</f>
        <v>71936000</v>
      </c>
      <c r="K26" s="65">
        <f t="shared" si="4"/>
        <v>71936000</v>
      </c>
      <c r="L26" s="65"/>
      <c r="M26" s="65"/>
      <c r="N26" s="65"/>
      <c r="O26" s="65"/>
      <c r="P26" s="65"/>
      <c r="Q26" s="78">
        <f>SUM(Q22:Q25)</f>
        <v>859680000</v>
      </c>
      <c r="R26" s="67"/>
      <c r="S26" s="79"/>
      <c r="T26" s="79"/>
      <c r="U26" s="79"/>
      <c r="V26" s="79"/>
      <c r="W26" s="67"/>
      <c r="X26" s="80"/>
    </row>
    <row r="27" spans="2:24" s="2" customFormat="1" x14ac:dyDescent="0.3">
      <c r="B27" s="2" t="s">
        <v>70</v>
      </c>
      <c r="G27" s="163">
        <f>G19-G26</f>
        <v>-253216000</v>
      </c>
      <c r="H27" s="81">
        <f>H19-H26</f>
        <v>246784000</v>
      </c>
      <c r="I27" s="81">
        <f t="shared" ref="I27:K27" si="5">I19-I26</f>
        <v>246784000</v>
      </c>
      <c r="J27" s="81">
        <f t="shared" si="5"/>
        <v>246784000</v>
      </c>
      <c r="K27" s="81">
        <f t="shared" si="5"/>
        <v>246784000</v>
      </c>
      <c r="L27" s="81"/>
      <c r="M27" s="81"/>
      <c r="N27" s="81"/>
      <c r="O27" s="81"/>
      <c r="P27" s="81"/>
      <c r="Q27" s="82">
        <f>Q19-Q26</f>
        <v>733920000</v>
      </c>
      <c r="R27" s="67"/>
      <c r="S27" s="75"/>
      <c r="T27" s="75"/>
      <c r="U27" s="75"/>
      <c r="V27" s="75"/>
      <c r="W27" s="67"/>
      <c r="X27" s="80"/>
    </row>
    <row r="28" spans="2:24" s="2" customFormat="1" x14ac:dyDescent="0.3">
      <c r="B28" s="83" t="s">
        <v>71</v>
      </c>
      <c r="C28" s="84"/>
      <c r="D28" s="84"/>
      <c r="E28" s="84"/>
      <c r="F28" s="84"/>
      <c r="G28" s="85">
        <v>0</v>
      </c>
      <c r="H28" s="85">
        <f>H27/H19</f>
        <v>0.77429718875502007</v>
      </c>
      <c r="I28" s="85">
        <f t="shared" ref="I28:K28" si="6">I27/I19</f>
        <v>0.77429718875502007</v>
      </c>
      <c r="J28" s="85">
        <f t="shared" si="6"/>
        <v>0.77429718875502007</v>
      </c>
      <c r="K28" s="85">
        <f t="shared" si="6"/>
        <v>0.77429718875502007</v>
      </c>
      <c r="L28" s="85"/>
      <c r="M28" s="85"/>
      <c r="N28" s="85"/>
      <c r="O28" s="85"/>
      <c r="P28" s="85"/>
      <c r="Q28" s="86">
        <f>Q27/Q19</f>
        <v>0.46054216867469877</v>
      </c>
      <c r="R28" s="69"/>
      <c r="S28" s="40"/>
      <c r="T28" s="40"/>
      <c r="U28" s="40"/>
      <c r="V28" s="40"/>
      <c r="W28" s="69"/>
      <c r="X28" s="80"/>
    </row>
    <row r="29" spans="2:24" x14ac:dyDescent="0.3">
      <c r="B29" s="77" t="s">
        <v>72</v>
      </c>
      <c r="C29" s="77"/>
      <c r="D29" s="77"/>
      <c r="E29" s="77"/>
      <c r="F29" s="77"/>
      <c r="G29" s="87">
        <f>G51</f>
        <v>5592268</v>
      </c>
      <c r="H29" s="87">
        <f>H51</f>
        <v>5592268</v>
      </c>
      <c r="I29" s="87">
        <f>I51</f>
        <v>5592268</v>
      </c>
      <c r="J29" s="87">
        <f>J51</f>
        <v>5592268</v>
      </c>
      <c r="K29" s="87">
        <f>K51</f>
        <v>5592268</v>
      </c>
      <c r="L29" s="87"/>
      <c r="M29" s="87"/>
      <c r="N29" s="87"/>
      <c r="O29" s="87"/>
      <c r="P29" s="87"/>
      <c r="Q29" s="88">
        <f>SUM(G29:K29)</f>
        <v>27961340</v>
      </c>
      <c r="R29" s="54"/>
      <c r="S29" s="89"/>
      <c r="T29" s="89"/>
      <c r="U29" s="89"/>
      <c r="V29" s="89"/>
      <c r="W29" s="54"/>
      <c r="X29" s="40"/>
    </row>
    <row r="30" spans="2:24" x14ac:dyDescent="0.3">
      <c r="B30" s="1" t="s">
        <v>73</v>
      </c>
      <c r="G30" s="90">
        <f t="shared" ref="G30:Q30" si="7">G27-G29</f>
        <v>-258808268</v>
      </c>
      <c r="H30" s="90">
        <f t="shared" si="7"/>
        <v>241191732</v>
      </c>
      <c r="I30" s="90">
        <f t="shared" si="7"/>
        <v>241191732</v>
      </c>
      <c r="J30" s="90">
        <f t="shared" si="7"/>
        <v>241191732</v>
      </c>
      <c r="K30" s="90">
        <f t="shared" si="7"/>
        <v>241191732</v>
      </c>
      <c r="L30" s="90"/>
      <c r="M30" s="90"/>
      <c r="N30" s="90"/>
      <c r="O30" s="90"/>
      <c r="P30" s="90"/>
      <c r="Q30" s="91">
        <f t="shared" si="7"/>
        <v>705958660</v>
      </c>
      <c r="R30" s="75"/>
      <c r="S30" s="89"/>
      <c r="T30" s="89"/>
      <c r="U30" s="89"/>
      <c r="V30" s="89"/>
      <c r="W30" s="75"/>
      <c r="X30" s="40"/>
    </row>
    <row r="31" spans="2:24" x14ac:dyDescent="0.3">
      <c r="B31" s="1" t="s">
        <v>74</v>
      </c>
      <c r="G31" s="92">
        <f>Parameter!L34</f>
        <v>652210.6</v>
      </c>
      <c r="H31" s="92">
        <f>Parameter!M34</f>
        <v>391326.35999999987</v>
      </c>
      <c r="I31" s="92">
        <f>Parameter!N34</f>
        <v>130442.11999999995</v>
      </c>
      <c r="J31" s="92">
        <f>Parameter!O34</f>
        <v>0</v>
      </c>
      <c r="K31" s="92">
        <f>Parameter!P34</f>
        <v>0</v>
      </c>
      <c r="L31" s="92"/>
      <c r="M31" s="92"/>
      <c r="N31" s="92"/>
      <c r="O31" s="92"/>
      <c r="P31" s="92"/>
      <c r="Q31" s="93">
        <f>SUM(G31:K31)</f>
        <v>1173979.0799999998</v>
      </c>
      <c r="R31" s="75"/>
      <c r="S31" s="89"/>
      <c r="T31" s="89"/>
      <c r="U31" s="89"/>
      <c r="V31" s="89"/>
      <c r="W31" s="75"/>
      <c r="X31" s="40"/>
    </row>
    <row r="32" spans="2:24" x14ac:dyDescent="0.3">
      <c r="B32" s="1" t="s">
        <v>75</v>
      </c>
      <c r="G32" s="172">
        <f t="shared" ref="G32:K32" si="8">G30-G31</f>
        <v>-259460478.59999999</v>
      </c>
      <c r="H32" s="92">
        <f t="shared" si="8"/>
        <v>240800405.63999999</v>
      </c>
      <c r="I32" s="92">
        <f t="shared" si="8"/>
        <v>241061289.88</v>
      </c>
      <c r="J32" s="92">
        <f t="shared" si="8"/>
        <v>241191732</v>
      </c>
      <c r="K32" s="92">
        <f t="shared" si="8"/>
        <v>241191732</v>
      </c>
      <c r="L32" s="92"/>
      <c r="M32" s="92"/>
      <c r="N32" s="92"/>
      <c r="O32" s="92"/>
      <c r="P32" s="92"/>
      <c r="Q32" s="93">
        <f>SUM(G32:K32)</f>
        <v>704784680.91999996</v>
      </c>
      <c r="R32" s="75"/>
      <c r="S32" s="94"/>
      <c r="T32" s="94"/>
      <c r="U32" s="94"/>
      <c r="V32" s="94"/>
      <c r="W32" s="75"/>
      <c r="X32" s="40"/>
    </row>
    <row r="33" spans="2:24" x14ac:dyDescent="0.3">
      <c r="B33" s="77" t="s">
        <v>76</v>
      </c>
      <c r="C33" s="77"/>
      <c r="D33" s="77"/>
      <c r="E33" s="77"/>
      <c r="F33" s="77"/>
      <c r="G33" s="95">
        <f>IF(G32&lt;0,0,G32*$E$3)</f>
        <v>0</v>
      </c>
      <c r="H33" s="95">
        <f>IF(H32&lt;0,0,H32*$E$3)</f>
        <v>4816008.1128000002</v>
      </c>
      <c r="I33" s="95">
        <f>IF(I32&lt;0,0,I32*$E$3)</f>
        <v>4821225.7976000002</v>
      </c>
      <c r="J33" s="95">
        <f>IF(J32&lt;0,0,J32*$E$3)</f>
        <v>4823834.6399999997</v>
      </c>
      <c r="K33" s="95">
        <f>IF(K32&lt;0,0,K32*$E$3)</f>
        <v>4823834.6399999997</v>
      </c>
      <c r="L33" s="95"/>
      <c r="M33" s="95"/>
      <c r="N33" s="95"/>
      <c r="O33" s="95"/>
      <c r="P33" s="95"/>
      <c r="Q33" s="96">
        <f>SUM(G33:K33)</f>
        <v>19284903.190400001</v>
      </c>
      <c r="R33" s="79"/>
      <c r="W33" s="89"/>
      <c r="X33" s="40"/>
    </row>
    <row r="34" spans="2:24" ht="16.2" thickBot="1" x14ac:dyDescent="0.35">
      <c r="B34" s="97" t="s">
        <v>77</v>
      </c>
      <c r="C34" s="97"/>
      <c r="D34" s="97"/>
      <c r="E34" s="97"/>
      <c r="F34" s="97"/>
      <c r="G34" s="98">
        <f>G32-G33</f>
        <v>-259460478.59999999</v>
      </c>
      <c r="H34" s="98">
        <f t="shared" ref="H34:J34" si="9">H32-H33</f>
        <v>235984397.52719998</v>
      </c>
      <c r="I34" s="98">
        <f t="shared" si="9"/>
        <v>236240064.08239999</v>
      </c>
      <c r="J34" s="98">
        <f t="shared" si="9"/>
        <v>236367897.36000001</v>
      </c>
      <c r="K34" s="98">
        <f>K32-K33</f>
        <v>236367897.36000001</v>
      </c>
      <c r="L34" s="98"/>
      <c r="M34" s="98"/>
      <c r="N34" s="98"/>
      <c r="O34" s="98"/>
      <c r="P34" s="98"/>
      <c r="Q34" s="99">
        <f>Q32-Q33</f>
        <v>685499777.72959995</v>
      </c>
      <c r="R34" s="75"/>
      <c r="W34" s="75"/>
      <c r="X34" s="40"/>
    </row>
    <row r="35" spans="2:24" ht="4.2" customHeight="1" x14ac:dyDescent="0.3">
      <c r="Q35" s="55"/>
      <c r="R35" s="40"/>
      <c r="W35" s="40"/>
      <c r="X35" s="40"/>
    </row>
    <row r="36" spans="2:24" x14ac:dyDescent="0.3">
      <c r="B36" s="77" t="s">
        <v>78</v>
      </c>
      <c r="C36" s="77"/>
      <c r="D36" s="77"/>
      <c r="E36" s="77"/>
      <c r="F36" s="100"/>
      <c r="G36" s="100">
        <f>-G10</f>
        <v>-27961340</v>
      </c>
      <c r="H36" s="100">
        <f>-I9+-I10</f>
        <v>0</v>
      </c>
      <c r="I36" s="100">
        <f>-J9+-J10</f>
        <v>0</v>
      </c>
      <c r="J36" s="100">
        <f>-K9+-K10</f>
        <v>0</v>
      </c>
      <c r="K36" s="100">
        <f>-L9+-L10</f>
        <v>0</v>
      </c>
      <c r="L36" s="100"/>
      <c r="M36" s="100"/>
      <c r="N36" s="100"/>
      <c r="O36" s="100"/>
      <c r="P36" s="100"/>
      <c r="Q36" s="101"/>
      <c r="R36" s="89"/>
      <c r="W36" s="89"/>
      <c r="X36" s="40"/>
    </row>
    <row r="37" spans="2:24" x14ac:dyDescent="0.3">
      <c r="B37" s="1" t="s">
        <v>79</v>
      </c>
      <c r="F37" s="102">
        <f>F36</f>
        <v>0</v>
      </c>
      <c r="G37" s="102">
        <f>G36+G34+G29</f>
        <v>-281829550.60000002</v>
      </c>
      <c r="H37" s="102">
        <f t="shared" ref="H37:J37" si="10">H36+H34+H29</f>
        <v>241576665.52719998</v>
      </c>
      <c r="I37" s="102">
        <f t="shared" si="10"/>
        <v>241832332.08239999</v>
      </c>
      <c r="J37" s="102">
        <f t="shared" si="10"/>
        <v>241960165.36000001</v>
      </c>
      <c r="K37" s="102">
        <f>K36+K34+K29</f>
        <v>241960165.36000001</v>
      </c>
      <c r="L37" s="102"/>
      <c r="M37" s="102"/>
      <c r="N37" s="102"/>
      <c r="O37" s="102"/>
      <c r="P37" s="102"/>
      <c r="Q37" s="103">
        <f>SUM(F37:K37)</f>
        <v>685499777.72959995</v>
      </c>
      <c r="R37" s="89"/>
      <c r="S37" s="37"/>
      <c r="T37" s="49"/>
      <c r="U37" s="37"/>
      <c r="V37" s="49"/>
      <c r="W37" s="89"/>
      <c r="X37" s="40"/>
    </row>
    <row r="38" spans="2:24" x14ac:dyDescent="0.3">
      <c r="B38" s="1" t="s">
        <v>80</v>
      </c>
      <c r="F38" s="102">
        <f>F37</f>
        <v>0</v>
      </c>
      <c r="G38" s="102">
        <f>F38+G37</f>
        <v>-281829550.60000002</v>
      </c>
      <c r="H38" s="102">
        <f t="shared" ref="H38:K38" si="11">G38+H37</f>
        <v>-40252885.07280004</v>
      </c>
      <c r="I38" s="102">
        <f t="shared" si="11"/>
        <v>201579447.00959995</v>
      </c>
      <c r="J38" s="102">
        <f t="shared" si="11"/>
        <v>443539612.36959994</v>
      </c>
      <c r="K38" s="102">
        <f t="shared" si="11"/>
        <v>685499777.72959995</v>
      </c>
      <c r="L38" s="102"/>
      <c r="M38" s="102"/>
      <c r="N38" s="102"/>
      <c r="O38" s="102"/>
      <c r="P38" s="102"/>
      <c r="Q38" s="103"/>
      <c r="R38" s="89"/>
      <c r="S38" s="104"/>
      <c r="T38" s="104"/>
      <c r="U38" s="104"/>
      <c r="V38" s="104"/>
      <c r="W38" s="89"/>
      <c r="X38" s="40"/>
    </row>
    <row r="39" spans="2:24" x14ac:dyDescent="0.3">
      <c r="B39" s="1" t="s">
        <v>81</v>
      </c>
      <c r="F39" s="102"/>
      <c r="G39" s="94">
        <f>IF(AND(F38&lt;0,G38&gt;0),G44-(G38/G37),0)</f>
        <v>0</v>
      </c>
      <c r="H39" s="94">
        <f>IF(AND(G38&lt;0,H38&gt;0),H44-(H38/H37),0)</f>
        <v>0</v>
      </c>
      <c r="I39" s="94">
        <f t="shared" ref="I39:K39" si="12">IF(AND(H38&lt;0,I38&gt;0),I44-(I38/I37),0)</f>
        <v>2.1664495591891519</v>
      </c>
      <c r="J39" s="94">
        <f t="shared" si="12"/>
        <v>0</v>
      </c>
      <c r="K39" s="94">
        <f t="shared" si="12"/>
        <v>0</v>
      </c>
      <c r="L39" s="94"/>
      <c r="M39" s="94"/>
      <c r="N39" s="94"/>
      <c r="O39" s="94"/>
      <c r="P39" s="94"/>
      <c r="Q39" s="105"/>
      <c r="R39" s="94"/>
      <c r="S39" s="106"/>
      <c r="T39" s="106"/>
      <c r="U39" s="106"/>
      <c r="V39" s="106"/>
      <c r="W39" s="94"/>
    </row>
    <row r="40" spans="2:24" x14ac:dyDescent="0.3">
      <c r="B40" s="107" t="s">
        <v>33</v>
      </c>
      <c r="C40" s="108"/>
      <c r="D40" s="108"/>
      <c r="E40" s="108"/>
      <c r="F40" s="109">
        <f>IRR(G37:K37)</f>
        <v>0.77044738975068849</v>
      </c>
      <c r="S40" s="106"/>
      <c r="T40" s="106"/>
      <c r="U40" s="106"/>
      <c r="V40" s="106"/>
    </row>
    <row r="41" spans="2:24" x14ac:dyDescent="0.3">
      <c r="B41" s="110" t="s">
        <v>34</v>
      </c>
      <c r="C41" s="44"/>
      <c r="D41" s="44"/>
      <c r="E41" s="44"/>
      <c r="F41" s="111">
        <f>NPV(E4,H37:K37)+G37</f>
        <v>484697333.41912913</v>
      </c>
      <c r="H41" s="112"/>
      <c r="I41" s="113"/>
      <c r="S41" s="106"/>
      <c r="T41" s="106"/>
      <c r="U41" s="106"/>
      <c r="V41" s="106"/>
    </row>
    <row r="42" spans="2:24" x14ac:dyDescent="0.3">
      <c r="B42" s="110" t="s">
        <v>35</v>
      </c>
      <c r="C42" s="44"/>
      <c r="D42" s="44"/>
      <c r="E42" s="44"/>
      <c r="F42" s="114">
        <f>Q28</f>
        <v>0.46054216867469877</v>
      </c>
      <c r="H42" s="62"/>
      <c r="S42" s="106"/>
      <c r="T42" s="106"/>
      <c r="U42" s="106"/>
      <c r="V42" s="106"/>
    </row>
    <row r="43" spans="2:24" x14ac:dyDescent="0.3">
      <c r="B43" s="115" t="s">
        <v>82</v>
      </c>
      <c r="C43" s="116"/>
      <c r="D43" s="116"/>
      <c r="E43" s="116"/>
      <c r="F43" s="117">
        <f>SUM(F39:K39)</f>
        <v>2.1664495591891519</v>
      </c>
      <c r="S43" s="106"/>
      <c r="T43" s="106"/>
      <c r="U43" s="106"/>
      <c r="V43" s="106"/>
    </row>
    <row r="44" spans="2:24" ht="9.6" customHeight="1" x14ac:dyDescent="0.3">
      <c r="G44" s="49">
        <v>1</v>
      </c>
      <c r="H44" s="37">
        <v>2</v>
      </c>
      <c r="I44" s="49">
        <v>3</v>
      </c>
      <c r="J44" s="37">
        <v>4</v>
      </c>
      <c r="K44" s="49">
        <v>5</v>
      </c>
      <c r="L44" s="49"/>
      <c r="M44" s="49"/>
      <c r="N44" s="49"/>
      <c r="O44" s="49"/>
      <c r="P44" s="49"/>
      <c r="Q44" s="37"/>
      <c r="R44" s="49"/>
      <c r="S44" s="118"/>
      <c r="T44" s="118"/>
      <c r="U44" s="118"/>
      <c r="V44" s="118"/>
    </row>
    <row r="45" spans="2:24" x14ac:dyDescent="0.3">
      <c r="B45" s="119" t="s">
        <v>83</v>
      </c>
      <c r="E45" s="104" t="s">
        <v>84</v>
      </c>
      <c r="G45" s="104" t="str">
        <f>G12</f>
        <v>Year 1</v>
      </c>
      <c r="H45" s="104" t="str">
        <f>H12</f>
        <v>Year 2</v>
      </c>
      <c r="I45" s="104" t="str">
        <f>I12</f>
        <v>Year 3</v>
      </c>
      <c r="J45" s="104" t="str">
        <f>J12</f>
        <v>Year 4</v>
      </c>
      <c r="K45" s="104" t="str">
        <f>K12</f>
        <v>Year 5</v>
      </c>
      <c r="L45" s="104"/>
      <c r="M45" s="104"/>
      <c r="N45" s="104"/>
      <c r="O45" s="104"/>
      <c r="P45" s="104"/>
      <c r="Q45" s="104"/>
      <c r="R45" s="104"/>
      <c r="W45" s="104"/>
    </row>
    <row r="46" spans="2:24" x14ac:dyDescent="0.3">
      <c r="D46" s="1" t="s">
        <v>55</v>
      </c>
      <c r="E46" s="1">
        <v>5</v>
      </c>
      <c r="G46" s="120">
        <f>SUM(G9)/$E46</f>
        <v>5592268</v>
      </c>
      <c r="H46" s="106">
        <f>G46</f>
        <v>5592268</v>
      </c>
      <c r="I46" s="106">
        <f t="shared" ref="I46:K47" si="13">H46</f>
        <v>5592268</v>
      </c>
      <c r="J46" s="106">
        <f>I46</f>
        <v>5592268</v>
      </c>
      <c r="K46" s="106">
        <f t="shared" si="13"/>
        <v>5592268</v>
      </c>
      <c r="L46" s="106"/>
      <c r="M46" s="106"/>
      <c r="N46" s="106"/>
      <c r="O46" s="106"/>
      <c r="P46" s="106"/>
      <c r="Q46" s="106">
        <f>SUM(G46:K46)</f>
        <v>27961340</v>
      </c>
      <c r="R46" s="106"/>
      <c r="W46" s="121"/>
    </row>
    <row r="47" spans="2:24" hidden="1" x14ac:dyDescent="0.3">
      <c r="D47" s="1" t="s">
        <v>57</v>
      </c>
      <c r="E47" s="1">
        <v>4</v>
      </c>
      <c r="H47" s="120">
        <f>I$10/$E47</f>
        <v>0</v>
      </c>
      <c r="J47" s="106">
        <f>H47</f>
        <v>0</v>
      </c>
      <c r="K47" s="106">
        <f t="shared" si="13"/>
        <v>0</v>
      </c>
      <c r="L47" s="106"/>
      <c r="M47" s="106"/>
      <c r="N47" s="106"/>
      <c r="O47" s="106"/>
      <c r="P47" s="106"/>
      <c r="Q47" s="106"/>
      <c r="R47" s="106"/>
      <c r="W47" s="121"/>
    </row>
    <row r="48" spans="2:24" hidden="1" x14ac:dyDescent="0.3">
      <c r="D48" s="1" t="s">
        <v>58</v>
      </c>
      <c r="E48" s="1">
        <v>3</v>
      </c>
      <c r="I48" s="120">
        <f>J$9/$E48</f>
        <v>0</v>
      </c>
      <c r="K48" s="106">
        <f>I48</f>
        <v>0</v>
      </c>
      <c r="L48" s="106"/>
      <c r="M48" s="106"/>
      <c r="N48" s="106"/>
      <c r="O48" s="106"/>
      <c r="P48" s="106"/>
      <c r="Q48" s="106"/>
      <c r="R48" s="106"/>
      <c r="W48" s="121"/>
    </row>
    <row r="49" spans="2:23" hidden="1" x14ac:dyDescent="0.3">
      <c r="D49" s="1" t="s">
        <v>59</v>
      </c>
      <c r="E49" s="1">
        <v>2</v>
      </c>
      <c r="J49" s="120"/>
      <c r="Q49" s="106"/>
      <c r="R49" s="106"/>
      <c r="W49" s="121"/>
    </row>
    <row r="50" spans="2:23" hidden="1" x14ac:dyDescent="0.3">
      <c r="D50" s="1" t="s">
        <v>85</v>
      </c>
      <c r="E50" s="1">
        <v>1</v>
      </c>
      <c r="K50" s="120"/>
      <c r="L50" s="120"/>
      <c r="M50" s="120"/>
      <c r="N50" s="120"/>
      <c r="O50" s="120"/>
      <c r="P50" s="120"/>
      <c r="Q50" s="106"/>
      <c r="R50" s="106"/>
      <c r="W50" s="121"/>
    </row>
    <row r="51" spans="2:23" ht="16.2" thickBot="1" x14ac:dyDescent="0.35">
      <c r="B51" s="122" t="s">
        <v>86</v>
      </c>
      <c r="C51" s="123"/>
      <c r="D51" s="123"/>
      <c r="E51" s="123"/>
      <c r="F51" s="123"/>
      <c r="G51" s="124">
        <f>SUM(G46:G49)</f>
        <v>5592268</v>
      </c>
      <c r="H51" s="124">
        <f>SUM(H46:H49)</f>
        <v>5592268</v>
      </c>
      <c r="I51" s="124">
        <f>SUM(I46:I49)</f>
        <v>5592268</v>
      </c>
      <c r="J51" s="124">
        <f>SUM(J46:J49)</f>
        <v>5592268</v>
      </c>
      <c r="K51" s="124">
        <f>SUM(K46:K49)</f>
        <v>5592268</v>
      </c>
      <c r="L51" s="162"/>
      <c r="M51" s="162"/>
      <c r="N51" s="162"/>
      <c r="O51" s="162"/>
      <c r="P51" s="162"/>
      <c r="Q51" s="124">
        <f>SUM(G51:K51)</f>
        <v>27961340</v>
      </c>
      <c r="R51" s="118"/>
      <c r="W51" s="118"/>
    </row>
    <row r="52" spans="2:23" ht="16.2" thickTop="1" x14ac:dyDescent="0.3">
      <c r="W52" s="113"/>
    </row>
    <row r="54" spans="2:23" x14ac:dyDescent="0.3">
      <c r="F54" s="1" t="s">
        <v>36</v>
      </c>
    </row>
  </sheetData>
  <mergeCells count="1">
    <mergeCell ref="E19:F19"/>
  </mergeCells>
  <phoneticPr fontId="26" type="noConversion"/>
  <pageMargins left="0.93" right="0.25" top="0.37" bottom="0.16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9D0B3-907A-4AB8-90A2-896BF7D7A9DA}">
  <dimension ref="A1:D30"/>
  <sheetViews>
    <sheetView zoomScaleNormal="100" workbookViewId="0">
      <selection activeCell="D13" sqref="D13"/>
    </sheetView>
  </sheetViews>
  <sheetFormatPr defaultColWidth="9.21875" defaultRowHeight="14.4" x14ac:dyDescent="0.3"/>
  <cols>
    <col min="1" max="1" width="5.5546875" style="173" customWidth="1"/>
    <col min="2" max="2" width="25.44140625" style="173" bestFit="1" customWidth="1"/>
    <col min="3" max="3" width="49" style="173" customWidth="1"/>
    <col min="4" max="4" width="57.21875" style="173" customWidth="1"/>
    <col min="5" max="8" width="9.21875" style="173"/>
    <col min="9" max="9" width="10" style="173" bestFit="1" customWidth="1"/>
    <col min="10" max="16384" width="9.21875" style="173"/>
  </cols>
  <sheetData>
    <row r="1" spans="1:4" ht="21" x14ac:dyDescent="0.4">
      <c r="C1" s="125" t="s">
        <v>87</v>
      </c>
    </row>
    <row r="3" spans="1:4" ht="15.6" x14ac:dyDescent="0.3">
      <c r="A3" s="126" t="s">
        <v>88</v>
      </c>
      <c r="B3" s="126"/>
      <c r="C3" s="179" t="s">
        <v>187</v>
      </c>
    </row>
    <row r="4" spans="1:4" x14ac:dyDescent="0.3">
      <c r="A4" s="126" t="s">
        <v>89</v>
      </c>
      <c r="B4" s="126"/>
      <c r="C4" s="126" t="s">
        <v>188</v>
      </c>
    </row>
    <row r="5" spans="1:4" x14ac:dyDescent="0.3">
      <c r="A5" s="126" t="s">
        <v>90</v>
      </c>
      <c r="B5" s="126"/>
      <c r="C5" s="126" t="s">
        <v>189</v>
      </c>
    </row>
    <row r="6" spans="1:4" x14ac:dyDescent="0.3">
      <c r="A6" s="126" t="s">
        <v>91</v>
      </c>
      <c r="B6" s="126"/>
      <c r="C6" s="126" t="s">
        <v>190</v>
      </c>
    </row>
    <row r="7" spans="1:4" x14ac:dyDescent="0.3">
      <c r="A7" s="126" t="s">
        <v>92</v>
      </c>
      <c r="B7" s="126"/>
      <c r="C7" s="126" t="s">
        <v>191</v>
      </c>
    </row>
    <row r="9" spans="1:4" x14ac:dyDescent="0.3">
      <c r="A9" s="226" t="s">
        <v>93</v>
      </c>
      <c r="B9" s="227" t="s">
        <v>94</v>
      </c>
      <c r="C9" s="229" t="s">
        <v>95</v>
      </c>
      <c r="D9" s="231" t="s">
        <v>23</v>
      </c>
    </row>
    <row r="10" spans="1:4" x14ac:dyDescent="0.3">
      <c r="A10" s="226"/>
      <c r="B10" s="228"/>
      <c r="C10" s="230"/>
      <c r="D10" s="231"/>
    </row>
    <row r="11" spans="1:4" ht="24.75" customHeight="1" x14ac:dyDescent="0.3">
      <c r="A11" s="174" t="s">
        <v>96</v>
      </c>
      <c r="B11" s="175" t="s">
        <v>97</v>
      </c>
      <c r="C11" s="184" t="s">
        <v>192</v>
      </c>
      <c r="D11" s="177" t="s">
        <v>192</v>
      </c>
    </row>
    <row r="12" spans="1:4" x14ac:dyDescent="0.3">
      <c r="A12" s="174" t="s">
        <v>98</v>
      </c>
      <c r="B12" s="175" t="s">
        <v>99</v>
      </c>
      <c r="C12" s="175" t="s">
        <v>193</v>
      </c>
      <c r="D12" s="175" t="str">
        <f>C12</f>
        <v xml:space="preserve"> 134 Omni + 8 Unit Pole Antenna + RBS  45m²</v>
      </c>
    </row>
    <row r="13" spans="1:4" x14ac:dyDescent="0.3">
      <c r="A13" s="174" t="s">
        <v>100</v>
      </c>
      <c r="B13" s="175" t="s">
        <v>101</v>
      </c>
      <c r="C13" s="175" t="s">
        <v>194</v>
      </c>
      <c r="D13" s="175" t="s">
        <v>226</v>
      </c>
    </row>
    <row r="14" spans="1:4" x14ac:dyDescent="0.3">
      <c r="A14" s="232" t="s">
        <v>195</v>
      </c>
      <c r="B14" s="176" t="s">
        <v>196</v>
      </c>
      <c r="C14" s="127" t="s">
        <v>197</v>
      </c>
      <c r="D14" s="127" t="s">
        <v>198</v>
      </c>
    </row>
    <row r="15" spans="1:4" x14ac:dyDescent="0.3">
      <c r="A15" s="233"/>
      <c r="B15" s="176" t="s">
        <v>199</v>
      </c>
      <c r="C15" s="127" t="s">
        <v>200</v>
      </c>
      <c r="D15" s="127" t="s">
        <v>201</v>
      </c>
    </row>
    <row r="16" spans="1:4" x14ac:dyDescent="0.3">
      <c r="A16" s="174">
        <v>5</v>
      </c>
      <c r="B16" s="176" t="s">
        <v>202</v>
      </c>
      <c r="C16" s="127" t="s">
        <v>203</v>
      </c>
      <c r="D16" s="127" t="s">
        <v>203</v>
      </c>
    </row>
    <row r="17" spans="1:4" x14ac:dyDescent="0.3">
      <c r="A17" s="232">
        <v>6</v>
      </c>
      <c r="B17" s="235" t="s">
        <v>102</v>
      </c>
      <c r="C17" s="185" t="s">
        <v>204</v>
      </c>
      <c r="D17" s="185" t="s">
        <v>205</v>
      </c>
    </row>
    <row r="18" spans="1:4" x14ac:dyDescent="0.3">
      <c r="A18" s="234"/>
      <c r="B18" s="236"/>
      <c r="C18" s="185" t="s">
        <v>206</v>
      </c>
      <c r="D18" s="185" t="s">
        <v>207</v>
      </c>
    </row>
    <row r="19" spans="1:4" x14ac:dyDescent="0.3">
      <c r="A19" s="178">
        <v>7</v>
      </c>
      <c r="B19" s="175" t="s">
        <v>103</v>
      </c>
      <c r="C19" s="225" t="s">
        <v>208</v>
      </c>
      <c r="D19" s="225"/>
    </row>
    <row r="20" spans="1:4" x14ac:dyDescent="0.3">
      <c r="D20" s="186"/>
    </row>
    <row r="26" spans="1:4" ht="15.6" x14ac:dyDescent="0.3">
      <c r="B26" s="187"/>
      <c r="C26" s="187"/>
    </row>
    <row r="27" spans="1:4" ht="15.6" x14ac:dyDescent="0.3">
      <c r="B27" s="187"/>
      <c r="C27" s="187"/>
    </row>
    <row r="28" spans="1:4" ht="15.6" x14ac:dyDescent="0.3">
      <c r="B28" s="187"/>
      <c r="C28" s="187"/>
    </row>
    <row r="29" spans="1:4" ht="15.6" x14ac:dyDescent="0.3">
      <c r="B29" s="187"/>
      <c r="C29" s="187"/>
    </row>
    <row r="30" spans="1:4" ht="15.6" x14ac:dyDescent="0.3">
      <c r="B30" s="187"/>
      <c r="C30" s="187"/>
    </row>
  </sheetData>
  <mergeCells count="8">
    <mergeCell ref="C19:D19"/>
    <mergeCell ref="A9:A10"/>
    <mergeCell ref="B9:B10"/>
    <mergeCell ref="C9:C10"/>
    <mergeCell ref="D9:D10"/>
    <mergeCell ref="A14:A15"/>
    <mergeCell ref="A17:A18"/>
    <mergeCell ref="B17:B18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G51" activePane="bottomRight" state="frozen"/>
      <selection pane="topRight" activeCell="C1" sqref="C1"/>
      <selection pane="bottomLeft" activeCell="A3" sqref="A3"/>
      <selection pane="bottomRight" activeCell="M67" sqref="M67"/>
    </sheetView>
  </sheetViews>
  <sheetFormatPr defaultRowHeight="14.4" x14ac:dyDescent="0.3"/>
  <cols>
    <col min="1" max="1" width="18" customWidth="1"/>
    <col min="2" max="2" width="17.6640625" bestFit="1" customWidth="1"/>
    <col min="3" max="4" width="15.21875" bestFit="1" customWidth="1"/>
    <col min="5" max="5" width="16.5546875" customWidth="1"/>
    <col min="6" max="6" width="16.6640625" customWidth="1"/>
    <col min="7" max="7" width="13.44140625" bestFit="1" customWidth="1"/>
    <col min="8" max="8" width="18.5546875" customWidth="1"/>
    <col min="9" max="9" width="17.109375" customWidth="1"/>
    <col min="10" max="11" width="15.21875" bestFit="1" customWidth="1"/>
    <col min="12" max="12" width="13.5546875" bestFit="1" customWidth="1"/>
    <col min="13" max="13" width="15.5546875" bestFit="1" customWidth="1"/>
    <col min="14" max="14" width="13.5546875" bestFit="1" customWidth="1"/>
    <col min="15" max="15" width="15.5546875" bestFit="1" customWidth="1"/>
    <col min="16" max="18" width="13.5546875" bestFit="1" customWidth="1"/>
    <col min="19" max="19" width="14.109375" bestFit="1" customWidth="1"/>
  </cols>
  <sheetData>
    <row r="1" spans="1:20" x14ac:dyDescent="0.3">
      <c r="A1" s="128" t="s">
        <v>104</v>
      </c>
    </row>
    <row r="2" spans="1:20" x14ac:dyDescent="0.3">
      <c r="A2" s="129" t="s">
        <v>105</v>
      </c>
      <c r="B2" s="130">
        <v>5</v>
      </c>
      <c r="C2" s="131">
        <v>2015</v>
      </c>
      <c r="D2" s="131">
        <f>C2+1</f>
        <v>2016</v>
      </c>
      <c r="E2" s="131">
        <f t="shared" ref="E2:M2" si="0">D2+1</f>
        <v>2017</v>
      </c>
      <c r="F2" s="131">
        <f t="shared" si="0"/>
        <v>2018</v>
      </c>
      <c r="G2" s="131">
        <f t="shared" si="0"/>
        <v>2019</v>
      </c>
      <c r="H2" s="131">
        <f t="shared" si="0"/>
        <v>2020</v>
      </c>
      <c r="I2" s="131">
        <f t="shared" si="0"/>
        <v>2021</v>
      </c>
      <c r="J2" s="131">
        <f t="shared" si="0"/>
        <v>2022</v>
      </c>
      <c r="K2" s="131">
        <f t="shared" si="0"/>
        <v>2023</v>
      </c>
      <c r="L2" s="131">
        <f t="shared" si="0"/>
        <v>2024</v>
      </c>
      <c r="M2" s="131">
        <f t="shared" si="0"/>
        <v>2025</v>
      </c>
      <c r="N2" s="131">
        <f t="shared" ref="N2" si="1">M2+1</f>
        <v>2026</v>
      </c>
      <c r="O2" s="131">
        <f t="shared" ref="O2" si="2">N2+1</f>
        <v>2027</v>
      </c>
      <c r="P2" s="131">
        <f t="shared" ref="P2" si="3">O2+1</f>
        <v>2028</v>
      </c>
      <c r="Q2" s="131">
        <f t="shared" ref="Q2:R2" si="4">P2+1</f>
        <v>2029</v>
      </c>
      <c r="R2" s="131">
        <f t="shared" si="4"/>
        <v>2030</v>
      </c>
    </row>
    <row r="3" spans="1:20" x14ac:dyDescent="0.3">
      <c r="A3" s="132">
        <v>2015</v>
      </c>
      <c r="B3" t="s">
        <v>106</v>
      </c>
      <c r="C3" s="133">
        <v>1232886953</v>
      </c>
      <c r="D3" s="134">
        <f>C3-C4</f>
        <v>986309562.39999998</v>
      </c>
      <c r="E3" s="134">
        <f>D3-C4</f>
        <v>739732171.79999995</v>
      </c>
      <c r="F3" s="134">
        <f>E3-C4</f>
        <v>493154781.19999993</v>
      </c>
      <c r="G3" s="134">
        <f>F3-C4</f>
        <v>246577390.59999993</v>
      </c>
      <c r="H3" s="134">
        <f>G3-C4</f>
        <v>0</v>
      </c>
      <c r="I3" s="134">
        <f>H3-$E$4</f>
        <v>0</v>
      </c>
      <c r="J3" s="134">
        <f>I3-$E$4</f>
        <v>0</v>
      </c>
      <c r="K3" s="134"/>
      <c r="P3" s="134"/>
      <c r="Q3" s="134"/>
      <c r="R3">
        <v>2013</v>
      </c>
      <c r="S3" s="133">
        <v>1726670811.6800001</v>
      </c>
    </row>
    <row r="4" spans="1:20" x14ac:dyDescent="0.3">
      <c r="A4" s="135"/>
      <c r="B4" t="s">
        <v>107</v>
      </c>
      <c r="C4" s="133">
        <f>C3/B2</f>
        <v>246577390.59999999</v>
      </c>
      <c r="D4" s="133"/>
      <c r="E4" s="133"/>
      <c r="R4">
        <v>2014</v>
      </c>
      <c r="S4" s="133">
        <v>422342499</v>
      </c>
    </row>
    <row r="5" spans="1:20" x14ac:dyDescent="0.3">
      <c r="A5" s="135"/>
      <c r="B5" t="s">
        <v>108</v>
      </c>
      <c r="C5" s="133">
        <f>(($C$3*IRR!E4*6)/12)</f>
        <v>61644347.650000006</v>
      </c>
      <c r="D5" s="134">
        <f>AVERAGE(C3:D3)*IRR!E4</f>
        <v>110959825.77000001</v>
      </c>
      <c r="E5" s="134">
        <f>AVERAGE(D3:E3)*IRR!E4</f>
        <v>86302086.709999993</v>
      </c>
      <c r="F5" s="134">
        <f>AVERAGE(E3:F3)*IRR!E4</f>
        <v>61644347.650000006</v>
      </c>
      <c r="G5" s="134">
        <f>AVERAGE(F3:G3)*IRR!E4</f>
        <v>36986608.589999996</v>
      </c>
      <c r="H5" s="134">
        <f>AVERAGE(G3:H3)*IRR!E4</f>
        <v>12328869.529999997</v>
      </c>
      <c r="I5" s="134">
        <f>AVERAGE($H$3:$I$3)*[3]IRR!$G$4</f>
        <v>0</v>
      </c>
      <c r="J5" s="134">
        <f>AVERAGE($I$3:$J$3)*[3]IRR!$G$4</f>
        <v>0</v>
      </c>
      <c r="K5" s="134"/>
      <c r="P5" s="134"/>
      <c r="Q5" s="134"/>
      <c r="R5">
        <v>2016</v>
      </c>
      <c r="S5" s="133">
        <v>10773000</v>
      </c>
      <c r="T5" s="134"/>
    </row>
    <row r="6" spans="1:20" x14ac:dyDescent="0.3">
      <c r="A6" s="132">
        <f>A3+1</f>
        <v>2016</v>
      </c>
      <c r="B6" t="s">
        <v>106</v>
      </c>
      <c r="C6" s="133"/>
      <c r="D6" s="134">
        <v>78887200</v>
      </c>
      <c r="E6" s="134">
        <f>D6-D7</f>
        <v>63109760</v>
      </c>
      <c r="F6" s="134">
        <f>E6-D7</f>
        <v>47332320</v>
      </c>
      <c r="G6" s="134">
        <f>F6-D7</f>
        <v>31554880</v>
      </c>
      <c r="H6" s="134">
        <f>G6-D7</f>
        <v>15777440</v>
      </c>
      <c r="I6" s="134"/>
      <c r="J6" s="134"/>
      <c r="K6" s="134"/>
      <c r="R6">
        <v>2017</v>
      </c>
      <c r="S6" s="133">
        <v>102210600</v>
      </c>
    </row>
    <row r="7" spans="1:20" x14ac:dyDescent="0.3">
      <c r="A7" s="135"/>
      <c r="B7" t="s">
        <v>107</v>
      </c>
      <c r="C7" s="133"/>
      <c r="D7" s="134">
        <f>D6/B2</f>
        <v>15777440</v>
      </c>
      <c r="E7" s="134"/>
      <c r="F7" s="134"/>
      <c r="G7" s="134"/>
      <c r="H7" s="134"/>
      <c r="I7" s="134"/>
      <c r="J7" s="134"/>
      <c r="K7" s="134"/>
    </row>
    <row r="8" spans="1:20" x14ac:dyDescent="0.3">
      <c r="A8" s="135"/>
      <c r="B8" t="s">
        <v>108</v>
      </c>
      <c r="C8" s="133"/>
      <c r="D8" s="133">
        <f>((D6*IRR!E4*6)/12)</f>
        <v>3944360</v>
      </c>
      <c r="E8" s="134">
        <f>AVERAGE(D6:E6)*IRR!E4</f>
        <v>7099848</v>
      </c>
      <c r="F8" s="134">
        <f>AVERAGE(E6:F6)*IRR!E4</f>
        <v>5522104</v>
      </c>
      <c r="G8" s="134">
        <f>AVERAGE(F6:G6)*IRR!E4</f>
        <v>3944360</v>
      </c>
      <c r="H8" s="134">
        <f>AVERAGE(G6:H6)*IRR!E4</f>
        <v>2366616</v>
      </c>
      <c r="I8" s="134">
        <f>AVERAGE(H6:I6)*IRR!E4</f>
        <v>1577744</v>
      </c>
      <c r="J8" s="134"/>
      <c r="K8" s="134"/>
    </row>
    <row r="9" spans="1:20" x14ac:dyDescent="0.3">
      <c r="A9" s="132">
        <f>A6+1</f>
        <v>2017</v>
      </c>
      <c r="B9" t="s">
        <v>106</v>
      </c>
      <c r="C9" s="133"/>
      <c r="D9" s="134"/>
      <c r="E9" s="134"/>
      <c r="F9" s="134">
        <f>E9-E10</f>
        <v>0</v>
      </c>
      <c r="G9" s="134">
        <f>F9-E10</f>
        <v>0</v>
      </c>
      <c r="H9" s="134">
        <f>G9-E10</f>
        <v>0</v>
      </c>
      <c r="I9" s="134">
        <f>H9-E10</f>
        <v>0</v>
      </c>
      <c r="J9" s="134">
        <f>I9-E10</f>
        <v>0</v>
      </c>
    </row>
    <row r="10" spans="1:20" x14ac:dyDescent="0.3">
      <c r="A10" s="135"/>
      <c r="B10" t="s">
        <v>107</v>
      </c>
      <c r="C10" s="133"/>
      <c r="D10" s="134"/>
      <c r="E10" s="134">
        <f>E9/B2</f>
        <v>0</v>
      </c>
      <c r="F10" s="134"/>
      <c r="G10" s="134"/>
      <c r="H10" s="134"/>
      <c r="I10" s="134"/>
      <c r="J10" s="134"/>
    </row>
    <row r="11" spans="1:20" x14ac:dyDescent="0.3">
      <c r="A11" s="135"/>
      <c r="B11" t="s">
        <v>108</v>
      </c>
      <c r="C11" s="133"/>
      <c r="D11" s="134"/>
      <c r="E11" s="133">
        <f>((E9*IRR!E4*6)/12)</f>
        <v>0</v>
      </c>
      <c r="F11" s="134">
        <f>AVERAGE(E9:F9)*IRR!$E$4</f>
        <v>0</v>
      </c>
      <c r="G11" s="134">
        <f>AVERAGE(F9:G9)*IRR!$E$4</f>
        <v>0</v>
      </c>
      <c r="H11" s="134">
        <f>AVERAGE(G9:H9)*IRR!$E$4</f>
        <v>0</v>
      </c>
      <c r="I11" s="134">
        <f>AVERAGE(H9:I9)*IRR!$E$4</f>
        <v>0</v>
      </c>
      <c r="J11" s="134">
        <f>AVERAGE(I9:J9)*IRR!$E$4</f>
        <v>0</v>
      </c>
    </row>
    <row r="12" spans="1:20" x14ac:dyDescent="0.3">
      <c r="A12" s="132">
        <f>A9+1</f>
        <v>2018</v>
      </c>
      <c r="B12" t="s">
        <v>106</v>
      </c>
      <c r="C12" s="133"/>
      <c r="D12" s="134"/>
      <c r="E12" s="134"/>
      <c r="F12" s="134">
        <v>104046104</v>
      </c>
      <c r="G12" s="134">
        <f>F12-F13</f>
        <v>83236883.200000003</v>
      </c>
      <c r="H12" s="134">
        <f>G12-F13</f>
        <v>62427662.400000006</v>
      </c>
      <c r="I12" s="134">
        <f>H12-F13</f>
        <v>41618441.600000009</v>
      </c>
      <c r="J12" s="134">
        <f>I12-F13</f>
        <v>20809220.800000008</v>
      </c>
      <c r="K12" s="134">
        <f>J12-F13</f>
        <v>0</v>
      </c>
    </row>
    <row r="13" spans="1:20" x14ac:dyDescent="0.3">
      <c r="B13" t="s">
        <v>107</v>
      </c>
      <c r="C13" s="133"/>
      <c r="D13" s="134"/>
      <c r="E13" s="134"/>
      <c r="F13" s="134">
        <f>F12/B2</f>
        <v>20809220.800000001</v>
      </c>
      <c r="G13" s="134"/>
      <c r="H13" s="134"/>
      <c r="I13" s="134"/>
      <c r="J13" s="134"/>
      <c r="K13" s="134"/>
    </row>
    <row r="14" spans="1:20" x14ac:dyDescent="0.3">
      <c r="B14" t="s">
        <v>108</v>
      </c>
      <c r="C14" s="133"/>
      <c r="D14" s="134"/>
      <c r="E14" s="133"/>
      <c r="F14" s="133">
        <f>((F12*IRR!E4*6)/12)</f>
        <v>5202305.2</v>
      </c>
      <c r="G14" s="134">
        <f>AVERAGE(F12:G12)*IRR!$E$4</f>
        <v>9364149.3599999994</v>
      </c>
      <c r="H14" s="134">
        <f>AVERAGE(G12:H12)*IRR!$E$4</f>
        <v>7283227.2800000012</v>
      </c>
      <c r="I14" s="134">
        <f>AVERAGE(H12:I12)*IRR!$E$4</f>
        <v>5202305.2000000011</v>
      </c>
      <c r="J14" s="134">
        <f>AVERAGE(I12:J12)*IRR!$E$4</f>
        <v>3121383.120000001</v>
      </c>
      <c r="K14" s="134">
        <f>AVERAGE(J12:K12)*IRR!$E$4</f>
        <v>1040461.0400000005</v>
      </c>
    </row>
    <row r="15" spans="1:20" x14ac:dyDescent="0.3">
      <c r="A15" s="132">
        <f>A12+1</f>
        <v>2019</v>
      </c>
      <c r="B15" t="s">
        <v>106</v>
      </c>
      <c r="C15" s="133"/>
      <c r="D15" s="134"/>
      <c r="E15" s="134"/>
      <c r="F15" s="134"/>
      <c r="G15" s="134"/>
      <c r="H15" s="134">
        <f>G15-G16</f>
        <v>0</v>
      </c>
      <c r="I15" s="134">
        <f>H15-G16</f>
        <v>0</v>
      </c>
      <c r="J15" s="134">
        <f>I15-G16</f>
        <v>0</v>
      </c>
      <c r="K15" s="134">
        <f>J15-G16</f>
        <v>0</v>
      </c>
      <c r="L15" s="134">
        <f>K15-G16</f>
        <v>0</v>
      </c>
    </row>
    <row r="16" spans="1:20" x14ac:dyDescent="0.3">
      <c r="B16" t="s">
        <v>107</v>
      </c>
      <c r="C16" s="133"/>
      <c r="D16" s="134"/>
      <c r="E16" s="134"/>
      <c r="F16" s="134"/>
      <c r="G16" s="134">
        <f>G15/B2</f>
        <v>0</v>
      </c>
      <c r="H16" s="134"/>
      <c r="I16" s="134"/>
      <c r="J16" s="134"/>
      <c r="K16" s="134"/>
      <c r="L16" s="134"/>
    </row>
    <row r="17" spans="1:18" x14ac:dyDescent="0.3">
      <c r="B17" t="s">
        <v>108</v>
      </c>
      <c r="C17" s="133"/>
      <c r="D17" s="134"/>
      <c r="E17" s="133"/>
      <c r="F17" s="134"/>
      <c r="G17" s="133">
        <f>((G15*IRR!E4*6)/12)</f>
        <v>0</v>
      </c>
      <c r="H17" s="134">
        <f>AVERAGE(G15:H15)*IRR!$E$4</f>
        <v>0</v>
      </c>
      <c r="I17" s="134">
        <f>AVERAGE(H15:I15)*IRR!$E$4</f>
        <v>0</v>
      </c>
      <c r="J17" s="134">
        <f>AVERAGE(I15:J15)*IRR!$E$4</f>
        <v>0</v>
      </c>
      <c r="K17" s="134">
        <f>AVERAGE(J15:K15)*IRR!$E$4</f>
        <v>0</v>
      </c>
      <c r="L17" s="134">
        <f>AVERAGE(K15:L15)*IRR!$E$4</f>
        <v>0</v>
      </c>
    </row>
    <row r="18" spans="1:18" x14ac:dyDescent="0.3">
      <c r="A18" s="132">
        <f>A15+1</f>
        <v>2020</v>
      </c>
      <c r="B18" t="s">
        <v>106</v>
      </c>
      <c r="C18" s="133"/>
      <c r="D18" s="134"/>
      <c r="E18" s="134"/>
      <c r="F18" s="134"/>
      <c r="H18" s="134"/>
      <c r="I18" s="134">
        <f>H18-H19</f>
        <v>0</v>
      </c>
      <c r="J18" s="134">
        <f>I18-H19</f>
        <v>0</v>
      </c>
      <c r="K18" s="134">
        <f>J18-H19</f>
        <v>0</v>
      </c>
      <c r="L18" s="134">
        <f>K18-H19</f>
        <v>0</v>
      </c>
      <c r="M18" s="134">
        <f>L18-H19</f>
        <v>0</v>
      </c>
    </row>
    <row r="19" spans="1:18" x14ac:dyDescent="0.3">
      <c r="B19" t="s">
        <v>107</v>
      </c>
      <c r="C19" s="133"/>
      <c r="D19" s="134"/>
      <c r="E19" s="134"/>
      <c r="F19" s="134"/>
      <c r="H19" s="134">
        <f>H18/B2</f>
        <v>0</v>
      </c>
      <c r="I19" s="134"/>
      <c r="J19" s="134"/>
      <c r="K19" s="134"/>
      <c r="L19" s="134"/>
      <c r="M19" s="134"/>
    </row>
    <row r="20" spans="1:18" x14ac:dyDescent="0.3">
      <c r="B20" t="s">
        <v>108</v>
      </c>
      <c r="C20" s="133"/>
      <c r="D20" s="134"/>
      <c r="E20" s="133"/>
      <c r="F20" s="134"/>
      <c r="H20" s="133">
        <f>((H18*IRR!E4*6)/12)</f>
        <v>0</v>
      </c>
      <c r="I20" s="134">
        <f>AVERAGE(H18:I18)*IRR!$E$4</f>
        <v>0</v>
      </c>
      <c r="J20" s="134">
        <f>AVERAGE(I18:J18)*IRR!$E$4</f>
        <v>0</v>
      </c>
      <c r="K20" s="134">
        <f>AVERAGE(J18:K18)*IRR!$E$4</f>
        <v>0</v>
      </c>
      <c r="L20" s="134">
        <f>AVERAGE(K18:L18)*IRR!$E$4</f>
        <v>0</v>
      </c>
      <c r="M20" s="134">
        <f>AVERAGE(L18:M18)*IRR!$E$4</f>
        <v>0</v>
      </c>
    </row>
    <row r="21" spans="1:18" x14ac:dyDescent="0.3">
      <c r="A21" s="132">
        <f>A18+1</f>
        <v>2021</v>
      </c>
      <c r="B21" t="s">
        <v>106</v>
      </c>
      <c r="C21" s="133"/>
      <c r="D21" s="134"/>
      <c r="E21" s="134"/>
      <c r="F21" s="134"/>
      <c r="I21" s="134">
        <v>13044212</v>
      </c>
      <c r="J21" s="134">
        <f>I21-I22</f>
        <v>10435369.6</v>
      </c>
      <c r="K21" s="134">
        <f>J21-I22</f>
        <v>7826527.1999999993</v>
      </c>
      <c r="L21" s="134">
        <f>K21-I22</f>
        <v>5217684.7999999989</v>
      </c>
      <c r="M21" s="134">
        <f>L21-I22</f>
        <v>2608842.399999999</v>
      </c>
      <c r="N21" s="134">
        <f>M21-I22</f>
        <v>0</v>
      </c>
    </row>
    <row r="22" spans="1:18" x14ac:dyDescent="0.3">
      <c r="B22" t="s">
        <v>107</v>
      </c>
      <c r="C22" s="133"/>
      <c r="D22" s="134"/>
      <c r="E22" s="134"/>
      <c r="F22" s="134"/>
      <c r="I22" s="134">
        <f>I21/B2</f>
        <v>2608842.4</v>
      </c>
      <c r="J22" s="134"/>
      <c r="K22" s="134"/>
      <c r="L22" s="134"/>
      <c r="M22" s="134"/>
      <c r="N22" s="134"/>
    </row>
    <row r="23" spans="1:18" x14ac:dyDescent="0.3">
      <c r="B23" t="s">
        <v>108</v>
      </c>
      <c r="C23" s="133"/>
      <c r="D23" s="134"/>
      <c r="E23" s="133"/>
      <c r="F23" s="134"/>
      <c r="I23" s="133">
        <f>((I21*IRR!E4*6)/12)</f>
        <v>652210.60000000009</v>
      </c>
      <c r="J23" s="134">
        <f>AVERAGE(I21:J21)*IRR!$E$4</f>
        <v>1173979.08</v>
      </c>
      <c r="K23" s="134">
        <f>AVERAGE(J21:K21)*IRR!$E$4</f>
        <v>913094.83999999985</v>
      </c>
      <c r="L23" s="134">
        <f>AVERAGE(K21:L21)*IRR!$E$4</f>
        <v>652210.6</v>
      </c>
      <c r="M23" s="134">
        <f>AVERAGE(L21:M21)*IRR!$E$4</f>
        <v>391326.35999999987</v>
      </c>
      <c r="N23" s="134">
        <f>AVERAGE(M21:N21)*IRR!$E$4</f>
        <v>130442.11999999995</v>
      </c>
    </row>
    <row r="24" spans="1:18" x14ac:dyDescent="0.3">
      <c r="A24" s="132">
        <f>A21+1</f>
        <v>2022</v>
      </c>
      <c r="B24" t="s">
        <v>106</v>
      </c>
      <c r="C24" s="133"/>
      <c r="D24" s="134"/>
      <c r="E24" s="134"/>
      <c r="F24" s="134"/>
      <c r="J24" s="134"/>
      <c r="K24" s="134">
        <f>J24-J25</f>
        <v>0</v>
      </c>
      <c r="L24" s="134">
        <f>K24-J25</f>
        <v>0</v>
      </c>
      <c r="M24" s="134">
        <f>L24-J25</f>
        <v>0</v>
      </c>
      <c r="N24" s="134">
        <f>M24-J25</f>
        <v>0</v>
      </c>
      <c r="O24" s="134">
        <f>N24-J25</f>
        <v>0</v>
      </c>
    </row>
    <row r="25" spans="1:18" x14ac:dyDescent="0.3">
      <c r="B25" t="s">
        <v>107</v>
      </c>
      <c r="C25" s="133"/>
      <c r="D25" s="134"/>
      <c r="E25" s="134"/>
      <c r="F25" s="134"/>
      <c r="J25" s="134">
        <f>J24/B2</f>
        <v>0</v>
      </c>
      <c r="K25" s="134"/>
      <c r="L25" s="134"/>
      <c r="M25" s="134"/>
      <c r="N25" s="134"/>
      <c r="O25" s="134"/>
    </row>
    <row r="26" spans="1:18" x14ac:dyDescent="0.3">
      <c r="B26" t="s">
        <v>108</v>
      </c>
      <c r="C26" s="133"/>
      <c r="D26" s="134"/>
      <c r="E26" s="133"/>
      <c r="F26" s="134"/>
      <c r="J26" s="133">
        <f>((J24*IRR!E4*6)/12)</f>
        <v>0</v>
      </c>
      <c r="K26" s="134">
        <f>AVERAGE(J24:K24)*IRR!$E$4</f>
        <v>0</v>
      </c>
      <c r="L26" s="134">
        <f>AVERAGE(K24:L24)*IRR!$E$4</f>
        <v>0</v>
      </c>
      <c r="M26" s="134">
        <f>AVERAGE(L24:M24)*IRR!$E$4</f>
        <v>0</v>
      </c>
      <c r="N26" s="134">
        <f>AVERAGE(M24:N24)*IRR!$E$4</f>
        <v>0</v>
      </c>
      <c r="O26" s="134">
        <f>AVERAGE(N24:O24)*IRR!$E$4</f>
        <v>0</v>
      </c>
    </row>
    <row r="27" spans="1:18" x14ac:dyDescent="0.3">
      <c r="A27" s="132">
        <f>A24+1</f>
        <v>2023</v>
      </c>
      <c r="B27" t="s">
        <v>106</v>
      </c>
      <c r="C27" s="133"/>
      <c r="D27" s="134"/>
      <c r="E27" s="134"/>
      <c r="F27" s="134"/>
      <c r="L27" s="134"/>
      <c r="M27" s="134">
        <f>L27-L28</f>
        <v>0</v>
      </c>
      <c r="N27" s="134">
        <f>M27-L28</f>
        <v>0</v>
      </c>
      <c r="O27" s="134">
        <f>N27-L28</f>
        <v>0</v>
      </c>
      <c r="P27" s="134">
        <f>O27-L28</f>
        <v>0</v>
      </c>
      <c r="Q27" s="134">
        <f>P27-L28</f>
        <v>0</v>
      </c>
    </row>
    <row r="28" spans="1:18" x14ac:dyDescent="0.3">
      <c r="B28" t="s">
        <v>107</v>
      </c>
      <c r="C28" s="133"/>
      <c r="D28" s="134"/>
      <c r="E28" s="134"/>
      <c r="F28" s="134"/>
      <c r="L28" s="134">
        <f>L27/B2</f>
        <v>0</v>
      </c>
      <c r="M28" s="134"/>
      <c r="N28" s="134"/>
      <c r="O28" s="134"/>
      <c r="P28" s="134"/>
      <c r="Q28" s="134"/>
    </row>
    <row r="29" spans="1:18" x14ac:dyDescent="0.3">
      <c r="B29" t="s">
        <v>108</v>
      </c>
      <c r="C29" s="133"/>
      <c r="D29" s="134"/>
      <c r="E29" s="133"/>
      <c r="F29" s="134"/>
      <c r="L29" s="133">
        <f>((L27*IRR!E4*6)/12)</f>
        <v>0</v>
      </c>
      <c r="M29" s="134">
        <f>AVERAGE(L27:M27)*IRR!$E$4</f>
        <v>0</v>
      </c>
      <c r="N29" s="134">
        <f>AVERAGE(M27:N27)*IRR!$E$4</f>
        <v>0</v>
      </c>
      <c r="O29" s="134">
        <f>AVERAGE(N27:O27)*IRR!$E$4</f>
        <v>0</v>
      </c>
      <c r="P29" s="134">
        <f>AVERAGE(O27:P27)*IRR!$E$4</f>
        <v>0</v>
      </c>
      <c r="Q29" s="134">
        <f>AVERAGE(P27:Q27)*IRR!$E$4</f>
        <v>0</v>
      </c>
    </row>
    <row r="30" spans="1:18" x14ac:dyDescent="0.3">
      <c r="A30">
        <f>A27+1</f>
        <v>2024</v>
      </c>
      <c r="B30" t="s">
        <v>106</v>
      </c>
      <c r="C30" s="133"/>
      <c r="D30" s="134"/>
      <c r="E30" s="133"/>
      <c r="F30" s="134"/>
      <c r="L30" s="133"/>
      <c r="M30" s="134"/>
      <c r="N30" s="134">
        <f>M30-M31</f>
        <v>0</v>
      </c>
      <c r="O30" s="134">
        <f>N30-M31</f>
        <v>0</v>
      </c>
      <c r="P30" s="134">
        <f>O30-M31</f>
        <v>0</v>
      </c>
      <c r="Q30" s="134">
        <f>P30-M31</f>
        <v>0</v>
      </c>
      <c r="R30" s="134">
        <f>Q30-M31</f>
        <v>0</v>
      </c>
    </row>
    <row r="31" spans="1:18" x14ac:dyDescent="0.3">
      <c r="B31" t="s">
        <v>107</v>
      </c>
      <c r="C31" s="133"/>
      <c r="D31" s="134"/>
      <c r="E31" s="133"/>
      <c r="F31" s="134"/>
      <c r="L31" s="133"/>
      <c r="M31" s="134">
        <f>M30/B2</f>
        <v>0</v>
      </c>
      <c r="N31" s="134"/>
      <c r="O31" s="134"/>
      <c r="P31" s="134"/>
      <c r="Q31" s="134"/>
    </row>
    <row r="32" spans="1:18" x14ac:dyDescent="0.3">
      <c r="B32" t="s">
        <v>108</v>
      </c>
      <c r="C32" s="133"/>
      <c r="D32" s="134"/>
      <c r="E32" s="133"/>
      <c r="F32" s="134"/>
      <c r="L32" s="133"/>
      <c r="M32" s="133">
        <f>((M30*IRR!E4*6)/12)</f>
        <v>0</v>
      </c>
      <c r="N32" s="134">
        <f>AVERAGE(M30:N30)*IRR!$E$4</f>
        <v>0</v>
      </c>
      <c r="O32" s="134">
        <f>AVERAGE(N30:O30)*IRR!$E$4</f>
        <v>0</v>
      </c>
      <c r="P32" s="134">
        <f>AVERAGE(O30:P30)*IRR!$E$4</f>
        <v>0</v>
      </c>
      <c r="Q32" s="134">
        <f>AVERAGE(P30:Q30)*IRR!$E$4</f>
        <v>0</v>
      </c>
      <c r="R32" s="134">
        <f>AVERAGE(Q30:R30)*IRR!$E$4</f>
        <v>0</v>
      </c>
    </row>
    <row r="33" spans="1:18" x14ac:dyDescent="0.3">
      <c r="C33" s="133"/>
      <c r="D33" s="134"/>
      <c r="E33" s="134"/>
      <c r="F33" s="134"/>
      <c r="G33" s="134"/>
      <c r="H33" s="134"/>
      <c r="I33" s="134"/>
      <c r="J33" s="134"/>
      <c r="K33" s="134"/>
    </row>
    <row r="34" spans="1:18" x14ac:dyDescent="0.3">
      <c r="A34" s="129"/>
      <c r="B34" s="136" t="s">
        <v>109</v>
      </c>
      <c r="C34" s="137">
        <f t="shared" ref="C34:L34" si="5">C5+C8+C11+C14+C17+C20+C23+C26+C29+C32</f>
        <v>61644347.650000006</v>
      </c>
      <c r="D34" s="137">
        <f t="shared" si="5"/>
        <v>114904185.77000001</v>
      </c>
      <c r="E34" s="137">
        <f t="shared" si="5"/>
        <v>93401934.709999993</v>
      </c>
      <c r="F34" s="137">
        <f t="shared" si="5"/>
        <v>72368756.850000009</v>
      </c>
      <c r="G34" s="137">
        <f t="shared" si="5"/>
        <v>50295117.949999996</v>
      </c>
      <c r="H34" s="137">
        <f t="shared" si="5"/>
        <v>21978712.809999999</v>
      </c>
      <c r="I34" s="137">
        <f>I5+I8+I11+I14+I17+I20+I23+I26+I29+I32</f>
        <v>7432259.8000000007</v>
      </c>
      <c r="J34" s="137">
        <f t="shared" si="5"/>
        <v>4295362.2000000011</v>
      </c>
      <c r="K34" s="137">
        <f t="shared" si="5"/>
        <v>1953555.8800000004</v>
      </c>
      <c r="L34" s="137">
        <f t="shared" si="5"/>
        <v>652210.6</v>
      </c>
      <c r="M34" s="137">
        <f t="shared" ref="M34:Q34" si="6">M5+M8+M11+M14+M17+M20+M23+M26+M29+M32</f>
        <v>391326.35999999987</v>
      </c>
      <c r="N34" s="137">
        <f t="shared" si="6"/>
        <v>130442.11999999995</v>
      </c>
      <c r="O34" s="137">
        <f t="shared" si="6"/>
        <v>0</v>
      </c>
      <c r="P34" s="137">
        <f t="shared" si="6"/>
        <v>0</v>
      </c>
      <c r="Q34" s="137">
        <f t="shared" si="6"/>
        <v>0</v>
      </c>
      <c r="R34" s="137">
        <f>R5+R8+R11+R14+R17+R20+R23+R26+R29+R32</f>
        <v>2016</v>
      </c>
    </row>
    <row r="35" spans="1:18" x14ac:dyDescent="0.3">
      <c r="B35" s="133"/>
      <c r="C35" s="134"/>
      <c r="D35" s="134"/>
      <c r="E35" s="134"/>
      <c r="F35" s="134"/>
      <c r="G35" s="134"/>
      <c r="H35" s="134"/>
      <c r="I35" s="134"/>
      <c r="J35" s="134"/>
      <c r="K35" s="134"/>
    </row>
    <row r="36" spans="1:18" x14ac:dyDescent="0.3">
      <c r="A36" s="138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8"/>
      <c r="N36" s="138"/>
      <c r="O36" s="138"/>
    </row>
    <row r="37" spans="1:18" x14ac:dyDescent="0.3">
      <c r="A37" s="128" t="s">
        <v>110</v>
      </c>
    </row>
    <row r="38" spans="1:18" x14ac:dyDescent="0.3">
      <c r="A38" t="s">
        <v>111</v>
      </c>
      <c r="B38" t="s">
        <v>112</v>
      </c>
      <c r="C38" s="139">
        <v>50000000</v>
      </c>
    </row>
    <row r="39" spans="1:18" x14ac:dyDescent="0.3">
      <c r="A39" t="s">
        <v>113</v>
      </c>
      <c r="B39" t="s">
        <v>112</v>
      </c>
      <c r="C39" s="139">
        <v>20000000</v>
      </c>
    </row>
    <row r="40" spans="1:18" x14ac:dyDescent="0.3">
      <c r="A40" t="s">
        <v>114</v>
      </c>
      <c r="B40" s="140" t="s">
        <v>115</v>
      </c>
      <c r="C40" s="139"/>
    </row>
    <row r="41" spans="1:18" x14ac:dyDescent="0.3">
      <c r="A41" t="s">
        <v>116</v>
      </c>
      <c r="B41" s="140" t="s">
        <v>115</v>
      </c>
      <c r="C41" s="139"/>
    </row>
    <row r="43" spans="1:18" x14ac:dyDescent="0.3">
      <c r="A43" s="141" t="s">
        <v>50</v>
      </c>
      <c r="B43" s="137">
        <f>C38</f>
        <v>50000000</v>
      </c>
      <c r="C43" s="142">
        <f>B43+C44</f>
        <v>51000000</v>
      </c>
      <c r="D43" s="142">
        <f>C43+D45</f>
        <v>52020000</v>
      </c>
      <c r="E43" s="142">
        <f t="shared" ref="E43:K43" si="7">D43+E45</f>
        <v>53060400</v>
      </c>
      <c r="F43" s="142">
        <f t="shared" si="7"/>
        <v>54121608</v>
      </c>
      <c r="G43" s="142">
        <f t="shared" si="7"/>
        <v>55204040.159999996</v>
      </c>
      <c r="H43" s="142">
        <f t="shared" si="7"/>
        <v>56308120.963199995</v>
      </c>
      <c r="I43" s="142">
        <f t="shared" si="7"/>
        <v>57434283.382463992</v>
      </c>
      <c r="J43" s="142">
        <f t="shared" si="7"/>
        <v>58582969.050113268</v>
      </c>
      <c r="K43" s="142">
        <f t="shared" si="7"/>
        <v>59754628.43111553</v>
      </c>
    </row>
    <row r="44" spans="1:18" x14ac:dyDescent="0.3">
      <c r="A44" s="143">
        <v>0.02</v>
      </c>
      <c r="B44" s="141"/>
      <c r="C44" s="142">
        <f>C45</f>
        <v>1000000</v>
      </c>
      <c r="D44" s="142">
        <f>C44+D45</f>
        <v>2020000</v>
      </c>
      <c r="E44" s="142">
        <f t="shared" ref="E44:K44" si="8">D44+E45</f>
        <v>3060400</v>
      </c>
      <c r="F44" s="142">
        <f t="shared" si="8"/>
        <v>4121608</v>
      </c>
      <c r="G44" s="142">
        <f t="shared" si="8"/>
        <v>5204040.16</v>
      </c>
      <c r="H44" s="142">
        <f t="shared" si="8"/>
        <v>6308120.9632000001</v>
      </c>
      <c r="I44" s="142">
        <f t="shared" si="8"/>
        <v>7434283.382464</v>
      </c>
      <c r="J44" s="142">
        <f t="shared" si="8"/>
        <v>8582969.0501132794</v>
      </c>
      <c r="K44" s="142">
        <f t="shared" si="8"/>
        <v>9754628.4311155453</v>
      </c>
    </row>
    <row r="45" spans="1:18" x14ac:dyDescent="0.3">
      <c r="A45" s="141"/>
      <c r="B45" s="141"/>
      <c r="C45" s="142">
        <f t="shared" ref="C45:K45" si="9">B43*$A$44</f>
        <v>1000000</v>
      </c>
      <c r="D45" s="142">
        <f t="shared" si="9"/>
        <v>1020000</v>
      </c>
      <c r="E45" s="142">
        <f t="shared" si="9"/>
        <v>1040400</v>
      </c>
      <c r="F45" s="142">
        <f t="shared" si="9"/>
        <v>1061208</v>
      </c>
      <c r="G45" s="142">
        <f t="shared" si="9"/>
        <v>1082432.1599999999</v>
      </c>
      <c r="H45" s="142">
        <f t="shared" si="9"/>
        <v>1104080.8032</v>
      </c>
      <c r="I45" s="142">
        <f t="shared" si="9"/>
        <v>1126162.4192639999</v>
      </c>
      <c r="J45" s="142">
        <f t="shared" si="9"/>
        <v>1148685.6676492798</v>
      </c>
      <c r="K45" s="142">
        <f t="shared" si="9"/>
        <v>1171659.3810022655</v>
      </c>
    </row>
    <row r="46" spans="1:18" x14ac:dyDescent="0.3">
      <c r="C46" s="134"/>
      <c r="D46" s="134"/>
      <c r="E46" s="134"/>
      <c r="F46" s="134"/>
      <c r="G46" s="134"/>
      <c r="H46" s="134"/>
      <c r="I46" s="134"/>
      <c r="J46" s="134"/>
      <c r="K46" s="134"/>
    </row>
    <row r="47" spans="1:18" x14ac:dyDescent="0.3">
      <c r="A47" s="138"/>
      <c r="B47" s="138"/>
      <c r="C47" s="144"/>
      <c r="D47" s="144"/>
      <c r="E47" s="144"/>
      <c r="F47" s="144"/>
      <c r="G47" s="144"/>
      <c r="H47" s="144"/>
      <c r="I47" s="144"/>
      <c r="J47" s="144"/>
      <c r="K47" s="144"/>
      <c r="L47" s="138"/>
      <c r="M47" s="138"/>
      <c r="N47" s="138"/>
      <c r="O47" s="138"/>
    </row>
    <row r="48" spans="1:18" x14ac:dyDescent="0.3">
      <c r="A48" s="128" t="s">
        <v>117</v>
      </c>
      <c r="C48" s="134"/>
      <c r="D48" s="134"/>
      <c r="E48" s="134"/>
      <c r="F48" s="134"/>
      <c r="G48" s="134"/>
      <c r="H48" s="134"/>
      <c r="I48" s="134"/>
      <c r="J48" s="134"/>
      <c r="K48" s="134"/>
    </row>
    <row r="49" spans="1:11" x14ac:dyDescent="0.3">
      <c r="A49" t="s">
        <v>118</v>
      </c>
      <c r="C49" s="134"/>
      <c r="D49" s="134"/>
      <c r="E49" s="134"/>
      <c r="F49" s="134"/>
      <c r="G49" s="134"/>
      <c r="H49" s="134"/>
      <c r="I49" s="134"/>
      <c r="J49" s="134"/>
      <c r="K49" s="134"/>
    </row>
    <row r="50" spans="1:11" x14ac:dyDescent="0.3">
      <c r="A50" t="s">
        <v>119</v>
      </c>
      <c r="C50" s="134"/>
      <c r="D50" s="134"/>
      <c r="E50" s="134"/>
      <c r="F50" s="134"/>
      <c r="G50" s="134"/>
      <c r="H50" s="134"/>
      <c r="I50" s="134"/>
      <c r="J50" s="134"/>
      <c r="K50" s="134"/>
    </row>
    <row r="51" spans="1:11" x14ac:dyDescent="0.3">
      <c r="A51" t="s">
        <v>120</v>
      </c>
      <c r="C51" s="134"/>
      <c r="D51" s="134"/>
      <c r="E51" s="134"/>
      <c r="F51" s="134"/>
      <c r="G51" s="134"/>
      <c r="H51" s="134"/>
      <c r="I51" s="134"/>
      <c r="J51" s="134"/>
      <c r="K51" s="134"/>
    </row>
    <row r="52" spans="1:11" x14ac:dyDescent="0.3">
      <c r="A52" t="s">
        <v>121</v>
      </c>
      <c r="C52" s="134"/>
      <c r="D52" s="134"/>
      <c r="E52" s="134"/>
      <c r="F52" s="134"/>
      <c r="G52" s="134"/>
      <c r="H52" s="134"/>
      <c r="I52" s="134"/>
      <c r="J52" s="134"/>
      <c r="K52" s="134"/>
    </row>
    <row r="53" spans="1:11" x14ac:dyDescent="0.3">
      <c r="A53" s="145" t="s">
        <v>122</v>
      </c>
      <c r="B53" s="146"/>
      <c r="C53" s="147"/>
      <c r="D53" s="134"/>
      <c r="E53" s="134"/>
      <c r="F53" s="134"/>
      <c r="G53" s="134"/>
      <c r="H53" s="134"/>
      <c r="I53" s="134"/>
      <c r="J53" s="134"/>
      <c r="K53" s="134"/>
    </row>
    <row r="54" spans="1:11" x14ac:dyDescent="0.3">
      <c r="C54" s="134"/>
      <c r="D54" s="134"/>
      <c r="E54" s="134"/>
      <c r="F54" s="134"/>
      <c r="G54" s="134"/>
      <c r="H54" s="134"/>
      <c r="I54" s="134"/>
      <c r="J54" s="134"/>
      <c r="K54" s="134"/>
    </row>
    <row r="55" spans="1:11" x14ac:dyDescent="0.3">
      <c r="A55" s="148" t="s">
        <v>123</v>
      </c>
      <c r="B55" s="131" t="s">
        <v>124</v>
      </c>
      <c r="D55" s="148" t="s">
        <v>125</v>
      </c>
      <c r="E55" s="131" t="s">
        <v>126</v>
      </c>
      <c r="G55" s="242" t="s">
        <v>121</v>
      </c>
      <c r="H55" s="243"/>
      <c r="J55" s="131" t="s">
        <v>127</v>
      </c>
      <c r="K55" s="131" t="s">
        <v>128</v>
      </c>
    </row>
    <row r="56" spans="1:11" x14ac:dyDescent="0.3">
      <c r="A56" t="s">
        <v>129</v>
      </c>
      <c r="B56" s="133">
        <v>16800000</v>
      </c>
      <c r="D56" t="s">
        <v>130</v>
      </c>
      <c r="E56" s="133">
        <v>7000000</v>
      </c>
      <c r="G56" t="s">
        <v>131</v>
      </c>
      <c r="H56" s="133">
        <v>10000000</v>
      </c>
      <c r="J56" t="s">
        <v>129</v>
      </c>
      <c r="K56" s="133">
        <v>4000000</v>
      </c>
    </row>
    <row r="57" spans="1:11" x14ac:dyDescent="0.3">
      <c r="A57" t="s">
        <v>132</v>
      </c>
      <c r="B57" s="133"/>
      <c r="G57" t="s">
        <v>133</v>
      </c>
      <c r="H57" s="133">
        <v>12000000</v>
      </c>
      <c r="J57" t="s">
        <v>132</v>
      </c>
      <c r="K57" s="133">
        <v>3000000</v>
      </c>
    </row>
    <row r="58" spans="1:11" x14ac:dyDescent="0.3">
      <c r="A58" t="s">
        <v>134</v>
      </c>
      <c r="B58" s="133">
        <v>15600000</v>
      </c>
      <c r="G58" t="s">
        <v>135</v>
      </c>
      <c r="H58" s="133">
        <v>14000000</v>
      </c>
      <c r="J58" t="s">
        <v>134</v>
      </c>
      <c r="K58" s="133">
        <v>2500000</v>
      </c>
    </row>
    <row r="59" spans="1:11" x14ac:dyDescent="0.3">
      <c r="A59" t="s">
        <v>136</v>
      </c>
      <c r="B59" s="133">
        <v>15000000</v>
      </c>
      <c r="G59" t="s">
        <v>137</v>
      </c>
      <c r="H59" s="133">
        <v>14000000</v>
      </c>
      <c r="J59" t="s">
        <v>136</v>
      </c>
      <c r="K59" s="133">
        <v>2000000</v>
      </c>
    </row>
    <row r="60" spans="1:11" x14ac:dyDescent="0.3">
      <c r="A60" t="s">
        <v>138</v>
      </c>
      <c r="B60" s="133">
        <v>15000000</v>
      </c>
      <c r="G60" t="s">
        <v>129</v>
      </c>
      <c r="H60" s="133">
        <v>17000000</v>
      </c>
      <c r="J60" t="s">
        <v>138</v>
      </c>
      <c r="K60" s="133">
        <v>1850000</v>
      </c>
    </row>
    <row r="61" spans="1:11" x14ac:dyDescent="0.3">
      <c r="A61" t="s">
        <v>139</v>
      </c>
      <c r="B61" s="133">
        <v>12000000</v>
      </c>
      <c r="G61" t="s">
        <v>140</v>
      </c>
      <c r="H61" s="133">
        <v>14000000</v>
      </c>
      <c r="J61" t="s">
        <v>139</v>
      </c>
      <c r="K61" s="133">
        <v>1200000</v>
      </c>
    </row>
    <row r="62" spans="1:11" x14ac:dyDescent="0.3">
      <c r="A62" t="s">
        <v>140</v>
      </c>
      <c r="B62" s="133">
        <v>16800000</v>
      </c>
      <c r="J62" t="s">
        <v>140</v>
      </c>
      <c r="K62" s="133">
        <v>2000000</v>
      </c>
    </row>
    <row r="63" spans="1:11" x14ac:dyDescent="0.3">
      <c r="A63" t="s">
        <v>141</v>
      </c>
      <c r="B63" s="133">
        <v>15720000</v>
      </c>
      <c r="J63" t="s">
        <v>141</v>
      </c>
      <c r="K63" s="133">
        <v>3500000</v>
      </c>
    </row>
    <row r="64" spans="1:11" x14ac:dyDescent="0.3">
      <c r="A64" t="s">
        <v>142</v>
      </c>
      <c r="J64" t="s">
        <v>142</v>
      </c>
      <c r="K64" s="133">
        <v>2800000</v>
      </c>
    </row>
    <row r="65" spans="1:15" x14ac:dyDescent="0.3">
      <c r="A65" t="s">
        <v>143</v>
      </c>
      <c r="B65">
        <v>0</v>
      </c>
    </row>
    <row r="67" spans="1:15" x14ac:dyDescent="0.3">
      <c r="C67" s="134"/>
      <c r="D67" s="134"/>
      <c r="E67" s="134"/>
      <c r="F67" s="134"/>
      <c r="G67" s="134"/>
      <c r="H67" s="134"/>
      <c r="I67" s="134"/>
      <c r="J67" s="134"/>
      <c r="K67" s="134"/>
    </row>
    <row r="68" spans="1:15" ht="14.4" customHeight="1" x14ac:dyDescent="0.3">
      <c r="A68" s="244" t="s">
        <v>120</v>
      </c>
      <c r="B68" s="246" t="s">
        <v>94</v>
      </c>
      <c r="C68" s="246" t="s">
        <v>144</v>
      </c>
      <c r="D68" s="247" t="s">
        <v>145</v>
      </c>
      <c r="E68" s="149" t="s">
        <v>146</v>
      </c>
      <c r="F68" s="149" t="s">
        <v>147</v>
      </c>
      <c r="G68" s="149" t="s">
        <v>148</v>
      </c>
      <c r="H68" s="150" t="s">
        <v>149</v>
      </c>
      <c r="I68" s="237" t="s">
        <v>150</v>
      </c>
      <c r="J68" s="237" t="s">
        <v>151</v>
      </c>
    </row>
    <row r="69" spans="1:15" x14ac:dyDescent="0.3">
      <c r="A69" s="245"/>
      <c r="B69" s="246"/>
      <c r="C69" s="246"/>
      <c r="D69" s="247"/>
      <c r="E69" s="151">
        <v>1</v>
      </c>
      <c r="F69" s="152">
        <v>1</v>
      </c>
      <c r="G69" s="152">
        <v>1</v>
      </c>
      <c r="H69" s="153">
        <f>Summary!H9</f>
        <v>129</v>
      </c>
      <c r="I69" s="238"/>
      <c r="J69" s="238"/>
    </row>
    <row r="70" spans="1:15" x14ac:dyDescent="0.3">
      <c r="A70" s="239" t="s">
        <v>152</v>
      </c>
      <c r="B70" s="141" t="s">
        <v>127</v>
      </c>
      <c r="C70" s="154">
        <f>K63</f>
        <v>3500000</v>
      </c>
      <c r="D70" s="141" t="s">
        <v>146</v>
      </c>
      <c r="E70" s="131">
        <f>E69</f>
        <v>1</v>
      </c>
      <c r="F70" s="131"/>
      <c r="G70" s="131"/>
      <c r="H70" s="155"/>
      <c r="I70" s="156">
        <f>E70*C70</f>
        <v>3500000</v>
      </c>
    </row>
    <row r="71" spans="1:15" x14ac:dyDescent="0.3">
      <c r="A71" s="240"/>
      <c r="B71" s="141" t="s">
        <v>153</v>
      </c>
      <c r="C71" s="157">
        <v>600000</v>
      </c>
      <c r="D71" s="141" t="s">
        <v>146</v>
      </c>
      <c r="E71" s="131">
        <f>E69</f>
        <v>1</v>
      </c>
      <c r="F71" s="131"/>
      <c r="G71" s="131"/>
      <c r="H71" s="155"/>
      <c r="I71" s="157">
        <f>C71*E71</f>
        <v>600000</v>
      </c>
    </row>
    <row r="72" spans="1:15" x14ac:dyDescent="0.3">
      <c r="A72" s="241"/>
      <c r="B72" s="141" t="s">
        <v>152</v>
      </c>
      <c r="C72" s="157">
        <v>200000</v>
      </c>
      <c r="D72" s="141" t="s">
        <v>154</v>
      </c>
      <c r="E72" s="131"/>
      <c r="F72" s="131">
        <f>F69</f>
        <v>1</v>
      </c>
      <c r="G72" s="131"/>
      <c r="H72" s="155"/>
      <c r="I72" s="157">
        <f>F72*C72</f>
        <v>200000</v>
      </c>
    </row>
    <row r="73" spans="1:15" x14ac:dyDescent="0.3">
      <c r="A73" s="141" t="s">
        <v>155</v>
      </c>
      <c r="B73" s="141" t="s">
        <v>155</v>
      </c>
      <c r="C73" s="157">
        <v>450000</v>
      </c>
      <c r="D73" s="141" t="s">
        <v>148</v>
      </c>
      <c r="E73" s="131">
        <f>E69</f>
        <v>1</v>
      </c>
      <c r="F73" s="131"/>
      <c r="G73" s="131">
        <f>G69</f>
        <v>1</v>
      </c>
      <c r="H73" s="155">
        <f>IF($H$69&lt;=120,2,IF($H$69&gt;220,4,3))</f>
        <v>3</v>
      </c>
      <c r="I73" s="157">
        <f>G73*C73*H73</f>
        <v>1350000</v>
      </c>
    </row>
    <row r="74" spans="1:15" x14ac:dyDescent="0.3">
      <c r="A74" s="141" t="s">
        <v>156</v>
      </c>
      <c r="B74" s="141" t="s">
        <v>156</v>
      </c>
      <c r="C74" s="157">
        <v>120000</v>
      </c>
      <c r="D74" s="141" t="s">
        <v>146</v>
      </c>
      <c r="E74" s="131">
        <f>E69</f>
        <v>1</v>
      </c>
      <c r="F74" s="131"/>
      <c r="G74" s="131"/>
      <c r="H74" s="155">
        <f>IF($H$69&lt;=120,2,IF($H$69&gt;220,4,3))</f>
        <v>3</v>
      </c>
      <c r="I74" s="157">
        <f>H74*C74*E74</f>
        <v>360000</v>
      </c>
    </row>
    <row r="75" spans="1:15" x14ac:dyDescent="0.3">
      <c r="I75" s="158">
        <f>SUM(I70:I74)</f>
        <v>6010000</v>
      </c>
      <c r="J75" s="159">
        <f>I75*2</f>
        <v>12020000</v>
      </c>
      <c r="K75" t="s">
        <v>157</v>
      </c>
    </row>
    <row r="76" spans="1:15" x14ac:dyDescent="0.3">
      <c r="J76" s="158">
        <f>I75*4</f>
        <v>24040000</v>
      </c>
      <c r="K76" t="s">
        <v>158</v>
      </c>
      <c r="L76" s="170">
        <f>J76+B63+E56</f>
        <v>46760000</v>
      </c>
    </row>
    <row r="77" spans="1:15" x14ac:dyDescent="0.3">
      <c r="K77" s="134"/>
      <c r="L77" s="170">
        <f>J75+B63+E56*1</f>
        <v>34740000</v>
      </c>
    </row>
    <row r="79" spans="1:15" x14ac:dyDescent="0.3">
      <c r="A79" s="138"/>
      <c r="B79" s="138"/>
      <c r="C79" s="144"/>
      <c r="D79" s="144"/>
      <c r="E79" s="144"/>
      <c r="F79" s="144"/>
      <c r="G79" s="144"/>
      <c r="H79" s="144"/>
      <c r="I79" s="144"/>
      <c r="J79" s="144"/>
      <c r="K79" s="144"/>
      <c r="L79" s="138"/>
      <c r="M79" s="138"/>
      <c r="N79" s="138"/>
      <c r="O79" s="138"/>
    </row>
    <row r="80" spans="1:15" x14ac:dyDescent="0.3">
      <c r="A80" s="128" t="s">
        <v>159</v>
      </c>
    </row>
    <row r="82" spans="1:15" x14ac:dyDescent="0.3">
      <c r="A82" s="141" t="s">
        <v>159</v>
      </c>
      <c r="B82" s="134"/>
    </row>
    <row r="83" spans="1:15" x14ac:dyDescent="0.3">
      <c r="A83" t="s">
        <v>160</v>
      </c>
    </row>
    <row r="84" spans="1:15" x14ac:dyDescent="0.3">
      <c r="A84" t="s">
        <v>161</v>
      </c>
      <c r="B84" s="133">
        <v>36000000</v>
      </c>
    </row>
    <row r="85" spans="1:15" x14ac:dyDescent="0.3">
      <c r="A85" t="s">
        <v>162</v>
      </c>
      <c r="B85" s="133">
        <v>42000000</v>
      </c>
    </row>
    <row r="86" spans="1:15" x14ac:dyDescent="0.3">
      <c r="A86" t="s">
        <v>163</v>
      </c>
      <c r="B86" s="133">
        <v>48000000</v>
      </c>
    </row>
    <row r="88" spans="1:15" x14ac:dyDescent="0.3">
      <c r="A88" t="s">
        <v>164</v>
      </c>
    </row>
    <row r="89" spans="1:15" x14ac:dyDescent="0.3">
      <c r="A89" t="s">
        <v>165</v>
      </c>
      <c r="B89" s="133">
        <v>75000000</v>
      </c>
    </row>
    <row r="90" spans="1:15" x14ac:dyDescent="0.3">
      <c r="A90" t="s">
        <v>163</v>
      </c>
      <c r="B90" s="133">
        <v>95000000</v>
      </c>
    </row>
    <row r="92" spans="1:15" x14ac:dyDescent="0.3">
      <c r="A92" s="138"/>
      <c r="B92" s="138"/>
      <c r="C92" s="144"/>
      <c r="D92" s="144"/>
      <c r="E92" s="144"/>
      <c r="F92" s="144"/>
      <c r="G92" s="144"/>
      <c r="H92" s="144"/>
      <c r="I92" s="144"/>
      <c r="J92" s="144"/>
      <c r="K92" s="144"/>
      <c r="L92" s="138"/>
      <c r="M92" s="138"/>
      <c r="N92" s="138"/>
      <c r="O92" s="138"/>
    </row>
    <row r="93" spans="1:15" x14ac:dyDescent="0.3">
      <c r="A93" s="128" t="s">
        <v>166</v>
      </c>
    </row>
    <row r="95" spans="1:15" x14ac:dyDescent="0.3">
      <c r="A95" t="s">
        <v>167</v>
      </c>
      <c r="C95" s="160">
        <v>150000000</v>
      </c>
    </row>
    <row r="96" spans="1:15" x14ac:dyDescent="0.3">
      <c r="A96" t="s">
        <v>168</v>
      </c>
      <c r="C96" s="160">
        <v>200000000</v>
      </c>
    </row>
    <row r="97" spans="1:15" x14ac:dyDescent="0.3">
      <c r="A97" t="s">
        <v>169</v>
      </c>
      <c r="C97" s="160">
        <v>85000000</v>
      </c>
    </row>
    <row r="98" spans="1:15" x14ac:dyDescent="0.3">
      <c r="A98" t="s">
        <v>170</v>
      </c>
      <c r="C98" s="160">
        <v>150000000</v>
      </c>
    </row>
    <row r="99" spans="1:15" x14ac:dyDescent="0.3">
      <c r="A99" t="s">
        <v>171</v>
      </c>
      <c r="C99" s="160">
        <v>50000000</v>
      </c>
    </row>
    <row r="101" spans="1:15" x14ac:dyDescent="0.3">
      <c r="A101" s="138"/>
      <c r="B101" s="138"/>
      <c r="C101" s="144"/>
      <c r="D101" s="144"/>
      <c r="E101" s="144"/>
      <c r="F101" s="144"/>
      <c r="G101" s="144"/>
      <c r="H101" s="144"/>
      <c r="I101" s="144"/>
      <c r="J101" s="144"/>
      <c r="K101" s="144"/>
      <c r="L101" s="138"/>
      <c r="M101" s="138"/>
      <c r="N101" s="138"/>
      <c r="O101" s="138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C40BD-C895-43EE-B31E-AFE81D530E5D}">
  <dimension ref="A2:M28"/>
  <sheetViews>
    <sheetView tabSelected="1" workbookViewId="0">
      <selection activeCell="M10" sqref="M10"/>
    </sheetView>
  </sheetViews>
  <sheetFormatPr defaultRowHeight="14.4" x14ac:dyDescent="0.3"/>
  <cols>
    <col min="1" max="1" width="27.109375" customWidth="1"/>
    <col min="2" max="2" width="12.88671875" customWidth="1"/>
    <col min="3" max="3" width="14" customWidth="1"/>
    <col min="4" max="4" width="8.88671875" customWidth="1"/>
    <col min="5" max="5" width="16.109375" bestFit="1" customWidth="1"/>
    <col min="6" max="6" width="14.33203125" bestFit="1" customWidth="1"/>
    <col min="8" max="8" width="17" customWidth="1"/>
  </cols>
  <sheetData>
    <row r="2" spans="1:13" x14ac:dyDescent="0.3">
      <c r="A2" s="248" t="s">
        <v>225</v>
      </c>
      <c r="B2" s="248"/>
      <c r="C2" s="248"/>
      <c r="D2" s="248"/>
      <c r="E2" s="248"/>
      <c r="F2" s="248"/>
      <c r="G2" s="188"/>
      <c r="H2" s="188"/>
      <c r="I2" s="188"/>
      <c r="J2" s="188"/>
      <c r="K2" s="188"/>
      <c r="L2" s="188"/>
      <c r="M2" s="188"/>
    </row>
    <row r="3" spans="1:13" x14ac:dyDescent="0.3">
      <c r="A3" s="189" t="s">
        <v>215</v>
      </c>
      <c r="B3" s="189" t="s">
        <v>216</v>
      </c>
      <c r="C3" s="189" t="s">
        <v>217</v>
      </c>
      <c r="D3" s="190"/>
      <c r="G3" s="188"/>
      <c r="H3" s="188"/>
      <c r="I3" s="188"/>
      <c r="J3" s="188"/>
      <c r="K3" s="188"/>
      <c r="L3" s="188"/>
      <c r="M3" s="188"/>
    </row>
    <row r="4" spans="1:13" x14ac:dyDescent="0.3">
      <c r="A4" s="191" t="s">
        <v>218</v>
      </c>
      <c r="B4" s="192">
        <v>45631</v>
      </c>
      <c r="C4" s="192">
        <v>46725</v>
      </c>
      <c r="D4" s="193"/>
      <c r="E4" s="193"/>
      <c r="F4" s="193"/>
      <c r="G4" s="193"/>
      <c r="H4" s="193"/>
      <c r="I4" s="193"/>
      <c r="J4" s="193"/>
      <c r="K4" s="193"/>
      <c r="L4" s="193"/>
      <c r="M4" s="193"/>
    </row>
    <row r="5" spans="1:13" x14ac:dyDescent="0.3">
      <c r="A5" s="191" t="s">
        <v>219</v>
      </c>
      <c r="B5" s="192">
        <v>43762</v>
      </c>
      <c r="C5" s="192">
        <v>45588</v>
      </c>
      <c r="D5" s="193"/>
      <c r="E5" s="194"/>
      <c r="F5" s="194"/>
      <c r="G5" s="188"/>
      <c r="H5" s="188"/>
      <c r="I5" s="188"/>
      <c r="J5" s="188"/>
      <c r="K5" s="188"/>
      <c r="L5" s="188"/>
      <c r="M5" s="188"/>
    </row>
    <row r="6" spans="1:13" x14ac:dyDescent="0.3">
      <c r="A6" s="191" t="s">
        <v>220</v>
      </c>
      <c r="B6" s="192">
        <v>45527</v>
      </c>
      <c r="C6" s="192">
        <v>47352</v>
      </c>
      <c r="D6" s="193"/>
      <c r="G6" s="188"/>
      <c r="H6" s="188"/>
      <c r="I6" s="188"/>
      <c r="J6" s="188"/>
      <c r="K6" s="188"/>
      <c r="L6" s="188"/>
      <c r="M6" s="188"/>
    </row>
    <row r="7" spans="1:13" x14ac:dyDescent="0.3">
      <c r="A7" s="188"/>
      <c r="G7" s="188"/>
      <c r="H7" s="188"/>
      <c r="I7" s="188"/>
      <c r="J7" s="188"/>
      <c r="K7" s="188"/>
      <c r="L7" s="188"/>
      <c r="M7" s="188"/>
    </row>
    <row r="8" spans="1:13" x14ac:dyDescent="0.3">
      <c r="A8" s="188"/>
      <c r="B8" s="189" t="s">
        <v>216</v>
      </c>
      <c r="C8" s="189" t="s">
        <v>217</v>
      </c>
      <c r="D8" s="189" t="s">
        <v>221</v>
      </c>
      <c r="E8" s="193"/>
      <c r="F8" s="193"/>
      <c r="G8" s="188"/>
      <c r="H8" s="188"/>
      <c r="I8" s="188"/>
      <c r="J8" s="188"/>
      <c r="K8" s="188"/>
      <c r="L8" s="188"/>
      <c r="M8" s="188"/>
    </row>
    <row r="9" spans="1:13" x14ac:dyDescent="0.3">
      <c r="A9" s="188" t="s">
        <v>230</v>
      </c>
      <c r="B9" s="188"/>
      <c r="C9" s="188"/>
      <c r="D9" s="188"/>
      <c r="E9" s="188"/>
      <c r="F9" s="188"/>
      <c r="G9" s="188"/>
      <c r="H9" s="188"/>
      <c r="I9" s="188"/>
      <c r="J9" s="188"/>
      <c r="K9" s="188"/>
      <c r="L9" s="188"/>
      <c r="M9" s="188"/>
    </row>
    <row r="10" spans="1:13" x14ac:dyDescent="0.3">
      <c r="A10" s="188" t="s">
        <v>218</v>
      </c>
      <c r="B10" s="195">
        <v>45527</v>
      </c>
      <c r="C10" s="195">
        <v>45631</v>
      </c>
      <c r="D10" s="196">
        <f>C10-B10</f>
        <v>104</v>
      </c>
      <c r="E10" s="197">
        <v>177600000</v>
      </c>
      <c r="F10" s="198">
        <f>E10/365*D10</f>
        <v>50603835.616438359</v>
      </c>
      <c r="G10" s="188"/>
      <c r="H10" s="188"/>
      <c r="I10" s="188"/>
      <c r="J10" s="188"/>
      <c r="K10" s="188"/>
      <c r="L10" s="188"/>
      <c r="M10" s="188"/>
    </row>
    <row r="11" spans="1:13" x14ac:dyDescent="0.3">
      <c r="A11" s="188" t="s">
        <v>219</v>
      </c>
      <c r="B11" s="195">
        <v>45527</v>
      </c>
      <c r="C11" s="195">
        <v>45588</v>
      </c>
      <c r="D11" s="196">
        <f>C11-B11</f>
        <v>61</v>
      </c>
      <c r="E11" s="197">
        <v>150000000</v>
      </c>
      <c r="F11" s="198">
        <f>E11/365*D11</f>
        <v>25068493.150684934</v>
      </c>
      <c r="G11" s="188"/>
      <c r="H11" s="188"/>
      <c r="I11" s="188"/>
      <c r="J11" s="188"/>
      <c r="K11" s="188"/>
      <c r="L11" s="188"/>
      <c r="M11" s="188"/>
    </row>
    <row r="12" spans="1:13" x14ac:dyDescent="0.3">
      <c r="A12" s="188" t="s">
        <v>222</v>
      </c>
      <c r="B12" s="195">
        <v>45527</v>
      </c>
      <c r="C12" s="195">
        <v>47352</v>
      </c>
      <c r="D12" s="196">
        <f t="shared" ref="D12:D14" si="0">C12-B12</f>
        <v>1825</v>
      </c>
      <c r="E12" s="197">
        <f>275000000/5</f>
        <v>55000000</v>
      </c>
      <c r="F12" s="198">
        <f>-E12/365*D12</f>
        <v>-275000000</v>
      </c>
      <c r="G12" s="188"/>
      <c r="H12" s="188"/>
      <c r="I12" s="188"/>
      <c r="J12" s="188"/>
      <c r="K12" s="188"/>
      <c r="L12" s="188"/>
      <c r="M12" s="188"/>
    </row>
    <row r="13" spans="1:13" x14ac:dyDescent="0.3">
      <c r="A13" s="188" t="s">
        <v>229</v>
      </c>
      <c r="B13" s="195">
        <v>45527</v>
      </c>
      <c r="C13" s="195">
        <v>45631</v>
      </c>
      <c r="D13" s="196">
        <f t="shared" si="0"/>
        <v>104</v>
      </c>
      <c r="E13" s="197">
        <v>42000000</v>
      </c>
      <c r="F13" s="198">
        <f>-E13/365*D13</f>
        <v>-11967123.287671233</v>
      </c>
      <c r="G13" s="188"/>
      <c r="H13" s="188"/>
      <c r="I13" s="188"/>
      <c r="J13" s="188"/>
      <c r="K13" s="188"/>
      <c r="L13" s="188"/>
      <c r="M13" s="188"/>
    </row>
    <row r="14" spans="1:13" x14ac:dyDescent="0.3">
      <c r="A14" s="188" t="s">
        <v>227</v>
      </c>
      <c r="B14" s="195">
        <v>45527</v>
      </c>
      <c r="C14" s="195">
        <v>45631</v>
      </c>
      <c r="D14" s="196">
        <f t="shared" si="0"/>
        <v>104</v>
      </c>
      <c r="E14" s="197">
        <v>14000000</v>
      </c>
      <c r="F14" s="198">
        <f>-E14/365*D14</f>
        <v>-3989041.0958904107</v>
      </c>
      <c r="G14" s="188"/>
      <c r="H14" s="188"/>
      <c r="I14" s="188"/>
      <c r="J14" s="188"/>
      <c r="K14" s="188"/>
      <c r="L14" s="188"/>
      <c r="M14" s="188"/>
    </row>
    <row r="15" spans="1:13" x14ac:dyDescent="0.3">
      <c r="A15" s="188" t="s">
        <v>228</v>
      </c>
      <c r="B15" s="195">
        <v>45527</v>
      </c>
      <c r="C15" s="195">
        <v>45588</v>
      </c>
      <c r="D15" s="196">
        <f t="shared" ref="D15" si="1">C15-B15</f>
        <v>61</v>
      </c>
      <c r="E15" s="197">
        <v>14000000</v>
      </c>
      <c r="F15" s="198">
        <f>-E15/365*D15</f>
        <v>-2339726.0273972601</v>
      </c>
      <c r="G15" s="188"/>
      <c r="H15" s="188"/>
      <c r="I15" s="188"/>
      <c r="J15" s="188"/>
      <c r="K15" s="188"/>
      <c r="L15" s="188"/>
      <c r="M15" s="188"/>
    </row>
    <row r="16" spans="1:13" x14ac:dyDescent="0.3">
      <c r="A16" s="188" t="s">
        <v>223</v>
      </c>
      <c r="B16" s="188"/>
      <c r="C16" s="188"/>
      <c r="D16" s="188"/>
      <c r="E16" s="199">
        <v>100000000</v>
      </c>
      <c r="F16" s="200"/>
      <c r="G16" s="188"/>
      <c r="H16" s="188"/>
      <c r="I16" s="188"/>
      <c r="J16" s="188"/>
      <c r="K16" s="188"/>
      <c r="L16" s="188"/>
      <c r="M16" s="188"/>
    </row>
    <row r="17" spans="1:13" x14ac:dyDescent="0.3">
      <c r="A17" s="188" t="s">
        <v>224</v>
      </c>
      <c r="B17" s="188"/>
      <c r="C17" s="188"/>
      <c r="D17" s="188"/>
      <c r="E17" s="188"/>
      <c r="F17" s="198">
        <f>SUM(F10:F16)</f>
        <v>-217623561.6438356</v>
      </c>
      <c r="G17" s="188"/>
      <c r="H17" s="188"/>
      <c r="I17" s="188"/>
      <c r="J17" s="188"/>
      <c r="K17" s="188"/>
      <c r="L17" s="188"/>
      <c r="M17" s="188"/>
    </row>
    <row r="18" spans="1:13" x14ac:dyDescent="0.3">
      <c r="A18" s="188"/>
      <c r="B18" s="188"/>
      <c r="C18" s="188"/>
      <c r="D18" s="188"/>
      <c r="E18" s="188"/>
      <c r="F18" s="188"/>
      <c r="G18" s="188"/>
      <c r="H18" s="188"/>
      <c r="I18" s="188"/>
      <c r="J18" s="188"/>
      <c r="K18" s="188"/>
      <c r="L18" s="188"/>
      <c r="M18" s="188"/>
    </row>
    <row r="19" spans="1:13" x14ac:dyDescent="0.3">
      <c r="A19" s="188" t="s">
        <v>232</v>
      </c>
      <c r="B19" s="188"/>
      <c r="C19" s="188"/>
      <c r="D19" s="188"/>
      <c r="E19" s="188"/>
      <c r="F19" s="188"/>
      <c r="G19" s="188"/>
      <c r="H19" s="188"/>
      <c r="I19" s="188"/>
      <c r="J19" s="188"/>
      <c r="K19" s="188"/>
      <c r="L19" s="188"/>
      <c r="M19" s="188"/>
    </row>
    <row r="20" spans="1:13" x14ac:dyDescent="0.3">
      <c r="A20" s="188" t="s">
        <v>218</v>
      </c>
      <c r="B20" s="195">
        <v>45527</v>
      </c>
      <c r="C20" s="195">
        <v>45631</v>
      </c>
      <c r="D20" s="196">
        <f>C20-B20</f>
        <v>104</v>
      </c>
      <c r="E20" s="197">
        <v>177600000</v>
      </c>
      <c r="F20" s="198">
        <f>E20/365*D20</f>
        <v>50603835.616438359</v>
      </c>
      <c r="G20" s="188"/>
      <c r="H20" s="188"/>
      <c r="I20" s="188"/>
      <c r="J20" s="188"/>
      <c r="K20" s="188"/>
      <c r="L20" s="188"/>
      <c r="M20" s="188"/>
    </row>
    <row r="21" spans="1:13" x14ac:dyDescent="0.3">
      <c r="A21" s="188" t="s">
        <v>218</v>
      </c>
      <c r="B21" s="195">
        <v>45632</v>
      </c>
      <c r="C21" s="195">
        <v>46725</v>
      </c>
      <c r="D21" s="196">
        <f>C21-B21</f>
        <v>1093</v>
      </c>
      <c r="E21" s="197">
        <v>168720000</v>
      </c>
      <c r="F21" s="198">
        <f>E21/365*D21</f>
        <v>505235506.84931511</v>
      </c>
      <c r="G21" s="188"/>
      <c r="H21" s="188"/>
      <c r="I21" s="188"/>
      <c r="J21" s="188"/>
      <c r="K21" s="188"/>
      <c r="L21" s="188"/>
      <c r="M21" s="188"/>
    </row>
    <row r="22" spans="1:13" x14ac:dyDescent="0.3">
      <c r="A22" s="188" t="s">
        <v>219</v>
      </c>
      <c r="B22" s="195">
        <v>45527</v>
      </c>
      <c r="C22" s="195">
        <v>45588</v>
      </c>
      <c r="D22" s="196">
        <f>C22-B22</f>
        <v>61</v>
      </c>
      <c r="E22" s="197">
        <v>150000000</v>
      </c>
      <c r="F22" s="198">
        <f>E22/365*D22</f>
        <v>25068493.150684934</v>
      </c>
      <c r="G22" s="188"/>
      <c r="H22" s="188"/>
      <c r="I22" s="188"/>
      <c r="J22" s="188"/>
      <c r="K22" s="188"/>
      <c r="L22" s="188"/>
      <c r="M22" s="188"/>
    </row>
    <row r="23" spans="1:13" x14ac:dyDescent="0.3">
      <c r="A23" s="188" t="s">
        <v>222</v>
      </c>
      <c r="B23" s="195">
        <v>45527</v>
      </c>
      <c r="C23" s="195">
        <v>47352</v>
      </c>
      <c r="D23" s="196">
        <f t="shared" ref="D23:D26" si="2">C23-B23</f>
        <v>1825</v>
      </c>
      <c r="E23" s="197">
        <f>275000000/5</f>
        <v>55000000</v>
      </c>
      <c r="F23" s="198">
        <f>-E23/365*D23</f>
        <v>-275000000</v>
      </c>
      <c r="G23" s="188"/>
      <c r="H23" s="188"/>
      <c r="I23" s="188"/>
      <c r="J23" s="188"/>
      <c r="K23" s="188"/>
      <c r="L23" s="188"/>
      <c r="M23" s="188"/>
    </row>
    <row r="24" spans="1:13" x14ac:dyDescent="0.3">
      <c r="A24" s="188" t="s">
        <v>229</v>
      </c>
      <c r="B24" s="195">
        <v>45527</v>
      </c>
      <c r="C24" s="195">
        <v>46725</v>
      </c>
      <c r="D24" s="196">
        <f t="shared" si="2"/>
        <v>1198</v>
      </c>
      <c r="E24" s="197">
        <v>42000000</v>
      </c>
      <c r="F24" s="198">
        <f>-E24/365*D24</f>
        <v>-137852054.79452053</v>
      </c>
      <c r="G24" s="188"/>
      <c r="H24" s="188"/>
      <c r="I24" s="188"/>
      <c r="J24" s="188"/>
      <c r="K24" s="188"/>
      <c r="L24" s="188"/>
      <c r="M24" s="188"/>
    </row>
    <row r="25" spans="1:13" x14ac:dyDescent="0.3">
      <c r="A25" s="188" t="s">
        <v>227</v>
      </c>
      <c r="B25" s="195">
        <v>45527</v>
      </c>
      <c r="C25" s="195">
        <v>46725</v>
      </c>
      <c r="D25" s="196">
        <f t="shared" si="2"/>
        <v>1198</v>
      </c>
      <c r="E25" s="197">
        <v>14000000</v>
      </c>
      <c r="F25" s="198">
        <f>-E25/365*D25</f>
        <v>-45950684.93150685</v>
      </c>
      <c r="G25" s="188"/>
      <c r="H25" s="188"/>
      <c r="I25" s="188"/>
      <c r="J25" s="188"/>
      <c r="K25" s="188"/>
      <c r="L25" s="188"/>
      <c r="M25" s="188"/>
    </row>
    <row r="26" spans="1:13" x14ac:dyDescent="0.3">
      <c r="A26" s="188" t="s">
        <v>228</v>
      </c>
      <c r="B26" s="195">
        <v>45527</v>
      </c>
      <c r="C26" s="195">
        <v>45588</v>
      </c>
      <c r="D26" s="196">
        <f t="shared" si="2"/>
        <v>61</v>
      </c>
      <c r="E26" s="197">
        <v>14000000</v>
      </c>
      <c r="F26" s="198">
        <f>-E26/365*D26</f>
        <v>-2339726.0273972601</v>
      </c>
      <c r="G26" s="188"/>
      <c r="H26" s="188"/>
      <c r="I26" s="188"/>
      <c r="J26" s="188"/>
      <c r="K26" s="188"/>
      <c r="L26" s="188"/>
      <c r="M26" s="188"/>
    </row>
    <row r="27" spans="1:13" x14ac:dyDescent="0.3">
      <c r="A27" s="188" t="s">
        <v>223</v>
      </c>
      <c r="B27" s="188"/>
      <c r="C27" s="188"/>
      <c r="D27" s="188"/>
      <c r="E27" s="199">
        <v>100000000</v>
      </c>
      <c r="F27" s="200"/>
      <c r="G27" s="188"/>
      <c r="H27" s="188"/>
      <c r="I27" s="188"/>
      <c r="J27" s="188"/>
      <c r="K27" s="188"/>
      <c r="L27" s="188"/>
      <c r="M27" s="188"/>
    </row>
    <row r="28" spans="1:13" x14ac:dyDescent="0.3">
      <c r="A28" s="188" t="s">
        <v>224</v>
      </c>
      <c r="B28" s="188"/>
      <c r="C28" s="188"/>
      <c r="D28" s="188"/>
      <c r="E28" s="188"/>
      <c r="F28" s="198">
        <f>SUM(F20:F27)</f>
        <v>119765369.86301376</v>
      </c>
      <c r="G28" s="188"/>
      <c r="H28" s="188"/>
      <c r="I28" s="188"/>
      <c r="J28" s="188"/>
      <c r="K28" s="188"/>
      <c r="L28" s="188"/>
      <c r="M28" s="188"/>
    </row>
  </sheetData>
  <mergeCells count="1"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Summary</vt:lpstr>
      <vt:lpstr>IRR</vt:lpstr>
      <vt:lpstr>Summary Review  (2)</vt:lpstr>
      <vt:lpstr>Parameter</vt:lpstr>
      <vt:lpstr>Analisa</vt:lpstr>
      <vt:lpstr>IRR!Print_Area</vt:lpstr>
      <vt:lpstr>Summary!Print_Area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Subianto Kasmun</cp:lastModifiedBy>
  <cp:lastPrinted>2024-06-05T13:25:50Z</cp:lastPrinted>
  <dcterms:created xsi:type="dcterms:W3CDTF">2024-01-30T02:49:52Z</dcterms:created>
  <dcterms:modified xsi:type="dcterms:W3CDTF">2024-08-26T07:49:36Z</dcterms:modified>
</cp:coreProperties>
</file>