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3"/>
  <workbookPr codeName="ThisWorkbook"/>
  <mc:AlternateContent xmlns:mc="http://schemas.openxmlformats.org/markup-compatibility/2006">
    <mc:Choice Requires="x15">
      <x15ac:absPath xmlns:x15ac="http://schemas.microsoft.com/office/spreadsheetml/2010/11/ac" url="D:\2020 strategic planning\PnL\IBC\Hotel Royal Kuningan\"/>
    </mc:Choice>
  </mc:AlternateContent>
  <xr:revisionPtr revIDLastSave="0" documentId="8_{8DC17092-824E-4FF3-8A5B-F084A2F3F4A6}" xr6:coauthVersionLast="36" xr6:coauthVersionMax="36" xr10:uidLastSave="{00000000-0000-0000-0000-000000000000}"/>
  <bookViews>
    <workbookView xWindow="0" yWindow="0" windowWidth="19200" windowHeight="6230" tabRatio="919" xr2:uid="{00000000-000D-0000-FFFF-FFFF00000000}"/>
  </bookViews>
  <sheets>
    <sheet name="Summary" sheetId="6" r:id="rId1"/>
    <sheet name="IRR" sheetId="1" r:id="rId2"/>
    <sheet name="Hotel Royal Kuningan" sheetId="10" r:id="rId3"/>
    <sheet name="PARAMETER" sheetId="2" r:id="rId4"/>
    <sheet name="Analisa" sheetId="11" r:id="rId5"/>
  </sheets>
  <externalReferences>
    <externalReference r:id="rId6"/>
  </externalReferences>
  <definedNames>
    <definedName name="jk" localSheetId="4">#REF!</definedName>
    <definedName name="jk" localSheetId="2">#REF!</definedName>
    <definedName name="jk">#REF!</definedName>
    <definedName name="_xlnm.Print_Area" localSheetId="1">IRR!$A$2:$L$50</definedName>
    <definedName name="_xlnm.Print_Area" localSheetId="0">Summary!$A$2:$N$36</definedName>
    <definedName name="years_contract">[1]Kerlink!$D$5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7" i="6" l="1"/>
  <c r="M6" i="6"/>
  <c r="M11" i="6"/>
  <c r="D28" i="11" l="1"/>
  <c r="F28" i="11" s="1"/>
  <c r="D27" i="11"/>
  <c r="F27" i="11" s="1"/>
  <c r="D26" i="11"/>
  <c r="F26" i="11" s="1"/>
  <c r="D25" i="11"/>
  <c r="F25" i="11" s="1"/>
  <c r="D24" i="11"/>
  <c r="F24" i="11" s="1"/>
  <c r="D23" i="11"/>
  <c r="F23" i="11" s="1"/>
  <c r="D22" i="11"/>
  <c r="F22" i="11" s="1"/>
  <c r="D21" i="11"/>
  <c r="F21" i="11" s="1"/>
  <c r="D15" i="11"/>
  <c r="F15" i="11" s="1"/>
  <c r="D16" i="11"/>
  <c r="F16" i="11" s="1"/>
  <c r="D14" i="11"/>
  <c r="F14" i="11" s="1"/>
  <c r="D11" i="11"/>
  <c r="F11" i="11" s="1"/>
  <c r="D10" i="11"/>
  <c r="F10" i="11" s="1"/>
  <c r="D13" i="11"/>
  <c r="F13" i="11" s="1"/>
  <c r="D12" i="11"/>
  <c r="H24" i="1"/>
  <c r="I24" i="1"/>
  <c r="J24" i="1"/>
  <c r="K24" i="1"/>
  <c r="G24" i="1"/>
  <c r="I16" i="1"/>
  <c r="I22" i="1"/>
  <c r="G22" i="1"/>
  <c r="G23" i="1"/>
  <c r="K30" i="1"/>
  <c r="K28" i="2"/>
  <c r="J25" i="2"/>
  <c r="K27" i="2"/>
  <c r="L26" i="2" s="1"/>
  <c r="J24" i="2"/>
  <c r="K23" i="2" s="1"/>
  <c r="H19" i="2"/>
  <c r="H18" i="2"/>
  <c r="I17" i="2" s="1"/>
  <c r="F12" i="2"/>
  <c r="G11" i="2" s="1"/>
  <c r="H11" i="2" s="1"/>
  <c r="F13" i="2"/>
  <c r="D4" i="2"/>
  <c r="C4" i="2"/>
  <c r="D7" i="2"/>
  <c r="E10" i="2"/>
  <c r="E9" i="2"/>
  <c r="F8" i="2" s="1"/>
  <c r="I34" i="2"/>
  <c r="D6" i="2"/>
  <c r="E5" i="2" s="1"/>
  <c r="E7" i="2" s="1"/>
  <c r="A5" i="2"/>
  <c r="A8" i="2" s="1"/>
  <c r="A11" i="2" s="1"/>
  <c r="A14" i="2" s="1"/>
  <c r="A17" i="2" s="1"/>
  <c r="A20" i="2" s="1"/>
  <c r="A23" i="2" s="1"/>
  <c r="A26" i="2" s="1"/>
  <c r="C3" i="2"/>
  <c r="D2" i="2" s="1"/>
  <c r="D1" i="2"/>
  <c r="E1" i="2" s="1"/>
  <c r="F1" i="2" s="1"/>
  <c r="G1" i="2" s="1"/>
  <c r="H1" i="2" s="1"/>
  <c r="I1" i="2" s="1"/>
  <c r="J1" i="2" s="1"/>
  <c r="K1" i="2" s="1"/>
  <c r="L1" i="2" s="1"/>
  <c r="M1" i="2" s="1"/>
  <c r="N1" i="2" s="1"/>
  <c r="O1" i="2" s="1"/>
  <c r="P1" i="2" s="1"/>
  <c r="Q1" i="2" s="1"/>
  <c r="R1" i="2" s="1"/>
  <c r="S1" i="2" s="1"/>
  <c r="T1" i="2" s="1"/>
  <c r="U1" i="2" s="1"/>
  <c r="V1" i="2" s="1"/>
  <c r="F30" i="11" l="1"/>
  <c r="F12" i="11"/>
  <c r="F18" i="11" s="1"/>
  <c r="I19" i="2"/>
  <c r="J17" i="2"/>
  <c r="J19" i="2" s="1"/>
  <c r="G8" i="2"/>
  <c r="L23" i="2"/>
  <c r="K25" i="2"/>
  <c r="L25" i="2"/>
  <c r="G13" i="2"/>
  <c r="M26" i="2"/>
  <c r="L28" i="2"/>
  <c r="I11" i="2"/>
  <c r="H13" i="2"/>
  <c r="F10" i="2"/>
  <c r="E2" i="2"/>
  <c r="F5" i="2"/>
  <c r="F7" i="2" s="1"/>
  <c r="N26" i="2" l="1"/>
  <c r="N28" i="2" s="1"/>
  <c r="H8" i="2"/>
  <c r="H10" i="2" s="1"/>
  <c r="G10" i="2"/>
  <c r="M23" i="2"/>
  <c r="M25" i="2"/>
  <c r="K17" i="2"/>
  <c r="E4" i="2"/>
  <c r="F4" i="2"/>
  <c r="M28" i="2"/>
  <c r="J11" i="2"/>
  <c r="I13" i="2"/>
  <c r="G5" i="2"/>
  <c r="F2" i="2"/>
  <c r="L17" i="2" l="1"/>
  <c r="L19" i="2"/>
  <c r="K19" i="2"/>
  <c r="N23" i="2"/>
  <c r="N25" i="2"/>
  <c r="N29" i="2" s="1"/>
  <c r="G30" i="1" s="1"/>
  <c r="G7" i="2"/>
  <c r="I8" i="2"/>
  <c r="I10" i="2" s="1"/>
  <c r="G4" i="2"/>
  <c r="O26" i="2"/>
  <c r="K11" i="2"/>
  <c r="K13" i="2" s="1"/>
  <c r="J13" i="2"/>
  <c r="H5" i="2"/>
  <c r="G2" i="2"/>
  <c r="P26" i="2" l="1"/>
  <c r="Q28" i="2" s="1"/>
  <c r="Q29" i="2" s="1"/>
  <c r="J30" i="1" s="1"/>
  <c r="J8" i="2"/>
  <c r="K10" i="2" s="1"/>
  <c r="O23" i="2"/>
  <c r="P25" i="2" s="1"/>
  <c r="O25" i="2"/>
  <c r="M17" i="2"/>
  <c r="N19" i="2" s="1"/>
  <c r="O28" i="2"/>
  <c r="O29" i="2" s="1"/>
  <c r="H30" i="1" s="1"/>
  <c r="H7" i="2"/>
  <c r="H2" i="2"/>
  <c r="I4" i="2" s="1"/>
  <c r="I5" i="2"/>
  <c r="J7" i="2" s="1"/>
  <c r="P28" i="2" l="1"/>
  <c r="P29" i="2" s="1"/>
  <c r="I30" i="1" s="1"/>
  <c r="H4" i="2"/>
  <c r="M19" i="2"/>
  <c r="J10" i="2"/>
  <c r="I7" i="2"/>
  <c r="D12" i="10"/>
  <c r="C12" i="10"/>
  <c r="K35" i="1" l="1"/>
  <c r="J35" i="1"/>
  <c r="I35" i="1"/>
  <c r="G35" i="1" l="1"/>
  <c r="I37" i="2"/>
  <c r="I36" i="2"/>
  <c r="D33" i="2"/>
  <c r="H22" i="1" l="1"/>
  <c r="J22" i="1" l="1"/>
  <c r="K22" i="1" l="1"/>
  <c r="J17" i="1"/>
  <c r="K17" i="1" s="1"/>
  <c r="H16" i="1"/>
  <c r="J16" i="1" l="1"/>
  <c r="K16" i="1" s="1"/>
  <c r="M12" i="6" l="1"/>
  <c r="L17" i="1"/>
  <c r="L16" i="1"/>
  <c r="G45" i="1" l="1"/>
  <c r="L22" i="1"/>
  <c r="G18" i="1"/>
  <c r="H18" i="1" l="1"/>
  <c r="I18" i="1"/>
  <c r="J18" i="1"/>
  <c r="K18" i="1"/>
  <c r="L18" i="1" l="1"/>
  <c r="L21" i="1" l="1"/>
  <c r="M13" i="6" s="1"/>
  <c r="L24" i="1" l="1"/>
  <c r="G50" i="1"/>
  <c r="H46" i="1"/>
  <c r="J37" i="2" l="1"/>
  <c r="F37" i="2"/>
  <c r="H36" i="2"/>
  <c r="F36" i="2"/>
  <c r="G35" i="2"/>
  <c r="J35" i="2" s="1"/>
  <c r="F34" i="2"/>
  <c r="J34" i="2" s="1"/>
  <c r="F33" i="2"/>
  <c r="J36" i="2" l="1"/>
  <c r="J33" i="2"/>
  <c r="J38" i="2" l="1"/>
  <c r="K38" i="2" s="1"/>
  <c r="H35" i="1"/>
  <c r="L35" i="1" s="1"/>
  <c r="K39" i="2" l="1"/>
  <c r="H23" i="1" l="1"/>
  <c r="G25" i="1"/>
  <c r="H25" i="1" l="1"/>
  <c r="I25" i="1" l="1"/>
  <c r="I26" i="1" s="1"/>
  <c r="I27" i="1" s="1"/>
  <c r="J23" i="1"/>
  <c r="K23" i="1" l="1"/>
  <c r="J25" i="1"/>
  <c r="J26" i="1" s="1"/>
  <c r="J27" i="1" s="1"/>
  <c r="K25" i="1" l="1"/>
  <c r="K26" i="1" s="1"/>
  <c r="K27" i="1" s="1"/>
  <c r="L23" i="1"/>
  <c r="J46" i="1"/>
  <c r="K46" i="1" s="1"/>
  <c r="G28" i="1"/>
  <c r="L25" i="1" l="1"/>
  <c r="M14" i="6"/>
  <c r="H45" i="1"/>
  <c r="I47" i="1"/>
  <c r="H50" i="1" l="1"/>
  <c r="I45" i="1"/>
  <c r="I50" i="1" s="1"/>
  <c r="I28" i="1" s="1"/>
  <c r="I29" i="1" s="1"/>
  <c r="I31" i="1" s="1"/>
  <c r="I32" i="1" s="1"/>
  <c r="I33" i="1" s="1"/>
  <c r="I36" i="1" s="1"/>
  <c r="J45" i="1" l="1"/>
  <c r="J50" i="1" l="1"/>
  <c r="J28" i="1" s="1"/>
  <c r="J29" i="1" s="1"/>
  <c r="J31" i="1" s="1"/>
  <c r="J32" i="1" s="1"/>
  <c r="J33" i="1" s="1"/>
  <c r="J36" i="1" s="1"/>
  <c r="K45" i="1"/>
  <c r="L45" i="1" s="1"/>
  <c r="L50" i="1" s="1"/>
  <c r="F36" i="1" l="1"/>
  <c r="K47" i="1"/>
  <c r="K50" i="1" l="1"/>
  <c r="K28" i="1" s="1"/>
  <c r="K29" i="1" s="1"/>
  <c r="K31" i="1" s="1"/>
  <c r="K32" i="1" s="1"/>
  <c r="K33" i="1" s="1"/>
  <c r="K36" i="1" s="1"/>
  <c r="H28" i="1"/>
  <c r="I44" i="1"/>
  <c r="J44" i="1"/>
  <c r="K44" i="1"/>
  <c r="H26" i="1" l="1"/>
  <c r="H27" i="1" s="1"/>
  <c r="F37" i="1"/>
  <c r="H29" i="1" l="1"/>
  <c r="H31" i="1" s="1"/>
  <c r="G26" i="1"/>
  <c r="H32" i="1" l="1"/>
  <c r="H33" i="1" s="1"/>
  <c r="H36" i="1" s="1"/>
  <c r="L26" i="1"/>
  <c r="L27" i="1" s="1"/>
  <c r="F41" i="1" s="1"/>
  <c r="M18" i="6" s="1"/>
  <c r="G29" i="1"/>
  <c r="G31" i="1" s="1"/>
  <c r="G32" i="1" s="1"/>
  <c r="G33" i="1" s="1"/>
  <c r="G36" i="1" s="1"/>
  <c r="H44" i="1"/>
  <c r="G44" i="1"/>
  <c r="F40" i="1" l="1"/>
  <c r="G37" i="1"/>
  <c r="L36" i="1"/>
  <c r="F39" i="1"/>
  <c r="L28" i="1" l="1"/>
  <c r="G38" i="1" l="1"/>
  <c r="H37" i="1"/>
  <c r="L30" i="1"/>
  <c r="H38" i="1" l="1"/>
  <c r="I37" i="1"/>
  <c r="L29" i="1"/>
  <c r="J37" i="1" l="1"/>
  <c r="I38" i="1"/>
  <c r="L31" i="1"/>
  <c r="K37" i="1" l="1"/>
  <c r="K38" i="1" s="1"/>
  <c r="J38" i="1"/>
  <c r="M17" i="6"/>
  <c r="M16" i="6"/>
  <c r="L32" i="1"/>
  <c r="L33" i="1" s="1"/>
  <c r="F42" i="1" l="1"/>
  <c r="M19" i="6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 Subianto  Kasmun </author>
  </authors>
  <commentList>
    <comment ref="I32" authorId="0" shapeId="0" xr:uid="{00000000-0006-0000-0200-000001000000}">
      <text>
        <r>
          <rPr>
            <b/>
            <sz val="9"/>
            <color indexed="81"/>
            <rFont val="Tahoma"/>
            <family val="2"/>
          </rPr>
          <t xml:space="preserve"> Subianto  Kasmun :</t>
        </r>
        <r>
          <rPr>
            <sz val="9"/>
            <color indexed="81"/>
            <rFont val="Tahoma"/>
            <family val="2"/>
          </rPr>
          <t xml:space="preserve">
Isi Jumlah Omni</t>
        </r>
      </text>
    </comment>
  </commentList>
</comments>
</file>

<file path=xl/sharedStrings.xml><?xml version="1.0" encoding="utf-8"?>
<sst xmlns="http://schemas.openxmlformats.org/spreadsheetml/2006/main" count="240" uniqueCount="191">
  <si>
    <t>General</t>
  </si>
  <si>
    <t>Tax Rate</t>
  </si>
  <si>
    <t>SG&amp;A</t>
  </si>
  <si>
    <t>from Revenues</t>
  </si>
  <si>
    <t>BHPUSO</t>
  </si>
  <si>
    <t>Revenues</t>
  </si>
  <si>
    <t>Year 1</t>
  </si>
  <si>
    <t>Year 2</t>
  </si>
  <si>
    <t>Year 3</t>
  </si>
  <si>
    <t>Year 4</t>
  </si>
  <si>
    <t>Year 5</t>
  </si>
  <si>
    <t>IRR Calculation</t>
  </si>
  <si>
    <t>Total</t>
  </si>
  <si>
    <t>Months of Service</t>
  </si>
  <si>
    <t>OPEX</t>
  </si>
  <si>
    <t>Electricity</t>
  </si>
  <si>
    <t>Total OPEX</t>
  </si>
  <si>
    <t>Total EBITDA</t>
  </si>
  <si>
    <t>Ebitda margin</t>
  </si>
  <si>
    <t>Depreciation Expense</t>
  </si>
  <si>
    <t>Total EBIT</t>
  </si>
  <si>
    <t>Tax Expense</t>
  </si>
  <si>
    <t>Capex</t>
  </si>
  <si>
    <t>FCFF</t>
  </si>
  <si>
    <t>Accumulated FCF</t>
  </si>
  <si>
    <t>PBP</t>
  </si>
  <si>
    <t>IRR</t>
  </si>
  <si>
    <t>NPV</t>
  </si>
  <si>
    <t>EBITDA margin</t>
  </si>
  <si>
    <t>Payback</t>
  </si>
  <si>
    <t>Depreciation Calculation</t>
  </si>
  <si>
    <t>no of Year depreciated</t>
  </si>
  <si>
    <t>Total Depreciation</t>
  </si>
  <si>
    <t>Interest Expense</t>
  </si>
  <si>
    <t>EBT</t>
  </si>
  <si>
    <t>Y1</t>
  </si>
  <si>
    <t>Y2</t>
  </si>
  <si>
    <t>Y3</t>
  </si>
  <si>
    <t>Y4</t>
  </si>
  <si>
    <t>Y5</t>
  </si>
  <si>
    <t>Interest Rate</t>
  </si>
  <si>
    <t>Maintenance</t>
  </si>
  <si>
    <t>Year 6</t>
  </si>
  <si>
    <t>Total CAPEX</t>
  </si>
  <si>
    <t>Net Income</t>
  </si>
  <si>
    <t xml:space="preserve"> </t>
  </si>
  <si>
    <t>Product :</t>
  </si>
  <si>
    <t>Status P&amp;L</t>
  </si>
  <si>
    <t>Site Information</t>
  </si>
  <si>
    <t xml:space="preserve">Technical Information </t>
  </si>
  <si>
    <t>Financial Summary</t>
  </si>
  <si>
    <t>Site Name</t>
  </si>
  <si>
    <t>IBC</t>
  </si>
  <si>
    <t>Capex /antenna</t>
  </si>
  <si>
    <t>Address</t>
  </si>
  <si>
    <t>Antena PKS BM</t>
  </si>
  <si>
    <t>Contract Period (thn)</t>
  </si>
  <si>
    <t>Area building</t>
  </si>
  <si>
    <t>Antena Asset</t>
  </si>
  <si>
    <t>Type of building</t>
  </si>
  <si>
    <t>Jumlah Pole Makro</t>
  </si>
  <si>
    <t>Kurs 1USD</t>
  </si>
  <si>
    <t>Status</t>
  </si>
  <si>
    <t>OPENET</t>
  </si>
  <si>
    <t>Total floor</t>
  </si>
  <si>
    <t>Cable FO (Core)</t>
  </si>
  <si>
    <t>No of building tower</t>
  </si>
  <si>
    <t>Cable FO (meter)</t>
  </si>
  <si>
    <t>Total Revenue</t>
  </si>
  <si>
    <t>Drop Wire (meter)</t>
  </si>
  <si>
    <t>OTHERS</t>
  </si>
  <si>
    <t>Interest rate /year</t>
  </si>
  <si>
    <t>Payback (year)</t>
  </si>
  <si>
    <t>Target Achieved by Commercial:</t>
  </si>
  <si>
    <t xml:space="preserve">Tanggal P&amp;L:  </t>
  </si>
  <si>
    <t>IBS / DAS</t>
  </si>
  <si>
    <t>Prepared by</t>
  </si>
  <si>
    <t>Approved  by</t>
  </si>
  <si>
    <t>person</t>
  </si>
  <si>
    <t>trip</t>
  </si>
  <si>
    <t>kamar</t>
  </si>
  <si>
    <t>Days by Omni</t>
  </si>
  <si>
    <t>Biaya walktest inhouse/visit</t>
  </si>
  <si>
    <t>Biaya walktest inhouse/thn</t>
  </si>
  <si>
    <t>Diisikan</t>
  </si>
  <si>
    <t>Transport</t>
  </si>
  <si>
    <t>Pesawat</t>
  </si>
  <si>
    <t>Bandara</t>
  </si>
  <si>
    <t>Trip</t>
  </si>
  <si>
    <t>Hotel</t>
  </si>
  <si>
    <t>Uang Saku</t>
  </si>
  <si>
    <t>PM/Year/Site</t>
  </si>
  <si>
    <t>Asumsi:</t>
  </si>
  <si>
    <t>Sulut</t>
  </si>
  <si>
    <t>Walktest 4x dalam setahun semua operator sekaligus</t>
  </si>
  <si>
    <t>Makasar</t>
  </si>
  <si>
    <t>Walktest pertama oleh vendor</t>
  </si>
  <si>
    <t>Bali</t>
  </si>
  <si>
    <t>Pekanbaru</t>
  </si>
  <si>
    <t>Jatim</t>
  </si>
  <si>
    <t>Sumut</t>
  </si>
  <si>
    <t>Jateng</t>
  </si>
  <si>
    <t>Sulsel</t>
  </si>
  <si>
    <t>Jabar</t>
  </si>
  <si>
    <t>Kalimantan</t>
  </si>
  <si>
    <t>Sumatera</t>
  </si>
  <si>
    <t>Palembang</t>
  </si>
  <si>
    <t>Jabodetabek</t>
  </si>
  <si>
    <t>Inhouse</t>
  </si>
  <si>
    <t>CM /Year/Oprt</t>
  </si>
  <si>
    <t>LISTRIK</t>
  </si>
  <si>
    <t>Listrik/Oprt/year DAS+1Pole 3sektor</t>
  </si>
  <si>
    <t>0-100</t>
  </si>
  <si>
    <t>101-200</t>
  </si>
  <si>
    <t>201-</t>
  </si>
  <si>
    <t>Listrik/Oprt/year  DAS+2Pole 6sektor</t>
  </si>
  <si>
    <t>0-200</t>
  </si>
  <si>
    <t>Total Revenues (SF)</t>
  </si>
  <si>
    <t>Renewal</t>
  </si>
  <si>
    <t>Lease to BM</t>
  </si>
  <si>
    <t>TSEL</t>
  </si>
  <si>
    <t>IOH</t>
  </si>
  <si>
    <t>Erosion</t>
  </si>
  <si>
    <t>Citra Kartika</t>
  </si>
  <si>
    <t>Total COGS Rent</t>
  </si>
  <si>
    <t>Total COGS Other</t>
  </si>
  <si>
    <t>SUMMARY REVIEW</t>
  </si>
  <si>
    <t xml:space="preserve">No. </t>
  </si>
  <si>
    <t>Keterangan</t>
  </si>
  <si>
    <t>Existing</t>
  </si>
  <si>
    <t>Scope Of Lease</t>
  </si>
  <si>
    <t>Periode Sewa</t>
  </si>
  <si>
    <t>Start</t>
  </si>
  <si>
    <t>End</t>
  </si>
  <si>
    <t>Total BV 30 Jun 2024</t>
  </si>
  <si>
    <t>TOTAL</t>
  </si>
  <si>
    <t xml:space="preserve">Nama Site                          </t>
  </si>
  <si>
    <t>: H. Royal Kuningan</t>
  </si>
  <si>
    <t xml:space="preserve">Nama Pemilik      </t>
  </si>
  <si>
    <t>: PT. Berlian Semesta Prima</t>
  </si>
  <si>
    <t xml:space="preserve">Alamat Pemilik      </t>
  </si>
  <si>
    <t>: Jl. Kuningan Persada Kav.2</t>
  </si>
  <si>
    <t xml:space="preserve">Telp                                            </t>
  </si>
  <si>
    <t xml:space="preserve">: </t>
  </si>
  <si>
    <t xml:space="preserve">Obyek Sewa            </t>
  </si>
  <si>
    <t>: 145 Omni +  8 Unit Pole + RBS 40m²</t>
  </si>
  <si>
    <t>Obyek Sewa</t>
  </si>
  <si>
    <t>03 Agustus 2021  s/d 02 Agustus 2024</t>
  </si>
  <si>
    <t xml:space="preserve">Harga Sewa </t>
  </si>
  <si>
    <t>Rp.360.000.000/3 Tahun atau Rp.120.000.000 / Tahun</t>
  </si>
  <si>
    <t>Operator Join</t>
  </si>
  <si>
    <t>Drop</t>
  </si>
  <si>
    <t>Penurunan Harga</t>
  </si>
  <si>
    <t>Mengalami kenaikan sebesar 25%</t>
  </si>
  <si>
    <t>Rp.750.000.000/5 Tahun atau Rp.150.000.000 / Tahun</t>
  </si>
  <si>
    <t>BV 31 Jul 24</t>
  </si>
  <si>
    <t>loan</t>
  </si>
  <si>
    <t>Installment/thn</t>
  </si>
  <si>
    <t>Interest</t>
  </si>
  <si>
    <t>ada penambahan revenue dari IOH pada tahun 2026.</t>
  </si>
  <si>
    <t>Hotel Royal Kuningan</t>
  </si>
  <si>
    <t>Jakarta</t>
  </si>
  <si>
    <t>8 Unit Pole + RBS 40m²</t>
  </si>
  <si>
    <t>HOTEL ROYAL KUNINGAN</t>
  </si>
  <si>
    <t>0028/IRR/IBC/IX/2024</t>
  </si>
  <si>
    <t>Operator join</t>
  </si>
  <si>
    <t>Rev.Change</t>
  </si>
  <si>
    <t>2026 Tsel</t>
  </si>
  <si>
    <t>03 Agustus 2024  s/d 02 Agustus 2029</t>
  </si>
  <si>
    <t>Tsel     : 29/07/ 2021 s/d 28/07/ 2026 Rp.215.280.000/th</t>
  </si>
  <si>
    <t>Tsel     : 29/07/ 2021 s/d 28/07/ 2026  Rp.215.280.000/th</t>
  </si>
  <si>
    <t>IOH (akan join)  RP236.000.000/th</t>
  </si>
  <si>
    <t>XL         : 13/03/2019 s/d 12/03/ 2024 Rp150.000.000/th</t>
  </si>
  <si>
    <t xml:space="preserve">Periode </t>
  </si>
  <si>
    <t>Rev Tsel</t>
  </si>
  <si>
    <t>Rev IOH</t>
  </si>
  <si>
    <t>Sewa BM</t>
  </si>
  <si>
    <t>Days</t>
  </si>
  <si>
    <t xml:space="preserve">Sewa BM </t>
  </si>
  <si>
    <t>Antisipasi Add Capex and Pole</t>
  </si>
  <si>
    <t>Profit</t>
  </si>
  <si>
    <t>SITE HOTEL ROYAL KUNINGAN</t>
  </si>
  <si>
    <t>OM Tsel</t>
  </si>
  <si>
    <t>OM Tsel&amp;IOH</t>
  </si>
  <si>
    <t>Listrik Tsel</t>
  </si>
  <si>
    <t>Listrik Tsel&amp;IOH</t>
  </si>
  <si>
    <t>Worse &gt;&gt; Jika Sewa BM diperpanjang 5 tahun dan operator sesuai periode masing2, maka:</t>
  </si>
  <si>
    <t>OM IOH</t>
  </si>
  <si>
    <t>Listrik IOH</t>
  </si>
  <si>
    <t>Conservative &gt;&gt; Jika Sewa BM diperpanjang 5th dan Operator sesuai periode BM, maka:</t>
  </si>
  <si>
    <t>Capex 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</si>
</sst>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41" formatCode="_-* #,##0_-;\-* #,##0_-;_-* &quot;-&quot;_-;_-@_-"/>
    <numFmt numFmtId="43" formatCode="_-* #,##0.00_-;\-* #,##0.00_-;_-* &quot;-&quot;??_-;_-@_-"/>
    <numFmt numFmtId="164" formatCode="_(&quot;Rp&quot;* #,##0_);_(&quot;Rp&quot;* \(#,##0\);_(&quot;Rp&quot;* &quot;-&quot;_);_(@_)"/>
    <numFmt numFmtId="165" formatCode="_(* #,##0_);_(* \(#,##0\);_(* &quot;-&quot;_);_(@_)"/>
    <numFmt numFmtId="166" formatCode="_(* #,##0.00_);_(* \(#,##0.00\);_(* &quot;-&quot;??_);_(@_)"/>
    <numFmt numFmtId="167" formatCode="_(* #,##0_);_(* \(#,##0\);_(* &quot;-&quot;??_);_(@_)"/>
    <numFmt numFmtId="168" formatCode="_(* #,##0.0_);_(* \(#,##0.0\);_(* &quot;-&quot;??_);_(@_)"/>
    <numFmt numFmtId="169" formatCode="_-* #,##0.0_-;\-* #,##0.0_-;_-* &quot;-&quot;_-;_-@_-"/>
    <numFmt numFmtId="170" formatCode="_ * #,##0_ ;_ * \-#,##0_ ;_ * &quot;-&quot;_ ;_ @_ "/>
    <numFmt numFmtId="171" formatCode="_(&quot;$&quot;* #,##0.00_);_(&quot;$&quot;* \(#,##0.00\);_(&quot;$&quot;* &quot;-&quot;??_);_(@_)"/>
    <numFmt numFmtId="172" formatCode="_([$Rp-421]* #,##0_);_([$Rp-421]* \(#,##0\);_([$Rp-421]* &quot;-&quot;??_);_(@_)"/>
    <numFmt numFmtId="173" formatCode="[$-C09]dd\-mmm\-yy;@"/>
    <numFmt numFmtId="174" formatCode="#,###&quot;/thn&quot;"/>
    <numFmt numFmtId="175" formatCode="#,###&quot;/pole&quot;"/>
  </numFmts>
  <fonts count="44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sz val="12"/>
      <color rgb="FF3366FF"/>
      <name val="Calibri"/>
      <family val="2"/>
      <scheme val="minor"/>
    </font>
    <font>
      <sz val="12"/>
      <name val="Calibri"/>
      <family val="2"/>
      <scheme val="minor"/>
    </font>
    <font>
      <b/>
      <sz val="12"/>
      <color rgb="FF3366FF"/>
      <name val="Calibri"/>
      <family val="2"/>
      <scheme val="minor"/>
    </font>
    <font>
      <sz val="9"/>
      <color theme="1"/>
      <name val="Calibri"/>
      <family val="2"/>
      <scheme val="minor"/>
    </font>
    <font>
      <i/>
      <sz val="8"/>
      <color rgb="FF0070C0"/>
      <name val="Calibri"/>
      <family val="2"/>
      <scheme val="minor"/>
    </font>
    <font>
      <b/>
      <i/>
      <sz val="10"/>
      <color rgb="FF0070C0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i/>
      <sz val="8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sz val="10"/>
      <name val="Arial"/>
      <family val="2"/>
    </font>
    <font>
      <sz val="12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6"/>
      <color theme="1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b/>
      <i/>
      <sz val="11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30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8">
    <xf numFmtId="0" fontId="0" fillId="0" borderId="0"/>
    <xf numFmtId="166" fontId="12" fillId="0" borderId="0" applyFont="0" applyFill="0" applyBorder="0" applyAlignment="0" applyProtection="0"/>
    <xf numFmtId="41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11" fillId="0" borderId="0"/>
    <xf numFmtId="0" fontId="26" fillId="0" borderId="0"/>
    <xf numFmtId="166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165" fontId="13" fillId="0" borderId="0" applyFont="0" applyFill="0" applyBorder="0" applyAlignment="0" applyProtection="0"/>
    <xf numFmtId="166" fontId="10" fillId="0" borderId="0" applyFont="0" applyFill="0" applyBorder="0" applyAlignment="0" applyProtection="0"/>
    <xf numFmtId="166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10" fillId="0" borderId="0"/>
    <xf numFmtId="0" fontId="10" fillId="0" borderId="0"/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13" fillId="0" borderId="0"/>
    <xf numFmtId="166" fontId="9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31" fillId="0" borderId="0"/>
    <xf numFmtId="0" fontId="31" fillId="0" borderId="0"/>
    <xf numFmtId="166" fontId="31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7" fillId="0" borderId="0"/>
    <xf numFmtId="0" fontId="32" fillId="0" borderId="0">
      <alignment vertical="center"/>
    </xf>
    <xf numFmtId="170" fontId="31" fillId="0" borderId="0" applyFont="0" applyFill="0" applyBorder="0" applyAlignment="0" applyProtection="0">
      <alignment vertical="center"/>
    </xf>
    <xf numFmtId="171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0" fontId="31" fillId="0" borderId="0"/>
    <xf numFmtId="172" fontId="31" fillId="0" borderId="0"/>
    <xf numFmtId="171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166" fontId="4" fillId="0" borderId="0" applyFont="0" applyFill="0" applyBorder="0" applyAlignment="0" applyProtection="0"/>
    <xf numFmtId="0" fontId="3" fillId="0" borderId="0"/>
    <xf numFmtId="41" fontId="3" fillId="0" borderId="0" applyFont="0" applyFill="0" applyBorder="0" applyAlignment="0" applyProtection="0"/>
    <xf numFmtId="0" fontId="26" fillId="0" borderId="0"/>
    <xf numFmtId="164" fontId="26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26" fillId="0" borderId="0"/>
    <xf numFmtId="0" fontId="1" fillId="0" borderId="0"/>
    <xf numFmtId="0" fontId="26" fillId="0" borderId="0"/>
    <xf numFmtId="165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52">
    <xf numFmtId="0" fontId="0" fillId="0" borderId="0" xfId="0"/>
    <xf numFmtId="0" fontId="14" fillId="0" borderId="0" xfId="0" applyFont="1"/>
    <xf numFmtId="0" fontId="0" fillId="0" borderId="0" xfId="0" applyAlignment="1">
      <alignment vertical="center"/>
    </xf>
    <xf numFmtId="0" fontId="15" fillId="0" borderId="0" xfId="0" applyFont="1"/>
    <xf numFmtId="0" fontId="0" fillId="3" borderId="0" xfId="0" applyFill="1"/>
    <xf numFmtId="9" fontId="16" fillId="0" borderId="0" xfId="2" applyNumberFormat="1" applyFont="1"/>
    <xf numFmtId="10" fontId="16" fillId="0" borderId="0" xfId="2" applyNumberFormat="1" applyFont="1"/>
    <xf numFmtId="0" fontId="0" fillId="0" borderId="1" xfId="0" applyBorder="1"/>
    <xf numFmtId="0" fontId="14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41" fontId="16" fillId="0" borderId="0" xfId="0" applyNumberFormat="1" applyFont="1" applyBorder="1"/>
    <xf numFmtId="0" fontId="14" fillId="0" borderId="1" xfId="0" applyFont="1" applyBorder="1"/>
    <xf numFmtId="0" fontId="14" fillId="0" borderId="1" xfId="0" applyFont="1" applyBorder="1" applyAlignment="1">
      <alignment horizontal="center"/>
    </xf>
    <xf numFmtId="41" fontId="0" fillId="0" borderId="0" xfId="0" applyNumberFormat="1" applyAlignment="1">
      <alignment vertical="center"/>
    </xf>
    <xf numFmtId="41" fontId="0" fillId="0" borderId="0" xfId="0" applyNumberFormat="1"/>
    <xf numFmtId="0" fontId="0" fillId="0" borderId="2" xfId="0" applyBorder="1"/>
    <xf numFmtId="41" fontId="0" fillId="0" borderId="2" xfId="0" applyNumberFormat="1" applyBorder="1" applyAlignment="1">
      <alignment vertical="center"/>
    </xf>
    <xf numFmtId="0" fontId="20" fillId="0" borderId="0" xfId="0" applyFont="1"/>
    <xf numFmtId="0" fontId="20" fillId="0" borderId="0" xfId="0" applyFont="1" applyAlignment="1">
      <alignment vertical="center"/>
    </xf>
    <xf numFmtId="166" fontId="20" fillId="0" borderId="0" xfId="1" applyFont="1"/>
    <xf numFmtId="41" fontId="0" fillId="0" borderId="2" xfId="2" applyFont="1" applyBorder="1" applyAlignment="1">
      <alignment vertical="center"/>
    </xf>
    <xf numFmtId="41" fontId="14" fillId="0" borderId="0" xfId="0" applyNumberFormat="1" applyFont="1" applyAlignment="1">
      <alignment vertical="center"/>
    </xf>
    <xf numFmtId="0" fontId="21" fillId="0" borderId="0" xfId="0" applyFont="1"/>
    <xf numFmtId="0" fontId="22" fillId="0" borderId="0" xfId="0" applyFont="1"/>
    <xf numFmtId="9" fontId="21" fillId="0" borderId="0" xfId="3" applyFont="1" applyAlignment="1">
      <alignment vertical="center"/>
    </xf>
    <xf numFmtId="0" fontId="0" fillId="0" borderId="0" xfId="0" applyFill="1" applyBorder="1"/>
    <xf numFmtId="38" fontId="0" fillId="0" borderId="0" xfId="0" applyNumberFormat="1"/>
    <xf numFmtId="167" fontId="19" fillId="0" borderId="0" xfId="1" applyNumberFormat="1" applyFont="1"/>
    <xf numFmtId="0" fontId="0" fillId="0" borderId="0" xfId="0" applyAlignment="1">
      <alignment horizontal="center"/>
    </xf>
    <xf numFmtId="0" fontId="23" fillId="0" borderId="0" xfId="0" applyFont="1"/>
    <xf numFmtId="0" fontId="23" fillId="0" borderId="0" xfId="0" applyFont="1" applyAlignment="1">
      <alignment horizontal="center" vertical="center"/>
    </xf>
    <xf numFmtId="167" fontId="0" fillId="0" borderId="0" xfId="0" applyNumberFormat="1" applyAlignment="1">
      <alignment vertical="center"/>
    </xf>
    <xf numFmtId="167" fontId="0" fillId="0" borderId="0" xfId="0" applyNumberFormat="1"/>
    <xf numFmtId="0" fontId="14" fillId="0" borderId="4" xfId="0" applyFont="1" applyBorder="1"/>
    <xf numFmtId="0" fontId="0" fillId="0" borderId="4" xfId="0" applyBorder="1"/>
    <xf numFmtId="167" fontId="14" fillId="0" borderId="4" xfId="0" applyNumberFormat="1" applyFont="1" applyBorder="1" applyAlignment="1">
      <alignment vertical="center"/>
    </xf>
    <xf numFmtId="0" fontId="0" fillId="0" borderId="0" xfId="0" applyBorder="1"/>
    <xf numFmtId="41" fontId="18" fillId="0" borderId="0" xfId="0" applyNumberFormat="1" applyFont="1" applyBorder="1"/>
    <xf numFmtId="167" fontId="14" fillId="0" borderId="0" xfId="0" applyNumberFormat="1" applyFont="1" applyBorder="1" applyAlignment="1">
      <alignment vertical="center"/>
    </xf>
    <xf numFmtId="41" fontId="0" fillId="3" borderId="0" xfId="0" applyNumberFormat="1" applyFill="1" applyBorder="1" applyAlignment="1">
      <alignment vertical="center"/>
    </xf>
    <xf numFmtId="41" fontId="0" fillId="3" borderId="0" xfId="0" applyNumberFormat="1" applyFill="1" applyBorder="1"/>
    <xf numFmtId="0" fontId="0" fillId="3" borderId="0" xfId="0" applyFill="1" applyBorder="1"/>
    <xf numFmtId="166" fontId="20" fillId="3" borderId="0" xfId="1" applyFont="1" applyFill="1" applyBorder="1"/>
    <xf numFmtId="41" fontId="0" fillId="3" borderId="0" xfId="2" applyFont="1" applyFill="1" applyBorder="1" applyAlignment="1">
      <alignment vertical="center"/>
    </xf>
    <xf numFmtId="41" fontId="14" fillId="3" borderId="0" xfId="0" applyNumberFormat="1" applyFont="1" applyFill="1" applyBorder="1" applyAlignment="1">
      <alignment vertical="center"/>
    </xf>
    <xf numFmtId="0" fontId="14" fillId="3" borderId="0" xfId="0" applyFont="1" applyFill="1" applyBorder="1"/>
    <xf numFmtId="9" fontId="21" fillId="3" borderId="0" xfId="3" applyFont="1" applyFill="1" applyBorder="1" applyAlignment="1">
      <alignment vertical="center"/>
    </xf>
    <xf numFmtId="38" fontId="0" fillId="3" borderId="0" xfId="0" applyNumberFormat="1" applyFill="1" applyBorder="1" applyAlignment="1">
      <alignment vertical="center"/>
    </xf>
    <xf numFmtId="38" fontId="0" fillId="3" borderId="0" xfId="0" applyNumberFormat="1" applyFill="1" applyBorder="1"/>
    <xf numFmtId="41" fontId="0" fillId="3" borderId="0" xfId="2" applyFont="1" applyFill="1" applyBorder="1"/>
    <xf numFmtId="0" fontId="14" fillId="0" borderId="0" xfId="0" applyFont="1" applyBorder="1" applyAlignment="1">
      <alignment horizontal="center"/>
    </xf>
    <xf numFmtId="0" fontId="24" fillId="0" borderId="6" xfId="0" applyFont="1" applyBorder="1"/>
    <xf numFmtId="0" fontId="24" fillId="0" borderId="3" xfId="0" applyFont="1" applyBorder="1"/>
    <xf numFmtId="0" fontId="24" fillId="0" borderId="8" xfId="0" applyFont="1" applyBorder="1"/>
    <xf numFmtId="0" fontId="24" fillId="0" borderId="0" xfId="0" applyFont="1" applyBorder="1"/>
    <xf numFmtId="9" fontId="24" fillId="0" borderId="9" xfId="3" applyFont="1" applyBorder="1"/>
    <xf numFmtId="0" fontId="24" fillId="0" borderId="10" xfId="0" applyFont="1" applyBorder="1"/>
    <xf numFmtId="0" fontId="24" fillId="0" borderId="2" xfId="0" applyFont="1" applyBorder="1"/>
    <xf numFmtId="168" fontId="24" fillId="0" borderId="11" xfId="1" applyNumberFormat="1" applyFont="1" applyBorder="1"/>
    <xf numFmtId="0" fontId="14" fillId="0" borderId="12" xfId="0" applyFont="1" applyBorder="1"/>
    <xf numFmtId="41" fontId="14" fillId="0" borderId="12" xfId="0" applyNumberFormat="1" applyFont="1" applyBorder="1" applyAlignment="1">
      <alignment vertical="center"/>
    </xf>
    <xf numFmtId="41" fontId="0" fillId="0" borderId="0" xfId="2" applyFont="1" applyAlignment="1">
      <alignment vertical="center"/>
    </xf>
    <xf numFmtId="167" fontId="0" fillId="4" borderId="0" xfId="0" applyNumberFormat="1" applyFill="1" applyAlignment="1">
      <alignment vertical="center"/>
    </xf>
    <xf numFmtId="0" fontId="24" fillId="5" borderId="1" xfId="0" applyFont="1" applyFill="1" applyBorder="1" applyAlignment="1">
      <alignment horizontal="center"/>
    </xf>
    <xf numFmtId="0" fontId="17" fillId="5" borderId="0" xfId="0" applyFont="1" applyFill="1"/>
    <xf numFmtId="41" fontId="24" fillId="5" borderId="12" xfId="0" applyNumberFormat="1" applyFont="1" applyFill="1" applyBorder="1" applyAlignment="1">
      <alignment vertical="center"/>
    </xf>
    <xf numFmtId="166" fontId="25" fillId="5" borderId="0" xfId="1" applyFont="1" applyFill="1"/>
    <xf numFmtId="41" fontId="17" fillId="5" borderId="0" xfId="0" applyNumberFormat="1" applyFont="1" applyFill="1" applyBorder="1" applyAlignment="1">
      <alignment vertical="center"/>
    </xf>
    <xf numFmtId="41" fontId="14" fillId="5" borderId="0" xfId="0" applyNumberFormat="1" applyFont="1" applyFill="1" applyAlignment="1">
      <alignment vertical="center"/>
    </xf>
    <xf numFmtId="9" fontId="21" fillId="5" borderId="0" xfId="3" applyFont="1" applyFill="1" applyAlignment="1">
      <alignment vertical="center"/>
    </xf>
    <xf numFmtId="41" fontId="17" fillId="5" borderId="2" xfId="0" applyNumberFormat="1" applyFont="1" applyFill="1" applyBorder="1" applyAlignment="1">
      <alignment vertical="center"/>
    </xf>
    <xf numFmtId="167" fontId="19" fillId="5" borderId="0" xfId="1" applyNumberFormat="1" applyFont="1" applyFill="1"/>
    <xf numFmtId="0" fontId="17" fillId="0" borderId="0" xfId="0" applyFont="1"/>
    <xf numFmtId="41" fontId="24" fillId="0" borderId="4" xfId="0" applyNumberFormat="1" applyFont="1" applyBorder="1"/>
    <xf numFmtId="41" fontId="24" fillId="0" borderId="0" xfId="0" applyNumberFormat="1" applyFont="1" applyBorder="1"/>
    <xf numFmtId="41" fontId="14" fillId="5" borderId="12" xfId="0" applyNumberFormat="1" applyFont="1" applyFill="1" applyBorder="1" applyAlignment="1">
      <alignment vertical="center"/>
    </xf>
    <xf numFmtId="41" fontId="24" fillId="0" borderId="0" xfId="0" applyNumberFormat="1" applyFont="1" applyFill="1" applyBorder="1"/>
    <xf numFmtId="41" fontId="24" fillId="0" borderId="0" xfId="0" applyNumberFormat="1" applyFont="1"/>
    <xf numFmtId="0" fontId="24" fillId="0" borderId="0" xfId="0" applyFont="1"/>
    <xf numFmtId="41" fontId="0" fillId="0" borderId="0" xfId="0" applyNumberFormat="1" applyAlignment="1">
      <alignment horizontal="right" vertical="center"/>
    </xf>
    <xf numFmtId="41" fontId="0" fillId="0" borderId="0" xfId="2" applyFont="1"/>
    <xf numFmtId="0" fontId="0" fillId="0" borderId="0" xfId="0" applyFont="1"/>
    <xf numFmtId="0" fontId="14" fillId="0" borderId="0" xfId="0" applyFont="1" applyBorder="1"/>
    <xf numFmtId="0" fontId="28" fillId="0" borderId="0" xfId="0" applyFont="1"/>
    <xf numFmtId="0" fontId="0" fillId="0" borderId="0" xfId="0" applyFont="1" applyBorder="1"/>
    <xf numFmtId="0" fontId="27" fillId="0" borderId="0" xfId="0" applyFont="1" applyBorder="1"/>
    <xf numFmtId="0" fontId="0" fillId="0" borderId="18" xfId="0" applyFont="1" applyBorder="1"/>
    <xf numFmtId="0" fontId="0" fillId="0" borderId="18" xfId="2" applyNumberFormat="1" applyFont="1" applyBorder="1" applyAlignment="1">
      <alignment horizontal="left"/>
    </xf>
    <xf numFmtId="0" fontId="0" fillId="0" borderId="20" xfId="0" applyFont="1" applyBorder="1"/>
    <xf numFmtId="9" fontId="14" fillId="0" borderId="18" xfId="2" applyNumberFormat="1" applyFont="1" applyBorder="1"/>
    <xf numFmtId="0" fontId="0" fillId="0" borderId="21" xfId="0" applyFont="1" applyBorder="1"/>
    <xf numFmtId="0" fontId="0" fillId="0" borderId="1" xfId="0" applyFont="1" applyBorder="1"/>
    <xf numFmtId="0" fontId="0" fillId="0" borderId="22" xfId="0" applyFont="1" applyBorder="1"/>
    <xf numFmtId="0" fontId="0" fillId="0" borderId="1" xfId="0" applyFont="1" applyBorder="1" applyAlignment="1">
      <alignment horizontal="left" indent="1"/>
    </xf>
    <xf numFmtId="41" fontId="0" fillId="0" borderId="0" xfId="0" quotePrefix="1" applyNumberFormat="1" applyAlignment="1">
      <alignment vertical="center"/>
    </xf>
    <xf numFmtId="0" fontId="14" fillId="0" borderId="16" xfId="0" applyFont="1" applyBorder="1"/>
    <xf numFmtId="0" fontId="0" fillId="0" borderId="17" xfId="0" applyFont="1" applyBorder="1"/>
    <xf numFmtId="0" fontId="0" fillId="0" borderId="19" xfId="0" applyFont="1" applyBorder="1"/>
    <xf numFmtId="43" fontId="0" fillId="0" borderId="0" xfId="0" applyNumberFormat="1"/>
    <xf numFmtId="0" fontId="14" fillId="0" borderId="16" xfId="0" applyFont="1" applyBorder="1" applyAlignment="1">
      <alignment horizontal="left"/>
    </xf>
    <xf numFmtId="0" fontId="0" fillId="0" borderId="20" xfId="0" applyFont="1" applyBorder="1" applyAlignment="1">
      <alignment horizontal="left" vertical="center" indent="1"/>
    </xf>
    <xf numFmtId="0" fontId="0" fillId="0" borderId="0" xfId="0" applyFont="1" applyBorder="1" applyAlignment="1">
      <alignment horizontal="left" vertical="center" indent="1"/>
    </xf>
    <xf numFmtId="0" fontId="0" fillId="0" borderId="20" xfId="0" applyFont="1" applyBorder="1" applyAlignment="1">
      <alignment horizontal="left" indent="1"/>
    </xf>
    <xf numFmtId="0" fontId="0" fillId="0" borderId="0" xfId="0" applyFont="1" applyBorder="1" applyAlignment="1">
      <alignment horizontal="left" indent="1"/>
    </xf>
    <xf numFmtId="0" fontId="14" fillId="0" borderId="20" xfId="0" applyFont="1" applyBorder="1" applyAlignment="1">
      <alignment horizontal="left"/>
    </xf>
    <xf numFmtId="0" fontId="0" fillId="0" borderId="20" xfId="0" applyFont="1" applyFill="1" applyBorder="1" applyAlignment="1" applyProtection="1">
      <alignment horizontal="left" indent="1"/>
    </xf>
    <xf numFmtId="0" fontId="0" fillId="0" borderId="0" xfId="0" applyFont="1" applyFill="1" applyBorder="1" applyAlignment="1" applyProtection="1">
      <alignment horizontal="left" indent="1"/>
    </xf>
    <xf numFmtId="0" fontId="27" fillId="0" borderId="0" xfId="0" applyFont="1" applyBorder="1" applyAlignment="1"/>
    <xf numFmtId="14" fontId="27" fillId="0" borderId="0" xfId="0" applyNumberFormat="1" applyFont="1" applyBorder="1" applyAlignment="1"/>
    <xf numFmtId="41" fontId="0" fillId="0" borderId="0" xfId="2" applyFont="1" applyBorder="1"/>
    <xf numFmtId="0" fontId="0" fillId="0" borderId="18" xfId="0" applyFont="1" applyBorder="1" applyAlignment="1">
      <alignment horizontal="left" vertical="justify" wrapText="1"/>
    </xf>
    <xf numFmtId="167" fontId="0" fillId="0" borderId="0" xfId="19" applyNumberFormat="1" applyFont="1" applyFill="1" applyBorder="1" applyAlignment="1" applyProtection="1">
      <alignment horizontal="right"/>
      <protection locked="0"/>
    </xf>
    <xf numFmtId="41" fontId="0" fillId="0" borderId="0" xfId="2" applyFont="1" applyFill="1" applyBorder="1"/>
    <xf numFmtId="9" fontId="0" fillId="0" borderId="0" xfId="2" applyNumberFormat="1" applyFont="1" applyBorder="1"/>
    <xf numFmtId="167" fontId="0" fillId="0" borderId="0" xfId="19" applyNumberFormat="1" applyFont="1" applyBorder="1"/>
    <xf numFmtId="0" fontId="0" fillId="0" borderId="23" xfId="0" applyFont="1" applyBorder="1"/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6" borderId="24" xfId="0" applyFill="1" applyBorder="1"/>
    <xf numFmtId="0" fontId="0" fillId="6" borderId="0" xfId="0" applyFill="1" applyAlignment="1">
      <alignment horizontal="center"/>
    </xf>
    <xf numFmtId="0" fontId="0" fillId="6" borderId="24" xfId="0" applyFill="1" applyBorder="1" applyAlignment="1">
      <alignment horizontal="center"/>
    </xf>
    <xf numFmtId="0" fontId="0" fillId="7" borderId="0" xfId="0" applyFill="1" applyAlignment="1">
      <alignment horizontal="center"/>
    </xf>
    <xf numFmtId="0" fontId="0" fillId="0" borderId="24" xfId="0" applyBorder="1"/>
    <xf numFmtId="167" fontId="0" fillId="7" borderId="24" xfId="0" applyNumberFormat="1" applyFill="1" applyBorder="1"/>
    <xf numFmtId="167" fontId="0" fillId="0" borderId="24" xfId="0" applyNumberFormat="1" applyBorder="1" applyAlignment="1">
      <alignment horizontal="center"/>
    </xf>
    <xf numFmtId="167" fontId="0" fillId="0" borderId="24" xfId="1" applyNumberFormat="1" applyFont="1" applyBorder="1"/>
    <xf numFmtId="167" fontId="0" fillId="0" borderId="24" xfId="0" applyNumberFormat="1" applyBorder="1"/>
    <xf numFmtId="167" fontId="0" fillId="8" borderId="24" xfId="1" applyNumberFormat="1" applyFont="1" applyFill="1" applyBorder="1"/>
    <xf numFmtId="169" fontId="14" fillId="0" borderId="22" xfId="2" applyNumberFormat="1" applyFont="1" applyBorder="1"/>
    <xf numFmtId="41" fontId="17" fillId="0" borderId="0" xfId="2" applyFont="1" applyAlignment="1">
      <alignment vertical="center"/>
    </xf>
    <xf numFmtId="9" fontId="0" fillId="0" borderId="0" xfId="0" applyNumberFormat="1"/>
    <xf numFmtId="0" fontId="0" fillId="0" borderId="0" xfId="0" applyFont="1" applyBorder="1" applyAlignment="1">
      <alignment horizontal="left" indent="1"/>
    </xf>
    <xf numFmtId="0" fontId="0" fillId="0" borderId="0" xfId="0" applyFont="1" applyFill="1" applyBorder="1" applyAlignment="1" applyProtection="1">
      <alignment horizontal="left" indent="1"/>
    </xf>
    <xf numFmtId="41" fontId="17" fillId="5" borderId="0" xfId="0" applyNumberFormat="1" applyFont="1" applyFill="1"/>
    <xf numFmtId="165" fontId="13" fillId="0" borderId="0" xfId="17" applyNumberFormat="1" applyFont="1"/>
    <xf numFmtId="165" fontId="0" fillId="0" borderId="0" xfId="0" applyNumberFormat="1" applyAlignment="1">
      <alignment vertical="center"/>
    </xf>
    <xf numFmtId="165" fontId="0" fillId="0" borderId="0" xfId="0" applyNumberFormat="1"/>
    <xf numFmtId="165" fontId="0" fillId="0" borderId="2" xfId="0" applyNumberFormat="1" applyBorder="1"/>
    <xf numFmtId="165" fontId="33" fillId="0" borderId="2" xfId="0" applyNumberFormat="1" applyFont="1" applyBorder="1"/>
    <xf numFmtId="165" fontId="33" fillId="0" borderId="0" xfId="0" applyNumberFormat="1" applyFont="1"/>
    <xf numFmtId="167" fontId="34" fillId="0" borderId="0" xfId="1" applyNumberFormat="1" applyFont="1"/>
    <xf numFmtId="0" fontId="0" fillId="0" borderId="0" xfId="0" applyFont="1" applyFill="1" applyBorder="1" applyAlignment="1" applyProtection="1">
      <alignment horizontal="left" indent="1"/>
    </xf>
    <xf numFmtId="0" fontId="0" fillId="0" borderId="0" xfId="0" quotePrefix="1" applyFont="1" applyBorder="1" applyAlignment="1">
      <alignment horizontal="left" indent="1"/>
    </xf>
    <xf numFmtId="9" fontId="0" fillId="0" borderId="0" xfId="3" applyFont="1"/>
    <xf numFmtId="0" fontId="0" fillId="0" borderId="0" xfId="0" applyFont="1" applyFill="1" applyBorder="1" applyAlignment="1" applyProtection="1"/>
    <xf numFmtId="0" fontId="0" fillId="0" borderId="3" xfId="0" applyFill="1" applyBorder="1"/>
    <xf numFmtId="0" fontId="0" fillId="0" borderId="3" xfId="0" applyBorder="1"/>
    <xf numFmtId="165" fontId="33" fillId="0" borderId="3" xfId="0" applyNumberFormat="1" applyFont="1" applyBorder="1"/>
    <xf numFmtId="38" fontId="17" fillId="0" borderId="3" xfId="0" applyNumberFormat="1" applyFont="1" applyBorder="1" applyAlignment="1">
      <alignment vertical="center"/>
    </xf>
    <xf numFmtId="0" fontId="0" fillId="0" borderId="2" xfId="0" applyFill="1" applyBorder="1"/>
    <xf numFmtId="41" fontId="13" fillId="0" borderId="2" xfId="2" applyFont="1" applyFill="1" applyBorder="1"/>
    <xf numFmtId="0" fontId="14" fillId="0" borderId="0" xfId="0" applyFont="1" applyFill="1" applyBorder="1"/>
    <xf numFmtId="165" fontId="14" fillId="0" borderId="0" xfId="2" applyNumberFormat="1" applyFont="1" applyFill="1"/>
    <xf numFmtId="0" fontId="14" fillId="2" borderId="5" xfId="0" applyFont="1" applyFill="1" applyBorder="1"/>
    <xf numFmtId="165" fontId="14" fillId="2" borderId="5" xfId="0" applyNumberFormat="1" applyFont="1" applyFill="1" applyBorder="1" applyAlignment="1">
      <alignment vertical="center"/>
    </xf>
    <xf numFmtId="165" fontId="33" fillId="5" borderId="2" xfId="0" applyNumberFormat="1" applyFont="1" applyFill="1" applyBorder="1"/>
    <xf numFmtId="0" fontId="23" fillId="5" borderId="0" xfId="0" applyFont="1" applyFill="1" applyAlignment="1">
      <alignment horizontal="center" vertical="center"/>
    </xf>
    <xf numFmtId="167" fontId="0" fillId="5" borderId="0" xfId="0" applyNumberFormat="1" applyFill="1" applyAlignment="1">
      <alignment vertical="center"/>
    </xf>
    <xf numFmtId="0" fontId="0" fillId="0" borderId="24" xfId="0" applyBorder="1" applyAlignment="1">
      <alignment horizontal="center"/>
    </xf>
    <xf numFmtId="0" fontId="26" fillId="0" borderId="0" xfId="38" applyFont="1"/>
    <xf numFmtId="0" fontId="36" fillId="0" borderId="0" xfId="38" applyFont="1" applyAlignment="1">
      <alignment horizontal="center"/>
    </xf>
    <xf numFmtId="0" fontId="37" fillId="0" borderId="0" xfId="38" applyFont="1" applyAlignment="1">
      <alignment horizontal="left" vertical="top"/>
    </xf>
    <xf numFmtId="0" fontId="37" fillId="0" borderId="0" xfId="38" applyFont="1"/>
    <xf numFmtId="0" fontId="26" fillId="0" borderId="24" xfId="38" applyFont="1" applyBorder="1" applyAlignment="1">
      <alignment horizontal="center" vertical="center"/>
    </xf>
    <xf numFmtId="0" fontId="26" fillId="0" borderId="24" xfId="38" applyFont="1" applyBorder="1"/>
    <xf numFmtId="0" fontId="2" fillId="0" borderId="8" xfId="38" applyFont="1" applyBorder="1"/>
    <xf numFmtId="0" fontId="2" fillId="0" borderId="24" xfId="38" applyFont="1" applyBorder="1"/>
    <xf numFmtId="0" fontId="26" fillId="0" borderId="24" xfId="38" applyFont="1" applyBorder="1" applyAlignment="1">
      <alignment wrapText="1"/>
    </xf>
    <xf numFmtId="164" fontId="0" fillId="0" borderId="24" xfId="39" applyFont="1" applyBorder="1"/>
    <xf numFmtId="0" fontId="26" fillId="0" borderId="24" xfId="38" applyFont="1" applyFill="1" applyBorder="1"/>
    <xf numFmtId="0" fontId="26" fillId="0" borderId="25" xfId="38" applyFont="1" applyBorder="1"/>
    <xf numFmtId="0" fontId="26" fillId="0" borderId="24" xfId="38" applyFont="1" applyFill="1" applyBorder="1" applyAlignment="1">
      <alignment horizontal="center" vertical="center"/>
    </xf>
    <xf numFmtId="41" fontId="26" fillId="0" borderId="0" xfId="40" applyFont="1"/>
    <xf numFmtId="0" fontId="14" fillId="0" borderId="0" xfId="41" applyFont="1"/>
    <xf numFmtId="41" fontId="14" fillId="0" borderId="0" xfId="41" applyNumberFormat="1" applyFont="1"/>
    <xf numFmtId="41" fontId="0" fillId="0" borderId="24" xfId="2" applyFont="1" applyBorder="1" applyAlignment="1">
      <alignment horizontal="center"/>
    </xf>
    <xf numFmtId="41" fontId="0" fillId="0" borderId="0" xfId="2" applyNumberFormat="1" applyFont="1"/>
    <xf numFmtId="165" fontId="35" fillId="0" borderId="0" xfId="2" applyNumberFormat="1" applyFont="1" applyFill="1"/>
    <xf numFmtId="165" fontId="35" fillId="2" borderId="5" xfId="0" applyNumberFormat="1" applyFont="1" applyFill="1" applyBorder="1" applyAlignment="1">
      <alignment vertical="center"/>
    </xf>
    <xf numFmtId="9" fontId="17" fillId="0" borderId="7" xfId="3" applyFont="1" applyBorder="1"/>
    <xf numFmtId="165" fontId="17" fillId="0" borderId="9" xfId="0" applyNumberFormat="1" applyFont="1" applyBorder="1"/>
    <xf numFmtId="165" fontId="17" fillId="0" borderId="0" xfId="0" applyNumberFormat="1" applyFont="1"/>
    <xf numFmtId="165" fontId="17" fillId="5" borderId="0" xfId="0" applyNumberFormat="1" applyFont="1" applyFill="1"/>
    <xf numFmtId="38" fontId="17" fillId="5" borderId="0" xfId="0" applyNumberFormat="1" applyFont="1" applyFill="1"/>
    <xf numFmtId="165" fontId="17" fillId="5" borderId="3" xfId="0" applyNumberFormat="1" applyFont="1" applyFill="1" applyBorder="1"/>
    <xf numFmtId="41" fontId="17" fillId="5" borderId="2" xfId="2" applyFont="1" applyFill="1" applyBorder="1"/>
    <xf numFmtId="165" fontId="24" fillId="5" borderId="0" xfId="0" applyNumberFormat="1" applyFont="1" applyFill="1"/>
    <xf numFmtId="165" fontId="24" fillId="5" borderId="5" xfId="0" applyNumberFormat="1" applyFont="1" applyFill="1" applyBorder="1"/>
    <xf numFmtId="9" fontId="24" fillId="0" borderId="19" xfId="2" applyNumberFormat="1" applyFont="1" applyBorder="1"/>
    <xf numFmtId="41" fontId="24" fillId="0" borderId="18" xfId="2" applyFont="1" applyBorder="1"/>
    <xf numFmtId="0" fontId="41" fillId="0" borderId="0" xfId="0" applyFont="1" applyBorder="1" applyAlignment="1">
      <alignment horizontal="right"/>
    </xf>
    <xf numFmtId="0" fontId="42" fillId="0" borderId="0" xfId="0" applyFont="1" applyBorder="1"/>
    <xf numFmtId="0" fontId="43" fillId="0" borderId="0" xfId="0" applyFont="1" applyAlignment="1">
      <alignment horizontal="right"/>
    </xf>
    <xf numFmtId="0" fontId="10" fillId="0" borderId="24" xfId="13" applyBorder="1" applyAlignment="1">
      <alignment horizontal="center"/>
    </xf>
    <xf numFmtId="0" fontId="10" fillId="0" borderId="29" xfId="13" applyBorder="1"/>
    <xf numFmtId="0" fontId="10" fillId="0" borderId="0" xfId="13" applyAlignment="1">
      <alignment horizontal="left"/>
    </xf>
    <xf numFmtId="9" fontId="10" fillId="0" borderId="0" xfId="13" applyNumberFormat="1" applyAlignment="1">
      <alignment horizontal="left"/>
    </xf>
    <xf numFmtId="0" fontId="10" fillId="0" borderId="0" xfId="13"/>
    <xf numFmtId="0" fontId="1" fillId="0" borderId="0" xfId="13" applyFont="1" applyAlignment="1">
      <alignment horizontal="left"/>
    </xf>
    <xf numFmtId="0" fontId="26" fillId="0" borderId="0" xfId="38"/>
    <xf numFmtId="0" fontId="1" fillId="0" borderId="0" xfId="42"/>
    <xf numFmtId="0" fontId="26" fillId="0" borderId="24" xfId="38" applyBorder="1" applyAlignment="1">
      <alignment horizontal="center"/>
    </xf>
    <xf numFmtId="0" fontId="26" fillId="0" borderId="0" xfId="38" applyAlignment="1">
      <alignment horizontal="center"/>
    </xf>
    <xf numFmtId="0" fontId="26" fillId="0" borderId="24" xfId="38" applyBorder="1"/>
    <xf numFmtId="173" fontId="26" fillId="0" borderId="24" xfId="38" applyNumberFormat="1" applyBorder="1" applyAlignment="1">
      <alignment horizontal="center"/>
    </xf>
    <xf numFmtId="173" fontId="26" fillId="0" borderId="0" xfId="38" applyNumberFormat="1"/>
    <xf numFmtId="0" fontId="40" fillId="0" borderId="0" xfId="43" applyFont="1" applyAlignment="1">
      <alignment horizontal="center"/>
    </xf>
    <xf numFmtId="173" fontId="26" fillId="0" borderId="0" xfId="38" applyNumberFormat="1" applyAlignment="1">
      <alignment horizontal="center"/>
    </xf>
    <xf numFmtId="165" fontId="26" fillId="0" borderId="0" xfId="44" applyFont="1" applyBorder="1"/>
    <xf numFmtId="174" fontId="26" fillId="0" borderId="0" xfId="45" applyNumberFormat="1" applyFont="1"/>
    <xf numFmtId="165" fontId="26" fillId="0" borderId="0" xfId="38" applyNumberFormat="1"/>
    <xf numFmtId="175" fontId="26" fillId="0" borderId="0" xfId="46" applyNumberFormat="1" applyFont="1"/>
    <xf numFmtId="41" fontId="26" fillId="0" borderId="2" xfId="45" applyFont="1" applyBorder="1"/>
    <xf numFmtId="173" fontId="26" fillId="0" borderId="0" xfId="38" applyNumberFormat="1" applyBorder="1" applyAlignment="1">
      <alignment horizontal="center"/>
    </xf>
    <xf numFmtId="0" fontId="27" fillId="0" borderId="13" xfId="0" applyFont="1" applyBorder="1" applyAlignment="1">
      <alignment horizontal="center"/>
    </xf>
    <xf numFmtId="0" fontId="27" fillId="0" borderId="14" xfId="0" applyFont="1" applyBorder="1" applyAlignment="1">
      <alignment horizontal="center"/>
    </xf>
    <xf numFmtId="0" fontId="27" fillId="0" borderId="15" xfId="0" applyFont="1" applyBorder="1" applyAlignment="1">
      <alignment horizontal="center"/>
    </xf>
    <xf numFmtId="0" fontId="0" fillId="0" borderId="16" xfId="0" applyFont="1" applyBorder="1" applyAlignment="1">
      <alignment horizontal="left" indent="1"/>
    </xf>
    <xf numFmtId="0" fontId="0" fillId="0" borderId="17" xfId="0" applyFont="1" applyBorder="1" applyAlignment="1">
      <alignment horizontal="left" indent="1"/>
    </xf>
    <xf numFmtId="0" fontId="14" fillId="0" borderId="17" xfId="0" applyFont="1" applyBorder="1" applyAlignment="1">
      <alignment horizontal="left"/>
    </xf>
    <xf numFmtId="0" fontId="0" fillId="0" borderId="0" xfId="0" applyFont="1" applyBorder="1" applyAlignment="1">
      <alignment horizontal="left" indent="1"/>
    </xf>
    <xf numFmtId="0" fontId="14" fillId="0" borderId="0" xfId="0" applyFont="1" applyBorder="1" applyAlignment="1">
      <alignment horizontal="left"/>
    </xf>
    <xf numFmtId="0" fontId="0" fillId="0" borderId="0" xfId="0" applyFont="1" applyFill="1" applyBorder="1" applyAlignment="1" applyProtection="1">
      <alignment horizontal="left" indent="1"/>
    </xf>
    <xf numFmtId="0" fontId="0" fillId="0" borderId="0" xfId="0" quotePrefix="1" applyFont="1" applyBorder="1" applyAlignment="1">
      <alignment horizontal="left" indent="1"/>
    </xf>
    <xf numFmtId="167" fontId="0" fillId="0" borderId="0" xfId="19" applyNumberFormat="1" applyFont="1" applyFill="1" applyBorder="1" applyAlignment="1" applyProtection="1">
      <alignment horizontal="left" vertical="top" wrapText="1"/>
      <protection locked="0"/>
    </xf>
    <xf numFmtId="167" fontId="0" fillId="0" borderId="18" xfId="19" applyNumberFormat="1" applyFont="1" applyFill="1" applyBorder="1" applyAlignment="1" applyProtection="1">
      <alignment horizontal="left" vertical="top" wrapText="1"/>
      <protection locked="0"/>
    </xf>
    <xf numFmtId="0" fontId="0" fillId="0" borderId="20" xfId="0" applyFont="1" applyBorder="1" applyAlignment="1">
      <alignment horizontal="left" vertical="center" indent="1"/>
    </xf>
    <xf numFmtId="0" fontId="0" fillId="0" borderId="0" xfId="0" applyFont="1" applyBorder="1" applyAlignment="1">
      <alignment horizontal="left" vertical="center" indent="1"/>
    </xf>
    <xf numFmtId="0" fontId="0" fillId="0" borderId="0" xfId="0" applyFont="1" applyBorder="1" applyAlignment="1">
      <alignment horizontal="left" wrapText="1"/>
    </xf>
    <xf numFmtId="0" fontId="14" fillId="0" borderId="17" xfId="0" applyFont="1" applyBorder="1" applyAlignment="1">
      <alignment horizontal="center"/>
    </xf>
    <xf numFmtId="0" fontId="14" fillId="0" borderId="20" xfId="0" applyFont="1" applyFill="1" applyBorder="1" applyAlignment="1" applyProtection="1">
      <alignment horizontal="left" indent="1"/>
    </xf>
    <xf numFmtId="0" fontId="14" fillId="0" borderId="0" xfId="0" applyFont="1" applyFill="1" applyBorder="1" applyAlignment="1" applyProtection="1">
      <alignment horizontal="left" indent="1"/>
    </xf>
    <xf numFmtId="0" fontId="14" fillId="0" borderId="21" xfId="0" applyFont="1" applyFill="1" applyBorder="1" applyAlignment="1" applyProtection="1">
      <alignment horizontal="left" indent="1"/>
    </xf>
    <xf numFmtId="0" fontId="14" fillId="0" borderId="1" xfId="0" applyFont="1" applyFill="1" applyBorder="1" applyAlignment="1" applyProtection="1">
      <alignment horizontal="left" indent="1"/>
    </xf>
    <xf numFmtId="0" fontId="14" fillId="0" borderId="0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14" fillId="0" borderId="16" xfId="0" applyFont="1" applyFill="1" applyBorder="1" applyAlignment="1" applyProtection="1">
      <alignment horizontal="left" indent="1"/>
    </xf>
    <xf numFmtId="0" fontId="14" fillId="0" borderId="17" xfId="0" applyFont="1" applyFill="1" applyBorder="1" applyAlignment="1" applyProtection="1">
      <alignment horizontal="left" indent="1"/>
    </xf>
    <xf numFmtId="41" fontId="14" fillId="0" borderId="12" xfId="0" applyNumberFormat="1" applyFont="1" applyBorder="1" applyAlignment="1">
      <alignment horizontal="center"/>
    </xf>
    <xf numFmtId="0" fontId="14" fillId="0" borderId="12" xfId="0" applyFont="1" applyBorder="1" applyAlignment="1">
      <alignment horizontal="center"/>
    </xf>
    <xf numFmtId="0" fontId="26" fillId="0" borderId="25" xfId="38" applyFont="1" applyBorder="1" applyAlignment="1">
      <alignment horizontal="center" wrapText="1"/>
    </xf>
    <xf numFmtId="0" fontId="26" fillId="0" borderId="29" xfId="38" applyFont="1" applyBorder="1" applyAlignment="1">
      <alignment horizontal="center" wrapText="1"/>
    </xf>
    <xf numFmtId="0" fontId="38" fillId="9" borderId="24" xfId="38" applyFont="1" applyFill="1" applyBorder="1" applyAlignment="1">
      <alignment horizontal="center" vertical="center"/>
    </xf>
    <xf numFmtId="0" fontId="39" fillId="9" borderId="26" xfId="38" applyFont="1" applyFill="1" applyBorder="1" applyAlignment="1">
      <alignment horizontal="center" vertical="center"/>
    </xf>
    <xf numFmtId="0" fontId="39" fillId="9" borderId="28" xfId="38" applyFont="1" applyFill="1" applyBorder="1" applyAlignment="1">
      <alignment horizontal="center" vertical="center"/>
    </xf>
    <xf numFmtId="0" fontId="26" fillId="0" borderId="26" xfId="38" applyFont="1" applyBorder="1" applyAlignment="1">
      <alignment horizontal="center" vertical="center"/>
    </xf>
    <xf numFmtId="0" fontId="26" fillId="0" borderId="27" xfId="38" applyFont="1" applyBorder="1" applyAlignment="1">
      <alignment horizontal="center" vertical="center"/>
    </xf>
    <xf numFmtId="0" fontId="0" fillId="0" borderId="24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26" fillId="0" borderId="24" xfId="38" applyBorder="1" applyAlignment="1">
      <alignment horizontal="center"/>
    </xf>
  </cellXfs>
  <cellStyles count="48">
    <cellStyle name="=C:\WINNT35\SYSTEM32\COMMAND.COM" xfId="30" xr:uid="{00000000-0005-0000-0000-000000000000}"/>
    <cellStyle name="0,0_x000a__x000a_NA_x000a__x000a_" xfId="31" xr:uid="{00000000-0005-0000-0000-000001000000}"/>
    <cellStyle name="Comma" xfId="1" builtinId="3"/>
    <cellStyle name="Comma [0]" xfId="2" builtinId="6"/>
    <cellStyle name="Comma [0] 2" xfId="9" xr:uid="{00000000-0005-0000-0000-000004000000}"/>
    <cellStyle name="Comma [0] 3" xfId="26" xr:uid="{00000000-0005-0000-0000-000005000000}"/>
    <cellStyle name="Comma [0] 3 2" xfId="40" xr:uid="{8EFB05DF-7132-4D03-BBF7-1A796B27BA09}"/>
    <cellStyle name="Comma [0] 3 2 2" xfId="45" xr:uid="{85B3E204-4250-4D77-B3C6-CE529EF23341}"/>
    <cellStyle name="Comma [0] 3 3" xfId="46" xr:uid="{E23DA03F-F0B6-42EE-9B72-2ABC8E74101E}"/>
    <cellStyle name="Comma [0] 4" xfId="37" xr:uid="{EEFF8289-81A3-4E5D-8764-76D36FB8FDA7}"/>
    <cellStyle name="Comma [0] 5" xfId="44" xr:uid="{793386AE-B092-4964-9896-B5F6BE1CC1DB}"/>
    <cellStyle name="Comma 2" xfId="7" xr:uid="{00000000-0005-0000-0000-000006000000}"/>
    <cellStyle name="Comma 2 3" xfId="22" xr:uid="{00000000-0005-0000-0000-000007000000}"/>
    <cellStyle name="Comma 3" xfId="10" xr:uid="{00000000-0005-0000-0000-000008000000}"/>
    <cellStyle name="Comma 3 2" xfId="11" xr:uid="{00000000-0005-0000-0000-000009000000}"/>
    <cellStyle name="Comma 4" xfId="12" xr:uid="{00000000-0005-0000-0000-00000A000000}"/>
    <cellStyle name="Comma 4 3 2 5" xfId="35" xr:uid="{00000000-0005-0000-0000-00000B000000}"/>
    <cellStyle name="Comma 5" xfId="18" xr:uid="{00000000-0005-0000-0000-00000C000000}"/>
    <cellStyle name="Comma 5 2" xfId="19" xr:uid="{00000000-0005-0000-0000-00000D000000}"/>
    <cellStyle name="Currency [0] 2" xfId="23" xr:uid="{00000000-0005-0000-0000-00000E000000}"/>
    <cellStyle name="Currency [0] 2 2" xfId="39" xr:uid="{557BCC0A-C919-49B0-8B10-21622609314B}"/>
    <cellStyle name="Currency [0] 3" xfId="28" xr:uid="{00000000-0005-0000-0000-00000F000000}"/>
    <cellStyle name="Currency [0] 4" xfId="33" xr:uid="{00000000-0005-0000-0000-000010000000}"/>
    <cellStyle name="Currency 2" xfId="27" xr:uid="{00000000-0005-0000-0000-000011000000}"/>
    <cellStyle name="Currency 3" xfId="32" xr:uid="{00000000-0005-0000-0000-000012000000}"/>
    <cellStyle name="Normal" xfId="0" builtinId="0"/>
    <cellStyle name="Normal 2" xfId="5" xr:uid="{00000000-0005-0000-0000-000014000000}"/>
    <cellStyle name="Normal 2 2" xfId="6" xr:uid="{00000000-0005-0000-0000-000015000000}"/>
    <cellStyle name="Normal 2 2 2 2 3" xfId="17" xr:uid="{00000000-0005-0000-0000-000016000000}"/>
    <cellStyle name="Normal 2 7" xfId="20" xr:uid="{00000000-0005-0000-0000-000017000000}"/>
    <cellStyle name="Normal 3" xfId="13" xr:uid="{00000000-0005-0000-0000-000018000000}"/>
    <cellStyle name="Normal 3 2" xfId="14" xr:uid="{00000000-0005-0000-0000-000019000000}"/>
    <cellStyle name="Normal 3 3" xfId="21" xr:uid="{00000000-0005-0000-0000-00001A000000}"/>
    <cellStyle name="Normal 4" xfId="24" xr:uid="{00000000-0005-0000-0000-00001B000000}"/>
    <cellStyle name="Normal 4 2" xfId="41" xr:uid="{256A9904-3547-44C8-BE3F-FC80B5889A3D}"/>
    <cellStyle name="Normal 5" xfId="25" xr:uid="{00000000-0005-0000-0000-00001C000000}"/>
    <cellStyle name="Normal 6" xfId="29" xr:uid="{00000000-0005-0000-0000-00001D000000}"/>
    <cellStyle name="Normal 7" xfId="34" xr:uid="{00000000-0005-0000-0000-00001E000000}"/>
    <cellStyle name="Normal 7 2" xfId="38" xr:uid="{A13B5D36-1B14-4E11-9A98-5F0F4F9CE329}"/>
    <cellStyle name="Normal 7 3" xfId="43" xr:uid="{65ABB4D9-DE7B-46CC-87F0-61EA6641CCFA}"/>
    <cellStyle name="Normal 8" xfId="36" xr:uid="{171BCF9A-75BF-4639-9A96-4422FD55F01C}"/>
    <cellStyle name="Normal 9" xfId="42" xr:uid="{99612950-23D9-4DF4-9489-25DB7EBBA9ED}"/>
    <cellStyle name="Percent" xfId="3" builtinId="5"/>
    <cellStyle name="Percent 2" xfId="8" xr:uid="{00000000-0005-0000-0000-000020000000}"/>
    <cellStyle name="Percent 2 2" xfId="4" xr:uid="{00000000-0005-0000-0000-000021000000}"/>
    <cellStyle name="Percent 3" xfId="15" xr:uid="{00000000-0005-0000-0000-000022000000}"/>
    <cellStyle name="Percent 3 2" xfId="16" xr:uid="{00000000-0005-0000-0000-000023000000}"/>
    <cellStyle name="Percent 4" xfId="47" xr:uid="{0D4F9504-77A4-4398-B3FC-7E90D1DF9643}"/>
  </cellStyles>
  <dxfs count="32"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26700</xdr:colOff>
      <xdr:row>29</xdr:row>
      <xdr:rowOff>30954</xdr:rowOff>
    </xdr:from>
    <xdr:to>
      <xdr:col>12</xdr:col>
      <xdr:colOff>984250</xdr:colOff>
      <xdr:row>30</xdr:row>
      <xdr:rowOff>111126</xdr:rowOff>
    </xdr:to>
    <xdr:grpSp>
      <xdr:nvGrpSpPr>
        <xdr:cNvPr id="2" name="Group 1">
          <a:extLst>
            <a:ext uri="{FF2B5EF4-FFF2-40B4-BE49-F238E27FC236}">
              <a16:creationId xmlns:a16="http://schemas.microsoft.com/office/drawing/2014/main" id="{4DAA910B-6198-46CA-9A30-952F7227332E}"/>
            </a:ext>
          </a:extLst>
        </xdr:cNvPr>
        <xdr:cNvGrpSpPr/>
      </xdr:nvGrpSpPr>
      <xdr:grpSpPr>
        <a:xfrm>
          <a:off x="566450" y="5923754"/>
          <a:ext cx="8641050" cy="277022"/>
          <a:chOff x="570986" y="5042917"/>
          <a:chExt cx="14774690" cy="343744"/>
        </a:xfrm>
      </xdr:grpSpPr>
      <xdr:sp macro="" textlink="">
        <xdr:nvSpPr>
          <xdr:cNvPr id="3" name="TextBox 2">
            <a:extLst>
              <a:ext uri="{FF2B5EF4-FFF2-40B4-BE49-F238E27FC236}">
                <a16:creationId xmlns:a16="http://schemas.microsoft.com/office/drawing/2014/main" id="{E903E39F-A18C-4AF2-9738-3856D73C3B33}"/>
              </a:ext>
            </a:extLst>
          </xdr:cNvPr>
          <xdr:cNvSpPr txBox="1"/>
        </xdr:nvSpPr>
        <xdr:spPr>
          <a:xfrm>
            <a:off x="5746462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Kurniadi</a:t>
            </a:r>
            <a:r>
              <a:rPr lang="en-US" sz="1200" b="1" baseline="0"/>
              <a:t> D</a:t>
            </a:r>
            <a:endParaRPr lang="en-US" sz="1200" b="1"/>
          </a:p>
        </xdr:txBody>
      </xdr:sp>
      <xdr:sp macro="" textlink="">
        <xdr:nvSpPr>
          <xdr:cNvPr id="4" name="TextBox 3">
            <a:extLst>
              <a:ext uri="{FF2B5EF4-FFF2-40B4-BE49-F238E27FC236}">
                <a16:creationId xmlns:a16="http://schemas.microsoft.com/office/drawing/2014/main" id="{6AB35D35-9FD6-4CBA-9B17-9A632CD9A718}"/>
              </a:ext>
            </a:extLst>
          </xdr:cNvPr>
          <xdr:cNvSpPr txBox="1"/>
        </xdr:nvSpPr>
        <xdr:spPr>
          <a:xfrm>
            <a:off x="570986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Gaga H</a:t>
            </a:r>
          </a:p>
        </xdr:txBody>
      </xdr:sp>
      <xdr:sp macro="" textlink="">
        <xdr:nvSpPr>
          <xdr:cNvPr id="5" name="TextBox 4">
            <a:extLst>
              <a:ext uri="{FF2B5EF4-FFF2-40B4-BE49-F238E27FC236}">
                <a16:creationId xmlns:a16="http://schemas.microsoft.com/office/drawing/2014/main" id="{1E041942-7F20-4076-9993-E79B52EBF34D}"/>
              </a:ext>
            </a:extLst>
          </xdr:cNvPr>
          <xdr:cNvSpPr txBox="1"/>
        </xdr:nvSpPr>
        <xdr:spPr>
          <a:xfrm>
            <a:off x="8334200" y="5042917"/>
            <a:ext cx="1836000" cy="32560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Robert P</a:t>
            </a:r>
          </a:p>
        </xdr:txBody>
      </xdr:sp>
      <xdr:sp macro="" textlink="">
        <xdr:nvSpPr>
          <xdr:cNvPr id="6" name="TextBox 5">
            <a:extLst>
              <a:ext uri="{FF2B5EF4-FFF2-40B4-BE49-F238E27FC236}">
                <a16:creationId xmlns:a16="http://schemas.microsoft.com/office/drawing/2014/main" id="{248189FE-8A6A-4547-9ADA-8CE27706581E}"/>
              </a:ext>
            </a:extLst>
          </xdr:cNvPr>
          <xdr:cNvSpPr txBox="1"/>
        </xdr:nvSpPr>
        <xdr:spPr>
          <a:xfrm>
            <a:off x="10921938" y="5042917"/>
            <a:ext cx="1836000" cy="32890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Anni</a:t>
            </a:r>
            <a:r>
              <a:rPr lang="en-US" sz="1200" b="1" baseline="0"/>
              <a:t> S</a:t>
            </a:r>
            <a:endParaRPr lang="en-US" sz="1200" b="1"/>
          </a:p>
        </xdr:txBody>
      </xdr:sp>
      <xdr:sp macro="" textlink="">
        <xdr:nvSpPr>
          <xdr:cNvPr id="7" name="TextBox 6">
            <a:extLst>
              <a:ext uri="{FF2B5EF4-FFF2-40B4-BE49-F238E27FC236}">
                <a16:creationId xmlns:a16="http://schemas.microsoft.com/office/drawing/2014/main" id="{931E21B1-9E7C-4DA0-9078-6931B1C6F4D3}"/>
              </a:ext>
            </a:extLst>
          </xdr:cNvPr>
          <xdr:cNvSpPr txBox="1"/>
        </xdr:nvSpPr>
        <xdr:spPr>
          <a:xfrm>
            <a:off x="13509676" y="5042917"/>
            <a:ext cx="1836000" cy="33797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Makmur J</a:t>
            </a:r>
          </a:p>
        </xdr:txBody>
      </xdr:sp>
      <xdr:sp macro="" textlink="">
        <xdr:nvSpPr>
          <xdr:cNvPr id="8" name="TextBox 7">
            <a:extLst>
              <a:ext uri="{FF2B5EF4-FFF2-40B4-BE49-F238E27FC236}">
                <a16:creationId xmlns:a16="http://schemas.microsoft.com/office/drawing/2014/main" id="{47613EEE-6713-4762-B24D-BC4290367B50}"/>
              </a:ext>
            </a:extLst>
          </xdr:cNvPr>
          <xdr:cNvSpPr txBox="1"/>
        </xdr:nvSpPr>
        <xdr:spPr>
          <a:xfrm>
            <a:off x="3158724" y="5042917"/>
            <a:ext cx="1836000" cy="34374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lang="en-US" sz="1200" b="1"/>
              <a:t>Nelson F H</a:t>
            </a:r>
          </a:p>
        </xdr:txBody>
      </xdr:sp>
    </xdr:grpSp>
    <xdr:clientData/>
  </xdr:twoCellAnchor>
  <xdr:twoCellAnchor>
    <xdr:from>
      <xdr:col>1</xdr:col>
      <xdr:colOff>87947</xdr:colOff>
      <xdr:row>34</xdr:row>
      <xdr:rowOff>104251</xdr:rowOff>
    </xdr:from>
    <xdr:to>
      <xdr:col>12</xdr:col>
      <xdr:colOff>1063625</xdr:colOff>
      <xdr:row>35</xdr:row>
      <xdr:rowOff>79374</xdr:rowOff>
    </xdr:to>
    <xdr:grpSp>
      <xdr:nvGrpSpPr>
        <xdr:cNvPr id="9" name="Group 8">
          <a:extLst>
            <a:ext uri="{FF2B5EF4-FFF2-40B4-BE49-F238E27FC236}">
              <a16:creationId xmlns:a16="http://schemas.microsoft.com/office/drawing/2014/main" id="{361AC916-26C4-41DB-865F-45B43725DD6F}"/>
            </a:ext>
          </a:extLst>
        </xdr:cNvPr>
        <xdr:cNvGrpSpPr/>
      </xdr:nvGrpSpPr>
      <xdr:grpSpPr>
        <a:xfrm>
          <a:off x="399097" y="6981301"/>
          <a:ext cx="8887778" cy="171973"/>
          <a:chOff x="722947" y="7327377"/>
          <a:chExt cx="10285884" cy="0"/>
        </a:xfrm>
      </xdr:grpSpPr>
      <xdr:cxnSp macro="">
        <xdr:nvCxnSpPr>
          <xdr:cNvPr id="10" name="Straight Connector 9">
            <a:extLst>
              <a:ext uri="{FF2B5EF4-FFF2-40B4-BE49-F238E27FC236}">
                <a16:creationId xmlns:a16="http://schemas.microsoft.com/office/drawing/2014/main" id="{F7793B60-6109-47CA-BE5B-CEA42B255936}"/>
              </a:ext>
            </a:extLst>
          </xdr:cNvPr>
          <xdr:cNvCxnSpPr/>
        </xdr:nvCxnSpPr>
        <xdr:spPr>
          <a:xfrm flipV="1">
            <a:off x="722947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1" name="Straight Connector 10">
            <a:extLst>
              <a:ext uri="{FF2B5EF4-FFF2-40B4-BE49-F238E27FC236}">
                <a16:creationId xmlns:a16="http://schemas.microsoft.com/office/drawing/2014/main" id="{91950703-6F63-43D2-B33E-806F2C47E951}"/>
              </a:ext>
            </a:extLst>
          </xdr:cNvPr>
          <xdr:cNvCxnSpPr/>
        </xdr:nvCxnSpPr>
        <xdr:spPr>
          <a:xfrm flipV="1">
            <a:off x="2492124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2" name="Straight Connector 11">
            <a:extLst>
              <a:ext uri="{FF2B5EF4-FFF2-40B4-BE49-F238E27FC236}">
                <a16:creationId xmlns:a16="http://schemas.microsoft.com/office/drawing/2014/main" id="{AF9F6D0C-6CE4-4EDA-BC55-17EE3E28E453}"/>
              </a:ext>
            </a:extLst>
          </xdr:cNvPr>
          <xdr:cNvCxnSpPr/>
        </xdr:nvCxnSpPr>
        <xdr:spPr>
          <a:xfrm>
            <a:off x="426130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3" name="Straight Connector 12">
            <a:extLst>
              <a:ext uri="{FF2B5EF4-FFF2-40B4-BE49-F238E27FC236}">
                <a16:creationId xmlns:a16="http://schemas.microsoft.com/office/drawing/2014/main" id="{13BD3E8C-678F-428D-874A-7208714808B3}"/>
              </a:ext>
            </a:extLst>
          </xdr:cNvPr>
          <xdr:cNvCxnSpPr/>
        </xdr:nvCxnSpPr>
        <xdr:spPr>
          <a:xfrm flipV="1">
            <a:off x="6030478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4" name="Straight Connector 13">
            <a:extLst>
              <a:ext uri="{FF2B5EF4-FFF2-40B4-BE49-F238E27FC236}">
                <a16:creationId xmlns:a16="http://schemas.microsoft.com/office/drawing/2014/main" id="{3FC5317F-00EF-41A4-820C-F30CC60C1EF6}"/>
              </a:ext>
            </a:extLst>
          </xdr:cNvPr>
          <xdr:cNvCxnSpPr/>
        </xdr:nvCxnSpPr>
        <xdr:spPr>
          <a:xfrm flipV="1">
            <a:off x="7799655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  <xdr:cxnSp macro="">
        <xdr:nvCxnSpPr>
          <xdr:cNvPr id="15" name="Straight Connector 14">
            <a:extLst>
              <a:ext uri="{FF2B5EF4-FFF2-40B4-BE49-F238E27FC236}">
                <a16:creationId xmlns:a16="http://schemas.microsoft.com/office/drawing/2014/main" id="{344E174A-4A47-4AFA-9DC0-73FAF16DF8C1}"/>
              </a:ext>
            </a:extLst>
          </xdr:cNvPr>
          <xdr:cNvCxnSpPr/>
        </xdr:nvCxnSpPr>
        <xdr:spPr>
          <a:xfrm flipV="1">
            <a:off x="9568831" y="7327377"/>
            <a:ext cx="1440000" cy="0"/>
          </a:xfrm>
          <a:prstGeom prst="line">
            <a:avLst/>
          </a:prstGeom>
          <a:ln w="28575"/>
        </xdr:spPr>
        <xdr:style>
          <a:lnRef idx="1">
            <a:schemeClr val="dk1"/>
          </a:lnRef>
          <a:fillRef idx="0">
            <a:schemeClr val="dk1"/>
          </a:fillRef>
          <a:effectRef idx="0">
            <a:schemeClr val="dk1"/>
          </a:effectRef>
          <a:fontRef idx="minor">
            <a:schemeClr val="tx1"/>
          </a:fontRef>
        </xdr:style>
      </xdr:cxnSp>
    </xdr:grpSp>
    <xdr:clientData/>
  </xdr:twoCellAnchor>
  <xdr:twoCellAnchor>
    <xdr:from>
      <xdr:col>11</xdr:col>
      <xdr:colOff>612786</xdr:colOff>
      <xdr:row>25</xdr:row>
      <xdr:rowOff>79365</xdr:rowOff>
    </xdr:from>
    <xdr:to>
      <xdr:col>12</xdr:col>
      <xdr:colOff>791094</xdr:colOff>
      <xdr:row>25</xdr:row>
      <xdr:rowOff>79365</xdr:rowOff>
    </xdr:to>
    <xdr:cxnSp macro="">
      <xdr:nvCxnSpPr>
        <xdr:cNvPr id="16" name="Straight Connector 15">
          <a:extLst>
            <a:ext uri="{FF2B5EF4-FFF2-40B4-BE49-F238E27FC236}">
              <a16:creationId xmlns:a16="http://schemas.microsoft.com/office/drawing/2014/main" id="{2F0916B7-1815-47AF-8F4E-CF6613B02838}"/>
            </a:ext>
          </a:extLst>
        </xdr:cNvPr>
        <xdr:cNvCxnSpPr/>
      </xdr:nvCxnSpPr>
      <xdr:spPr>
        <a:xfrm flipV="1">
          <a:off x="6924686" y="4670415"/>
          <a:ext cx="1581658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lfredo.setiadi\Downloads\Worksheet%20in%20IoT%20technical%20partners%20Negotiation.ppt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erlink"/>
      <sheetName val="PnL Sensor Base"/>
      <sheetName val="ABIMATA"/>
      <sheetName val="Modelling Kerlink gateway only"/>
    </sheetNames>
    <sheetDataSet>
      <sheetData sheetId="0">
        <row r="5">
          <cell r="D5">
            <v>2</v>
          </cell>
        </row>
      </sheetData>
      <sheetData sheetId="1"/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B1:R28"/>
  <sheetViews>
    <sheetView showGridLines="0" tabSelected="1" topLeftCell="E3" zoomScaleNormal="100" workbookViewId="0">
      <selection activeCell="P11" sqref="P11"/>
    </sheetView>
  </sheetViews>
  <sheetFormatPr defaultColWidth="8.58203125" defaultRowHeight="15.5" x14ac:dyDescent="0.35"/>
  <cols>
    <col min="1" max="1" width="4.08203125" style="81" customWidth="1"/>
    <col min="2" max="2" width="3" style="81" customWidth="1"/>
    <col min="3" max="3" width="16.58203125" style="81" customWidth="1"/>
    <col min="4" max="4" width="25.5" style="81" customWidth="1"/>
    <col min="5" max="5" width="4.1640625" style="81" customWidth="1"/>
    <col min="6" max="6" width="4.83203125" style="81" customWidth="1"/>
    <col min="7" max="7" width="10.58203125" style="81" customWidth="1"/>
    <col min="8" max="8" width="8.33203125" style="81" customWidth="1"/>
    <col min="9" max="9" width="5.33203125" style="81" customWidth="1"/>
    <col min="10" max="10" width="2.08203125" style="81" customWidth="1"/>
    <col min="11" max="11" width="5.08203125" style="81" customWidth="1"/>
    <col min="12" max="12" width="18.33203125" style="81" bestFit="1" customWidth="1"/>
    <col min="13" max="13" width="16.5" style="81" customWidth="1"/>
    <col min="14" max="14" width="2.08203125" style="81" customWidth="1"/>
    <col min="15" max="15" width="3.58203125" style="81" customWidth="1"/>
    <col min="16" max="16" width="14.6640625" style="81" bestFit="1" customWidth="1"/>
    <col min="17" max="17" width="8.58203125" style="81"/>
    <col min="18" max="18" width="11.9140625" style="81" bestFit="1" customWidth="1"/>
    <col min="19" max="16384" width="8.58203125" style="81"/>
  </cols>
  <sheetData>
    <row r="1" spans="2:18" ht="33" customHeight="1" x14ac:dyDescent="0.55000000000000004">
      <c r="B1" s="84"/>
      <c r="C1" s="191" t="s">
        <v>164</v>
      </c>
      <c r="D1" s="84"/>
      <c r="E1" s="84"/>
      <c r="F1" s="84"/>
      <c r="G1" s="84"/>
      <c r="H1" s="84"/>
      <c r="I1" s="84"/>
      <c r="J1" s="84"/>
      <c r="K1" s="84"/>
      <c r="L1" s="84"/>
      <c r="M1" s="84"/>
      <c r="N1" s="190" t="s">
        <v>163</v>
      </c>
    </row>
    <row r="2" spans="2:18" ht="18.5" x14ac:dyDescent="0.45">
      <c r="B2" s="84"/>
      <c r="C2" s="85" t="s">
        <v>46</v>
      </c>
      <c r="D2" s="82" t="s">
        <v>75</v>
      </c>
      <c r="E2" s="84"/>
      <c r="F2" s="84"/>
      <c r="G2" s="84"/>
      <c r="H2" s="84"/>
      <c r="J2" s="107" t="s">
        <v>74</v>
      </c>
      <c r="K2" s="107"/>
      <c r="L2" s="107"/>
      <c r="M2" s="108">
        <v>45538</v>
      </c>
      <c r="N2" s="84"/>
    </row>
    <row r="3" spans="2:18" ht="18.5" x14ac:dyDescent="0.45">
      <c r="B3" s="84"/>
      <c r="C3" s="85" t="s">
        <v>47</v>
      </c>
      <c r="D3" s="82" t="s">
        <v>118</v>
      </c>
      <c r="E3" s="84"/>
      <c r="F3" s="84"/>
      <c r="G3" s="84"/>
      <c r="H3" s="84"/>
      <c r="M3" s="84"/>
      <c r="N3" s="84"/>
    </row>
    <row r="4" spans="2:18" ht="1" customHeight="1" thickBot="1" x14ac:dyDescent="0.4">
      <c r="B4" s="84"/>
      <c r="C4" s="82"/>
      <c r="D4" s="84"/>
      <c r="E4" s="84"/>
      <c r="F4" s="84"/>
      <c r="G4" s="84"/>
      <c r="H4" s="84"/>
      <c r="I4" s="84"/>
      <c r="J4" s="84"/>
      <c r="K4" s="84"/>
      <c r="L4" s="84"/>
      <c r="M4" s="84"/>
      <c r="N4" s="84"/>
    </row>
    <row r="5" spans="2:18" s="83" customFormat="1" ht="19" thickBot="1" x14ac:dyDescent="0.5">
      <c r="B5" s="214" t="s">
        <v>48</v>
      </c>
      <c r="C5" s="215"/>
      <c r="D5" s="216"/>
      <c r="E5" s="214" t="s">
        <v>49</v>
      </c>
      <c r="F5" s="215"/>
      <c r="G5" s="215"/>
      <c r="H5" s="215"/>
      <c r="I5" s="215"/>
      <c r="J5" s="214" t="s">
        <v>50</v>
      </c>
      <c r="K5" s="215"/>
      <c r="L5" s="215"/>
      <c r="M5" s="215"/>
      <c r="N5" s="216"/>
    </row>
    <row r="6" spans="2:18" x14ac:dyDescent="0.35">
      <c r="B6" s="217" t="s">
        <v>51</v>
      </c>
      <c r="C6" s="218"/>
      <c r="D6" s="97" t="s">
        <v>160</v>
      </c>
      <c r="E6" s="219" t="s">
        <v>52</v>
      </c>
      <c r="F6" s="219"/>
      <c r="G6" s="219"/>
      <c r="H6" s="219"/>
      <c r="I6" s="219"/>
      <c r="J6" s="99"/>
      <c r="K6" s="218" t="s">
        <v>190</v>
      </c>
      <c r="L6" s="218"/>
      <c r="M6" s="109">
        <f>906221447</f>
        <v>906221447</v>
      </c>
      <c r="N6" s="97"/>
      <c r="P6" s="222"/>
      <c r="Q6" s="222"/>
      <c r="R6" s="80"/>
    </row>
    <row r="7" spans="2:18" x14ac:dyDescent="0.35">
      <c r="B7" s="226" t="s">
        <v>54</v>
      </c>
      <c r="C7" s="227"/>
      <c r="D7" s="110"/>
      <c r="E7" s="220" t="s">
        <v>55</v>
      </c>
      <c r="F7" s="220"/>
      <c r="G7" s="220"/>
      <c r="H7" s="111">
        <v>145</v>
      </c>
      <c r="I7" s="84"/>
      <c r="J7" s="88"/>
      <c r="K7" s="220" t="s">
        <v>53</v>
      </c>
      <c r="L7" s="220"/>
      <c r="M7" s="109">
        <f>M6/H8</f>
        <v>5809111.83974359</v>
      </c>
      <c r="N7" s="86"/>
    </row>
    <row r="8" spans="2:18" x14ac:dyDescent="0.35">
      <c r="B8" s="226"/>
      <c r="C8" s="227"/>
      <c r="D8" s="86"/>
      <c r="E8" s="220" t="s">
        <v>58</v>
      </c>
      <c r="F8" s="220"/>
      <c r="G8" s="220"/>
      <c r="H8" s="111">
        <v>156</v>
      </c>
      <c r="I8" s="84"/>
      <c r="J8" s="88"/>
      <c r="K8" s="220" t="s">
        <v>56</v>
      </c>
      <c r="L8" s="220"/>
      <c r="M8" s="112">
        <v>5</v>
      </c>
      <c r="N8" s="86"/>
      <c r="P8" s="143"/>
    </row>
    <row r="9" spans="2:18" ht="15.75" customHeight="1" x14ac:dyDescent="0.35">
      <c r="B9" s="100" t="s">
        <v>57</v>
      </c>
      <c r="C9" s="101"/>
      <c r="D9" s="86" t="s">
        <v>161</v>
      </c>
      <c r="E9" s="220" t="s">
        <v>60</v>
      </c>
      <c r="F9" s="220"/>
      <c r="G9" s="220"/>
      <c r="H9" s="224" t="s">
        <v>162</v>
      </c>
      <c r="I9" s="225"/>
      <c r="J9" s="88"/>
      <c r="K9" s="220" t="s">
        <v>71</v>
      </c>
      <c r="L9" s="220"/>
      <c r="M9" s="113">
        <v>0.1</v>
      </c>
      <c r="N9" s="86"/>
    </row>
    <row r="10" spans="2:18" x14ac:dyDescent="0.35">
      <c r="B10" s="102" t="s">
        <v>59</v>
      </c>
      <c r="C10" s="103"/>
      <c r="D10" s="86" t="s">
        <v>89</v>
      </c>
      <c r="H10" s="224"/>
      <c r="I10" s="225"/>
      <c r="J10" s="104"/>
      <c r="K10" s="220" t="s">
        <v>61</v>
      </c>
      <c r="L10" s="220"/>
      <c r="M10" s="109">
        <v>0</v>
      </c>
      <c r="N10" s="86"/>
      <c r="P10" s="80"/>
    </row>
    <row r="11" spans="2:18" x14ac:dyDescent="0.35">
      <c r="B11" s="102" t="s">
        <v>62</v>
      </c>
      <c r="C11" s="103"/>
      <c r="D11" s="86" t="s">
        <v>118</v>
      </c>
      <c r="H11" s="224"/>
      <c r="I11" s="225"/>
      <c r="J11" s="88"/>
      <c r="K11" s="222" t="s">
        <v>68</v>
      </c>
      <c r="L11" s="222"/>
      <c r="M11" s="80">
        <f>IRR!L18</f>
        <v>1719816000</v>
      </c>
      <c r="N11" s="86"/>
      <c r="P11" s="80"/>
    </row>
    <row r="12" spans="2:18" x14ac:dyDescent="0.35">
      <c r="B12" s="105" t="s">
        <v>64</v>
      </c>
      <c r="C12" s="106"/>
      <c r="D12" s="87">
        <v>4</v>
      </c>
      <c r="E12" s="221" t="s">
        <v>63</v>
      </c>
      <c r="F12" s="221"/>
      <c r="G12" s="221"/>
      <c r="H12" s="221"/>
      <c r="I12" s="221"/>
      <c r="J12" s="88"/>
      <c r="K12" s="141" t="s">
        <v>134</v>
      </c>
      <c r="M12" s="109">
        <f>IRR!G9</f>
        <v>154551173</v>
      </c>
      <c r="N12" s="86"/>
      <c r="P12" s="80"/>
    </row>
    <row r="13" spans="2:18" x14ac:dyDescent="0.35">
      <c r="B13" s="105" t="s">
        <v>66</v>
      </c>
      <c r="C13" s="106"/>
      <c r="D13" s="87">
        <v>1</v>
      </c>
      <c r="E13" s="223" t="s">
        <v>65</v>
      </c>
      <c r="F13" s="223"/>
      <c r="G13" s="223"/>
      <c r="H13" s="114">
        <v>0</v>
      </c>
      <c r="I13" s="84"/>
      <c r="J13" s="88"/>
      <c r="K13" s="141" t="s">
        <v>124</v>
      </c>
      <c r="L13" s="144"/>
      <c r="M13" s="109">
        <f>IRR!L21</f>
        <v>750000000</v>
      </c>
      <c r="N13" s="86"/>
      <c r="P13" s="80"/>
    </row>
    <row r="14" spans="2:18" x14ac:dyDescent="0.35">
      <c r="B14" s="105"/>
      <c r="C14" s="141"/>
      <c r="D14" s="87"/>
      <c r="E14" s="142" t="s">
        <v>67</v>
      </c>
      <c r="F14" s="142"/>
      <c r="G14" s="142"/>
      <c r="H14" s="114">
        <v>0</v>
      </c>
      <c r="I14" s="84"/>
      <c r="J14" s="88"/>
      <c r="K14" s="132" t="s">
        <v>125</v>
      </c>
      <c r="L14" s="132"/>
      <c r="M14" s="109">
        <f>SUM(IRR!L22:L24)</f>
        <v>477990800</v>
      </c>
      <c r="N14" s="86"/>
      <c r="P14" s="80"/>
    </row>
    <row r="15" spans="2:18" ht="16" thickBot="1" x14ac:dyDescent="0.4">
      <c r="B15" s="88"/>
      <c r="C15" s="84"/>
      <c r="D15" s="86"/>
      <c r="E15" s="223" t="s">
        <v>69</v>
      </c>
      <c r="F15" s="223"/>
      <c r="G15" s="223"/>
      <c r="H15" s="114">
        <v>0</v>
      </c>
      <c r="I15" s="84"/>
      <c r="J15" s="104"/>
      <c r="K15" s="91"/>
      <c r="N15" s="86"/>
    </row>
    <row r="16" spans="2:18" x14ac:dyDescent="0.35">
      <c r="B16" s="88"/>
      <c r="C16" s="84"/>
      <c r="D16" s="86"/>
      <c r="I16" s="84"/>
      <c r="J16" s="115"/>
      <c r="K16" s="236" t="s">
        <v>26</v>
      </c>
      <c r="L16" s="237"/>
      <c r="M16" s="188">
        <f>IRR!F39</f>
        <v>0.13635834968413607</v>
      </c>
      <c r="N16" s="86"/>
      <c r="P16" s="143"/>
    </row>
    <row r="17" spans="2:16" x14ac:dyDescent="0.35">
      <c r="B17" s="88"/>
      <c r="C17" s="84"/>
      <c r="D17" s="86"/>
      <c r="E17" s="221" t="s">
        <v>70</v>
      </c>
      <c r="F17" s="221"/>
      <c r="G17" s="221"/>
      <c r="H17" s="221"/>
      <c r="I17" s="221"/>
      <c r="J17" s="115"/>
      <c r="K17" s="230" t="s">
        <v>27</v>
      </c>
      <c r="L17" s="231"/>
      <c r="M17" s="189">
        <f>IRR!F40</f>
        <v>66865983.054308772</v>
      </c>
      <c r="N17" s="86"/>
      <c r="P17" s="80"/>
    </row>
    <row r="18" spans="2:16" x14ac:dyDescent="0.35">
      <c r="B18" s="88"/>
      <c r="C18" s="84"/>
      <c r="D18" s="86"/>
      <c r="E18" s="84"/>
      <c r="F18" s="84"/>
      <c r="G18" s="84"/>
      <c r="H18" s="84"/>
      <c r="I18" s="84"/>
      <c r="J18" s="115"/>
      <c r="K18" s="230" t="s">
        <v>28</v>
      </c>
      <c r="L18" s="231"/>
      <c r="M18" s="89">
        <f>IRR!F41</f>
        <v>0.28597547644631749</v>
      </c>
      <c r="N18" s="86"/>
      <c r="P18" s="143"/>
    </row>
    <row r="19" spans="2:16" ht="16" thickBot="1" x14ac:dyDescent="0.4">
      <c r="B19" s="88"/>
      <c r="C19" s="84"/>
      <c r="D19" s="86"/>
      <c r="E19" s="84"/>
      <c r="F19" s="84"/>
      <c r="G19" s="84"/>
      <c r="H19" s="84"/>
      <c r="I19" s="84"/>
      <c r="J19" s="88"/>
      <c r="K19" s="232" t="s">
        <v>72</v>
      </c>
      <c r="L19" s="233"/>
      <c r="M19" s="128">
        <f>IRR!F42</f>
        <v>3.9966656909013447</v>
      </c>
      <c r="N19" s="86"/>
    </row>
    <row r="20" spans="2:16" ht="16" thickBot="1" x14ac:dyDescent="0.4">
      <c r="B20" s="90"/>
      <c r="C20" s="91"/>
      <c r="D20" s="92"/>
      <c r="E20" s="91"/>
      <c r="F20" s="91" t="s">
        <v>45</v>
      </c>
      <c r="G20" s="91"/>
      <c r="H20" s="91"/>
      <c r="I20" s="91"/>
      <c r="J20" s="88"/>
      <c r="K20" s="93"/>
      <c r="L20" s="131"/>
      <c r="M20" s="131"/>
      <c r="N20" s="86"/>
    </row>
    <row r="21" spans="2:16" x14ac:dyDescent="0.35">
      <c r="B21" s="95" t="s">
        <v>73</v>
      </c>
      <c r="C21" s="96"/>
      <c r="D21" s="96"/>
      <c r="E21" s="96"/>
      <c r="F21" s="96"/>
      <c r="G21" s="96"/>
      <c r="H21" s="96"/>
      <c r="I21" s="96"/>
      <c r="J21" s="96"/>
      <c r="L21" s="229" t="s">
        <v>76</v>
      </c>
      <c r="M21" s="229"/>
      <c r="N21" s="97"/>
    </row>
    <row r="22" spans="2:16" x14ac:dyDescent="0.35">
      <c r="B22" s="88"/>
      <c r="C22" s="84" t="s">
        <v>159</v>
      </c>
      <c r="D22" s="84"/>
      <c r="E22" s="84"/>
      <c r="F22" s="84"/>
      <c r="G22" s="84"/>
      <c r="H22" s="84"/>
      <c r="I22" s="84"/>
      <c r="J22" s="84"/>
      <c r="K22" s="84"/>
      <c r="L22" s="234" t="s">
        <v>123</v>
      </c>
      <c r="M22" s="235"/>
      <c r="N22" s="86"/>
    </row>
    <row r="23" spans="2:16" x14ac:dyDescent="0.35">
      <c r="B23" s="88"/>
      <c r="C23" s="228"/>
      <c r="D23" s="228"/>
      <c r="E23" s="228"/>
      <c r="F23" s="228"/>
      <c r="G23" s="228"/>
      <c r="H23" s="228"/>
      <c r="I23" s="228"/>
      <c r="J23" s="228"/>
      <c r="K23" s="84"/>
      <c r="L23" s="84"/>
      <c r="M23" s="84"/>
      <c r="N23" s="86"/>
    </row>
    <row r="24" spans="2:16" x14ac:dyDescent="0.35">
      <c r="B24" s="88"/>
      <c r="C24" s="228"/>
      <c r="D24" s="228"/>
      <c r="E24" s="228"/>
      <c r="F24" s="228"/>
      <c r="G24" s="228"/>
      <c r="H24" s="228"/>
      <c r="I24" s="228"/>
      <c r="J24" s="228"/>
      <c r="K24" s="84"/>
      <c r="L24" s="84"/>
      <c r="M24" s="84"/>
      <c r="N24" s="86"/>
    </row>
    <row r="25" spans="2:16" x14ac:dyDescent="0.35">
      <c r="B25" s="88"/>
      <c r="C25" s="84"/>
      <c r="E25" s="84"/>
      <c r="F25" s="84"/>
      <c r="G25" s="84"/>
      <c r="H25" s="84"/>
      <c r="I25" s="84"/>
      <c r="J25" s="84"/>
      <c r="K25" s="84"/>
      <c r="L25" s="84"/>
      <c r="M25" s="84"/>
      <c r="N25" s="86"/>
    </row>
    <row r="26" spans="2:16" ht="16" thickBot="1" x14ac:dyDescent="0.4">
      <c r="B26" s="90"/>
      <c r="C26" s="91"/>
      <c r="D26" s="91"/>
      <c r="E26" s="91"/>
      <c r="F26" s="91"/>
      <c r="G26" s="91"/>
      <c r="H26" s="91"/>
      <c r="I26" s="91"/>
      <c r="J26" s="91"/>
      <c r="K26" s="91"/>
      <c r="L26" s="91"/>
      <c r="M26" s="91"/>
      <c r="N26" s="92"/>
    </row>
    <row r="28" spans="2:16" x14ac:dyDescent="0.35">
      <c r="B28" s="1" t="s">
        <v>77</v>
      </c>
    </row>
  </sheetData>
  <mergeCells count="29">
    <mergeCell ref="E15:G15"/>
    <mergeCell ref="E17:I17"/>
    <mergeCell ref="K16:L16"/>
    <mergeCell ref="K17:L17"/>
    <mergeCell ref="P6:Q6"/>
    <mergeCell ref="K7:L7"/>
    <mergeCell ref="C23:J24"/>
    <mergeCell ref="L21:M21"/>
    <mergeCell ref="K18:L18"/>
    <mergeCell ref="K19:L19"/>
    <mergeCell ref="L22:M22"/>
    <mergeCell ref="B7:C7"/>
    <mergeCell ref="E7:G7"/>
    <mergeCell ref="K8:L8"/>
    <mergeCell ref="B8:C8"/>
    <mergeCell ref="E8:G8"/>
    <mergeCell ref="K9:L9"/>
    <mergeCell ref="E9:G9"/>
    <mergeCell ref="E12:I12"/>
    <mergeCell ref="K11:L11"/>
    <mergeCell ref="E13:G13"/>
    <mergeCell ref="H9:I11"/>
    <mergeCell ref="K10:L10"/>
    <mergeCell ref="B5:D5"/>
    <mergeCell ref="E5:I5"/>
    <mergeCell ref="J5:N5"/>
    <mergeCell ref="B6:C6"/>
    <mergeCell ref="E6:I6"/>
    <mergeCell ref="K6:L6"/>
  </mergeCells>
  <pageMargins left="0.7" right="0.7" top="0.75" bottom="0.75" header="0.3" footer="0.3"/>
  <pageSetup paperSize="9" scale="92" fitToWidth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B1:U53"/>
  <sheetViews>
    <sheetView showGridLines="0" topLeftCell="A6" zoomScale="86" zoomScaleNormal="86" workbookViewId="0">
      <selection activeCell="K17" sqref="G16:K17"/>
    </sheetView>
  </sheetViews>
  <sheetFormatPr defaultColWidth="10.58203125" defaultRowHeight="15.5" x14ac:dyDescent="0.35"/>
  <cols>
    <col min="1" max="1" width="4.08203125" customWidth="1"/>
    <col min="2" max="2" width="3.58203125" customWidth="1"/>
    <col min="3" max="3" width="4.58203125" customWidth="1"/>
    <col min="4" max="4" width="18.83203125" customWidth="1"/>
    <col min="5" max="5" width="7.1640625" bestFit="1" customWidth="1"/>
    <col min="6" max="6" width="16.83203125" customWidth="1"/>
    <col min="7" max="7" width="17.58203125" style="2" customWidth="1"/>
    <col min="8" max="11" width="13.1640625" bestFit="1" customWidth="1"/>
    <col min="12" max="12" width="14.83203125" bestFit="1" customWidth="1"/>
    <col min="13" max="13" width="15.83203125" customWidth="1"/>
    <col min="14" max="17" width="15" bestFit="1" customWidth="1"/>
    <col min="18" max="18" width="15.58203125" bestFit="1" customWidth="1"/>
    <col min="19" max="19" width="11.6640625" bestFit="1" customWidth="1"/>
  </cols>
  <sheetData>
    <row r="1" spans="2:21" ht="21" x14ac:dyDescent="0.5">
      <c r="B1" t="s">
        <v>164</v>
      </c>
      <c r="L1" s="192" t="s">
        <v>163</v>
      </c>
    </row>
    <row r="2" spans="2:21" x14ac:dyDescent="0.35">
      <c r="B2" s="3" t="s">
        <v>0</v>
      </c>
      <c r="I2" s="193" t="s">
        <v>165</v>
      </c>
      <c r="J2" s="194" t="s">
        <v>166</v>
      </c>
    </row>
    <row r="3" spans="2:21" x14ac:dyDescent="0.35">
      <c r="C3" t="s">
        <v>1</v>
      </c>
      <c r="F3" s="5">
        <v>0.02</v>
      </c>
      <c r="I3" s="198" t="s">
        <v>167</v>
      </c>
      <c r="J3" s="196">
        <v>-0.05</v>
      </c>
      <c r="L3" s="4"/>
      <c r="M3" s="4"/>
      <c r="N3" s="4"/>
    </row>
    <row r="4" spans="2:21" x14ac:dyDescent="0.35">
      <c r="C4" t="s">
        <v>40</v>
      </c>
      <c r="F4" s="5">
        <v>0.1</v>
      </c>
      <c r="I4" s="195"/>
      <c r="J4" s="196"/>
      <c r="L4" s="4"/>
      <c r="M4" s="4"/>
      <c r="N4" s="4"/>
    </row>
    <row r="5" spans="2:21" x14ac:dyDescent="0.35">
      <c r="C5" t="s">
        <v>2</v>
      </c>
      <c r="F5" s="5">
        <v>0.05</v>
      </c>
      <c r="G5" s="2" t="s">
        <v>3</v>
      </c>
      <c r="I5" s="195"/>
      <c r="J5" s="197"/>
      <c r="N5" s="50"/>
      <c r="O5" s="50"/>
      <c r="P5" s="50"/>
      <c r="Q5" s="50"/>
    </row>
    <row r="6" spans="2:21" x14ac:dyDescent="0.35">
      <c r="C6" t="s">
        <v>4</v>
      </c>
      <c r="F6" s="6">
        <v>0</v>
      </c>
      <c r="G6" s="2" t="s">
        <v>3</v>
      </c>
      <c r="I6" s="195"/>
      <c r="J6" s="197"/>
    </row>
    <row r="7" spans="2:21" x14ac:dyDescent="0.35">
      <c r="C7" t="s">
        <v>122</v>
      </c>
      <c r="F7" s="5">
        <v>0.15</v>
      </c>
    </row>
    <row r="8" spans="2:21" x14ac:dyDescent="0.35">
      <c r="B8" s="1"/>
      <c r="G8" s="28" t="s">
        <v>35</v>
      </c>
      <c r="H8" s="28" t="s">
        <v>36</v>
      </c>
      <c r="I8" s="28" t="s">
        <v>37</v>
      </c>
      <c r="J8" s="28" t="s">
        <v>38</v>
      </c>
      <c r="K8" s="28" t="s">
        <v>39</v>
      </c>
      <c r="L8" s="25"/>
      <c r="M8" s="37"/>
      <c r="R8" s="37"/>
      <c r="S8" s="37"/>
      <c r="T8" s="37"/>
    </row>
    <row r="9" spans="2:21" s="72" customFormat="1" ht="16" thickBot="1" x14ac:dyDescent="0.4">
      <c r="B9" s="78" t="s">
        <v>43</v>
      </c>
      <c r="E9" s="72" t="s">
        <v>155</v>
      </c>
      <c r="F9" s="77"/>
      <c r="G9" s="73">
        <v>154551173</v>
      </c>
      <c r="H9" s="73">
        <v>0</v>
      </c>
      <c r="I9" s="73">
        <v>0</v>
      </c>
      <c r="J9" s="73">
        <v>0</v>
      </c>
      <c r="K9" s="73"/>
      <c r="L9" s="76"/>
      <c r="M9" s="74"/>
      <c r="N9"/>
      <c r="O9"/>
      <c r="P9"/>
      <c r="Q9"/>
      <c r="R9" s="74"/>
      <c r="S9" s="74"/>
      <c r="T9" s="74"/>
    </row>
    <row r="10" spans="2:21" s="72" customFormat="1" ht="6" customHeight="1" thickTop="1" x14ac:dyDescent="0.35">
      <c r="B10" s="78"/>
      <c r="F10" s="77"/>
      <c r="G10" s="74"/>
      <c r="H10" s="74"/>
      <c r="I10" s="74"/>
      <c r="J10" s="74"/>
      <c r="K10" s="74"/>
      <c r="L10" s="76"/>
      <c r="M10" s="74"/>
      <c r="N10"/>
      <c r="O10"/>
      <c r="P10"/>
      <c r="Q10"/>
      <c r="R10" s="74"/>
      <c r="S10" s="74"/>
      <c r="T10" s="74"/>
    </row>
    <row r="11" spans="2:21" x14ac:dyDescent="0.35">
      <c r="F11" s="10"/>
      <c r="G11" s="9">
        <v>2024</v>
      </c>
      <c r="H11" s="9">
        <v>2025</v>
      </c>
      <c r="I11" s="9">
        <v>2026</v>
      </c>
      <c r="J11" s="9">
        <v>2027</v>
      </c>
      <c r="K11" s="9">
        <v>2028</v>
      </c>
      <c r="L11" s="9"/>
      <c r="R11" s="36"/>
      <c r="S11" s="36"/>
      <c r="T11" s="36"/>
      <c r="U11" s="36"/>
    </row>
    <row r="12" spans="2:21" ht="16" thickBot="1" x14ac:dyDescent="0.4">
      <c r="B12" s="11" t="s">
        <v>11</v>
      </c>
      <c r="C12" s="7"/>
      <c r="D12" s="7"/>
      <c r="E12" s="7"/>
      <c r="F12" s="7"/>
      <c r="G12" s="8" t="s">
        <v>6</v>
      </c>
      <c r="H12" s="12" t="s">
        <v>7</v>
      </c>
      <c r="I12" s="8" t="s">
        <v>8</v>
      </c>
      <c r="J12" s="12" t="s">
        <v>9</v>
      </c>
      <c r="K12" s="8" t="s">
        <v>10</v>
      </c>
      <c r="L12" s="63" t="s">
        <v>12</v>
      </c>
      <c r="M12" s="50"/>
      <c r="N12" s="39"/>
      <c r="O12" s="39"/>
      <c r="P12" s="39"/>
      <c r="Q12" s="39"/>
      <c r="R12" s="50"/>
      <c r="S12" s="36"/>
      <c r="T12" s="36"/>
      <c r="U12" s="36"/>
    </row>
    <row r="13" spans="2:21" x14ac:dyDescent="0.35">
      <c r="B13" t="s">
        <v>13</v>
      </c>
      <c r="G13" s="9">
        <v>12</v>
      </c>
      <c r="H13" s="9">
        <v>12</v>
      </c>
      <c r="I13" s="9">
        <v>12</v>
      </c>
      <c r="J13" s="9">
        <v>12</v>
      </c>
      <c r="K13" s="9">
        <v>12</v>
      </c>
      <c r="L13" s="64"/>
      <c r="N13" s="41"/>
      <c r="O13" s="41"/>
      <c r="P13" s="41"/>
      <c r="Q13" s="41"/>
    </row>
    <row r="14" spans="2:21" ht="4.25" customHeight="1" x14ac:dyDescent="0.35">
      <c r="L14" s="64"/>
      <c r="N14" s="42"/>
      <c r="O14" s="42"/>
      <c r="P14" s="42"/>
      <c r="Q14" s="42"/>
    </row>
    <row r="15" spans="2:21" x14ac:dyDescent="0.35">
      <c r="B15" s="1" t="s">
        <v>5</v>
      </c>
      <c r="E15" s="17"/>
      <c r="G15" s="18"/>
      <c r="H15" s="129"/>
      <c r="I15" s="19"/>
      <c r="J15" s="19"/>
      <c r="K15" s="19"/>
      <c r="L15" s="64"/>
      <c r="N15" s="39"/>
      <c r="O15" s="39"/>
      <c r="P15" s="39"/>
      <c r="Q15" s="39"/>
    </row>
    <row r="16" spans="2:21" x14ac:dyDescent="0.35">
      <c r="B16" s="1"/>
      <c r="C16" t="s">
        <v>120</v>
      </c>
      <c r="E16" s="17"/>
      <c r="G16" s="129">
        <v>215280000</v>
      </c>
      <c r="H16" s="129">
        <f>G16</f>
        <v>215280000</v>
      </c>
      <c r="I16" s="129">
        <f>H16*90%</f>
        <v>193752000</v>
      </c>
      <c r="J16" s="129">
        <f>I16</f>
        <v>193752000</v>
      </c>
      <c r="K16" s="129">
        <f>J16</f>
        <v>193752000</v>
      </c>
      <c r="L16" s="133">
        <f>SUM(G16:K16)</f>
        <v>1011816000</v>
      </c>
      <c r="N16" s="39"/>
      <c r="O16" s="39"/>
      <c r="P16" s="39"/>
      <c r="Q16" s="39"/>
    </row>
    <row r="17" spans="2:19" x14ac:dyDescent="0.35">
      <c r="B17" s="1"/>
      <c r="C17" t="s">
        <v>121</v>
      </c>
      <c r="E17" s="17"/>
      <c r="G17" s="61"/>
      <c r="H17" s="61"/>
      <c r="I17" s="61">
        <v>236000000</v>
      </c>
      <c r="J17" s="61">
        <f t="shared" ref="J17:K17" si="0">I17</f>
        <v>236000000</v>
      </c>
      <c r="K17" s="61">
        <f t="shared" si="0"/>
        <v>236000000</v>
      </c>
      <c r="L17" s="133">
        <f>SUM(G17:K17)</f>
        <v>708000000</v>
      </c>
      <c r="N17" s="39"/>
      <c r="O17" s="39"/>
      <c r="P17" s="39"/>
      <c r="Q17" s="39"/>
    </row>
    <row r="18" spans="2:19" x14ac:dyDescent="0.35">
      <c r="B18" s="59" t="s">
        <v>117</v>
      </c>
      <c r="C18" s="59"/>
      <c r="D18" s="59"/>
      <c r="E18" s="238"/>
      <c r="F18" s="239"/>
      <c r="G18" s="60">
        <f>SUM(G16:G17)</f>
        <v>215280000</v>
      </c>
      <c r="H18" s="60">
        <f>SUM(H16:H17)</f>
        <v>215280000</v>
      </c>
      <c r="I18" s="60">
        <f>SUM(I16:I17)</f>
        <v>429752000</v>
      </c>
      <c r="J18" s="60">
        <f>SUM(J16:J17)</f>
        <v>429752000</v>
      </c>
      <c r="K18" s="60">
        <f>SUM(K16:K17)</f>
        <v>429752000</v>
      </c>
      <c r="L18" s="65">
        <f>SUM(G18:K18)</f>
        <v>1719816000</v>
      </c>
      <c r="M18" s="39"/>
      <c r="N18" s="44"/>
      <c r="O18" s="44"/>
      <c r="P18" s="44"/>
      <c r="Q18" s="44"/>
      <c r="R18" s="39"/>
      <c r="S18" s="41"/>
    </row>
    <row r="19" spans="2:19" ht="7.75" customHeight="1" x14ac:dyDescent="0.35">
      <c r="L19" s="64"/>
      <c r="M19" s="41"/>
      <c r="N19" s="44"/>
      <c r="O19" s="44"/>
      <c r="P19" s="44"/>
      <c r="Q19" s="44"/>
      <c r="R19" s="41"/>
      <c r="S19" s="41"/>
    </row>
    <row r="20" spans="2:19" x14ac:dyDescent="0.35">
      <c r="B20" s="1" t="s">
        <v>14</v>
      </c>
      <c r="E20" s="17"/>
      <c r="F20" s="17"/>
      <c r="G20" s="18"/>
      <c r="H20" s="17"/>
      <c r="I20" s="19"/>
      <c r="J20" s="19"/>
      <c r="K20" s="19"/>
      <c r="L20" s="66"/>
      <c r="M20" s="42"/>
      <c r="N20" s="46"/>
      <c r="O20" s="46"/>
      <c r="P20" s="46"/>
      <c r="Q20" s="46"/>
      <c r="R20" s="41"/>
      <c r="S20" s="41"/>
    </row>
    <row r="21" spans="2:19" x14ac:dyDescent="0.35">
      <c r="C21" t="s">
        <v>119</v>
      </c>
      <c r="E21" s="130"/>
      <c r="G21" s="13">
        <v>750000000</v>
      </c>
      <c r="H21" s="13"/>
      <c r="I21" s="13"/>
      <c r="J21" s="13"/>
      <c r="K21" s="13"/>
      <c r="L21" s="67">
        <f>SUM(G21:K21)</f>
        <v>750000000</v>
      </c>
      <c r="M21" s="39" t="s">
        <v>45</v>
      </c>
      <c r="N21" s="39"/>
      <c r="O21" s="39"/>
      <c r="P21" s="39"/>
      <c r="Q21" s="39"/>
      <c r="R21" s="40"/>
      <c r="S21" s="41"/>
    </row>
    <row r="22" spans="2:19" x14ac:dyDescent="0.35">
      <c r="C22" t="s">
        <v>15</v>
      </c>
      <c r="F22" s="98"/>
      <c r="G22" s="13">
        <f>PARAMETER!B60</f>
        <v>42000000</v>
      </c>
      <c r="H22" s="13">
        <f t="shared" ref="H22:K23" si="1">G22</f>
        <v>42000000</v>
      </c>
      <c r="I22" s="13">
        <f>H22*2</f>
        <v>84000000</v>
      </c>
      <c r="J22" s="13">
        <f>I22</f>
        <v>84000000</v>
      </c>
      <c r="K22" s="13">
        <f>J22</f>
        <v>84000000</v>
      </c>
      <c r="L22" s="67">
        <f>SUM(G22:K22)</f>
        <v>336000000</v>
      </c>
      <c r="M22" s="39"/>
      <c r="N22" s="47"/>
      <c r="O22" s="47"/>
      <c r="P22" s="47"/>
      <c r="Q22" s="47"/>
      <c r="R22" s="40"/>
      <c r="S22" s="41"/>
    </row>
    <row r="23" spans="2:19" x14ac:dyDescent="0.35">
      <c r="C23" t="s">
        <v>41</v>
      </c>
      <c r="G23" s="94">
        <f>PARAMETER!B55</f>
        <v>7000000</v>
      </c>
      <c r="H23" s="94">
        <f t="shared" si="1"/>
        <v>7000000</v>
      </c>
      <c r="I23" s="13">
        <v>14000000</v>
      </c>
      <c r="J23" s="13">
        <f t="shared" si="1"/>
        <v>14000000</v>
      </c>
      <c r="K23" s="13">
        <f t="shared" si="1"/>
        <v>14000000</v>
      </c>
      <c r="L23" s="67">
        <f t="shared" ref="L23:L24" si="2">SUM(G23:K23)</f>
        <v>56000000</v>
      </c>
      <c r="M23" s="39"/>
      <c r="N23" s="47"/>
      <c r="O23" s="47"/>
      <c r="P23" s="47"/>
      <c r="Q23" s="47"/>
      <c r="R23" s="40"/>
      <c r="S23" s="41"/>
    </row>
    <row r="24" spans="2:19" x14ac:dyDescent="0.35">
      <c r="B24" s="15"/>
      <c r="C24" s="15" t="s">
        <v>2</v>
      </c>
      <c r="D24" s="15"/>
      <c r="E24" s="15"/>
      <c r="F24" s="15"/>
      <c r="G24" s="20">
        <f>G18*$F$5</f>
        <v>10764000</v>
      </c>
      <c r="H24" s="20">
        <f t="shared" ref="H24:K24" si="3">H18*$F$5</f>
        <v>10764000</v>
      </c>
      <c r="I24" s="20">
        <f t="shared" si="3"/>
        <v>21487600</v>
      </c>
      <c r="J24" s="20">
        <f t="shared" si="3"/>
        <v>21487600</v>
      </c>
      <c r="K24" s="20">
        <f t="shared" si="3"/>
        <v>21487600</v>
      </c>
      <c r="L24" s="67">
        <f t="shared" si="2"/>
        <v>85990800</v>
      </c>
      <c r="M24" s="43"/>
      <c r="N24" s="47"/>
      <c r="O24" s="47"/>
      <c r="P24" s="47"/>
      <c r="Q24" s="47"/>
      <c r="R24" s="40"/>
      <c r="S24" s="41"/>
    </row>
    <row r="25" spans="2:19" s="1" customFormat="1" x14ac:dyDescent="0.35">
      <c r="B25" s="59" t="s">
        <v>16</v>
      </c>
      <c r="C25" s="59"/>
      <c r="D25" s="59"/>
      <c r="E25" s="59"/>
      <c r="F25" s="59"/>
      <c r="G25" s="60">
        <f>SUM(G21:G24)</f>
        <v>809764000</v>
      </c>
      <c r="H25" s="60">
        <f t="shared" ref="H25" si="4">SUM(H21:H24)</f>
        <v>59764000</v>
      </c>
      <c r="I25" s="60">
        <f>SUM(I21:I24)</f>
        <v>119487600</v>
      </c>
      <c r="J25" s="60">
        <f t="shared" ref="J25:K25" si="5">SUM(J21:J24)</f>
        <v>119487600</v>
      </c>
      <c r="K25" s="60">
        <f t="shared" si="5"/>
        <v>119487600</v>
      </c>
      <c r="L25" s="75">
        <f>SUM(L21:L24)</f>
        <v>1227990800</v>
      </c>
      <c r="M25" s="44"/>
      <c r="N25" s="49"/>
      <c r="O25" s="49"/>
      <c r="P25" s="49"/>
      <c r="Q25" s="49"/>
      <c r="R25" s="44"/>
      <c r="S25" s="45"/>
    </row>
    <row r="26" spans="2:19" s="1" customFormat="1" x14ac:dyDescent="0.35">
      <c r="B26" s="1" t="s">
        <v>17</v>
      </c>
      <c r="G26" s="21">
        <f>G18-G25</f>
        <v>-594484000</v>
      </c>
      <c r="H26" s="21">
        <f>H18-H25</f>
        <v>155516000</v>
      </c>
      <c r="I26" s="21">
        <f t="shared" ref="I26:K26" si="6">I18-I25</f>
        <v>310264400</v>
      </c>
      <c r="J26" s="21">
        <f t="shared" si="6"/>
        <v>310264400</v>
      </c>
      <c r="K26" s="21">
        <f t="shared" si="6"/>
        <v>310264400</v>
      </c>
      <c r="L26" s="68">
        <f>L18-L25</f>
        <v>491825200</v>
      </c>
      <c r="M26" s="44"/>
      <c r="N26" s="47"/>
      <c r="O26" s="47"/>
      <c r="P26" s="47"/>
      <c r="Q26" s="47"/>
      <c r="R26" s="44"/>
      <c r="S26" s="45"/>
    </row>
    <row r="27" spans="2:19" s="1" customFormat="1" x14ac:dyDescent="0.35">
      <c r="B27" s="22" t="s">
        <v>18</v>
      </c>
      <c r="C27" s="23"/>
      <c r="D27" s="23"/>
      <c r="E27" s="23"/>
      <c r="F27" s="23"/>
      <c r="G27" s="24">
        <v>0</v>
      </c>
      <c r="H27" s="24">
        <f>H26/H18</f>
        <v>0.7223894463024898</v>
      </c>
      <c r="I27" s="24">
        <f t="shared" ref="I27:K27" si="7">I26/I18</f>
        <v>0.7219615033786928</v>
      </c>
      <c r="J27" s="24">
        <f t="shared" si="7"/>
        <v>0.7219615033786928</v>
      </c>
      <c r="K27" s="24">
        <f t="shared" si="7"/>
        <v>0.7219615033786928</v>
      </c>
      <c r="L27" s="69">
        <f>L26/L18</f>
        <v>0.28597547644631749</v>
      </c>
      <c r="M27" s="46"/>
      <c r="N27" s="41"/>
      <c r="O27" s="41"/>
      <c r="P27" s="41"/>
      <c r="Q27" s="41"/>
      <c r="R27" s="46"/>
      <c r="S27" s="45"/>
    </row>
    <row r="28" spans="2:19" x14ac:dyDescent="0.35">
      <c r="B28" s="15" t="s">
        <v>19</v>
      </c>
      <c r="C28" s="15"/>
      <c r="D28" s="15"/>
      <c r="E28" s="15"/>
      <c r="F28" s="15"/>
      <c r="G28" s="16">
        <f>G50</f>
        <v>30910234.600000001</v>
      </c>
      <c r="H28" s="16">
        <f>H50</f>
        <v>30910234.600000001</v>
      </c>
      <c r="I28" s="16">
        <f t="shared" ref="I28:K28" si="8">I50</f>
        <v>30910234.600000001</v>
      </c>
      <c r="J28" s="16">
        <f t="shared" si="8"/>
        <v>30910234.600000001</v>
      </c>
      <c r="K28" s="16">
        <f t="shared" si="8"/>
        <v>30910234.600000001</v>
      </c>
      <c r="L28" s="70">
        <f>SUM(G28:K28)</f>
        <v>154551173</v>
      </c>
      <c r="M28" s="39"/>
      <c r="N28" s="48"/>
      <c r="O28" s="48"/>
      <c r="P28" s="48"/>
      <c r="Q28" s="48"/>
      <c r="R28" s="39"/>
      <c r="S28" s="41"/>
    </row>
    <row r="29" spans="2:19" x14ac:dyDescent="0.35">
      <c r="B29" s="145" t="s">
        <v>20</v>
      </c>
      <c r="C29" s="146"/>
      <c r="D29" s="146"/>
      <c r="E29" s="146"/>
      <c r="F29" s="146"/>
      <c r="G29" s="147">
        <f t="shared" ref="G29:L29" si="9">G26-G28</f>
        <v>-625394234.60000002</v>
      </c>
      <c r="H29" s="148">
        <f t="shared" si="9"/>
        <v>124605765.40000001</v>
      </c>
      <c r="I29" s="148">
        <f t="shared" si="9"/>
        <v>279354165.39999998</v>
      </c>
      <c r="J29" s="148">
        <f t="shared" si="9"/>
        <v>279354165.39999998</v>
      </c>
      <c r="K29" s="148">
        <f t="shared" si="9"/>
        <v>279354165.39999998</v>
      </c>
      <c r="L29" s="184">
        <f t="shared" si="9"/>
        <v>337274027</v>
      </c>
      <c r="M29" s="47"/>
      <c r="N29" s="48"/>
      <c r="O29" s="48"/>
      <c r="P29" s="48"/>
      <c r="Q29" s="48"/>
      <c r="R29" s="47"/>
      <c r="S29" s="41"/>
    </row>
    <row r="30" spans="2:19" x14ac:dyDescent="0.35">
      <c r="B30" s="149" t="s">
        <v>33</v>
      </c>
      <c r="C30" s="15"/>
      <c r="D30" s="15"/>
      <c r="E30" s="15"/>
      <c r="F30" s="15"/>
      <c r="G30" s="150">
        <f>PARAMETER!N29</f>
        <v>9050390.4699999988</v>
      </c>
      <c r="H30" s="150">
        <f>PARAMETER!O29</f>
        <v>3203738.7299999995</v>
      </c>
      <c r="I30" s="150">
        <f>PARAMETER!P29</f>
        <v>140206.43000000005</v>
      </c>
      <c r="J30" s="150">
        <f>PARAMETER!Q29</f>
        <v>0</v>
      </c>
      <c r="K30" s="150">
        <f>PARAMETER!R29</f>
        <v>0</v>
      </c>
      <c r="L30" s="185">
        <f>SUM(G30:K30)</f>
        <v>12394335.629999999</v>
      </c>
      <c r="M30" s="47"/>
      <c r="N30" s="48"/>
      <c r="O30" s="48"/>
      <c r="P30" s="48"/>
      <c r="Q30" s="48"/>
      <c r="R30" s="47"/>
      <c r="S30" s="41"/>
    </row>
    <row r="31" spans="2:19" x14ac:dyDescent="0.35">
      <c r="B31" s="151" t="s">
        <v>34</v>
      </c>
      <c r="C31" s="1"/>
      <c r="D31" s="1"/>
      <c r="E31" s="1"/>
      <c r="F31" s="1"/>
      <c r="G31" s="177">
        <f t="shared" ref="G31:K31" si="10">G29-G30</f>
        <v>-634444625.07000005</v>
      </c>
      <c r="H31" s="152">
        <f t="shared" si="10"/>
        <v>121402026.67</v>
      </c>
      <c r="I31" s="152">
        <f t="shared" si="10"/>
        <v>279213958.96999997</v>
      </c>
      <c r="J31" s="152">
        <f t="shared" si="10"/>
        <v>279354165.39999998</v>
      </c>
      <c r="K31" s="152">
        <f t="shared" si="10"/>
        <v>279354165.39999998</v>
      </c>
      <c r="L31" s="186">
        <f>SUM(G31:K31)</f>
        <v>324879691.36999989</v>
      </c>
      <c r="M31" s="47"/>
      <c r="N31" s="27"/>
      <c r="O31" s="27"/>
      <c r="P31" s="27"/>
      <c r="Q31" s="27"/>
      <c r="R31" s="47"/>
      <c r="S31" s="41"/>
    </row>
    <row r="32" spans="2:19" x14ac:dyDescent="0.35">
      <c r="B32" s="15" t="s">
        <v>21</v>
      </c>
      <c r="C32" s="15"/>
      <c r="D32" s="15"/>
      <c r="E32" s="15"/>
      <c r="F32" s="15"/>
      <c r="G32" s="134">
        <f>IF(G31&lt;0,0,G31*$F$3)</f>
        <v>0</v>
      </c>
      <c r="H32" s="134">
        <f t="shared" ref="H32:K32" si="11">IF(H31&lt;0,0,H31*$F$3)</f>
        <v>2428040.5334000001</v>
      </c>
      <c r="I32" s="134">
        <f t="shared" si="11"/>
        <v>5584279.1793999998</v>
      </c>
      <c r="J32" s="134">
        <f t="shared" si="11"/>
        <v>5587083.3079999993</v>
      </c>
      <c r="K32" s="134">
        <f t="shared" si="11"/>
        <v>5587083.3079999993</v>
      </c>
      <c r="L32" s="185">
        <f>SUM(G32:K32)</f>
        <v>19186486.328799997</v>
      </c>
      <c r="M32" s="49"/>
      <c r="R32" s="48"/>
      <c r="S32" s="41"/>
    </row>
    <row r="33" spans="2:19" ht="16" thickBot="1" x14ac:dyDescent="0.4">
      <c r="B33" s="153" t="s">
        <v>44</v>
      </c>
      <c r="C33" s="153"/>
      <c r="D33" s="153"/>
      <c r="E33" s="153"/>
      <c r="F33" s="153"/>
      <c r="G33" s="178">
        <f>G31-G32</f>
        <v>-634444625.07000005</v>
      </c>
      <c r="H33" s="154">
        <f t="shared" ref="H33:K33" si="12">H31-H32</f>
        <v>118973986.1366</v>
      </c>
      <c r="I33" s="154">
        <f t="shared" si="12"/>
        <v>273629679.79059994</v>
      </c>
      <c r="J33" s="154">
        <f t="shared" si="12"/>
        <v>273767082.09199995</v>
      </c>
      <c r="K33" s="154">
        <f t="shared" si="12"/>
        <v>273767082.09199995</v>
      </c>
      <c r="L33" s="187">
        <f>L31-L32</f>
        <v>305693205.04119986</v>
      </c>
      <c r="M33" s="47"/>
      <c r="R33" s="47"/>
      <c r="S33" s="41"/>
    </row>
    <row r="34" spans="2:19" ht="6" customHeight="1" x14ac:dyDescent="0.35">
      <c r="G34" s="135"/>
      <c r="H34" s="136"/>
      <c r="I34" s="136"/>
      <c r="J34" s="136"/>
      <c r="K34" s="136"/>
      <c r="L34" s="64"/>
      <c r="M34" s="41"/>
      <c r="R34" s="41"/>
      <c r="S34" s="41"/>
    </row>
    <row r="35" spans="2:19" x14ac:dyDescent="0.35">
      <c r="B35" s="15" t="s">
        <v>22</v>
      </c>
      <c r="C35" s="15"/>
      <c r="D35" s="15"/>
      <c r="E35" s="15"/>
      <c r="F35" s="138"/>
      <c r="G35" s="138">
        <f>-G9+-G10</f>
        <v>-154551173</v>
      </c>
      <c r="H35" s="137">
        <f>-I9+-I10</f>
        <v>0</v>
      </c>
      <c r="I35" s="137">
        <f>-J9+-J10</f>
        <v>0</v>
      </c>
      <c r="J35" s="137">
        <f>-K9+-K10</f>
        <v>0</v>
      </c>
      <c r="K35" s="137">
        <f>-L9+-L10</f>
        <v>0</v>
      </c>
      <c r="L35" s="155">
        <f>SUM(G35:K35)</f>
        <v>-154551173</v>
      </c>
      <c r="M35" s="48"/>
      <c r="R35" s="48"/>
      <c r="S35" s="41"/>
    </row>
    <row r="36" spans="2:19" x14ac:dyDescent="0.35">
      <c r="B36" t="s">
        <v>23</v>
      </c>
      <c r="F36" s="139">
        <f>F35</f>
        <v>0</v>
      </c>
      <c r="G36" s="139">
        <f>G35+G33+G28</f>
        <v>-758085563.47000003</v>
      </c>
      <c r="H36" s="136">
        <f>H35+H33+H28</f>
        <v>149884220.73660001</v>
      </c>
      <c r="I36" s="136">
        <f>I35+I33+I28</f>
        <v>304539914.39059997</v>
      </c>
      <c r="J36" s="181">
        <f>J35+J33+J28</f>
        <v>304677316.69199997</v>
      </c>
      <c r="K36" s="181">
        <f>K35+K33+K28</f>
        <v>304677316.69199997</v>
      </c>
      <c r="L36" s="182">
        <f>SUM(G36:K36)</f>
        <v>305693205.04119992</v>
      </c>
      <c r="M36" s="48"/>
      <c r="N36" s="28"/>
      <c r="O36" s="9"/>
      <c r="P36" s="28"/>
      <c r="Q36" s="9"/>
      <c r="R36" s="48"/>
      <c r="S36" s="41"/>
    </row>
    <row r="37" spans="2:19" x14ac:dyDescent="0.35">
      <c r="B37" t="s">
        <v>24</v>
      </c>
      <c r="F37" s="139">
        <f>F36</f>
        <v>0</v>
      </c>
      <c r="G37" s="139">
        <f>G36</f>
        <v>-758085563.47000003</v>
      </c>
      <c r="H37" s="139">
        <f t="shared" ref="H37" si="13">G37+H36</f>
        <v>-608201342.73339999</v>
      </c>
      <c r="I37" s="139">
        <f t="shared" ref="I37" si="14">H37+I36</f>
        <v>-303661428.34280002</v>
      </c>
      <c r="J37" s="181">
        <f t="shared" ref="J37" si="15">I37+J36</f>
        <v>1015888.3491999507</v>
      </c>
      <c r="K37" s="181">
        <f t="shared" ref="K37" si="16">J37+K36</f>
        <v>305693205.04119992</v>
      </c>
      <c r="L37" s="183"/>
      <c r="M37" s="48"/>
      <c r="N37" s="30"/>
      <c r="O37" s="30"/>
      <c r="P37" s="30"/>
      <c r="Q37" s="30"/>
      <c r="R37" s="48"/>
      <c r="S37" s="41"/>
    </row>
    <row r="38" spans="2:19" x14ac:dyDescent="0.35">
      <c r="B38" t="s">
        <v>25</v>
      </c>
      <c r="F38" s="26"/>
      <c r="G38" s="140">
        <f>IF(AND(F37&lt;0,G37&gt;0),G43-(G37/G36),0)</f>
        <v>0</v>
      </c>
      <c r="H38" s="140">
        <f t="shared" ref="H38" si="17">IF(AND(G37&lt;0,H37&gt;0),H43-(H37/H36),0)</f>
        <v>0</v>
      </c>
      <c r="I38" s="140">
        <f t="shared" ref="I38" si="18">IF(AND(H37&lt;0,I37&gt;0),I43-(I37/I36),0)</f>
        <v>0</v>
      </c>
      <c r="J38" s="140">
        <f t="shared" ref="J38" si="19">IF(AND(I37&lt;0,J37&gt;0),J43-(J37/J36),0)</f>
        <v>3.9966656909013447</v>
      </c>
      <c r="K38" s="140">
        <f t="shared" ref="K38" si="20">IF(AND(J37&lt;0,K37&gt;0),K43-(K37/K36),0)</f>
        <v>0</v>
      </c>
      <c r="L38" s="71"/>
      <c r="M38" s="27"/>
      <c r="N38" s="31"/>
      <c r="O38" s="31"/>
      <c r="P38" s="31"/>
      <c r="Q38" s="31"/>
      <c r="R38" s="27"/>
    </row>
    <row r="39" spans="2:19" x14ac:dyDescent="0.35">
      <c r="B39" s="51" t="s">
        <v>26</v>
      </c>
      <c r="C39" s="52"/>
      <c r="D39" s="52"/>
      <c r="E39" s="52"/>
      <c r="F39" s="179">
        <f>IRR(G36:K36)</f>
        <v>0.13635834968413607</v>
      </c>
      <c r="N39" s="31"/>
      <c r="O39" s="31"/>
      <c r="P39" s="31"/>
      <c r="Q39" s="31"/>
    </row>
    <row r="40" spans="2:19" x14ac:dyDescent="0.35">
      <c r="B40" s="53" t="s">
        <v>27</v>
      </c>
      <c r="C40" s="54"/>
      <c r="D40" s="54"/>
      <c r="E40" s="54"/>
      <c r="F40" s="180">
        <f>NPV(F4,H36:K36)+G36</f>
        <v>66865983.054308772</v>
      </c>
      <c r="H40" s="79"/>
      <c r="I40" s="14"/>
      <c r="N40" s="31"/>
      <c r="O40" s="31"/>
      <c r="P40" s="31"/>
      <c r="Q40" s="31"/>
    </row>
    <row r="41" spans="2:19" x14ac:dyDescent="0.35">
      <c r="B41" s="53" t="s">
        <v>28</v>
      </c>
      <c r="C41" s="54"/>
      <c r="D41" s="54"/>
      <c r="E41" s="54"/>
      <c r="F41" s="55">
        <f>L27</f>
        <v>0.28597547644631749</v>
      </c>
      <c r="H41" s="61"/>
      <c r="N41" s="31"/>
      <c r="O41" s="31"/>
      <c r="P41" s="31"/>
      <c r="Q41" s="31"/>
    </row>
    <row r="42" spans="2:19" x14ac:dyDescent="0.35">
      <c r="B42" s="56" t="s">
        <v>29</v>
      </c>
      <c r="C42" s="57"/>
      <c r="D42" s="57"/>
      <c r="E42" s="57"/>
      <c r="F42" s="58">
        <f>SUM(F38:K38)</f>
        <v>3.9966656909013447</v>
      </c>
      <c r="N42" s="31"/>
      <c r="O42" s="31"/>
      <c r="P42" s="31"/>
      <c r="Q42" s="31"/>
    </row>
    <row r="43" spans="2:19" x14ac:dyDescent="0.35">
      <c r="G43" s="9">
        <v>1</v>
      </c>
      <c r="H43" s="28">
        <v>2</v>
      </c>
      <c r="I43" s="9">
        <v>3</v>
      </c>
      <c r="J43" s="28">
        <v>4</v>
      </c>
      <c r="K43" s="9">
        <v>5</v>
      </c>
      <c r="L43" s="28"/>
      <c r="M43" s="9"/>
      <c r="N43" s="38"/>
      <c r="O43" s="38"/>
      <c r="P43" s="38"/>
      <c r="Q43" s="38"/>
    </row>
    <row r="44" spans="2:19" x14ac:dyDescent="0.35">
      <c r="B44" s="29" t="s">
        <v>30</v>
      </c>
      <c r="E44" s="30" t="s">
        <v>31</v>
      </c>
      <c r="G44" s="30" t="str">
        <f>G12</f>
        <v>Year 1</v>
      </c>
      <c r="H44" s="30" t="str">
        <f>H12</f>
        <v>Year 2</v>
      </c>
      <c r="I44" s="30" t="str">
        <f>I12</f>
        <v>Year 3</v>
      </c>
      <c r="J44" s="30" t="str">
        <f>J12</f>
        <v>Year 4</v>
      </c>
      <c r="K44" s="30" t="str">
        <f>K12</f>
        <v>Year 5</v>
      </c>
      <c r="L44" s="156" t="s">
        <v>135</v>
      </c>
      <c r="M44" s="30"/>
      <c r="R44" s="30"/>
    </row>
    <row r="45" spans="2:19" x14ac:dyDescent="0.35">
      <c r="D45" t="s">
        <v>6</v>
      </c>
      <c r="E45">
        <v>5</v>
      </c>
      <c r="G45" s="62">
        <f>SUM(G9:G10)/$E45</f>
        <v>30910234.600000001</v>
      </c>
      <c r="H45" s="31">
        <f>G45</f>
        <v>30910234.600000001</v>
      </c>
      <c r="I45" s="31">
        <f t="shared" ref="I45:K45" si="21">H45</f>
        <v>30910234.600000001</v>
      </c>
      <c r="J45" s="31">
        <f t="shared" si="21"/>
        <v>30910234.600000001</v>
      </c>
      <c r="K45" s="31">
        <f t="shared" si="21"/>
        <v>30910234.600000001</v>
      </c>
      <c r="L45" s="157">
        <f>SUM(G45:K45)</f>
        <v>154551173</v>
      </c>
      <c r="M45" s="31"/>
      <c r="R45" s="32"/>
    </row>
    <row r="46" spans="2:19" hidden="1" x14ac:dyDescent="0.35">
      <c r="D46" t="s">
        <v>8</v>
      </c>
      <c r="E46">
        <v>4</v>
      </c>
      <c r="H46" s="62">
        <f>I$10/$E46</f>
        <v>0</v>
      </c>
      <c r="J46" s="31">
        <f>H46</f>
        <v>0</v>
      </c>
      <c r="K46" s="31">
        <f t="shared" ref="K46" si="22">J46</f>
        <v>0</v>
      </c>
      <c r="L46" s="157"/>
      <c r="M46" s="31"/>
      <c r="R46" s="32"/>
    </row>
    <row r="47" spans="2:19" hidden="1" x14ac:dyDescent="0.35">
      <c r="D47" t="s">
        <v>9</v>
      </c>
      <c r="E47">
        <v>3</v>
      </c>
      <c r="I47" s="62">
        <f>J$9/$E47</f>
        <v>0</v>
      </c>
      <c r="K47" s="31">
        <f>I47</f>
        <v>0</v>
      </c>
      <c r="L47" s="157"/>
      <c r="M47" s="31"/>
      <c r="R47" s="32"/>
    </row>
    <row r="48" spans="2:19" hidden="1" x14ac:dyDescent="0.35">
      <c r="D48" t="s">
        <v>10</v>
      </c>
      <c r="E48">
        <v>2</v>
      </c>
      <c r="J48" s="62"/>
      <c r="L48" s="157"/>
      <c r="M48" s="31"/>
      <c r="R48" s="32"/>
    </row>
    <row r="49" spans="2:21" hidden="1" x14ac:dyDescent="0.35">
      <c r="D49" t="s">
        <v>42</v>
      </c>
      <c r="E49">
        <v>1</v>
      </c>
      <c r="K49" s="62"/>
      <c r="L49" s="157"/>
      <c r="M49" s="31"/>
      <c r="R49" s="32"/>
    </row>
    <row r="50" spans="2:21" ht="16" thickBot="1" x14ac:dyDescent="0.4">
      <c r="B50" s="33" t="s">
        <v>32</v>
      </c>
      <c r="C50" s="34"/>
      <c r="D50" s="34"/>
      <c r="E50" s="34"/>
      <c r="F50" s="34"/>
      <c r="G50" s="35">
        <f t="shared" ref="G50:L50" si="23">SUM(G45:G48)</f>
        <v>30910234.600000001</v>
      </c>
      <c r="H50" s="35">
        <f t="shared" si="23"/>
        <v>30910234.600000001</v>
      </c>
      <c r="I50" s="35">
        <f t="shared" si="23"/>
        <v>30910234.600000001</v>
      </c>
      <c r="J50" s="35">
        <f t="shared" si="23"/>
        <v>30910234.600000001</v>
      </c>
      <c r="K50" s="35">
        <f t="shared" si="23"/>
        <v>30910234.600000001</v>
      </c>
      <c r="L50" s="35">
        <f t="shared" si="23"/>
        <v>154551173</v>
      </c>
      <c r="M50" s="38"/>
      <c r="R50" s="38"/>
      <c r="S50" s="36"/>
      <c r="T50" s="36"/>
      <c r="U50" s="36"/>
    </row>
    <row r="51" spans="2:21" ht="16" thickTop="1" x14ac:dyDescent="0.35">
      <c r="R51" s="14"/>
    </row>
    <row r="53" spans="2:21" x14ac:dyDescent="0.35">
      <c r="F53" t="s">
        <v>45</v>
      </c>
    </row>
  </sheetData>
  <mergeCells count="1">
    <mergeCell ref="E18:F18"/>
  </mergeCells>
  <pageMargins left="0.25" right="0.25" top="0.75" bottom="0.75" header="0.3" footer="0.3"/>
  <pageSetup paperSize="9" scale="6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CB16C9-CAFC-485D-88B5-CE27E221B2C2}">
  <sheetPr>
    <tabColor theme="9" tint="0.39997558519241921"/>
  </sheetPr>
  <dimension ref="A1:D26"/>
  <sheetViews>
    <sheetView topLeftCell="A3" zoomScaleNormal="100" workbookViewId="0">
      <selection activeCell="C21" sqref="C21"/>
    </sheetView>
  </sheetViews>
  <sheetFormatPr defaultColWidth="8.4140625" defaultRowHeight="14.5" x14ac:dyDescent="0.35"/>
  <cols>
    <col min="1" max="1" width="5.08203125" style="159" customWidth="1"/>
    <col min="2" max="2" width="14.4140625" style="159" customWidth="1"/>
    <col min="3" max="3" width="46.83203125" style="159" customWidth="1"/>
    <col min="4" max="4" width="47.4140625" style="159" customWidth="1"/>
    <col min="5" max="16384" width="8.4140625" style="159"/>
  </cols>
  <sheetData>
    <row r="1" spans="1:4" ht="21" x14ac:dyDescent="0.5">
      <c r="C1" s="160" t="s">
        <v>126</v>
      </c>
    </row>
    <row r="3" spans="1:4" x14ac:dyDescent="0.35">
      <c r="A3" s="161" t="s">
        <v>136</v>
      </c>
      <c r="B3" s="161"/>
      <c r="C3" s="162" t="s">
        <v>137</v>
      </c>
    </row>
    <row r="4" spans="1:4" x14ac:dyDescent="0.35">
      <c r="A4" s="161" t="s">
        <v>138</v>
      </c>
      <c r="B4" s="161"/>
      <c r="C4" s="162" t="s">
        <v>139</v>
      </c>
    </row>
    <row r="5" spans="1:4" x14ac:dyDescent="0.35">
      <c r="A5" s="161" t="s">
        <v>140</v>
      </c>
      <c r="B5" s="161"/>
      <c r="C5" s="162" t="s">
        <v>141</v>
      </c>
    </row>
    <row r="6" spans="1:4" x14ac:dyDescent="0.35">
      <c r="A6" s="161" t="s">
        <v>142</v>
      </c>
      <c r="B6" s="161"/>
      <c r="C6" s="162" t="s">
        <v>143</v>
      </c>
    </row>
    <row r="7" spans="1:4" x14ac:dyDescent="0.35">
      <c r="A7" s="161" t="s">
        <v>144</v>
      </c>
      <c r="B7" s="161"/>
      <c r="C7" s="162" t="s">
        <v>145</v>
      </c>
    </row>
    <row r="9" spans="1:4" x14ac:dyDescent="0.35">
      <c r="A9" s="242" t="s">
        <v>127</v>
      </c>
      <c r="B9" s="243" t="s">
        <v>128</v>
      </c>
      <c r="C9" s="243" t="s">
        <v>129</v>
      </c>
      <c r="D9" s="243" t="s">
        <v>118</v>
      </c>
    </row>
    <row r="10" spans="1:4" x14ac:dyDescent="0.35">
      <c r="A10" s="242"/>
      <c r="B10" s="244"/>
      <c r="C10" s="244"/>
      <c r="D10" s="244"/>
    </row>
    <row r="11" spans="1:4" x14ac:dyDescent="0.35">
      <c r="A11" s="163">
        <v>1</v>
      </c>
      <c r="B11" s="164" t="s">
        <v>130</v>
      </c>
      <c r="C11" s="164" t="s">
        <v>52</v>
      </c>
      <c r="D11" s="164" t="s">
        <v>52</v>
      </c>
    </row>
    <row r="12" spans="1:4" x14ac:dyDescent="0.35">
      <c r="A12" s="163">
        <v>2</v>
      </c>
      <c r="B12" s="164" t="s">
        <v>146</v>
      </c>
      <c r="C12" s="165" t="str">
        <f>C7</f>
        <v>: 145 Omni +  8 Unit Pole + RBS 40m²</v>
      </c>
      <c r="D12" s="166" t="str">
        <f>C7</f>
        <v>: 145 Omni +  8 Unit Pole + RBS 40m²</v>
      </c>
    </row>
    <row r="13" spans="1:4" x14ac:dyDescent="0.35">
      <c r="A13" s="163">
        <v>3</v>
      </c>
      <c r="B13" s="164" t="s">
        <v>131</v>
      </c>
      <c r="C13" s="164" t="s">
        <v>147</v>
      </c>
      <c r="D13" s="164" t="s">
        <v>168</v>
      </c>
    </row>
    <row r="14" spans="1:4" ht="15.5" x14ac:dyDescent="0.35">
      <c r="A14" s="163">
        <v>4</v>
      </c>
      <c r="B14" s="167" t="s">
        <v>148</v>
      </c>
      <c r="C14" s="168" t="s">
        <v>149</v>
      </c>
      <c r="D14" s="168" t="s">
        <v>154</v>
      </c>
    </row>
    <row r="15" spans="1:4" x14ac:dyDescent="0.35">
      <c r="A15" s="245">
        <v>6</v>
      </c>
      <c r="B15" s="169" t="s">
        <v>150</v>
      </c>
      <c r="C15" s="164" t="s">
        <v>172</v>
      </c>
      <c r="D15" s="164" t="s">
        <v>151</v>
      </c>
    </row>
    <row r="16" spans="1:4" x14ac:dyDescent="0.35">
      <c r="A16" s="246"/>
      <c r="B16" s="164"/>
      <c r="C16" s="170" t="s">
        <v>169</v>
      </c>
      <c r="D16" s="164" t="s">
        <v>170</v>
      </c>
    </row>
    <row r="17" spans="1:4" x14ac:dyDescent="0.35">
      <c r="A17" s="246"/>
      <c r="B17" s="164"/>
      <c r="C17" s="164"/>
      <c r="D17" s="164" t="s">
        <v>171</v>
      </c>
    </row>
    <row r="18" spans="1:4" x14ac:dyDescent="0.35">
      <c r="A18" s="171">
        <v>7</v>
      </c>
      <c r="B18" s="164" t="s">
        <v>152</v>
      </c>
      <c r="C18" s="240" t="s">
        <v>153</v>
      </c>
      <c r="D18" s="241"/>
    </row>
    <row r="21" spans="1:4" x14ac:dyDescent="0.35">
      <c r="C21" s="172"/>
    </row>
    <row r="22" spans="1:4" ht="15.5" x14ac:dyDescent="0.35">
      <c r="B22" s="173"/>
      <c r="C22" s="174"/>
    </row>
    <row r="23" spans="1:4" ht="15.5" x14ac:dyDescent="0.35">
      <c r="B23" s="173"/>
      <c r="C23" s="173"/>
    </row>
    <row r="24" spans="1:4" ht="15.5" x14ac:dyDescent="0.35">
      <c r="B24" s="173"/>
      <c r="C24" s="173"/>
    </row>
    <row r="25" spans="1:4" ht="15.5" x14ac:dyDescent="0.35">
      <c r="B25" s="173"/>
      <c r="C25" s="173"/>
    </row>
    <row r="26" spans="1:4" ht="15.5" x14ac:dyDescent="0.35">
      <c r="B26" s="173"/>
      <c r="C26" s="173"/>
    </row>
  </sheetData>
  <mergeCells count="6">
    <mergeCell ref="C18:D18"/>
    <mergeCell ref="A9:A10"/>
    <mergeCell ref="B9:B10"/>
    <mergeCell ref="C9:C10"/>
    <mergeCell ref="D9:D10"/>
    <mergeCell ref="A15:A17"/>
  </mergeCells>
  <pageMargins left="0.70866141732283472" right="0.70866141732283472" top="0.74803149606299213" bottom="0.74803149606299213" header="0.31496062992125984" footer="0.31496062992125984"/>
  <pageSetup paperSize="9" scale="84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/>
  <dimension ref="A1:V65"/>
  <sheetViews>
    <sheetView zoomScale="70" zoomScaleNormal="70" workbookViewId="0">
      <selection activeCell="N29" sqref="N29"/>
    </sheetView>
  </sheetViews>
  <sheetFormatPr defaultRowHeight="15.5" x14ac:dyDescent="0.35"/>
  <cols>
    <col min="1" max="1" width="13.5" bestFit="1" customWidth="1"/>
    <col min="2" max="2" width="15.83203125" bestFit="1" customWidth="1"/>
    <col min="3" max="4" width="13.6640625" bestFit="1" customWidth="1"/>
    <col min="5" max="5" width="14.83203125" customWidth="1"/>
    <col min="6" max="6" width="14" customWidth="1"/>
    <col min="7" max="7" width="12.83203125" bestFit="1" customWidth="1"/>
    <col min="8" max="8" width="16.6640625" customWidth="1"/>
    <col min="9" max="9" width="15.33203125" customWidth="1"/>
    <col min="10" max="11" width="13.6640625" bestFit="1" customWidth="1"/>
    <col min="12" max="13" width="12.83203125" bestFit="1" customWidth="1"/>
    <col min="14" max="14" width="11.6640625" bestFit="1" customWidth="1"/>
    <col min="15" max="15" width="10.6640625" bestFit="1" customWidth="1"/>
    <col min="16" max="16" width="9.1640625" bestFit="1" customWidth="1"/>
  </cols>
  <sheetData>
    <row r="1" spans="1:22" x14ac:dyDescent="0.35">
      <c r="B1" s="9">
        <v>5</v>
      </c>
      <c r="C1" s="158">
        <v>2013</v>
      </c>
      <c r="D1" s="158">
        <f>C1+1</f>
        <v>2014</v>
      </c>
      <c r="E1" s="175">
        <f t="shared" ref="E1:V1" si="0">D1+1</f>
        <v>2015</v>
      </c>
      <c r="F1" s="175">
        <f t="shared" si="0"/>
        <v>2016</v>
      </c>
      <c r="G1" s="175">
        <f t="shared" si="0"/>
        <v>2017</v>
      </c>
      <c r="H1" s="175">
        <f t="shared" si="0"/>
        <v>2018</v>
      </c>
      <c r="I1" s="175">
        <f t="shared" si="0"/>
        <v>2019</v>
      </c>
      <c r="J1" s="175">
        <f t="shared" si="0"/>
        <v>2020</v>
      </c>
      <c r="K1" s="158">
        <f t="shared" si="0"/>
        <v>2021</v>
      </c>
      <c r="L1" s="158">
        <f t="shared" si="0"/>
        <v>2022</v>
      </c>
      <c r="M1" s="158">
        <f t="shared" si="0"/>
        <v>2023</v>
      </c>
      <c r="N1" s="158">
        <f t="shared" si="0"/>
        <v>2024</v>
      </c>
      <c r="O1" s="158">
        <f t="shared" si="0"/>
        <v>2025</v>
      </c>
      <c r="P1" s="158">
        <f t="shared" si="0"/>
        <v>2026</v>
      </c>
      <c r="Q1" s="158">
        <f t="shared" si="0"/>
        <v>2027</v>
      </c>
      <c r="R1" s="158">
        <f t="shared" si="0"/>
        <v>2028</v>
      </c>
      <c r="S1" s="158">
        <f t="shared" si="0"/>
        <v>2029</v>
      </c>
      <c r="T1" s="158">
        <f t="shared" si="0"/>
        <v>2030</v>
      </c>
      <c r="U1" s="158">
        <f t="shared" si="0"/>
        <v>2031</v>
      </c>
      <c r="V1" s="158">
        <f t="shared" si="0"/>
        <v>2032</v>
      </c>
    </row>
    <row r="2" spans="1:22" x14ac:dyDescent="0.35">
      <c r="A2">
        <v>2013</v>
      </c>
      <c r="B2" t="s">
        <v>156</v>
      </c>
      <c r="C2" s="80">
        <v>74691608</v>
      </c>
      <c r="D2" s="80">
        <f>C2-C3</f>
        <v>59753286.399999999</v>
      </c>
      <c r="E2" s="80">
        <f>D2-C3</f>
        <v>44814964.799999997</v>
      </c>
      <c r="F2" s="80">
        <f>E2-C3</f>
        <v>29876643.199999996</v>
      </c>
      <c r="G2" s="80">
        <f>F2-C3</f>
        <v>14938321.599999996</v>
      </c>
      <c r="H2" s="80">
        <f>G2-C3</f>
        <v>0</v>
      </c>
      <c r="I2" s="80"/>
      <c r="J2" s="80"/>
    </row>
    <row r="3" spans="1:22" x14ac:dyDescent="0.35">
      <c r="B3" t="s">
        <v>157</v>
      </c>
      <c r="C3" s="80">
        <f>C2/$B$1</f>
        <v>14938321.6</v>
      </c>
      <c r="D3" s="80"/>
      <c r="E3" s="80"/>
      <c r="F3" s="80"/>
      <c r="G3" s="80"/>
      <c r="H3" s="80"/>
      <c r="I3" s="80"/>
      <c r="J3" s="80"/>
    </row>
    <row r="4" spans="1:22" x14ac:dyDescent="0.35">
      <c r="B4" t="s">
        <v>158</v>
      </c>
      <c r="C4" s="80">
        <f>(C2*IRR!$F$4*6/12)</f>
        <v>3734580.4000000004</v>
      </c>
      <c r="D4" s="176">
        <f>AVERAGE(C2:D2)*IRR!$F$4</f>
        <v>6722244.7200000007</v>
      </c>
      <c r="E4" s="176">
        <f>AVERAGE(D2:E2)*IRR!$F$4</f>
        <v>5228412.5599999996</v>
      </c>
      <c r="F4" s="176">
        <f>AVERAGE(E2:F2)*IRR!$F$4</f>
        <v>3734580.4000000004</v>
      </c>
      <c r="G4" s="176">
        <f>AVERAGE(F2:G2)*IRR!$F$4</f>
        <v>2240748.2399999998</v>
      </c>
      <c r="H4" s="176">
        <f>AVERAGE(G2:H2)*IRR!$F$4</f>
        <v>746916.07999999984</v>
      </c>
      <c r="I4" s="176">
        <f>AVERAGE(H2:I2)*IRR!$F$4</f>
        <v>0</v>
      </c>
      <c r="J4" s="80"/>
    </row>
    <row r="5" spans="1:22" x14ac:dyDescent="0.35">
      <c r="A5">
        <f>A2+1</f>
        <v>2014</v>
      </c>
      <c r="B5" t="s">
        <v>156</v>
      </c>
      <c r="D5" s="80">
        <v>813292555</v>
      </c>
      <c r="E5" s="80">
        <f>D5-$D$6</f>
        <v>650634044</v>
      </c>
      <c r="F5" s="80">
        <f>E5-$D$6</f>
        <v>487975533</v>
      </c>
      <c r="G5" s="80">
        <f>F5-$D$6</f>
        <v>325317022</v>
      </c>
      <c r="H5" s="80">
        <f>G5-$D$6</f>
        <v>162658511</v>
      </c>
      <c r="I5" s="80">
        <f>H5-$D$6</f>
        <v>0</v>
      </c>
      <c r="J5" s="80"/>
      <c r="K5" s="80"/>
    </row>
    <row r="6" spans="1:22" x14ac:dyDescent="0.35">
      <c r="B6" t="s">
        <v>157</v>
      </c>
      <c r="D6" s="80">
        <f>D5/$B$1</f>
        <v>162658511</v>
      </c>
      <c r="E6" s="80"/>
      <c r="F6" s="80"/>
      <c r="G6" s="80"/>
      <c r="H6" s="80"/>
      <c r="I6" s="80"/>
      <c r="J6" s="80"/>
    </row>
    <row r="7" spans="1:22" x14ac:dyDescent="0.35">
      <c r="B7" t="s">
        <v>158</v>
      </c>
      <c r="D7" s="80">
        <f>(D5*IRR!$F$4*6/12)</f>
        <v>40664627.75</v>
      </c>
      <c r="E7" s="176">
        <f>AVERAGE(D5:E5)*IRR!$F$4</f>
        <v>73196329.950000003</v>
      </c>
      <c r="F7" s="176">
        <f>AVERAGE(E5:F5)*IRR!$F$4</f>
        <v>56930478.850000001</v>
      </c>
      <c r="G7" s="176">
        <f>AVERAGE(F5:G5)*IRR!$F$4</f>
        <v>40664627.75</v>
      </c>
      <c r="H7" s="176">
        <f>AVERAGE(G5:H5)*IRR!$F$4</f>
        <v>24398776.650000002</v>
      </c>
      <c r="I7" s="176">
        <f>AVERAGE(H5:I5)*IRR!$F$4</f>
        <v>8132925.5500000007</v>
      </c>
      <c r="J7" s="176">
        <f>AVERAGE(I5:J5)*IRR!$F$4</f>
        <v>0</v>
      </c>
    </row>
    <row r="8" spans="1:22" x14ac:dyDescent="0.35">
      <c r="A8">
        <f>A5+1</f>
        <v>2015</v>
      </c>
      <c r="B8" s="80"/>
      <c r="C8" s="14"/>
      <c r="D8" s="14"/>
      <c r="E8" s="14">
        <v>129081063</v>
      </c>
      <c r="F8" s="80">
        <f>E8-$E$9</f>
        <v>103264850.40000001</v>
      </c>
      <c r="G8" s="80">
        <f>F8-$E$9</f>
        <v>77448637.800000012</v>
      </c>
      <c r="H8" s="80">
        <f>G8-$E$9</f>
        <v>51632425.20000001</v>
      </c>
      <c r="I8" s="80">
        <f>H8-$E$9</f>
        <v>25816212.600000009</v>
      </c>
      <c r="J8" s="80">
        <f>I8-$E$9</f>
        <v>0</v>
      </c>
      <c r="K8" s="14"/>
    </row>
    <row r="9" spans="1:22" x14ac:dyDescent="0.35">
      <c r="B9" s="80"/>
      <c r="C9" s="14"/>
      <c r="D9" s="14"/>
      <c r="E9" s="80">
        <f>E8/$B$1</f>
        <v>25816212.600000001</v>
      </c>
      <c r="F9" s="14"/>
      <c r="G9" s="14"/>
      <c r="H9" s="14"/>
      <c r="I9" s="14"/>
      <c r="J9" s="14"/>
      <c r="K9" s="14"/>
    </row>
    <row r="10" spans="1:22" x14ac:dyDescent="0.35">
      <c r="B10" s="80"/>
      <c r="C10" s="14"/>
      <c r="D10" s="14"/>
      <c r="E10" s="80">
        <f>(E8*IRR!$F$4*6/12)</f>
        <v>6454053.1500000013</v>
      </c>
      <c r="F10" s="176">
        <f>AVERAGE(E8:F8)*IRR!$F$4</f>
        <v>11617295.670000002</v>
      </c>
      <c r="G10" s="176">
        <f>AVERAGE(F8:G8)*IRR!$F$4</f>
        <v>9035674.410000002</v>
      </c>
      <c r="H10" s="176">
        <f>AVERAGE(G8:H8)*IRR!$F$4</f>
        <v>6454053.1500000022</v>
      </c>
      <c r="I10" s="176">
        <f>AVERAGE(H8:I8)*IRR!$F$4</f>
        <v>3872431.8900000006</v>
      </c>
      <c r="J10" s="176">
        <f>AVERAGE(I8:J8)*IRR!$F$4</f>
        <v>1290810.6300000006</v>
      </c>
      <c r="K10" s="176">
        <f>AVERAGE(J8:K8)*IRR!$F$4</f>
        <v>0</v>
      </c>
      <c r="L10" s="14"/>
    </row>
    <row r="11" spans="1:22" x14ac:dyDescent="0.35">
      <c r="A11">
        <f>A8+1</f>
        <v>2016</v>
      </c>
      <c r="B11" s="80"/>
      <c r="C11" s="14"/>
      <c r="D11" s="14"/>
      <c r="E11" s="14"/>
      <c r="F11" s="14">
        <v>120757794</v>
      </c>
      <c r="G11" s="80">
        <f>F11-$F$12</f>
        <v>96606235.200000003</v>
      </c>
      <c r="H11" s="80">
        <f t="shared" ref="H11:K11" si="1">G11-$F$12</f>
        <v>72454676.400000006</v>
      </c>
      <c r="I11" s="80">
        <f t="shared" si="1"/>
        <v>48303117.600000009</v>
      </c>
      <c r="J11" s="80">
        <f t="shared" si="1"/>
        <v>24151558.800000008</v>
      </c>
      <c r="K11" s="80">
        <f t="shared" si="1"/>
        <v>0</v>
      </c>
    </row>
    <row r="12" spans="1:22" x14ac:dyDescent="0.35">
      <c r="B12" s="80"/>
      <c r="C12" s="14"/>
      <c r="D12" s="14"/>
      <c r="E12" s="14"/>
      <c r="F12" s="80">
        <f>F11/$B$1</f>
        <v>24151558.800000001</v>
      </c>
      <c r="G12" s="14"/>
      <c r="H12" s="14"/>
      <c r="I12" s="14"/>
      <c r="J12" s="14"/>
      <c r="K12" s="14"/>
    </row>
    <row r="13" spans="1:22" x14ac:dyDescent="0.35">
      <c r="B13" s="80"/>
      <c r="C13" s="14"/>
      <c r="D13" s="14"/>
      <c r="E13" s="14"/>
      <c r="F13" s="80">
        <f>(F11*IRR!$F$4*6/12)</f>
        <v>6037889.7000000002</v>
      </c>
      <c r="G13" s="176">
        <f>AVERAGE(F11:G11)*IRR!$F$4</f>
        <v>10868201.460000001</v>
      </c>
      <c r="H13" s="176">
        <f>AVERAGE(G11:H11)*IRR!$F$4</f>
        <v>8453045.5800000019</v>
      </c>
      <c r="I13" s="176">
        <f>AVERAGE(H11:I11)*IRR!$F$4</f>
        <v>6037889.7000000011</v>
      </c>
      <c r="J13" s="176">
        <f>AVERAGE(I11:J11)*IRR!$F$4</f>
        <v>3622733.8200000012</v>
      </c>
      <c r="K13" s="176">
        <f>AVERAGE(J11:K11)*IRR!$F$4</f>
        <v>1207577.9400000004</v>
      </c>
      <c r="L13" s="14"/>
      <c r="M13" s="14"/>
    </row>
    <row r="14" spans="1:22" x14ac:dyDescent="0.35">
      <c r="A14">
        <f>A11+1</f>
        <v>2017</v>
      </c>
      <c r="B14" s="80"/>
      <c r="C14" s="14"/>
      <c r="D14" s="14"/>
      <c r="E14" s="14"/>
      <c r="F14" s="14"/>
      <c r="G14" s="14"/>
      <c r="H14" s="14"/>
      <c r="I14" s="14"/>
      <c r="J14" s="14"/>
      <c r="K14" s="14"/>
    </row>
    <row r="15" spans="1:22" x14ac:dyDescent="0.35">
      <c r="K15" s="14"/>
      <c r="L15" s="14"/>
    </row>
    <row r="17" spans="1:17" x14ac:dyDescent="0.35">
      <c r="A17">
        <f>A14+1</f>
        <v>2018</v>
      </c>
      <c r="H17" s="80">
        <v>26069732</v>
      </c>
      <c r="I17" s="80">
        <f>H17-$H$18</f>
        <v>20855785.600000001</v>
      </c>
      <c r="J17" s="80">
        <f t="shared" ref="J17:M17" si="2">I17-$H$18</f>
        <v>15641839.200000001</v>
      </c>
      <c r="K17" s="80">
        <f t="shared" si="2"/>
        <v>10427892.800000001</v>
      </c>
      <c r="L17" s="80">
        <f t="shared" si="2"/>
        <v>5213946.4000000004</v>
      </c>
      <c r="M17" s="80">
        <f t="shared" si="2"/>
        <v>0</v>
      </c>
    </row>
    <row r="18" spans="1:17" x14ac:dyDescent="0.35">
      <c r="H18" s="80">
        <f>H17/$B$1</f>
        <v>5213946.4000000004</v>
      </c>
    </row>
    <row r="19" spans="1:17" x14ac:dyDescent="0.35">
      <c r="H19" s="80">
        <f>(H17*IRR!$F$4*6/12)</f>
        <v>1303486.6000000001</v>
      </c>
      <c r="I19" s="176">
        <f>AVERAGE(H17:I17)*IRR!$F$4</f>
        <v>2346275.8800000004</v>
      </c>
      <c r="J19" s="176">
        <f>AVERAGE(I17:J17)*IRR!$F$4</f>
        <v>1824881.2400000002</v>
      </c>
      <c r="K19" s="176">
        <f>AVERAGE(J17:K17)*IRR!$F$4</f>
        <v>1303486.6000000001</v>
      </c>
      <c r="L19" s="176">
        <f>AVERAGE(K17:L17)*IRR!$F$4</f>
        <v>782091.96000000008</v>
      </c>
      <c r="M19" s="176">
        <f>AVERAGE(L17:M17)*IRR!$F$4</f>
        <v>260697.32000000004</v>
      </c>
      <c r="N19" s="176">
        <f>AVERAGE(M17:N17)*IRR!$F$4</f>
        <v>0</v>
      </c>
    </row>
    <row r="20" spans="1:17" x14ac:dyDescent="0.35">
      <c r="A20">
        <f>A17+1</f>
        <v>2019</v>
      </c>
    </row>
    <row r="23" spans="1:17" x14ac:dyDescent="0.35">
      <c r="A23">
        <f>A20+1</f>
        <v>2020</v>
      </c>
      <c r="J23" s="80">
        <v>278311944</v>
      </c>
      <c r="K23" s="80">
        <f>J23-$J$24</f>
        <v>222649555.19999999</v>
      </c>
      <c r="L23" s="80">
        <f t="shared" ref="L23:O23" si="3">K23-$J$24</f>
        <v>166987166.39999998</v>
      </c>
      <c r="M23" s="80">
        <f t="shared" si="3"/>
        <v>111324777.59999998</v>
      </c>
      <c r="N23" s="80">
        <f t="shared" si="3"/>
        <v>55662388.799999982</v>
      </c>
      <c r="O23" s="80">
        <f t="shared" si="3"/>
        <v>0</v>
      </c>
    </row>
    <row r="24" spans="1:17" x14ac:dyDescent="0.35">
      <c r="J24" s="80">
        <f>J23/$B$1</f>
        <v>55662388.799999997</v>
      </c>
    </row>
    <row r="25" spans="1:17" x14ac:dyDescent="0.35">
      <c r="J25" s="80">
        <f>(J23*IRR!$F$4*6/12)</f>
        <v>13915597.200000001</v>
      </c>
      <c r="K25" s="176">
        <f>AVERAGE(J23:K23)*IRR!$F$4</f>
        <v>25048074.960000001</v>
      </c>
      <c r="L25" s="176">
        <f>AVERAGE(K23:L23)*IRR!$F$4</f>
        <v>19481836.079999998</v>
      </c>
      <c r="M25" s="176">
        <f>AVERAGE(L23:M23)*IRR!$F$4</f>
        <v>13915597.199999997</v>
      </c>
      <c r="N25" s="176">
        <f>AVERAGE(M23:N23)*IRR!$F$4</f>
        <v>8349358.3199999994</v>
      </c>
      <c r="O25" s="176">
        <f>AVERAGE(N23:O23)*IRR!$F$4</f>
        <v>2783119.4399999995</v>
      </c>
      <c r="P25" s="176">
        <f>AVERAGE(O23:P23)*IRR!$F$4</f>
        <v>0</v>
      </c>
    </row>
    <row r="26" spans="1:17" x14ac:dyDescent="0.35">
      <c r="A26">
        <f>A23+1</f>
        <v>2021</v>
      </c>
      <c r="K26" s="80">
        <v>14020643</v>
      </c>
      <c r="L26" s="80">
        <f>K26-$K$27</f>
        <v>11216514.4</v>
      </c>
      <c r="M26" s="80">
        <f t="shared" ref="M26:P26" si="4">L26-$K$27</f>
        <v>8412385.8000000007</v>
      </c>
      <c r="N26" s="80">
        <f t="shared" si="4"/>
        <v>5608257.2000000011</v>
      </c>
      <c r="O26" s="80">
        <f t="shared" si="4"/>
        <v>2804128.600000001</v>
      </c>
      <c r="P26" s="80">
        <f t="shared" si="4"/>
        <v>0</v>
      </c>
    </row>
    <row r="27" spans="1:17" x14ac:dyDescent="0.35">
      <c r="K27" s="80">
        <f>K26/$B$1</f>
        <v>2804128.6</v>
      </c>
    </row>
    <row r="28" spans="1:17" x14ac:dyDescent="0.35">
      <c r="K28" s="80">
        <f>(K26*IRR!$F$4*6/12)</f>
        <v>701032.15</v>
      </c>
      <c r="L28" s="176">
        <f>AVERAGE(K26:L26)*IRR!$F$4</f>
        <v>1261857.8700000001</v>
      </c>
      <c r="M28" s="176">
        <f>AVERAGE(L26:M26)*IRR!$F$4</f>
        <v>981445.01000000024</v>
      </c>
      <c r="N28" s="176">
        <f>AVERAGE(M26:N26)*IRR!$F$4</f>
        <v>701032.15000000014</v>
      </c>
      <c r="O28" s="176">
        <f>AVERAGE(N26:O26)*IRR!$F$4</f>
        <v>420619.29000000015</v>
      </c>
      <c r="P28" s="176">
        <f>AVERAGE(O26:P26)*IRR!$F$4</f>
        <v>140206.43000000005</v>
      </c>
      <c r="Q28" s="176">
        <f>AVERAGE(P26:Q26)*IRR!$F$4</f>
        <v>0</v>
      </c>
    </row>
    <row r="29" spans="1:17" x14ac:dyDescent="0.35">
      <c r="N29" s="14">
        <f>N28+N25</f>
        <v>9050390.4699999988</v>
      </c>
      <c r="O29" s="14">
        <f t="shared" ref="O29:Q29" si="5">O28+O25</f>
        <v>3203738.7299999995</v>
      </c>
      <c r="P29" s="14">
        <f t="shared" si="5"/>
        <v>140206.43000000005</v>
      </c>
      <c r="Q29" s="14">
        <f t="shared" si="5"/>
        <v>0</v>
      </c>
    </row>
    <row r="31" spans="1:17" x14ac:dyDescent="0.35">
      <c r="F31" s="116" t="s">
        <v>78</v>
      </c>
      <c r="G31" s="116" t="s">
        <v>79</v>
      </c>
      <c r="H31" s="116" t="s">
        <v>80</v>
      </c>
      <c r="I31" s="117" t="s">
        <v>81</v>
      </c>
      <c r="J31" s="247" t="s">
        <v>82</v>
      </c>
      <c r="K31" s="247" t="s">
        <v>83</v>
      </c>
    </row>
    <row r="32" spans="1:17" x14ac:dyDescent="0.35">
      <c r="E32" s="118" t="s">
        <v>84</v>
      </c>
      <c r="F32" s="119">
        <v>1</v>
      </c>
      <c r="G32" s="120">
        <v>1</v>
      </c>
      <c r="H32" s="120">
        <v>1</v>
      </c>
      <c r="I32" s="121">
        <v>121</v>
      </c>
      <c r="J32" s="247"/>
      <c r="K32" s="247"/>
    </row>
    <row r="33" spans="1:11" x14ac:dyDescent="0.35">
      <c r="B33" s="248" t="s">
        <v>85</v>
      </c>
      <c r="C33" s="122" t="s">
        <v>86</v>
      </c>
      <c r="D33" s="123">
        <f>C45</f>
        <v>2500000</v>
      </c>
      <c r="E33" s="122" t="s">
        <v>78</v>
      </c>
      <c r="F33" s="116">
        <f>F32</f>
        <v>1</v>
      </c>
      <c r="G33" s="116"/>
      <c r="H33" s="116"/>
      <c r="I33" s="117"/>
      <c r="J33" s="124">
        <f>F33*D33</f>
        <v>2500000</v>
      </c>
    </row>
    <row r="34" spans="1:11" x14ac:dyDescent="0.35">
      <c r="B34" s="249"/>
      <c r="C34" s="122" t="s">
        <v>87</v>
      </c>
      <c r="D34" s="125">
        <v>600000</v>
      </c>
      <c r="E34" s="122" t="s">
        <v>78</v>
      </c>
      <c r="F34" s="116">
        <f>F32</f>
        <v>1</v>
      </c>
      <c r="G34" s="116"/>
      <c r="H34" s="116"/>
      <c r="I34" s="117">
        <f>IF($I$32&lt;=120,2,IF($I$32&gt;220,4,3))</f>
        <v>3</v>
      </c>
      <c r="J34" s="125">
        <f>D34*F34</f>
        <v>600000</v>
      </c>
    </row>
    <row r="35" spans="1:11" x14ac:dyDescent="0.35">
      <c r="B35" s="250"/>
      <c r="C35" s="122" t="s">
        <v>85</v>
      </c>
      <c r="D35" s="125">
        <v>200000</v>
      </c>
      <c r="E35" s="122" t="s">
        <v>88</v>
      </c>
      <c r="F35" s="116"/>
      <c r="G35" s="116">
        <f>G32</f>
        <v>1</v>
      </c>
      <c r="H35" s="116"/>
      <c r="I35" s="117"/>
      <c r="J35" s="125">
        <f>G35*D35</f>
        <v>200000</v>
      </c>
    </row>
    <row r="36" spans="1:11" x14ac:dyDescent="0.35">
      <c r="B36" s="122" t="s">
        <v>89</v>
      </c>
      <c r="C36" s="122" t="s">
        <v>89</v>
      </c>
      <c r="D36" s="125">
        <v>450000</v>
      </c>
      <c r="E36" s="122" t="s">
        <v>80</v>
      </c>
      <c r="F36" s="116">
        <f>F32</f>
        <v>1</v>
      </c>
      <c r="G36" s="116"/>
      <c r="H36" s="116">
        <f>H32</f>
        <v>1</v>
      </c>
      <c r="I36" s="117">
        <f>IF($I$32&lt;=120,2,IF($I$32&gt;220,4,3))</f>
        <v>3</v>
      </c>
      <c r="J36" s="125">
        <f>H36*D36*I36</f>
        <v>1350000</v>
      </c>
    </row>
    <row r="37" spans="1:11" x14ac:dyDescent="0.35">
      <c r="B37" s="122" t="s">
        <v>90</v>
      </c>
      <c r="C37" s="122" t="s">
        <v>90</v>
      </c>
      <c r="D37" s="125">
        <v>120000</v>
      </c>
      <c r="E37" s="122" t="s">
        <v>78</v>
      </c>
      <c r="F37" s="116">
        <f>F32</f>
        <v>1</v>
      </c>
      <c r="G37" s="116"/>
      <c r="H37" s="116"/>
      <c r="I37" s="117">
        <f>IF($I$32&lt;=120,2,IF($I$32&gt;220,4,3))</f>
        <v>3</v>
      </c>
      <c r="J37" s="125">
        <f>I37*D37*F37</f>
        <v>360000</v>
      </c>
    </row>
    <row r="38" spans="1:11" x14ac:dyDescent="0.35">
      <c r="J38" s="126">
        <f>SUM(J33:J37)</f>
        <v>5010000</v>
      </c>
      <c r="K38" s="127">
        <f>J38*2</f>
        <v>10020000</v>
      </c>
    </row>
    <row r="39" spans="1:11" x14ac:dyDescent="0.35">
      <c r="K39" s="32">
        <f>K38+B55+B45</f>
        <v>32620000</v>
      </c>
    </row>
    <row r="41" spans="1:11" x14ac:dyDescent="0.35">
      <c r="K41" s="14"/>
    </row>
    <row r="42" spans="1:11" x14ac:dyDescent="0.35">
      <c r="B42" s="116" t="s">
        <v>91</v>
      </c>
      <c r="C42" s="116" t="s">
        <v>86</v>
      </c>
      <c r="E42" s="122" t="s">
        <v>92</v>
      </c>
      <c r="K42" s="32"/>
    </row>
    <row r="43" spans="1:11" x14ac:dyDescent="0.35">
      <c r="A43" t="s">
        <v>93</v>
      </c>
      <c r="B43" s="80">
        <v>16800000</v>
      </c>
      <c r="C43" s="80">
        <v>4000000</v>
      </c>
      <c r="E43" t="s">
        <v>94</v>
      </c>
      <c r="K43" s="14"/>
    </row>
    <row r="44" spans="1:11" x14ac:dyDescent="0.35">
      <c r="A44" t="s">
        <v>95</v>
      </c>
      <c r="B44" s="80"/>
      <c r="C44" s="80">
        <v>3000000</v>
      </c>
      <c r="E44" t="s">
        <v>96</v>
      </c>
      <c r="I44" s="80">
        <v>10000000</v>
      </c>
    </row>
    <row r="45" spans="1:11" x14ac:dyDescent="0.35">
      <c r="A45" t="s">
        <v>97</v>
      </c>
      <c r="B45" s="80">
        <v>15600000</v>
      </c>
      <c r="C45" s="80">
        <v>2500000</v>
      </c>
      <c r="E45" t="s">
        <v>96</v>
      </c>
      <c r="H45" t="s">
        <v>98</v>
      </c>
      <c r="I45" s="80">
        <v>12000000</v>
      </c>
    </row>
    <row r="46" spans="1:11" x14ac:dyDescent="0.35">
      <c r="A46" t="s">
        <v>99</v>
      </c>
      <c r="B46" s="80">
        <v>15000000</v>
      </c>
      <c r="C46" s="80">
        <v>2000000</v>
      </c>
      <c r="E46" t="s">
        <v>96</v>
      </c>
      <c r="H46" t="s">
        <v>100</v>
      </c>
      <c r="I46" s="80">
        <v>14000000</v>
      </c>
    </row>
    <row r="47" spans="1:11" x14ac:dyDescent="0.35">
      <c r="A47" t="s">
        <v>101</v>
      </c>
      <c r="B47" s="80">
        <v>15000000</v>
      </c>
      <c r="C47" s="80">
        <v>1850000</v>
      </c>
      <c r="E47" t="s">
        <v>96</v>
      </c>
      <c r="H47" t="s">
        <v>102</v>
      </c>
      <c r="I47" s="80">
        <v>14000000</v>
      </c>
    </row>
    <row r="48" spans="1:11" x14ac:dyDescent="0.35">
      <c r="A48" t="s">
        <v>103</v>
      </c>
      <c r="B48" s="80">
        <v>12000000</v>
      </c>
      <c r="C48" s="80">
        <v>1200000</v>
      </c>
      <c r="E48" t="s">
        <v>96</v>
      </c>
      <c r="H48" t="s">
        <v>93</v>
      </c>
      <c r="I48" s="80">
        <v>17000000</v>
      </c>
    </row>
    <row r="49" spans="1:9" x14ac:dyDescent="0.35">
      <c r="A49" t="s">
        <v>104</v>
      </c>
      <c r="B49" s="80">
        <v>16800000</v>
      </c>
      <c r="C49" s="80">
        <v>2000000</v>
      </c>
      <c r="E49" t="s">
        <v>96</v>
      </c>
      <c r="H49" t="s">
        <v>104</v>
      </c>
      <c r="I49" s="80">
        <v>14000000</v>
      </c>
    </row>
    <row r="50" spans="1:9" x14ac:dyDescent="0.35">
      <c r="A50" t="s">
        <v>105</v>
      </c>
      <c r="B50" s="80">
        <v>15720000</v>
      </c>
      <c r="C50" s="80">
        <v>3500000</v>
      </c>
    </row>
    <row r="51" spans="1:9" x14ac:dyDescent="0.35">
      <c r="A51" t="s">
        <v>106</v>
      </c>
      <c r="C51" s="80">
        <v>2800000</v>
      </c>
    </row>
    <row r="52" spans="1:9" x14ac:dyDescent="0.35">
      <c r="A52" t="s">
        <v>107</v>
      </c>
      <c r="B52">
        <v>0</v>
      </c>
      <c r="C52" s="80">
        <v>0</v>
      </c>
      <c r="D52" t="s">
        <v>108</v>
      </c>
    </row>
    <row r="54" spans="1:9" x14ac:dyDescent="0.35">
      <c r="B54" s="116" t="s">
        <v>109</v>
      </c>
      <c r="C54" s="116"/>
    </row>
    <row r="55" spans="1:9" x14ac:dyDescent="0.35">
      <c r="B55" s="80">
        <v>7000000</v>
      </c>
    </row>
    <row r="57" spans="1:9" x14ac:dyDescent="0.35">
      <c r="A57" s="122" t="s">
        <v>110</v>
      </c>
      <c r="B57" s="14"/>
    </row>
    <row r="58" spans="1:9" x14ac:dyDescent="0.35">
      <c r="A58" t="s">
        <v>111</v>
      </c>
    </row>
    <row r="59" spans="1:9" x14ac:dyDescent="0.35">
      <c r="A59" t="s">
        <v>112</v>
      </c>
      <c r="B59" s="80">
        <v>36000000</v>
      </c>
    </row>
    <row r="60" spans="1:9" x14ac:dyDescent="0.35">
      <c r="A60" t="s">
        <v>113</v>
      </c>
      <c r="B60" s="80">
        <v>42000000</v>
      </c>
    </row>
    <row r="61" spans="1:9" x14ac:dyDescent="0.35">
      <c r="A61" t="s">
        <v>114</v>
      </c>
      <c r="B61" s="80">
        <v>48000000</v>
      </c>
    </row>
    <row r="63" spans="1:9" x14ac:dyDescent="0.35">
      <c r="A63" t="s">
        <v>115</v>
      </c>
    </row>
    <row r="64" spans="1:9" x14ac:dyDescent="0.35">
      <c r="A64" t="s">
        <v>116</v>
      </c>
      <c r="B64" s="80">
        <v>75000000</v>
      </c>
    </row>
    <row r="65" spans="1:2" x14ac:dyDescent="0.35">
      <c r="A65" t="s">
        <v>114</v>
      </c>
      <c r="B65" s="80">
        <v>95000000</v>
      </c>
    </row>
  </sheetData>
  <mergeCells count="3">
    <mergeCell ref="J31:J32"/>
    <mergeCell ref="K31:K32"/>
    <mergeCell ref="B33:B35"/>
  </mergeCells>
  <conditionalFormatting sqref="B8:E8 B11:F11 B9:D10 F9:K9 K8 B14:K14 B12:E13">
    <cfRule type="cellIs" dxfId="31" priority="38" operator="lessThan">
      <formula>0</formula>
    </cfRule>
  </conditionalFormatting>
  <conditionalFormatting sqref="L10">
    <cfRule type="cellIs" dxfId="30" priority="37" operator="lessThan">
      <formula>0</formula>
    </cfRule>
  </conditionalFormatting>
  <conditionalFormatting sqref="L13">
    <cfRule type="cellIs" dxfId="29" priority="36" operator="lessThan">
      <formula>0</formula>
    </cfRule>
  </conditionalFormatting>
  <conditionalFormatting sqref="M13">
    <cfRule type="cellIs" dxfId="28" priority="35" operator="lessThan">
      <formula>0</formula>
    </cfRule>
  </conditionalFormatting>
  <conditionalFormatting sqref="D5 D7 C4:J4">
    <cfRule type="cellIs" dxfId="27" priority="34" operator="lessThan">
      <formula>0</formula>
    </cfRule>
  </conditionalFormatting>
  <conditionalFormatting sqref="I19">
    <cfRule type="cellIs" dxfId="26" priority="11" operator="lessThan">
      <formula>0</formula>
    </cfRule>
  </conditionalFormatting>
  <conditionalFormatting sqref="E7">
    <cfRule type="cellIs" dxfId="25" priority="32" operator="lessThan">
      <formula>0</formula>
    </cfRule>
  </conditionalFormatting>
  <conditionalFormatting sqref="J19:M19">
    <cfRule type="cellIs" dxfId="24" priority="10" operator="lessThan">
      <formula>0</formula>
    </cfRule>
  </conditionalFormatting>
  <conditionalFormatting sqref="E10">
    <cfRule type="cellIs" dxfId="23" priority="26" operator="lessThan">
      <formula>0</formula>
    </cfRule>
  </conditionalFormatting>
  <conditionalFormatting sqref="F7">
    <cfRule type="cellIs" dxfId="22" priority="25" operator="lessThan">
      <formula>0</formula>
    </cfRule>
  </conditionalFormatting>
  <conditionalFormatting sqref="G7">
    <cfRule type="cellIs" dxfId="21" priority="24" operator="lessThan">
      <formula>0</formula>
    </cfRule>
  </conditionalFormatting>
  <conditionalFormatting sqref="H7">
    <cfRule type="cellIs" dxfId="20" priority="23" operator="lessThan">
      <formula>0</formula>
    </cfRule>
  </conditionalFormatting>
  <conditionalFormatting sqref="I7">
    <cfRule type="cellIs" dxfId="19" priority="22" operator="lessThan">
      <formula>0</formula>
    </cfRule>
  </conditionalFormatting>
  <conditionalFormatting sqref="J7">
    <cfRule type="cellIs" dxfId="18" priority="21" operator="lessThan">
      <formula>0</formula>
    </cfRule>
  </conditionalFormatting>
  <conditionalFormatting sqref="F10">
    <cfRule type="cellIs" dxfId="17" priority="20" operator="lessThan">
      <formula>0</formula>
    </cfRule>
  </conditionalFormatting>
  <conditionalFormatting sqref="G10">
    <cfRule type="cellIs" dxfId="16" priority="19" operator="lessThan">
      <formula>0</formula>
    </cfRule>
  </conditionalFormatting>
  <conditionalFormatting sqref="H10:K10">
    <cfRule type="cellIs" dxfId="15" priority="18" operator="lessThan">
      <formula>0</formula>
    </cfRule>
  </conditionalFormatting>
  <conditionalFormatting sqref="G12:K12">
    <cfRule type="cellIs" dxfId="14" priority="17" operator="lessThan">
      <formula>0</formula>
    </cfRule>
  </conditionalFormatting>
  <conditionalFormatting sqref="F13">
    <cfRule type="cellIs" dxfId="13" priority="16" operator="lessThan">
      <formula>0</formula>
    </cfRule>
  </conditionalFormatting>
  <conditionalFormatting sqref="G13">
    <cfRule type="cellIs" dxfId="12" priority="15" operator="lessThan">
      <formula>0</formula>
    </cfRule>
  </conditionalFormatting>
  <conditionalFormatting sqref="H13">
    <cfRule type="cellIs" dxfId="11" priority="14" operator="lessThan">
      <formula>0</formula>
    </cfRule>
  </conditionalFormatting>
  <conditionalFormatting sqref="I13:K13">
    <cfRule type="cellIs" dxfId="10" priority="13" operator="lessThan">
      <formula>0</formula>
    </cfRule>
  </conditionalFormatting>
  <conditionalFormatting sqref="H19">
    <cfRule type="cellIs" dxfId="9" priority="12" operator="lessThan">
      <formula>0</formula>
    </cfRule>
  </conditionalFormatting>
  <conditionalFormatting sqref="N19">
    <cfRule type="cellIs" dxfId="8" priority="9" operator="lessThan">
      <formula>0</formula>
    </cfRule>
  </conditionalFormatting>
  <conditionalFormatting sqref="J25">
    <cfRule type="cellIs" dxfId="7" priority="8" operator="lessThan">
      <formula>0</formula>
    </cfRule>
  </conditionalFormatting>
  <conditionalFormatting sqref="K25">
    <cfRule type="cellIs" dxfId="6" priority="7" operator="lessThan">
      <formula>0</formula>
    </cfRule>
  </conditionalFormatting>
  <conditionalFormatting sqref="L25:O25">
    <cfRule type="cellIs" dxfId="5" priority="6" operator="lessThan">
      <formula>0</formula>
    </cfRule>
  </conditionalFormatting>
  <conditionalFormatting sqref="P25">
    <cfRule type="cellIs" dxfId="4" priority="5" operator="lessThan">
      <formula>0</formula>
    </cfRule>
  </conditionalFormatting>
  <conditionalFormatting sqref="K28">
    <cfRule type="cellIs" dxfId="3" priority="4" operator="lessThan">
      <formula>0</formula>
    </cfRule>
  </conditionalFormatting>
  <conditionalFormatting sqref="L28">
    <cfRule type="cellIs" dxfId="2" priority="3" operator="lessThan">
      <formula>0</formula>
    </cfRule>
  </conditionalFormatting>
  <conditionalFormatting sqref="M28:P28">
    <cfRule type="cellIs" dxfId="1" priority="2" operator="lessThan">
      <formula>0</formula>
    </cfRule>
  </conditionalFormatting>
  <conditionalFormatting sqref="Q28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B94EEC-E9D3-437A-80C5-19C064F1A1FC}">
  <sheetPr codeName="Sheet4"/>
  <dimension ref="A2:M30"/>
  <sheetViews>
    <sheetView topLeftCell="A25" workbookViewId="0">
      <selection activeCell="A28" sqref="A28"/>
    </sheetView>
  </sheetViews>
  <sheetFormatPr defaultColWidth="8.83203125" defaultRowHeight="14.5" x14ac:dyDescent="0.35"/>
  <cols>
    <col min="1" max="1" width="24.4140625" style="200" customWidth="1"/>
    <col min="2" max="2" width="11.58203125" style="200" customWidth="1"/>
    <col min="3" max="3" width="12.58203125" style="200" customWidth="1"/>
    <col min="4" max="4" width="8" style="200" customWidth="1"/>
    <col min="5" max="5" width="14.5" style="200" bestFit="1" customWidth="1"/>
    <col min="6" max="6" width="12.9140625" style="200" bestFit="1" customWidth="1"/>
    <col min="7" max="16384" width="8.83203125" style="200"/>
  </cols>
  <sheetData>
    <row r="2" spans="1:13" x14ac:dyDescent="0.35">
      <c r="A2" s="251" t="s">
        <v>181</v>
      </c>
      <c r="B2" s="251"/>
      <c r="C2" s="251"/>
      <c r="D2" s="251"/>
      <c r="E2" s="251"/>
      <c r="F2" s="251"/>
      <c r="G2" s="199"/>
      <c r="H2" s="199"/>
      <c r="I2" s="199"/>
      <c r="J2" s="199"/>
      <c r="K2" s="199"/>
      <c r="L2" s="199"/>
      <c r="M2" s="199"/>
    </row>
    <row r="3" spans="1:13" x14ac:dyDescent="0.35">
      <c r="A3" s="201" t="s">
        <v>173</v>
      </c>
      <c r="B3" s="201" t="s">
        <v>132</v>
      </c>
      <c r="C3" s="201" t="s">
        <v>133</v>
      </c>
      <c r="D3" s="202"/>
      <c r="G3" s="199"/>
      <c r="H3" s="199"/>
      <c r="I3" s="199"/>
      <c r="J3" s="199"/>
      <c r="K3" s="199"/>
      <c r="L3" s="199"/>
      <c r="M3" s="199"/>
    </row>
    <row r="4" spans="1:13" x14ac:dyDescent="0.35">
      <c r="A4" s="203" t="s">
        <v>174</v>
      </c>
      <c r="B4" s="204">
        <v>44406</v>
      </c>
      <c r="C4" s="204">
        <v>46231</v>
      </c>
      <c r="D4" s="205"/>
      <c r="E4" s="205"/>
      <c r="F4" s="205"/>
      <c r="G4" s="199"/>
      <c r="H4" s="199"/>
      <c r="I4" s="199"/>
      <c r="J4" s="199"/>
      <c r="K4" s="199"/>
      <c r="L4" s="199"/>
      <c r="M4" s="199"/>
    </row>
    <row r="5" spans="1:13" x14ac:dyDescent="0.35">
      <c r="A5" s="203" t="s">
        <v>175</v>
      </c>
      <c r="B5" s="204">
        <v>46204</v>
      </c>
      <c r="C5" s="204">
        <v>11504</v>
      </c>
      <c r="D5" s="205"/>
      <c r="E5" s="206"/>
      <c r="F5" s="206"/>
      <c r="G5" s="199"/>
      <c r="H5" s="199"/>
      <c r="I5" s="199"/>
      <c r="J5" s="199"/>
      <c r="K5" s="199"/>
      <c r="L5" s="199"/>
      <c r="M5" s="199"/>
    </row>
    <row r="6" spans="1:13" x14ac:dyDescent="0.35">
      <c r="A6" s="203" t="s">
        <v>176</v>
      </c>
      <c r="B6" s="204">
        <v>45507</v>
      </c>
      <c r="C6" s="204">
        <v>47332</v>
      </c>
      <c r="D6" s="205"/>
      <c r="G6" s="199"/>
      <c r="H6" s="199"/>
      <c r="I6" s="199"/>
      <c r="J6" s="199"/>
      <c r="K6" s="199"/>
      <c r="L6" s="199"/>
      <c r="M6" s="199"/>
    </row>
    <row r="7" spans="1:13" x14ac:dyDescent="0.35">
      <c r="A7" s="199"/>
      <c r="G7" s="199"/>
      <c r="H7" s="199"/>
      <c r="I7" s="199"/>
      <c r="J7" s="199"/>
      <c r="K7" s="199"/>
      <c r="L7" s="199"/>
      <c r="M7" s="199"/>
    </row>
    <row r="8" spans="1:13" x14ac:dyDescent="0.35">
      <c r="A8" s="199"/>
      <c r="B8" s="201" t="s">
        <v>132</v>
      </c>
      <c r="C8" s="201" t="s">
        <v>133</v>
      </c>
      <c r="D8" s="201" t="s">
        <v>177</v>
      </c>
      <c r="E8" s="205"/>
      <c r="F8" s="205"/>
      <c r="G8" s="199"/>
      <c r="H8" s="199"/>
      <c r="I8" s="199"/>
      <c r="J8" s="199"/>
      <c r="K8" s="199"/>
      <c r="L8" s="199"/>
      <c r="M8" s="199"/>
    </row>
    <row r="9" spans="1:13" x14ac:dyDescent="0.35">
      <c r="A9" s="199" t="s">
        <v>186</v>
      </c>
      <c r="B9" s="199"/>
      <c r="C9" s="199"/>
      <c r="D9" s="199"/>
      <c r="E9" s="199"/>
      <c r="F9" s="199"/>
      <c r="G9" s="199"/>
      <c r="H9" s="199"/>
      <c r="I9" s="199"/>
      <c r="J9" s="199"/>
      <c r="K9" s="199"/>
      <c r="L9" s="199"/>
      <c r="M9" s="199"/>
    </row>
    <row r="10" spans="1:13" x14ac:dyDescent="0.35">
      <c r="A10" s="199" t="s">
        <v>174</v>
      </c>
      <c r="B10" s="207">
        <v>45507</v>
      </c>
      <c r="C10" s="207">
        <v>46231</v>
      </c>
      <c r="D10" s="208">
        <f>C10-B10</f>
        <v>724</v>
      </c>
      <c r="E10" s="209">
        <v>215280000</v>
      </c>
      <c r="F10" s="210">
        <f>E10/365*D10</f>
        <v>427021150.68493152</v>
      </c>
      <c r="G10" s="199"/>
      <c r="H10" s="199"/>
      <c r="I10" s="199"/>
      <c r="J10" s="199"/>
      <c r="K10" s="199"/>
      <c r="L10" s="199"/>
      <c r="M10" s="199"/>
    </row>
    <row r="11" spans="1:13" x14ac:dyDescent="0.35">
      <c r="A11" s="199" t="s">
        <v>175</v>
      </c>
      <c r="B11" s="213">
        <v>46204</v>
      </c>
      <c r="C11" s="213">
        <v>47332</v>
      </c>
      <c r="D11" s="208">
        <f>C11-B11</f>
        <v>1128</v>
      </c>
      <c r="E11" s="209">
        <v>236000000</v>
      </c>
      <c r="F11" s="210">
        <f>E11/365*D11</f>
        <v>729336986.30136991</v>
      </c>
      <c r="G11" s="199"/>
      <c r="H11" s="199"/>
      <c r="I11" s="199"/>
      <c r="J11" s="199"/>
      <c r="K11" s="199"/>
      <c r="L11" s="199"/>
      <c r="M11" s="199"/>
    </row>
    <row r="12" spans="1:13" x14ac:dyDescent="0.35">
      <c r="A12" s="199" t="s">
        <v>178</v>
      </c>
      <c r="B12" s="213">
        <v>45507</v>
      </c>
      <c r="C12" s="213">
        <v>47332</v>
      </c>
      <c r="D12" s="208">
        <f t="shared" ref="D12:D13" si="0">C12-B12</f>
        <v>1825</v>
      </c>
      <c r="E12" s="209">
        <v>150000000</v>
      </c>
      <c r="F12" s="210">
        <f>-E12/365*D12</f>
        <v>-750000000</v>
      </c>
      <c r="G12" s="199"/>
      <c r="H12" s="199"/>
      <c r="I12" s="199"/>
      <c r="J12" s="199"/>
      <c r="K12" s="199"/>
      <c r="L12" s="199"/>
      <c r="M12" s="199"/>
    </row>
    <row r="13" spans="1:13" x14ac:dyDescent="0.35">
      <c r="A13" s="199" t="s">
        <v>182</v>
      </c>
      <c r="B13" s="213">
        <v>45507</v>
      </c>
      <c r="C13" s="213">
        <v>46231</v>
      </c>
      <c r="D13" s="208">
        <f t="shared" si="0"/>
        <v>724</v>
      </c>
      <c r="E13" s="209">
        <v>7000000</v>
      </c>
      <c r="F13" s="210">
        <f>-E13/365*D13</f>
        <v>-13884931.506849315</v>
      </c>
      <c r="G13" s="199"/>
      <c r="H13" s="199"/>
      <c r="I13" s="199"/>
      <c r="J13" s="199"/>
      <c r="K13" s="199"/>
      <c r="L13" s="199"/>
      <c r="M13" s="199"/>
    </row>
    <row r="14" spans="1:13" x14ac:dyDescent="0.35">
      <c r="A14" s="199" t="s">
        <v>187</v>
      </c>
      <c r="B14" s="213">
        <v>46204</v>
      </c>
      <c r="C14" s="213">
        <v>47332</v>
      </c>
      <c r="D14" s="208">
        <f t="shared" ref="D14:D16" si="1">C14-B14</f>
        <v>1128</v>
      </c>
      <c r="E14" s="209">
        <v>7000000</v>
      </c>
      <c r="F14" s="210">
        <f>-E14/365*D14</f>
        <v>-21632876.712328766</v>
      </c>
      <c r="G14" s="199"/>
      <c r="H14" s="199"/>
      <c r="I14" s="199"/>
      <c r="J14" s="199"/>
      <c r="K14" s="199"/>
      <c r="L14" s="199"/>
      <c r="M14" s="199"/>
    </row>
    <row r="15" spans="1:13" x14ac:dyDescent="0.35">
      <c r="A15" s="199" t="s">
        <v>184</v>
      </c>
      <c r="B15" s="213">
        <v>45507</v>
      </c>
      <c r="C15" s="213">
        <v>46231</v>
      </c>
      <c r="D15" s="208">
        <f t="shared" si="1"/>
        <v>724</v>
      </c>
      <c r="E15" s="209">
        <v>42000000</v>
      </c>
      <c r="F15" s="210">
        <f t="shared" ref="F15:F16" si="2">-E15/365*D15</f>
        <v>-83309589.041095883</v>
      </c>
      <c r="G15" s="199"/>
      <c r="H15" s="199"/>
      <c r="I15" s="199"/>
      <c r="J15" s="199"/>
      <c r="K15" s="199"/>
      <c r="L15" s="199"/>
      <c r="M15" s="199"/>
    </row>
    <row r="16" spans="1:13" x14ac:dyDescent="0.35">
      <c r="A16" s="199" t="s">
        <v>188</v>
      </c>
      <c r="B16" s="213">
        <v>46204</v>
      </c>
      <c r="C16" s="213">
        <v>47332</v>
      </c>
      <c r="D16" s="208">
        <f t="shared" si="1"/>
        <v>1128</v>
      </c>
      <c r="E16" s="209">
        <v>42000000</v>
      </c>
      <c r="F16" s="210">
        <f t="shared" si="2"/>
        <v>-129797260.2739726</v>
      </c>
      <c r="G16" s="199"/>
      <c r="H16" s="199"/>
      <c r="I16" s="199"/>
      <c r="J16" s="199"/>
      <c r="K16" s="199"/>
      <c r="L16" s="199"/>
      <c r="M16" s="199"/>
    </row>
    <row r="17" spans="1:13" x14ac:dyDescent="0.35">
      <c r="A17" s="199" t="s">
        <v>179</v>
      </c>
      <c r="B17" s="199"/>
      <c r="C17" s="199"/>
      <c r="D17" s="199"/>
      <c r="E17" s="211">
        <v>100000000</v>
      </c>
      <c r="F17" s="212"/>
      <c r="G17" s="199"/>
      <c r="H17" s="199"/>
      <c r="I17" s="199"/>
      <c r="J17" s="199"/>
      <c r="K17" s="199"/>
      <c r="L17" s="199"/>
      <c r="M17" s="199"/>
    </row>
    <row r="18" spans="1:13" x14ac:dyDescent="0.35">
      <c r="A18" s="199" t="s">
        <v>180</v>
      </c>
      <c r="B18" s="199"/>
      <c r="C18" s="199"/>
      <c r="D18" s="199"/>
      <c r="E18" s="199"/>
      <c r="F18" s="210">
        <f>SUM(F10:F17)</f>
        <v>157733479.45205489</v>
      </c>
      <c r="G18" s="199"/>
      <c r="H18" s="199"/>
      <c r="I18" s="199"/>
      <c r="J18" s="199"/>
      <c r="K18" s="199"/>
      <c r="L18" s="199"/>
      <c r="M18" s="199"/>
    </row>
    <row r="19" spans="1:13" x14ac:dyDescent="0.35">
      <c r="A19" s="199"/>
      <c r="B19" s="199"/>
      <c r="C19" s="199"/>
      <c r="D19" s="199"/>
      <c r="E19" s="199"/>
      <c r="F19" s="199"/>
      <c r="G19" s="199"/>
      <c r="H19" s="199"/>
      <c r="I19" s="199"/>
      <c r="J19" s="199"/>
      <c r="K19" s="199"/>
      <c r="L19" s="199"/>
      <c r="M19" s="199"/>
    </row>
    <row r="20" spans="1:13" x14ac:dyDescent="0.35">
      <c r="A20" s="199" t="s">
        <v>189</v>
      </c>
      <c r="B20" s="199"/>
      <c r="C20" s="199"/>
      <c r="D20" s="199"/>
      <c r="E20" s="199"/>
      <c r="F20" s="199"/>
      <c r="G20" s="199"/>
      <c r="H20" s="199"/>
      <c r="I20" s="199"/>
      <c r="J20" s="199"/>
      <c r="K20" s="199"/>
      <c r="L20" s="199"/>
      <c r="M20" s="199"/>
    </row>
    <row r="21" spans="1:13" x14ac:dyDescent="0.35">
      <c r="A21" s="199" t="s">
        <v>174</v>
      </c>
      <c r="B21" s="207">
        <v>45507</v>
      </c>
      <c r="C21" s="207">
        <v>46231</v>
      </c>
      <c r="D21" s="208">
        <f>C21-B21</f>
        <v>724</v>
      </c>
      <c r="E21" s="209">
        <v>215280000</v>
      </c>
      <c r="F21" s="210">
        <f>E21/365*D21</f>
        <v>427021150.68493152</v>
      </c>
      <c r="G21" s="199"/>
      <c r="H21" s="199"/>
      <c r="I21" s="199"/>
      <c r="J21" s="199"/>
      <c r="K21" s="199"/>
      <c r="L21" s="199"/>
      <c r="M21" s="199"/>
    </row>
    <row r="22" spans="1:13" x14ac:dyDescent="0.35">
      <c r="A22" s="199" t="s">
        <v>174</v>
      </c>
      <c r="B22" s="207">
        <v>46232</v>
      </c>
      <c r="C22" s="207">
        <v>47332</v>
      </c>
      <c r="D22" s="208">
        <f>C22-B22</f>
        <v>1100</v>
      </c>
      <c r="E22" s="209">
        <v>193752000</v>
      </c>
      <c r="F22" s="210">
        <f>E22/365*D22</f>
        <v>583910136.9863013</v>
      </c>
      <c r="G22" s="199"/>
      <c r="H22" s="199"/>
      <c r="I22" s="199"/>
      <c r="J22" s="199"/>
      <c r="K22" s="199"/>
      <c r="L22" s="199"/>
      <c r="M22" s="199"/>
    </row>
    <row r="23" spans="1:13" x14ac:dyDescent="0.35">
      <c r="A23" s="199" t="s">
        <v>175</v>
      </c>
      <c r="B23" s="207">
        <v>46204</v>
      </c>
      <c r="C23" s="207">
        <v>47332</v>
      </c>
      <c r="D23" s="208">
        <f>C23-B23</f>
        <v>1128</v>
      </c>
      <c r="E23" s="209">
        <v>236000000</v>
      </c>
      <c r="F23" s="210">
        <f>E23/365*D23</f>
        <v>729336986.30136991</v>
      </c>
      <c r="G23" s="199"/>
      <c r="H23" s="199"/>
      <c r="I23" s="199"/>
      <c r="J23" s="199"/>
      <c r="K23" s="199"/>
      <c r="L23" s="199"/>
      <c r="M23" s="199"/>
    </row>
    <row r="24" spans="1:13" x14ac:dyDescent="0.35">
      <c r="A24" s="199" t="s">
        <v>178</v>
      </c>
      <c r="B24" s="213">
        <v>45507</v>
      </c>
      <c r="C24" s="213">
        <v>47332</v>
      </c>
      <c r="D24" s="208">
        <f t="shared" ref="D24:D28" si="3">C24-B24</f>
        <v>1825</v>
      </c>
      <c r="E24" s="209">
        <v>150000000</v>
      </c>
      <c r="F24" s="210">
        <f>-E24/365*D24</f>
        <v>-750000000</v>
      </c>
      <c r="G24" s="199"/>
      <c r="H24" s="199"/>
      <c r="I24" s="199"/>
      <c r="J24" s="199"/>
      <c r="K24" s="199"/>
      <c r="L24" s="199"/>
      <c r="M24" s="199"/>
    </row>
    <row r="25" spans="1:13" x14ac:dyDescent="0.35">
      <c r="A25" s="199" t="s">
        <v>182</v>
      </c>
      <c r="B25" s="207">
        <v>45507</v>
      </c>
      <c r="C25" s="207">
        <v>46231</v>
      </c>
      <c r="D25" s="208">
        <f t="shared" si="3"/>
        <v>724</v>
      </c>
      <c r="E25" s="209">
        <v>7000000</v>
      </c>
      <c r="F25" s="210">
        <f>-E25/365*D25</f>
        <v>-13884931.506849315</v>
      </c>
      <c r="G25" s="199"/>
      <c r="H25" s="199"/>
      <c r="I25" s="199"/>
      <c r="J25" s="199"/>
      <c r="K25" s="199"/>
      <c r="L25" s="199"/>
      <c r="M25" s="199"/>
    </row>
    <row r="26" spans="1:13" x14ac:dyDescent="0.35">
      <c r="A26" s="199" t="s">
        <v>183</v>
      </c>
      <c r="B26" s="207">
        <v>46232</v>
      </c>
      <c r="C26" s="207">
        <v>47332</v>
      </c>
      <c r="D26" s="208">
        <f t="shared" si="3"/>
        <v>1100</v>
      </c>
      <c r="E26" s="209">
        <v>14000000</v>
      </c>
      <c r="F26" s="210">
        <f>-E26/365*D26</f>
        <v>-42191780.821917802</v>
      </c>
      <c r="G26" s="199"/>
      <c r="H26" s="199"/>
      <c r="I26" s="199"/>
      <c r="J26" s="199"/>
      <c r="K26" s="199"/>
      <c r="L26" s="199"/>
      <c r="M26" s="199"/>
    </row>
    <row r="27" spans="1:13" x14ac:dyDescent="0.35">
      <c r="A27" s="199" t="s">
        <v>184</v>
      </c>
      <c r="B27" s="207">
        <v>45507</v>
      </c>
      <c r="C27" s="207">
        <v>46231</v>
      </c>
      <c r="D27" s="208">
        <f t="shared" si="3"/>
        <v>724</v>
      </c>
      <c r="E27" s="209">
        <v>42000000</v>
      </c>
      <c r="F27" s="210">
        <f t="shared" ref="F27:F28" si="4">-E27/365*D27</f>
        <v>-83309589.041095883</v>
      </c>
      <c r="G27" s="199"/>
      <c r="H27" s="199"/>
      <c r="I27" s="199"/>
      <c r="J27" s="199"/>
      <c r="K27" s="199"/>
      <c r="L27" s="199"/>
      <c r="M27" s="199"/>
    </row>
    <row r="28" spans="1:13" x14ac:dyDescent="0.35">
      <c r="A28" s="199" t="s">
        <v>185</v>
      </c>
      <c r="B28" s="207">
        <v>46232</v>
      </c>
      <c r="C28" s="207">
        <v>47332</v>
      </c>
      <c r="D28" s="208">
        <f t="shared" si="3"/>
        <v>1100</v>
      </c>
      <c r="E28" s="209">
        <v>84000000</v>
      </c>
      <c r="F28" s="210">
        <f t="shared" si="4"/>
        <v>-253150684.93150684</v>
      </c>
      <c r="G28" s="199"/>
      <c r="H28" s="199"/>
      <c r="I28" s="199"/>
      <c r="J28" s="199"/>
      <c r="K28" s="199"/>
      <c r="L28" s="199"/>
      <c r="M28" s="199"/>
    </row>
    <row r="29" spans="1:13" x14ac:dyDescent="0.35">
      <c r="A29" s="199" t="s">
        <v>179</v>
      </c>
      <c r="B29" s="199"/>
      <c r="C29" s="199"/>
      <c r="D29" s="199"/>
      <c r="E29" s="211">
        <v>100000000</v>
      </c>
      <c r="F29" s="212"/>
      <c r="G29" s="199"/>
      <c r="H29" s="199"/>
      <c r="I29" s="199"/>
      <c r="J29" s="199"/>
      <c r="K29" s="199"/>
      <c r="L29" s="199"/>
      <c r="M29" s="199"/>
    </row>
    <row r="30" spans="1:13" x14ac:dyDescent="0.35">
      <c r="A30" s="199" t="s">
        <v>180</v>
      </c>
      <c r="B30" s="199"/>
      <c r="C30" s="199"/>
      <c r="D30" s="199"/>
      <c r="E30" s="199"/>
      <c r="F30" s="210">
        <f>SUM(F21:F29)</f>
        <v>597731287.67123306</v>
      </c>
      <c r="G30" s="199"/>
      <c r="H30" s="199"/>
      <c r="I30" s="199"/>
      <c r="J30" s="199"/>
      <c r="K30" s="199"/>
      <c r="L30" s="199"/>
      <c r="M30" s="199"/>
    </row>
  </sheetData>
  <mergeCells count="1">
    <mergeCell ref="A2:F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2</vt:i4>
      </vt:variant>
    </vt:vector>
  </HeadingPairs>
  <TitlesOfParts>
    <vt:vector size="7" baseType="lpstr">
      <vt:lpstr>Summary</vt:lpstr>
      <vt:lpstr>IRR</vt:lpstr>
      <vt:lpstr>Hotel Royal Kuningan</vt:lpstr>
      <vt:lpstr>PARAMETER</vt:lpstr>
      <vt:lpstr>Analisa</vt:lpstr>
      <vt:lpstr>IRR!Print_Area</vt:lpstr>
      <vt:lpstr>Summary!Print_Area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Alfredo Setiadi</dc:creator>
  <cp:lastModifiedBy>Citra Kartika</cp:lastModifiedBy>
  <cp:lastPrinted>2023-07-06T04:20:42Z</cp:lastPrinted>
  <dcterms:created xsi:type="dcterms:W3CDTF">2020-06-08T08:40:20Z</dcterms:created>
  <dcterms:modified xsi:type="dcterms:W3CDTF">2024-09-09T08:36:56Z</dcterms:modified>
</cp:coreProperties>
</file>