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Apartmen Season CIty\"/>
    </mc:Choice>
  </mc:AlternateContent>
  <xr:revisionPtr revIDLastSave="0" documentId="8_{C009446D-24C9-4F5C-A390-E7A608BBE204}" xr6:coauthVersionLast="36" xr6:coauthVersionMax="36" xr10:uidLastSave="{00000000-0000-0000-0000-000000000000}"/>
  <bookViews>
    <workbookView xWindow="0" yWindow="0" windowWidth="19200" windowHeight="6230" tabRatio="714" xr2:uid="{00000000-000D-0000-FFFF-FFFF00000000}"/>
  </bookViews>
  <sheets>
    <sheet name="Summary" sheetId="6" r:id="rId1"/>
    <sheet name="IRR" sheetId="1" r:id="rId2"/>
    <sheet name="PARAMETER" sheetId="2" r:id="rId3"/>
    <sheet name="Book Value" sheetId="7" r:id="rId4"/>
    <sheet name="summary BR" sheetId="12" r:id="rId5"/>
  </sheets>
  <externalReferences>
    <externalReference r:id="rId6"/>
    <externalReference r:id="rId7"/>
    <externalReference r:id="rId8"/>
  </externalReferences>
  <definedNames>
    <definedName name="jk">#REF!</definedName>
    <definedName name="_xlnm.Print_Area" localSheetId="1">IRR!$B$1:$Q$46</definedName>
    <definedName name="_xlnm.Print_Area" localSheetId="0">Summary!$B$1:$N$34</definedName>
    <definedName name="_xlnm.Print_Area" localSheetId="4">'summary BR'!$A$2:$F$19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" i="12" l="1"/>
  <c r="E15" i="12"/>
  <c r="E14" i="12"/>
  <c r="E12" i="12"/>
  <c r="H15" i="1" l="1"/>
  <c r="I15" i="1" s="1"/>
  <c r="J15" i="1" s="1"/>
  <c r="K15" i="1" s="1"/>
  <c r="K30" i="2" l="1"/>
  <c r="I28" i="2"/>
  <c r="I27" i="2"/>
  <c r="I25" i="2"/>
  <c r="G17" i="1" l="1"/>
  <c r="M7" i="6" l="1"/>
  <c r="M15" i="2" l="1"/>
  <c r="F9" i="2"/>
  <c r="G12" i="2"/>
  <c r="H11" i="2" s="1"/>
  <c r="G13" i="2"/>
  <c r="F10" i="2"/>
  <c r="D1" i="2"/>
  <c r="E1" i="2" s="1"/>
  <c r="F1" i="2" s="1"/>
  <c r="G1" i="2" s="1"/>
  <c r="H1" i="2" s="1"/>
  <c r="I1" i="2" s="1"/>
  <c r="J1" i="2" s="1"/>
  <c r="K1" i="2" s="1"/>
  <c r="L1" i="2" s="1"/>
  <c r="M1" i="2" s="1"/>
  <c r="C4" i="2"/>
  <c r="C15" i="2" s="1"/>
  <c r="C3" i="2"/>
  <c r="G43" i="1"/>
  <c r="H43" i="1" s="1"/>
  <c r="I43" i="1" s="1"/>
  <c r="J43" i="1" s="1"/>
  <c r="K43" i="1" s="1"/>
  <c r="I11" i="2" l="1"/>
  <c r="J11" i="2" s="1"/>
  <c r="H13" i="2"/>
  <c r="I13" i="2" l="1"/>
  <c r="K11" i="2"/>
  <c r="J13" i="2"/>
  <c r="L11" i="2" l="1"/>
  <c r="L13" i="2" s="1"/>
  <c r="L15" i="2" s="1"/>
  <c r="K13" i="2"/>
  <c r="G8" i="2" l="1"/>
  <c r="D7" i="2"/>
  <c r="D6" i="2"/>
  <c r="E5" i="2" s="1"/>
  <c r="G10" i="2" l="1"/>
  <c r="H8" i="2"/>
  <c r="I8" i="2" s="1"/>
  <c r="J8" i="2" s="1"/>
  <c r="K8" i="2" s="1"/>
  <c r="E7" i="2"/>
  <c r="F5" i="2"/>
  <c r="I10" i="2"/>
  <c r="H10" i="2"/>
  <c r="Q9" i="1"/>
  <c r="Q8" i="1"/>
  <c r="M11" i="6" s="1"/>
  <c r="C20" i="2"/>
  <c r="C19" i="2" s="1"/>
  <c r="C18" i="2" s="1"/>
  <c r="D20" i="2" s="1"/>
  <c r="G5" i="2" l="1"/>
  <c r="G7" i="2"/>
  <c r="F7" i="2"/>
  <c r="K10" i="2"/>
  <c r="K15" i="2" s="1"/>
  <c r="J10" i="2"/>
  <c r="D19" i="2"/>
  <c r="D18" i="2"/>
  <c r="K33" i="1"/>
  <c r="H44" i="1"/>
  <c r="I44" i="1" s="1"/>
  <c r="J44" i="1" s="1"/>
  <c r="K44" i="1" s="1"/>
  <c r="L44" i="1" s="1"/>
  <c r="M44" i="1" s="1"/>
  <c r="N44" i="1" s="1"/>
  <c r="O44" i="1" s="1"/>
  <c r="P44" i="1" s="1"/>
  <c r="H5" i="2" l="1"/>
  <c r="H33" i="1"/>
  <c r="E20" i="2"/>
  <c r="E18" i="2" s="1"/>
  <c r="E19" i="2"/>
  <c r="I5" i="2" l="1"/>
  <c r="I7" i="2" s="1"/>
  <c r="H7" i="2"/>
  <c r="F20" i="2"/>
  <c r="F18" i="2" s="1"/>
  <c r="G20" i="2" l="1"/>
  <c r="G18" i="2" s="1"/>
  <c r="F19" i="2"/>
  <c r="G19" i="2" l="1"/>
  <c r="H20" i="2"/>
  <c r="H19" i="2"/>
  <c r="H18" i="2" l="1"/>
  <c r="I20" i="2" l="1"/>
  <c r="I19" i="2" s="1"/>
  <c r="I18" i="2" l="1"/>
  <c r="J20" i="2" l="1"/>
  <c r="J19" i="2" s="1"/>
  <c r="J18" i="2" l="1"/>
  <c r="K20" i="2" l="1"/>
  <c r="K19" i="2"/>
  <c r="K18" i="2"/>
  <c r="D2" i="2" l="1"/>
  <c r="Q44" i="1"/>
  <c r="Q16" i="1"/>
  <c r="H41" i="1"/>
  <c r="I41" i="1" s="1"/>
  <c r="J41" i="1" s="1"/>
  <c r="K41" i="1" s="1"/>
  <c r="L41" i="1" s="1"/>
  <c r="M41" i="1" s="1"/>
  <c r="N41" i="1" s="1"/>
  <c r="O41" i="1" s="1"/>
  <c r="P41" i="1" s="1"/>
  <c r="M42" i="1"/>
  <c r="N42" i="1"/>
  <c r="O42" i="1"/>
  <c r="P42" i="1"/>
  <c r="M33" i="1"/>
  <c r="N33" i="1"/>
  <c r="O33" i="1"/>
  <c r="P33" i="1"/>
  <c r="I11" i="1"/>
  <c r="J11" i="1" s="1"/>
  <c r="K11" i="1" s="1"/>
  <c r="L11" i="1" s="1"/>
  <c r="M11" i="1" s="1"/>
  <c r="N11" i="1" s="1"/>
  <c r="O11" i="1" s="1"/>
  <c r="P11" i="1" s="1"/>
  <c r="E2" i="2" l="1"/>
  <c r="F2" i="2" s="1"/>
  <c r="G2" i="2" s="1"/>
  <c r="D4" i="2"/>
  <c r="D15" i="2" s="1"/>
  <c r="I33" i="1"/>
  <c r="Q19" i="1"/>
  <c r="M12" i="6" s="1"/>
  <c r="H2" i="2" l="1"/>
  <c r="H4" i="2" s="1"/>
  <c r="H15" i="2" s="1"/>
  <c r="E4" i="2"/>
  <c r="E15" i="2" s="1"/>
  <c r="L42" i="1"/>
  <c r="L33" i="1"/>
  <c r="I17" i="1"/>
  <c r="I22" i="1" s="1"/>
  <c r="I2" i="2" l="1"/>
  <c r="J2" i="2" s="1"/>
  <c r="F4" i="2"/>
  <c r="F15" i="2" s="1"/>
  <c r="Q20" i="1"/>
  <c r="I23" i="1"/>
  <c r="I24" i="1" s="1"/>
  <c r="Q15" i="1"/>
  <c r="C5" i="7"/>
  <c r="C8" i="7" s="1"/>
  <c r="D5" i="7"/>
  <c r="D8" i="7" s="1"/>
  <c r="D6" i="7"/>
  <c r="D9" i="7" s="1"/>
  <c r="F9" i="7"/>
  <c r="E6" i="7"/>
  <c r="E9" i="7" s="1"/>
  <c r="C6" i="7"/>
  <c r="C9" i="7" s="1"/>
  <c r="F5" i="7"/>
  <c r="F8" i="7" s="1"/>
  <c r="E5" i="7"/>
  <c r="E8" i="7" s="1"/>
  <c r="B5" i="7"/>
  <c r="B8" i="7" s="1"/>
  <c r="Q21" i="1" l="1"/>
  <c r="L23" i="1"/>
  <c r="J17" i="1"/>
  <c r="J22" i="1" l="1"/>
  <c r="J23" i="1" s="1"/>
  <c r="J24" i="1" s="1"/>
  <c r="K17" i="1"/>
  <c r="M23" i="1"/>
  <c r="K22" i="1" l="1"/>
  <c r="K23" i="1" s="1"/>
  <c r="K24" i="1" s="1"/>
  <c r="G22" i="1"/>
  <c r="G23" i="1" s="1"/>
  <c r="G24" i="1" s="1"/>
  <c r="L17" i="1"/>
  <c r="L24" i="1" s="1"/>
  <c r="L25" i="1" s="1"/>
  <c r="H17" i="1"/>
  <c r="H22" i="1" l="1"/>
  <c r="M17" i="1"/>
  <c r="M24" i="1" s="1"/>
  <c r="M25" i="1" s="1"/>
  <c r="O23" i="1"/>
  <c r="J33" i="1"/>
  <c r="N17" i="1" l="1"/>
  <c r="N23" i="1" l="1"/>
  <c r="N24" i="1" s="1"/>
  <c r="N25" i="1" s="1"/>
  <c r="O17" i="1"/>
  <c r="O24" i="1" s="1"/>
  <c r="O25" i="1" s="1"/>
  <c r="P23" i="1"/>
  <c r="P17" i="1" l="1"/>
  <c r="P24" i="1" s="1"/>
  <c r="P25" i="1" s="1"/>
  <c r="Q17" i="1"/>
  <c r="M10" i="6" s="1"/>
  <c r="H23" i="1"/>
  <c r="H24" i="1" s="1"/>
  <c r="Q22" i="1"/>
  <c r="Q23" i="1" l="1"/>
  <c r="Q24" i="1" s="1"/>
  <c r="M13" i="6"/>
  <c r="J25" i="1"/>
  <c r="K25" i="1"/>
  <c r="I25" i="1"/>
  <c r="G45" i="1"/>
  <c r="G26" i="1" s="1"/>
  <c r="F28" i="2" l="1"/>
  <c r="H27" i="2"/>
  <c r="F27" i="2"/>
  <c r="G26" i="2"/>
  <c r="J26" i="2" s="1"/>
  <c r="F25" i="2"/>
  <c r="J25" i="2" s="1"/>
  <c r="F24" i="2"/>
  <c r="D24" i="2"/>
  <c r="J28" i="2" l="1"/>
  <c r="J24" i="2"/>
  <c r="J27" i="2"/>
  <c r="J29" i="2" l="1"/>
  <c r="K29" i="2" s="1"/>
  <c r="K31" i="2" s="1"/>
  <c r="F33" i="1"/>
  <c r="Q33" i="1" s="1"/>
  <c r="M9" i="6" l="1"/>
  <c r="G4" i="2" l="1"/>
  <c r="G15" i="2" s="1"/>
  <c r="I4" i="2" l="1"/>
  <c r="I15" i="2" s="1"/>
  <c r="J4" i="2" l="1"/>
  <c r="J15" i="2" s="1"/>
  <c r="P28" i="1" l="1"/>
  <c r="Q28" i="1" l="1"/>
  <c r="H45" i="1" l="1"/>
  <c r="H26" i="1" s="1"/>
  <c r="I45" i="1"/>
  <c r="I26" i="1" s="1"/>
  <c r="J45" i="1" l="1"/>
  <c r="J26" i="1" s="1"/>
  <c r="F34" i="1" l="1"/>
  <c r="L45" i="1" l="1"/>
  <c r="L27" i="1" s="1"/>
  <c r="L29" i="1" s="1"/>
  <c r="L30" i="1" s="1"/>
  <c r="L31" i="1" s="1"/>
  <c r="K45" i="1"/>
  <c r="K26" i="1" s="1"/>
  <c r="H27" i="1"/>
  <c r="H29" i="1" s="1"/>
  <c r="I42" i="1"/>
  <c r="J42" i="1"/>
  <c r="K42" i="1"/>
  <c r="M45" i="1" l="1"/>
  <c r="M27" i="1" s="1"/>
  <c r="M29" i="1" s="1"/>
  <c r="Q26" i="1"/>
  <c r="Q27" i="1" s="1"/>
  <c r="L34" i="1"/>
  <c r="H25" i="1"/>
  <c r="F35" i="1"/>
  <c r="M30" i="1" l="1"/>
  <c r="M31" i="1" s="1"/>
  <c r="M34" i="1" s="1"/>
  <c r="N45" i="1"/>
  <c r="N27" i="1" s="1"/>
  <c r="N29" i="1" s="1"/>
  <c r="I27" i="1"/>
  <c r="O45" i="1" l="1"/>
  <c r="O27" i="1" s="1"/>
  <c r="O29" i="1" s="1"/>
  <c r="O30" i="1" s="1"/>
  <c r="O31" i="1" s="1"/>
  <c r="O34" i="1" s="1"/>
  <c r="N30" i="1"/>
  <c r="N31" i="1" s="1"/>
  <c r="N34" i="1" s="1"/>
  <c r="H30" i="1"/>
  <c r="H31" i="1" s="1"/>
  <c r="H34" i="1" s="1"/>
  <c r="Q25" i="1"/>
  <c r="F39" i="1" s="1"/>
  <c r="I29" i="1"/>
  <c r="G27" i="1"/>
  <c r="G29" i="1" s="1"/>
  <c r="J27" i="1"/>
  <c r="H42" i="1"/>
  <c r="G42" i="1"/>
  <c r="G30" i="1" l="1"/>
  <c r="G31" i="1" s="1"/>
  <c r="G34" i="1" s="1"/>
  <c r="P45" i="1"/>
  <c r="P27" i="1" s="1"/>
  <c r="P29" i="1" s="1"/>
  <c r="Q43" i="1"/>
  <c r="Q45" i="1" s="1"/>
  <c r="I30" i="1"/>
  <c r="I31" i="1" s="1"/>
  <c r="I34" i="1" s="1"/>
  <c r="M17" i="6"/>
  <c r="J29" i="1"/>
  <c r="F38" i="1" l="1"/>
  <c r="G35" i="1"/>
  <c r="G36" i="1" s="1"/>
  <c r="P30" i="1"/>
  <c r="P31" i="1" s="1"/>
  <c r="J30" i="1"/>
  <c r="P34" i="1" l="1"/>
  <c r="J31" i="1"/>
  <c r="J34" i="1" s="1"/>
  <c r="H35" i="1"/>
  <c r="I35" i="1" s="1"/>
  <c r="J35" i="1" s="1"/>
  <c r="K27" i="1"/>
  <c r="H36" i="1" l="1"/>
  <c r="K29" i="1"/>
  <c r="J36" i="1" l="1"/>
  <c r="I36" i="1"/>
  <c r="Q29" i="1"/>
  <c r="K30" i="1"/>
  <c r="Q30" i="1" s="1"/>
  <c r="Q31" i="1" l="1"/>
  <c r="K31" i="1"/>
  <c r="K34" i="1" s="1"/>
  <c r="F37" i="1" s="1"/>
  <c r="M15" i="6" l="1"/>
  <c r="K35" i="1"/>
  <c r="Q34" i="1"/>
  <c r="M16" i="6"/>
  <c r="K36" i="1" l="1"/>
  <c r="L36" i="1"/>
  <c r="M36" i="1" l="1"/>
  <c r="N36" i="1"/>
  <c r="P36" i="1" l="1"/>
  <c r="O36" i="1" l="1"/>
  <c r="F40" i="1" s="1"/>
  <c r="M18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<sst xmlns="http://schemas.openxmlformats.org/spreadsheetml/2006/main" count="234" uniqueCount="187">
  <si>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</si>
  <si>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</si>
  <si>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</si>
  <si>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</si>
  <si>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</si>
  <si>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</si>
  <si>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</si>
  <si>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</si>
  <si>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</si>
  <si>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</si>
  <si>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</si>
  <si>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</si>
  <si>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</si>
  <si>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</si>
  <si>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</si>
  <si>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</si>
  <si>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</si>
  <si>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</si>
  <si>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</si>
  <si>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</si>
  <si>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</si>
  <si>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</si>
  <si>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</si>
  <si>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</si>
  <si>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</si>
  <si>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</si>
  <si>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</si>
  <si>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</si>
  <si>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</si>
  <si>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</si>
  <si>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</si>
  <si>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</si>
  <si>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</si>
  <si>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</si>
  <si>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</si>
  <si>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</si>
  <si>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</si>
  <si>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</si>
  <si>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</si>
  <si>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</si>
  <si>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</si>
  <si>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</si>
  <si>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</si>
  <si>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</si>
  <si>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</si>
  <si>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</si>
  <si>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</si>
  <si>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</si>
  <si>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</si>
  <si>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</si>
  <si>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</si>
  <si>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</si>
  <si>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</si>
  <si>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</si>
  <si>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</si>
  <si>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</si>
  <si>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</si>
  <si>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</si>
  <si>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</si>
  <si>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</si>
  <si>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</si>
  <si>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</si>
  <si>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</si>
  <si>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</si>
  <si>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</si>
  <si>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</si>
  <si>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</si>
  <si>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</si>
  <si>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</si>
  <si>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</si>
  <si>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</si>
  <si>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</si>
  <si>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</si>
  <si>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</si>
  <si>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</si>
  <si>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</si>
  <si>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</si>
  <si>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</si>
  <si>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</si>
  <si>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</si>
  <si>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</si>
  <si>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Target Achieved by Commercial: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</si>
  <si>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</si>
  <si>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</si>
  <si>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</si>
  <si>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</si>
  <si>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</si>
  <si>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</si>
  <si>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</si>
  <si>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</si>
  <si>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</si>
  <si>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</si>
  <si>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</si>
  <si>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</si>
  <si>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</si>
  <si>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</si>
  <si>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</si>
  <si>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</si>
  <si>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</si>
  <si>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</si>
  <si>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</si>
  <si>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</si>
  <si>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</si>
  <si>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</si>
  <si>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</si>
  <si>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</si>
  <si>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</si>
  <si>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</si>
  <si>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</si>
  <si>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</si>
  <si>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</si>
  <si>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</si>
  <si>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</si>
  <si>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</si>
  <si>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</si>
  <si>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</si>
  <si>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</si>
  <si>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</si>
  <si>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</si>
  <si>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</si>
  <si>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</si>
  <si>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</si>
  <si>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</si>
  <si>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</si>
  <si>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</si>
  <si>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</si>
  <si>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>New</t>
  </si>
  <si>
    <t>Lease to BM</t>
  </si>
  <si>
    <t>Erosion</t>
  </si>
  <si>
    <t>XL</t>
  </si>
  <si>
    <t>Jakarta</t>
  </si>
  <si>
    <t>New Site</t>
  </si>
  <si>
    <t>Citra Kartika</t>
  </si>
  <si>
    <t>Y6</t>
  </si>
  <si>
    <t>Y7</t>
  </si>
  <si>
    <t>Y8</t>
  </si>
  <si>
    <t>Y9</t>
  </si>
  <si>
    <t>Y10</t>
  </si>
  <si>
    <t>Total CoGS Rent</t>
  </si>
  <si>
    <t>Total CoGS Others</t>
  </si>
  <si>
    <t>Apt. Seasons City</t>
  </si>
  <si>
    <t>Apartement</t>
  </si>
  <si>
    <t>2013</t>
  </si>
  <si>
    <t>2014</t>
  </si>
  <si>
    <t>2016</t>
  </si>
  <si>
    <t>2017</t>
  </si>
  <si>
    <t>0004/IRR/IBC/I/2024</t>
  </si>
  <si>
    <t>SUMMARY REVIEW</t>
  </si>
  <si>
    <t xml:space="preserve">No. </t>
  </si>
  <si>
    <t>Keterangan</t>
  </si>
  <si>
    <t>Existing</t>
  </si>
  <si>
    <t>Renewal</t>
  </si>
  <si>
    <t>Scope Of Lease</t>
  </si>
  <si>
    <t>Periode Sewa</t>
  </si>
  <si>
    <t>Capex DAS</t>
  </si>
  <si>
    <t>APT. SEASONS CITY</t>
  </si>
  <si>
    <t>BV 30Sep24</t>
  </si>
  <si>
    <t xml:space="preserve">Nama Site                   </t>
  </si>
  <si>
    <t xml:space="preserve">: Apartement Season City </t>
  </si>
  <si>
    <t xml:space="preserve">Nama Pemilik           </t>
  </si>
  <si>
    <t xml:space="preserve">:  PPPSRS SONCY </t>
  </si>
  <si>
    <t xml:space="preserve">Alamat Pemilik       </t>
  </si>
  <si>
    <t xml:space="preserve">:  Jl. Prof Dr. Latumenten No. 33 </t>
  </si>
  <si>
    <t>Object Sewa</t>
  </si>
  <si>
    <t>:    380 + Pole Antenna + RBS m2</t>
  </si>
  <si>
    <t>01 Okt 22 s/d 30 Sept 24</t>
  </si>
  <si>
    <t xml:space="preserve">Harga Sewa / masa sewa </t>
  </si>
  <si>
    <t>Harga sewa / tahun</t>
  </si>
  <si>
    <t>Kenaikan/Penurunan Harga</t>
  </si>
  <si>
    <t>Noted:</t>
  </si>
  <si>
    <t xml:space="preserve">pembayaran 50% setelah PKS Addendum di sign </t>
  </si>
  <si>
    <t>pembayaran ke 2, 6 bulan stelah pmbayarn pertama</t>
  </si>
  <si>
    <t>Opex:</t>
  </si>
  <si>
    <t xml:space="preserve">Renewal untuk periode 1 tahun </t>
  </si>
  <si>
    <t>Revenue:</t>
  </si>
  <si>
    <t>Total Capex BV30Sep24</t>
  </si>
  <si>
    <t>0030/IRR/IBC/IX/2024</t>
  </si>
  <si>
    <t>APARTEMEN SEASONS CITY</t>
  </si>
  <si>
    <t>untuk renewal XL di 2025 harga tetap</t>
  </si>
  <si>
    <t>Obyek Sewa</t>
  </si>
  <si>
    <t>380 Omni, BTS, Pole</t>
  </si>
  <si>
    <t>1Okt 24 s/d 30 Sep 25</t>
  </si>
  <si>
    <t>Operator Join</t>
  </si>
  <si>
    <t xml:space="preserve"> - XL (27 Aug 23 - 26 Aug 24) </t>
  </si>
  <si>
    <t> XL  : 27 Aug 24 - 26 Aug 25</t>
  </si>
  <si>
    <t>harga sama dengan periode sebelumnya</t>
  </si>
  <si>
    <t>Termin pembayaran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</si>
</sst>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 * #,##0_ ;_ * \-#,##0_ ;_ * &quot;-&quot;_ ;_ @_ "/>
    <numFmt numFmtId="170" formatCode="_(&quot;$&quot;* #,##0.00_);_(&quot;$&quot;* \(#,##0.00\);_(&quot;$&quot;* &quot;-&quot;??_);_(@_)"/>
    <numFmt numFmtId="171" formatCode="_([$Rp-421]* #,##0_);_([$Rp-421]* \(#,##0\);_([$Rp-421]* &quot;-&quot;??_);_(@_)"/>
    <numFmt numFmtId="172" formatCode="_(* #,##0.0_);_(* \(#,##0.0\);_(* &quot;-&quot;??_);_(@_)"/>
  </numFmts>
  <fonts count="4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2"/>
      <color rgb="FF00B0F0"/>
      <name val="Calibri"/>
      <family val="2"/>
      <scheme val="minor"/>
    </font>
    <font>
      <sz val="12"/>
      <color rgb="FF00B0F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6"/>
      <color rgb="FF000000"/>
      <name val="Calibri"/>
      <family val="2"/>
    </font>
    <font>
      <sz val="10"/>
      <color theme="1"/>
      <name val="Times New Roman"/>
      <family val="1"/>
    </font>
    <font>
      <b/>
      <sz val="12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4"/>
      <color rgb="FF000000"/>
      <name val="Calibri"/>
      <family val="2"/>
    </font>
    <font>
      <sz val="11"/>
      <color rgb="FF000000"/>
      <name val="Calibri"/>
      <family val="2"/>
    </font>
    <font>
      <sz val="12"/>
      <color rgb="FF1F3864"/>
      <name val="Calibri"/>
      <family val="2"/>
      <scheme val="minor"/>
    </font>
    <font>
      <b/>
      <sz val="11"/>
      <color rgb="FF000000"/>
      <name val="Calibri"/>
      <family val="2"/>
    </font>
    <font>
      <b/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166" fontId="12" fillId="0" borderId="0" applyFont="0" applyFill="0" applyBorder="0" applyAlignment="0" applyProtection="0"/>
    <xf numFmtId="41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1" fillId="0" borderId="0"/>
    <xf numFmtId="0" fontId="26" fillId="0" borderId="0"/>
    <xf numFmtId="166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65" fontId="13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3" fillId="0" borderId="0"/>
    <xf numFmtId="166" fontId="9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1" fillId="0" borderId="0"/>
    <xf numFmtId="0" fontId="31" fillId="0" borderId="0"/>
    <xf numFmtId="166" fontId="31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32" fillId="0" borderId="0">
      <alignment vertical="center"/>
    </xf>
    <xf numFmtId="169" fontId="31" fillId="0" borderId="0" applyFont="0" applyFill="0" applyBorder="0" applyAlignment="0" applyProtection="0">
      <alignment vertical="center"/>
    </xf>
    <xf numFmtId="170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31" fillId="0" borderId="0"/>
    <xf numFmtId="171" fontId="31" fillId="0" borderId="0"/>
    <xf numFmtId="170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4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26" fillId="0" borderId="0"/>
    <xf numFmtId="0" fontId="26" fillId="0" borderId="0"/>
    <xf numFmtId="4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/>
  </cellStyleXfs>
  <cellXfs count="253">
    <xf numFmtId="0" fontId="0" fillId="0" borderId="0" xfId="0"/>
    <xf numFmtId="0" fontId="14" fillId="0" borderId="0" xfId="0" applyFont="1"/>
    <xf numFmtId="0" fontId="0" fillId="0" borderId="0" xfId="0" applyAlignment="1">
      <alignment vertical="center"/>
    </xf>
    <xf numFmtId="0" fontId="15" fillId="0" borderId="0" xfId="0" applyFont="1"/>
    <xf numFmtId="0" fontId="0" fillId="3" borderId="0" xfId="0" applyFill="1"/>
    <xf numFmtId="9" fontId="16" fillId="0" borderId="0" xfId="2" applyNumberFormat="1" applyFont="1"/>
    <xf numFmtId="10" fontId="16" fillId="0" borderId="0" xfId="2" applyNumberFormat="1" applyFont="1"/>
    <xf numFmtId="0" fontId="0" fillId="0" borderId="1" xfId="0" applyBorder="1"/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6" fillId="0" borderId="0" xfId="0" applyNumberFormat="1" applyFont="1" applyBorder="1"/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66" fontId="20" fillId="0" borderId="0" xfId="1" applyFont="1"/>
    <xf numFmtId="41" fontId="0" fillId="0" borderId="2" xfId="2" applyFont="1" applyBorder="1" applyAlignment="1">
      <alignment vertical="center"/>
    </xf>
    <xf numFmtId="41" fontId="14" fillId="0" borderId="0" xfId="0" applyNumberFormat="1" applyFont="1" applyAlignment="1">
      <alignment vertical="center"/>
    </xf>
    <xf numFmtId="0" fontId="21" fillId="0" borderId="0" xfId="0" applyFont="1"/>
    <xf numFmtId="0" fontId="22" fillId="0" borderId="0" xfId="0" applyFont="1"/>
    <xf numFmtId="9" fontId="21" fillId="0" borderId="0" xfId="3" applyFont="1" applyAlignment="1">
      <alignment vertical="center"/>
    </xf>
    <xf numFmtId="0" fontId="0" fillId="0" borderId="0" xfId="0" applyFill="1" applyBorder="1"/>
    <xf numFmtId="38" fontId="17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9" fillId="0" borderId="0" xfId="1" applyNumberFormat="1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4" fillId="0" borderId="4" xfId="0" applyFont="1" applyBorder="1"/>
    <xf numFmtId="0" fontId="0" fillId="0" borderId="4" xfId="0" applyBorder="1"/>
    <xf numFmtId="167" fontId="14" fillId="0" borderId="4" xfId="0" applyNumberFormat="1" applyFont="1" applyBorder="1" applyAlignment="1">
      <alignment vertical="center"/>
    </xf>
    <xf numFmtId="0" fontId="0" fillId="0" borderId="0" xfId="0" applyBorder="1"/>
    <xf numFmtId="41" fontId="18" fillId="0" borderId="0" xfId="0" applyNumberFormat="1" applyFont="1" applyBorder="1"/>
    <xf numFmtId="167" fontId="14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0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4" fillId="3" borderId="0" xfId="0" applyNumberFormat="1" applyFont="1" applyFill="1" applyBorder="1" applyAlignment="1">
      <alignment vertical="center"/>
    </xf>
    <xf numFmtId="0" fontId="14" fillId="3" borderId="0" xfId="0" applyFont="1" applyFill="1" applyBorder="1"/>
    <xf numFmtId="9" fontId="21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4" fillId="0" borderId="0" xfId="0" applyFont="1" applyBorder="1" applyAlignment="1">
      <alignment horizontal="center"/>
    </xf>
    <xf numFmtId="0" fontId="24" fillId="0" borderId="6" xfId="0" applyFont="1" applyBorder="1"/>
    <xf numFmtId="0" fontId="24" fillId="0" borderId="3" xfId="0" applyFont="1" applyBorder="1"/>
    <xf numFmtId="0" fontId="24" fillId="0" borderId="8" xfId="0" applyFont="1" applyBorder="1"/>
    <xf numFmtId="0" fontId="24" fillId="0" borderId="0" xfId="0" applyFont="1" applyBorder="1"/>
    <xf numFmtId="41" fontId="24" fillId="0" borderId="9" xfId="0" applyNumberFormat="1" applyFont="1" applyBorder="1"/>
    <xf numFmtId="9" fontId="24" fillId="0" borderId="9" xfId="3" applyFont="1" applyBorder="1"/>
    <xf numFmtId="0" fontId="24" fillId="0" borderId="10" xfId="0" applyFont="1" applyBorder="1"/>
    <xf numFmtId="0" fontId="24" fillId="0" borderId="2" xfId="0" applyFont="1" applyBorder="1"/>
    <xf numFmtId="0" fontId="14" fillId="0" borderId="12" xfId="0" applyFont="1" applyBorder="1"/>
    <xf numFmtId="41" fontId="14" fillId="0" borderId="12" xfId="0" applyNumberFormat="1" applyFont="1" applyBorder="1" applyAlignment="1">
      <alignment vertical="center"/>
    </xf>
    <xf numFmtId="167" fontId="13" fillId="0" borderId="0" xfId="17" applyNumberFormat="1" applyFont="1"/>
    <xf numFmtId="41" fontId="0" fillId="0" borderId="0" xfId="2" applyFont="1" applyAlignment="1">
      <alignment vertical="center"/>
    </xf>
    <xf numFmtId="41" fontId="13" fillId="0" borderId="0" xfId="2" applyFont="1" applyFill="1"/>
    <xf numFmtId="167" fontId="0" fillId="4" borderId="0" xfId="0" applyNumberFormat="1" applyFill="1" applyAlignment="1">
      <alignment vertical="center"/>
    </xf>
    <xf numFmtId="0" fontId="24" fillId="5" borderId="1" xfId="0" applyFont="1" applyFill="1" applyBorder="1" applyAlignment="1">
      <alignment horizontal="center"/>
    </xf>
    <xf numFmtId="0" fontId="17" fillId="0" borderId="0" xfId="0" applyFont="1"/>
    <xf numFmtId="41" fontId="24" fillId="0" borderId="4" xfId="0" applyNumberFormat="1" applyFont="1" applyBorder="1"/>
    <xf numFmtId="41" fontId="24" fillId="0" borderId="0" xfId="0" applyNumberFormat="1" applyFont="1" applyBorder="1"/>
    <xf numFmtId="41" fontId="24" fillId="0" borderId="0" xfId="0" applyNumberFormat="1" applyFont="1"/>
    <xf numFmtId="0" fontId="24" fillId="0" borderId="0" xfId="0" applyFont="1"/>
    <xf numFmtId="41" fontId="0" fillId="0" borderId="0" xfId="0" applyNumberFormat="1" applyAlignment="1">
      <alignment horizontal="right" vertical="center"/>
    </xf>
    <xf numFmtId="9" fontId="24" fillId="0" borderId="7" xfId="0" applyNumberFormat="1" applyFont="1" applyBorder="1"/>
    <xf numFmtId="41" fontId="0" fillId="0" borderId="0" xfId="2" applyFont="1"/>
    <xf numFmtId="0" fontId="0" fillId="0" borderId="0" xfId="0" applyFont="1"/>
    <xf numFmtId="0" fontId="14" fillId="0" borderId="0" xfId="0" applyFont="1" applyBorder="1"/>
    <xf numFmtId="0" fontId="28" fillId="0" borderId="0" xfId="0" applyFont="1"/>
    <xf numFmtId="0" fontId="0" fillId="0" borderId="0" xfId="0" applyFont="1" applyBorder="1"/>
    <xf numFmtId="0" fontId="27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4" fillId="0" borderId="19" xfId="2" applyNumberFormat="1" applyFont="1" applyBorder="1"/>
    <xf numFmtId="9" fontId="14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4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4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4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7" fillId="0" borderId="0" xfId="0" applyFont="1" applyBorder="1" applyAlignment="1"/>
    <xf numFmtId="14" fontId="27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0" xfId="19" applyNumberFormat="1" applyFont="1" applyBorder="1"/>
    <xf numFmtId="0" fontId="14" fillId="0" borderId="23" xfId="0" applyFont="1" applyBorder="1" applyAlignment="1">
      <alignment horizontal="left"/>
    </xf>
    <xf numFmtId="0" fontId="0" fillId="0" borderId="23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8" borderId="24" xfId="1" applyNumberFormat="1" applyFont="1" applyFill="1" applyBorder="1"/>
    <xf numFmtId="41" fontId="14" fillId="0" borderId="18" xfId="2" applyFont="1" applyBorder="1"/>
    <xf numFmtId="168" fontId="14" fillId="0" borderId="22" xfId="2" applyNumberFormat="1" applyFont="1" applyBorder="1"/>
    <xf numFmtId="41" fontId="17" fillId="0" borderId="0" xfId="2" applyFont="1" applyAlignment="1">
      <alignment vertical="center"/>
    </xf>
    <xf numFmtId="9" fontId="0" fillId="0" borderId="0" xfId="0" applyNumberFormat="1"/>
    <xf numFmtId="0" fontId="33" fillId="0" borderId="0" xfId="0" applyFont="1"/>
    <xf numFmtId="0" fontId="34" fillId="0" borderId="0" xfId="0" applyFont="1"/>
    <xf numFmtId="41" fontId="33" fillId="0" borderId="0" xfId="0" applyNumberFormat="1" applyFont="1"/>
    <xf numFmtId="41" fontId="33" fillId="0" borderId="0" xfId="0" applyNumberFormat="1" applyFont="1" applyBorder="1"/>
    <xf numFmtId="0" fontId="24" fillId="9" borderId="1" xfId="0" applyFont="1" applyFill="1" applyBorder="1" applyAlignment="1">
      <alignment horizontal="center"/>
    </xf>
    <xf numFmtId="0" fontId="17" fillId="9" borderId="0" xfId="0" applyFont="1" applyFill="1"/>
    <xf numFmtId="41" fontId="17" fillId="9" borderId="0" xfId="0" applyNumberFormat="1" applyFont="1" applyFill="1" applyBorder="1" applyAlignment="1">
      <alignment vertical="center"/>
    </xf>
    <xf numFmtId="41" fontId="14" fillId="9" borderId="12" xfId="0" applyNumberFormat="1" applyFont="1" applyFill="1" applyBorder="1" applyAlignment="1">
      <alignment vertical="center"/>
    </xf>
    <xf numFmtId="166" fontId="25" fillId="9" borderId="0" xfId="1" applyFont="1" applyFill="1"/>
    <xf numFmtId="41" fontId="14" fillId="9" borderId="0" xfId="0" applyNumberFormat="1" applyFont="1" applyFill="1" applyAlignment="1">
      <alignment vertical="center"/>
    </xf>
    <xf numFmtId="9" fontId="21" fillId="9" borderId="0" xfId="3" applyFont="1" applyFill="1" applyAlignment="1">
      <alignment vertical="center"/>
    </xf>
    <xf numFmtId="41" fontId="17" fillId="9" borderId="2" xfId="0" applyNumberFormat="1" applyFont="1" applyFill="1" applyBorder="1" applyAlignment="1">
      <alignment vertical="center"/>
    </xf>
    <xf numFmtId="38" fontId="0" fillId="9" borderId="0" xfId="0" applyNumberFormat="1" applyFill="1" applyAlignment="1">
      <alignment vertical="center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41" fontId="0" fillId="0" borderId="0" xfId="0" applyNumberFormat="1" applyFill="1" applyBorder="1"/>
    <xf numFmtId="38" fontId="13" fillId="0" borderId="0" xfId="2" applyNumberFormat="1" applyFont="1" applyFill="1"/>
    <xf numFmtId="41" fontId="0" fillId="0" borderId="24" xfId="2" applyFont="1" applyBorder="1"/>
    <xf numFmtId="41" fontId="0" fillId="0" borderId="24" xfId="36" applyFont="1" applyBorder="1"/>
    <xf numFmtId="41" fontId="0" fillId="0" borderId="24" xfId="0" applyNumberFormat="1" applyBorder="1"/>
    <xf numFmtId="9" fontId="0" fillId="0" borderId="24" xfId="0" applyNumberFormat="1" applyBorder="1"/>
    <xf numFmtId="0" fontId="13" fillId="0" borderId="0" xfId="17"/>
    <xf numFmtId="0" fontId="35" fillId="0" borderId="0" xfId="0" applyFont="1"/>
    <xf numFmtId="166" fontId="19" fillId="0" borderId="0" xfId="1" applyNumberFormat="1" applyFont="1"/>
    <xf numFmtId="0" fontId="0" fillId="0" borderId="0" xfId="0" applyFont="1" applyBorder="1" applyAlignment="1">
      <alignment horizontal="left" indent="1"/>
    </xf>
    <xf numFmtId="0" fontId="0" fillId="0" borderId="0" xfId="0" quotePrefix="1"/>
    <xf numFmtId="167" fontId="0" fillId="0" borderId="0" xfId="0" applyNumberFormat="1" applyFont="1"/>
    <xf numFmtId="0" fontId="14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41" fontId="0" fillId="0" borderId="0" xfId="2" applyFont="1" applyAlignment="1">
      <alignment horizontal="center" vertical="center"/>
    </xf>
    <xf numFmtId="41" fontId="17" fillId="0" borderId="0" xfId="2" applyFont="1" applyAlignment="1">
      <alignment horizontal="center" vertical="center"/>
    </xf>
    <xf numFmtId="41" fontId="17" fillId="9" borderId="0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0" fillId="3" borderId="0" xfId="0" applyNumberFormat="1" applyFill="1" applyBorder="1" applyAlignment="1">
      <alignment horizontal="center" vertical="center"/>
    </xf>
    <xf numFmtId="172" fontId="24" fillId="0" borderId="11" xfId="1" applyNumberFormat="1" applyFont="1" applyBorder="1"/>
    <xf numFmtId="0" fontId="39" fillId="0" borderId="0" xfId="41" applyFont="1" applyAlignment="1">
      <alignment vertical="center" wrapText="1"/>
    </xf>
    <xf numFmtId="0" fontId="2" fillId="0" borderId="0" xfId="41"/>
    <xf numFmtId="0" fontId="39" fillId="0" borderId="0" xfId="41" applyFont="1"/>
    <xf numFmtId="0" fontId="43" fillId="0" borderId="32" xfId="41" applyFont="1" applyBorder="1" applyAlignment="1">
      <alignment horizontal="center" vertical="center"/>
    </xf>
    <xf numFmtId="0" fontId="43" fillId="0" borderId="22" xfId="41" applyFont="1" applyBorder="1" applyAlignment="1">
      <alignment vertical="center"/>
    </xf>
    <xf numFmtId="0" fontId="43" fillId="0" borderId="18" xfId="41" applyFont="1" applyBorder="1" applyAlignment="1">
      <alignment vertical="center"/>
    </xf>
    <xf numFmtId="0" fontId="44" fillId="0" borderId="36" xfId="41" applyFont="1" applyBorder="1" applyAlignment="1">
      <alignment horizontal="center" vertical="center"/>
    </xf>
    <xf numFmtId="0" fontId="2" fillId="0" borderId="36" xfId="41" applyBorder="1" applyAlignment="1">
      <alignment horizontal="center"/>
    </xf>
    <xf numFmtId="0" fontId="44" fillId="0" borderId="0" xfId="41" applyFont="1" applyAlignment="1">
      <alignment vertical="center"/>
    </xf>
    <xf numFmtId="0" fontId="36" fillId="0" borderId="0" xfId="41" applyFont="1"/>
    <xf numFmtId="0" fontId="40" fillId="0" borderId="0" xfId="41" applyFont="1" applyAlignment="1">
      <alignment vertical="center"/>
    </xf>
    <xf numFmtId="0" fontId="46" fillId="0" borderId="0" xfId="0" applyFont="1" applyBorder="1" applyAlignment="1">
      <alignment horizontal="right"/>
    </xf>
    <xf numFmtId="38" fontId="24" fillId="0" borderId="0" xfId="0" applyNumberFormat="1" applyFont="1" applyAlignment="1">
      <alignment vertical="center"/>
    </xf>
    <xf numFmtId="0" fontId="26" fillId="0" borderId="36" xfId="34" applyFont="1" applyBorder="1"/>
    <xf numFmtId="0" fontId="26" fillId="0" borderId="37" xfId="34" applyFont="1" applyBorder="1"/>
    <xf numFmtId="0" fontId="43" fillId="0" borderId="15" xfId="41" applyFont="1" applyBorder="1" applyAlignment="1">
      <alignment horizontal="left" vertical="center"/>
    </xf>
    <xf numFmtId="0" fontId="45" fillId="0" borderId="0" xfId="41" applyFont="1" applyAlignment="1">
      <alignment vertical="center"/>
    </xf>
    <xf numFmtId="0" fontId="1" fillId="0" borderId="0" xfId="41" applyFont="1"/>
    <xf numFmtId="0" fontId="43" fillId="0" borderId="14" xfId="41" applyFont="1" applyBorder="1" applyAlignment="1">
      <alignment horizontal="left" vertical="center"/>
    </xf>
    <xf numFmtId="0" fontId="43" fillId="0" borderId="36" xfId="41" applyFont="1" applyBorder="1" applyAlignment="1">
      <alignment horizontal="center" vertical="center"/>
    </xf>
    <xf numFmtId="0" fontId="43" fillId="0" borderId="15" xfId="41" applyFont="1" applyBorder="1" applyAlignment="1">
      <alignment vertical="center"/>
    </xf>
    <xf numFmtId="0" fontId="26" fillId="0" borderId="40" xfId="34" applyFont="1" applyBorder="1"/>
    <xf numFmtId="0" fontId="43" fillId="0" borderId="32" xfId="41" applyFont="1" applyBorder="1" applyAlignment="1">
      <alignment vertical="center"/>
    </xf>
    <xf numFmtId="0" fontId="43" fillId="0" borderId="36" xfId="41" applyFont="1" applyBorder="1" applyAlignment="1">
      <alignment vertical="center"/>
    </xf>
    <xf numFmtId="0" fontId="43" fillId="0" borderId="29" xfId="41" applyFont="1" applyBorder="1" applyAlignment="1">
      <alignment horizontal="center" vertical="center"/>
    </xf>
    <xf numFmtId="0" fontId="14" fillId="0" borderId="0" xfId="0" applyFont="1" applyAlignment="1">
      <alignment horizontal="right"/>
    </xf>
    <xf numFmtId="0" fontId="27" fillId="0" borderId="13" xfId="0" applyFont="1" applyBorder="1" applyAlignment="1">
      <alignment horizontal="center"/>
    </xf>
    <xf numFmtId="0" fontId="27" fillId="0" borderId="14" xfId="0" applyFont="1" applyBorder="1" applyAlignment="1">
      <alignment horizontal="center"/>
    </xf>
    <xf numFmtId="0" fontId="27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4" fillId="0" borderId="17" xfId="0" applyFont="1" applyBorder="1" applyAlignment="1">
      <alignment horizontal="left"/>
    </xf>
    <xf numFmtId="0" fontId="0" fillId="0" borderId="0" xfId="0" applyFont="1" applyBorder="1" applyAlignment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14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4" fillId="0" borderId="20" xfId="0" applyFont="1" applyFill="1" applyBorder="1" applyAlignment="1" applyProtection="1">
      <alignment horizontal="left" indent="1"/>
    </xf>
    <xf numFmtId="0" fontId="14" fillId="0" borderId="0" xfId="0" applyFont="1" applyFill="1" applyBorder="1" applyAlignment="1" applyProtection="1">
      <alignment horizontal="left" indent="1"/>
    </xf>
    <xf numFmtId="0" fontId="14" fillId="0" borderId="21" xfId="0" applyFont="1" applyFill="1" applyBorder="1" applyAlignment="1" applyProtection="1">
      <alignment horizontal="left" indent="1"/>
    </xf>
    <xf numFmtId="0" fontId="14" fillId="0" borderId="1" xfId="0" applyFont="1" applyFill="1" applyBorder="1" applyAlignment="1" applyProtection="1">
      <alignment horizontal="left" indent="1"/>
    </xf>
    <xf numFmtId="0" fontId="14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4" fillId="0" borderId="16" xfId="0" applyFont="1" applyFill="1" applyBorder="1" applyAlignment="1" applyProtection="1">
      <alignment horizontal="left" indent="1"/>
    </xf>
    <xf numFmtId="0" fontId="14" fillId="0" borderId="17" xfId="0" applyFont="1" applyFill="1" applyBorder="1" applyAlignment="1" applyProtection="1">
      <alignment horizontal="left" indent="1"/>
    </xf>
    <xf numFmtId="0" fontId="14" fillId="0" borderId="17" xfId="0" applyFont="1" applyBorder="1" applyAlignment="1">
      <alignment horizontal="center"/>
    </xf>
    <xf numFmtId="41" fontId="14" fillId="0" borderId="12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42" fontId="43" fillId="0" borderId="16" xfId="41" applyNumberFormat="1" applyFont="1" applyBorder="1" applyAlignment="1">
      <alignment vertical="center"/>
    </xf>
    <xf numFmtId="42" fontId="43" fillId="0" borderId="19" xfId="41" applyNumberFormat="1" applyFont="1" applyBorder="1" applyAlignment="1">
      <alignment vertical="center"/>
    </xf>
    <xf numFmtId="42" fontId="43" fillId="0" borderId="14" xfId="41" applyNumberFormat="1" applyFont="1" applyBorder="1" applyAlignment="1">
      <alignment horizontal="center" vertical="center"/>
    </xf>
    <xf numFmtId="42" fontId="43" fillId="0" borderId="15" xfId="41" applyNumberFormat="1" applyFont="1" applyBorder="1" applyAlignment="1">
      <alignment horizontal="center" vertical="center"/>
    </xf>
    <xf numFmtId="0" fontId="43" fillId="0" borderId="13" xfId="41" applyFont="1" applyBorder="1" applyAlignment="1">
      <alignment vertical="center" wrapText="1"/>
    </xf>
    <xf numFmtId="0" fontId="43" fillId="0" borderId="15" xfId="41" applyFont="1" applyBorder="1" applyAlignment="1">
      <alignment vertical="center" wrapText="1"/>
    </xf>
    <xf numFmtId="0" fontId="43" fillId="0" borderId="14" xfId="41" applyFont="1" applyBorder="1" applyAlignment="1">
      <alignment vertical="center" wrapText="1"/>
    </xf>
    <xf numFmtId="0" fontId="1" fillId="0" borderId="13" xfId="41" applyFont="1" applyBorder="1" applyAlignment="1">
      <alignment horizontal="center"/>
    </xf>
    <xf numFmtId="0" fontId="2" fillId="0" borderId="14" xfId="41" applyBorder="1" applyAlignment="1">
      <alignment horizontal="center"/>
    </xf>
    <xf numFmtId="0" fontId="2" fillId="0" borderId="15" xfId="41" applyBorder="1" applyAlignment="1">
      <alignment horizontal="center"/>
    </xf>
    <xf numFmtId="0" fontId="43" fillId="0" borderId="13" xfId="41" applyFont="1" applyBorder="1" applyAlignment="1">
      <alignment vertical="center"/>
    </xf>
    <xf numFmtId="0" fontId="43" fillId="0" borderId="15" xfId="41" applyFont="1" applyBorder="1" applyAlignment="1">
      <alignment vertical="center"/>
    </xf>
    <xf numFmtId="0" fontId="43" fillId="0" borderId="14" xfId="41" applyFont="1" applyBorder="1" applyAlignment="1">
      <alignment vertical="center"/>
    </xf>
    <xf numFmtId="42" fontId="43" fillId="0" borderId="13" xfId="42" applyNumberFormat="1" applyFont="1" applyBorder="1" applyAlignment="1">
      <alignment vertical="center"/>
    </xf>
    <xf numFmtId="42" fontId="43" fillId="0" borderId="15" xfId="42" applyNumberFormat="1" applyFont="1" applyBorder="1" applyAlignment="1">
      <alignment vertical="center"/>
    </xf>
    <xf numFmtId="0" fontId="41" fillId="10" borderId="29" xfId="41" applyFont="1" applyFill="1" applyBorder="1" applyAlignment="1">
      <alignment horizontal="center" vertical="center"/>
    </xf>
    <xf numFmtId="0" fontId="41" fillId="10" borderId="23" xfId="41" applyFont="1" applyFill="1" applyBorder="1" applyAlignment="1">
      <alignment horizontal="center" vertical="center"/>
    </xf>
    <xf numFmtId="0" fontId="42" fillId="10" borderId="29" xfId="41" applyFont="1" applyFill="1" applyBorder="1" applyAlignment="1">
      <alignment horizontal="center" vertical="center"/>
    </xf>
    <xf numFmtId="0" fontId="42" fillId="10" borderId="23" xfId="41" applyFont="1" applyFill="1" applyBorder="1" applyAlignment="1">
      <alignment horizontal="center" vertical="center"/>
    </xf>
    <xf numFmtId="0" fontId="42" fillId="10" borderId="16" xfId="41" applyFont="1" applyFill="1" applyBorder="1" applyAlignment="1">
      <alignment horizontal="center" vertical="center"/>
    </xf>
    <xf numFmtId="0" fontId="42" fillId="10" borderId="30" xfId="41" applyFont="1" applyFill="1" applyBorder="1" applyAlignment="1">
      <alignment horizontal="center" vertical="center"/>
    </xf>
    <xf numFmtId="0" fontId="42" fillId="10" borderId="20" xfId="41" applyFont="1" applyFill="1" applyBorder="1" applyAlignment="1">
      <alignment horizontal="center" vertical="center"/>
    </xf>
    <xf numFmtId="0" fontId="42" fillId="10" borderId="39" xfId="41" applyFont="1" applyFill="1" applyBorder="1" applyAlignment="1">
      <alignment horizontal="center" vertical="center"/>
    </xf>
    <xf numFmtId="0" fontId="42" fillId="10" borderId="31" xfId="41" applyFont="1" applyFill="1" applyBorder="1" applyAlignment="1">
      <alignment horizontal="center" vertical="center"/>
    </xf>
    <xf numFmtId="0" fontId="42" fillId="10" borderId="34" xfId="41" applyFont="1" applyFill="1" applyBorder="1" applyAlignment="1">
      <alignment horizontal="center" vertical="center"/>
    </xf>
    <xf numFmtId="0" fontId="42" fillId="10" borderId="33" xfId="41" applyFont="1" applyFill="1" applyBorder="1" applyAlignment="1">
      <alignment horizontal="center" vertical="center"/>
    </xf>
    <xf numFmtId="0" fontId="43" fillId="0" borderId="13" xfId="41" applyFont="1" applyBorder="1" applyAlignment="1">
      <alignment horizontal="left" vertical="center"/>
    </xf>
    <xf numFmtId="0" fontId="43" fillId="0" borderId="15" xfId="41" applyFont="1" applyBorder="1" applyAlignment="1">
      <alignment horizontal="left" vertical="center"/>
    </xf>
    <xf numFmtId="0" fontId="43" fillId="0" borderId="38" xfId="41" applyFont="1" applyBorder="1" applyAlignment="1">
      <alignment horizontal="left" vertical="center"/>
    </xf>
    <xf numFmtId="0" fontId="43" fillId="0" borderId="35" xfId="41" applyFont="1" applyBorder="1" applyAlignment="1">
      <alignment horizontal="left" vertical="center"/>
    </xf>
    <xf numFmtId="0" fontId="40" fillId="0" borderId="0" xfId="41" applyFont="1" applyAlignment="1">
      <alignment vertical="center"/>
    </xf>
    <xf numFmtId="0" fontId="38" fillId="0" borderId="0" xfId="41" applyFont="1" applyAlignment="1">
      <alignment horizontal="center" vertical="center"/>
    </xf>
  </cellXfs>
  <cellStyles count="43">
    <cellStyle name="=C:\WINNT35\SYSTEM32\COMMAND.COM" xfId="30" xr:uid="{00000000-0005-0000-0000-000000000000}"/>
    <cellStyle name="0,0_x000a__x000a_NA_x000a__x000a_" xfId="31" xr:uid="{00000000-0005-0000-0000-000001000000}"/>
    <cellStyle name="Comma" xfId="1" builtinId="3"/>
    <cellStyle name="Comma [0]" xfId="2" builtinId="6"/>
    <cellStyle name="Comma [0] 2" xfId="9" xr:uid="{00000000-0005-0000-0000-000004000000}"/>
    <cellStyle name="Comma [0] 3" xfId="26" xr:uid="{00000000-0005-0000-0000-000005000000}"/>
    <cellStyle name="Comma [0] 3 2 2" xfId="39" xr:uid="{00000000-0005-0000-0000-000006000000}"/>
    <cellStyle name="Comma [0] 3 3" xfId="40" xr:uid="{00000000-0005-0000-0000-000007000000}"/>
    <cellStyle name="Comma [0] 4" xfId="36" xr:uid="{00000000-0005-0000-0000-000008000000}"/>
    <cellStyle name="Comma [0] 5" xfId="42" xr:uid="{6BE87437-4086-40A4-B246-D13F23EA7B29}"/>
    <cellStyle name="Comma 2" xfId="7" xr:uid="{00000000-0005-0000-0000-000009000000}"/>
    <cellStyle name="Comma 2 3" xfId="22" xr:uid="{00000000-0005-0000-0000-00000A000000}"/>
    <cellStyle name="Comma 3" xfId="10" xr:uid="{00000000-0005-0000-0000-00000B000000}"/>
    <cellStyle name="Comma 3 2" xfId="11" xr:uid="{00000000-0005-0000-0000-00000C000000}"/>
    <cellStyle name="Comma 4" xfId="12" xr:uid="{00000000-0005-0000-0000-00000D000000}"/>
    <cellStyle name="Comma 4 3 2 5" xfId="35" xr:uid="{00000000-0005-0000-0000-00000E000000}"/>
    <cellStyle name="Comma 5" xfId="18" xr:uid="{00000000-0005-0000-0000-00000F000000}"/>
    <cellStyle name="Comma 5 2" xfId="19" xr:uid="{00000000-0005-0000-0000-000010000000}"/>
    <cellStyle name="Currency [0] 2" xfId="23" xr:uid="{00000000-0005-0000-0000-000011000000}"/>
    <cellStyle name="Currency [0] 3" xfId="28" xr:uid="{00000000-0005-0000-0000-000012000000}"/>
    <cellStyle name="Currency [0] 4" xfId="33" xr:uid="{00000000-0005-0000-0000-000013000000}"/>
    <cellStyle name="Currency 2" xfId="27" xr:uid="{00000000-0005-0000-0000-000014000000}"/>
    <cellStyle name="Currency 3" xfId="32" xr:uid="{00000000-0005-0000-0000-000015000000}"/>
    <cellStyle name="Normal" xfId="0" builtinId="0"/>
    <cellStyle name="Normal 2" xfId="5" xr:uid="{00000000-0005-0000-0000-000017000000}"/>
    <cellStyle name="Normal 2 2" xfId="6" xr:uid="{00000000-0005-0000-0000-000018000000}"/>
    <cellStyle name="Normal 2 2 2 2 3" xfId="17" xr:uid="{00000000-0005-0000-0000-000019000000}"/>
    <cellStyle name="Normal 2 7" xfId="20" xr:uid="{00000000-0005-0000-0000-00001A000000}"/>
    <cellStyle name="Normal 3" xfId="13" xr:uid="{00000000-0005-0000-0000-00001B000000}"/>
    <cellStyle name="Normal 3 2" xfId="14" xr:uid="{00000000-0005-0000-0000-00001C000000}"/>
    <cellStyle name="Normal 3 3" xfId="21" xr:uid="{00000000-0005-0000-0000-00001D000000}"/>
    <cellStyle name="Normal 4" xfId="24" xr:uid="{00000000-0005-0000-0000-00001E000000}"/>
    <cellStyle name="Normal 4 2" xfId="37" xr:uid="{00000000-0005-0000-0000-00001F000000}"/>
    <cellStyle name="Normal 5" xfId="25" xr:uid="{00000000-0005-0000-0000-000020000000}"/>
    <cellStyle name="Normal 6" xfId="29" xr:uid="{00000000-0005-0000-0000-000021000000}"/>
    <cellStyle name="Normal 7" xfId="34" xr:uid="{00000000-0005-0000-0000-000022000000}"/>
    <cellStyle name="Normal 7 3" xfId="38" xr:uid="{00000000-0005-0000-0000-000023000000}"/>
    <cellStyle name="Normal 8" xfId="41" xr:uid="{86223007-BA41-465B-BCA6-E80440D58399}"/>
    <cellStyle name="Percent" xfId="3" builtinId="5"/>
    <cellStyle name="Percent 2" xfId="8" xr:uid="{00000000-0005-0000-0000-000025000000}"/>
    <cellStyle name="Percent 2 2" xfId="4" xr:uid="{00000000-0005-0000-0000-000026000000}"/>
    <cellStyle name="Percent 3" xfId="15" xr:uid="{00000000-0005-0000-0000-000027000000}"/>
    <cellStyle name="Percent 3 2" xfId="16" xr:uid="{00000000-0005-0000-0000-000028000000}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4AEE6290-FB3A-4EF8-B944-58C1A268B76F}"/>
            </a:ext>
          </a:extLst>
        </xdr:cNvPr>
        <xdr:cNvGrpSpPr/>
      </xdr:nvGrpSpPr>
      <xdr:grpSpPr>
        <a:xfrm>
          <a:off x="615951" y="5176269"/>
          <a:ext cx="8815613" cy="164988"/>
          <a:chOff x="570986" y="5042917"/>
          <a:chExt cx="14774690" cy="343744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E58F4FED-CA2F-44E3-92A3-534F543B1BB1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4BBDD582-17E0-491D-9A83-565C88D3DE1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85F93EDB-9B24-43D2-BA3D-BB09C6F98B21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BD25D943-77F1-454C-B74E-0D5DCC978D8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BA033BF7-A540-400A-993A-984B0A944BB1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BEF26C1D-304E-48E8-92B6-CDA39EA97D41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67F162E1-D08D-43D1-84F5-D19D468A4C68}"/>
            </a:ext>
          </a:extLst>
        </xdr:cNvPr>
        <xdr:cNvGrpSpPr/>
      </xdr:nvGrpSpPr>
      <xdr:grpSpPr>
        <a:xfrm>
          <a:off x="627697" y="6441551"/>
          <a:ext cx="9009698" cy="171973"/>
          <a:chOff x="722947" y="7327377"/>
          <a:chExt cx="10285884" cy="0"/>
        </a:xfrm>
      </xdr:grpSpPr>
      <xdr:cxnSp macro="">
        <xdr:nvCxnSpPr>
          <xdr:cNvPr id="25" name="Straight Connector 24">
            <a:extLst>
              <a:ext uri="{FF2B5EF4-FFF2-40B4-BE49-F238E27FC236}">
                <a16:creationId xmlns:a16="http://schemas.microsoft.com/office/drawing/2014/main" id="{527CC338-41BC-4451-BD27-73DDACC99A0D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6" name="Straight Connector 25">
            <a:extLst>
              <a:ext uri="{FF2B5EF4-FFF2-40B4-BE49-F238E27FC236}">
                <a16:creationId xmlns:a16="http://schemas.microsoft.com/office/drawing/2014/main" id="{B6DB2A2C-552F-438A-9387-600A099A0112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" name="Straight Connector 26">
            <a:extLst>
              <a:ext uri="{FF2B5EF4-FFF2-40B4-BE49-F238E27FC236}">
                <a16:creationId xmlns:a16="http://schemas.microsoft.com/office/drawing/2014/main" id="{87F030D1-C401-4C12-93D6-25B82CC1B926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FC7C3047-E102-4316-803C-717029684F99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75F889AC-17F2-453D-97FD-A0A657A80FD8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Straight Connector 29">
            <a:extLst>
              <a:ext uri="{FF2B5EF4-FFF2-40B4-BE49-F238E27FC236}">
                <a16:creationId xmlns:a16="http://schemas.microsoft.com/office/drawing/2014/main" id="{D4A1FD18-5307-47B9-87C8-7D9682C50C85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34"/>
  <sheetViews>
    <sheetView showGridLines="0" tabSelected="1" zoomScaleNormal="100" workbookViewId="0">
      <selection activeCell="F36" sqref="F36"/>
    </sheetView>
  </sheetViews>
  <sheetFormatPr defaultColWidth="8.58203125" defaultRowHeight="15.5" x14ac:dyDescent="0.35"/>
  <cols>
    <col min="1" max="1" width="4.08203125" style="78" customWidth="1"/>
    <col min="2" max="2" width="3" style="78" customWidth="1"/>
    <col min="3" max="3" width="16.58203125" style="78" customWidth="1"/>
    <col min="4" max="4" width="25.5" style="78" customWidth="1"/>
    <col min="5" max="5" width="4.1640625" style="78" customWidth="1"/>
    <col min="6" max="6" width="4.83203125" style="78" customWidth="1"/>
    <col min="7" max="7" width="10.58203125" style="78" customWidth="1"/>
    <col min="8" max="8" width="8.33203125" style="78" customWidth="1"/>
    <col min="9" max="9" width="5.33203125" style="78" customWidth="1"/>
    <col min="10" max="10" width="2.08203125" style="78" customWidth="1"/>
    <col min="11" max="11" width="5.08203125" style="78" customWidth="1"/>
    <col min="12" max="12" width="18.33203125" style="78" bestFit="1" customWidth="1"/>
    <col min="13" max="13" width="16.5" style="78" customWidth="1"/>
    <col min="14" max="14" width="2.08203125" style="78" customWidth="1"/>
    <col min="15" max="15" width="3.58203125" style="78" customWidth="1"/>
    <col min="16" max="16" width="8.58203125" style="78"/>
    <col min="17" max="17" width="15.5" style="78" customWidth="1"/>
    <col min="18" max="18" width="8.58203125" style="78"/>
    <col min="19" max="19" width="12.08203125" style="78" bestFit="1" customWidth="1"/>
    <col min="20" max="16384" width="8.58203125" style="78"/>
  </cols>
  <sheetData>
    <row r="1" spans="2:17" ht="16.25" customHeight="1" x14ac:dyDescent="0.5">
      <c r="B1" s="81"/>
      <c r="C1" s="81" t="s">
        <v>176</v>
      </c>
      <c r="D1" s="81"/>
      <c r="E1" s="81"/>
      <c r="F1" s="81"/>
      <c r="G1" s="81"/>
      <c r="H1" s="81"/>
      <c r="I1" s="81"/>
      <c r="J1" s="81"/>
      <c r="K1" s="81"/>
      <c r="L1" s="81"/>
      <c r="M1" s="179" t="s">
        <v>177</v>
      </c>
      <c r="N1" s="81"/>
    </row>
    <row r="2" spans="2:17" ht="18.5" x14ac:dyDescent="0.45">
      <c r="B2" s="81"/>
      <c r="C2" s="82" t="s">
        <v>53</v>
      </c>
      <c r="D2" s="79" t="s">
        <v>83</v>
      </c>
      <c r="E2" s="81"/>
      <c r="F2" s="81"/>
      <c r="G2" s="81"/>
      <c r="H2" s="81"/>
      <c r="J2" s="105" t="s">
        <v>82</v>
      </c>
      <c r="K2" s="105"/>
      <c r="L2" s="105"/>
      <c r="M2" s="106">
        <v>45538</v>
      </c>
      <c r="N2" s="81"/>
    </row>
    <row r="3" spans="2:17" ht="18.5" x14ac:dyDescent="0.45">
      <c r="B3" s="81"/>
      <c r="C3" s="82" t="s">
        <v>54</v>
      </c>
      <c r="D3" s="79" t="s">
        <v>126</v>
      </c>
      <c r="E3" s="81"/>
      <c r="F3" s="81"/>
      <c r="G3" s="81"/>
      <c r="H3" s="81"/>
      <c r="M3" s="81"/>
      <c r="N3" s="81"/>
    </row>
    <row r="4" spans="2:17" ht="1" customHeight="1" thickBot="1" x14ac:dyDescent="0.4">
      <c r="B4" s="81"/>
      <c r="C4" s="79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</row>
    <row r="5" spans="2:17" s="80" customFormat="1" ht="19" thickBot="1" x14ac:dyDescent="0.5">
      <c r="B5" s="194" t="s">
        <v>55</v>
      </c>
      <c r="C5" s="195"/>
      <c r="D5" s="196"/>
      <c r="E5" s="194" t="s">
        <v>56</v>
      </c>
      <c r="F5" s="195"/>
      <c r="G5" s="195"/>
      <c r="H5" s="195"/>
      <c r="I5" s="195"/>
      <c r="J5" s="194" t="s">
        <v>57</v>
      </c>
      <c r="K5" s="195"/>
      <c r="L5" s="195"/>
      <c r="M5" s="195"/>
      <c r="N5" s="196"/>
    </row>
    <row r="6" spans="2:17" x14ac:dyDescent="0.35">
      <c r="B6" s="197" t="s">
        <v>58</v>
      </c>
      <c r="C6" s="198"/>
      <c r="D6" s="95" t="s">
        <v>140</v>
      </c>
      <c r="E6" s="199" t="s">
        <v>59</v>
      </c>
      <c r="F6" s="199"/>
      <c r="G6" s="199"/>
      <c r="H6" s="199"/>
      <c r="I6" s="199"/>
      <c r="J6" s="97"/>
      <c r="K6" s="200" t="s">
        <v>154</v>
      </c>
      <c r="L6" s="200"/>
      <c r="M6" s="77">
        <v>1726670812</v>
      </c>
      <c r="N6" s="95"/>
    </row>
    <row r="7" spans="2:17" x14ac:dyDescent="0.35">
      <c r="B7" s="201" t="s">
        <v>61</v>
      </c>
      <c r="C7" s="202"/>
      <c r="D7" s="108" t="s">
        <v>130</v>
      </c>
      <c r="E7" s="200" t="s">
        <v>62</v>
      </c>
      <c r="F7" s="200"/>
      <c r="G7" s="200"/>
      <c r="H7" s="109">
        <v>380</v>
      </c>
      <c r="I7" s="81"/>
      <c r="J7" s="85"/>
      <c r="K7" s="200" t="s">
        <v>60</v>
      </c>
      <c r="L7" s="200"/>
      <c r="M7" s="107">
        <f>M6/H8</f>
        <v>4543870.5578947365</v>
      </c>
      <c r="N7" s="83"/>
      <c r="Q7" s="159"/>
    </row>
    <row r="8" spans="2:17" x14ac:dyDescent="0.35">
      <c r="B8" s="201"/>
      <c r="C8" s="202"/>
      <c r="D8" s="83"/>
      <c r="E8" s="200" t="s">
        <v>65</v>
      </c>
      <c r="F8" s="200"/>
      <c r="G8" s="200"/>
      <c r="H8" s="109">
        <v>380</v>
      </c>
      <c r="I8" s="81"/>
      <c r="J8" s="85"/>
      <c r="K8" s="157" t="s">
        <v>63</v>
      </c>
      <c r="L8" s="157"/>
      <c r="M8" s="110">
        <v>5</v>
      </c>
      <c r="N8" s="83"/>
    </row>
    <row r="9" spans="2:17" x14ac:dyDescent="0.35">
      <c r="B9" s="98" t="s">
        <v>64</v>
      </c>
      <c r="C9" s="99"/>
      <c r="D9" s="83" t="s">
        <v>130</v>
      </c>
      <c r="E9" s="200" t="s">
        <v>67</v>
      </c>
      <c r="F9" s="200"/>
      <c r="G9" s="200"/>
      <c r="H9" s="112">
        <v>0</v>
      </c>
      <c r="I9" s="81"/>
      <c r="J9" s="85"/>
      <c r="K9" s="200" t="s">
        <v>77</v>
      </c>
      <c r="L9" s="200"/>
      <c r="M9" s="111">
        <f>[2]IRR!F3</f>
        <v>0.1</v>
      </c>
      <c r="N9" s="83"/>
    </row>
    <row r="10" spans="2:17" x14ac:dyDescent="0.35">
      <c r="B10" s="100" t="s">
        <v>66</v>
      </c>
      <c r="C10" s="101"/>
      <c r="D10" s="83" t="s">
        <v>141</v>
      </c>
      <c r="E10" s="203" t="s">
        <v>69</v>
      </c>
      <c r="F10" s="203"/>
      <c r="G10" s="203"/>
      <c r="H10" s="203"/>
      <c r="I10" s="203"/>
      <c r="J10" s="102"/>
      <c r="K10" s="204" t="s">
        <v>74</v>
      </c>
      <c r="L10" s="204"/>
      <c r="M10" s="107">
        <f>IRR!Q17</f>
        <v>1076068800</v>
      </c>
      <c r="N10" s="83"/>
    </row>
    <row r="11" spans="2:17" x14ac:dyDescent="0.35">
      <c r="B11" s="100" t="s">
        <v>68</v>
      </c>
      <c r="C11" s="101"/>
      <c r="D11" s="83" t="s">
        <v>131</v>
      </c>
      <c r="E11" s="205" t="s">
        <v>71</v>
      </c>
      <c r="F11" s="205"/>
      <c r="G11" s="205"/>
      <c r="H11" s="113">
        <v>0</v>
      </c>
      <c r="I11" s="81"/>
      <c r="J11" s="85"/>
      <c r="K11" s="204" t="s">
        <v>175</v>
      </c>
      <c r="L11" s="204"/>
      <c r="M11" s="107">
        <f>IRR!Q8+IRR!Q9</f>
        <v>14070025</v>
      </c>
      <c r="N11" s="83"/>
    </row>
    <row r="12" spans="2:17" x14ac:dyDescent="0.35">
      <c r="B12" s="103" t="s">
        <v>70</v>
      </c>
      <c r="C12" s="104"/>
      <c r="D12" s="84">
        <v>33</v>
      </c>
      <c r="E12" s="205" t="s">
        <v>73</v>
      </c>
      <c r="F12" s="205"/>
      <c r="G12" s="205"/>
      <c r="H12" s="113">
        <v>0</v>
      </c>
      <c r="I12" s="81"/>
      <c r="J12" s="85"/>
      <c r="K12" s="204" t="s">
        <v>138</v>
      </c>
      <c r="L12" s="204"/>
      <c r="M12" s="77">
        <f>IRR!Q19</f>
        <v>650000000</v>
      </c>
      <c r="N12" s="83"/>
    </row>
    <row r="13" spans="2:17" x14ac:dyDescent="0.35">
      <c r="B13" s="103" t="s">
        <v>72</v>
      </c>
      <c r="C13" s="104"/>
      <c r="D13" s="84">
        <v>1</v>
      </c>
      <c r="E13" s="205" t="s">
        <v>75</v>
      </c>
      <c r="F13" s="205"/>
      <c r="G13" s="205"/>
      <c r="H13" s="113">
        <v>0</v>
      </c>
      <c r="I13" s="81"/>
      <c r="J13" s="85"/>
      <c r="K13" s="204" t="s">
        <v>139</v>
      </c>
      <c r="L13" s="204"/>
      <c r="M13" s="107">
        <f>IRR!Q21+IRR!Q22</f>
        <v>88803440</v>
      </c>
      <c r="N13" s="83"/>
    </row>
    <row r="14" spans="2:17" ht="16" thickBot="1" x14ac:dyDescent="0.4">
      <c r="B14" s="103"/>
      <c r="C14" s="146"/>
      <c r="D14" s="84"/>
      <c r="E14" s="145"/>
      <c r="F14" s="145"/>
      <c r="G14" s="145"/>
      <c r="H14" s="113"/>
      <c r="I14" s="81"/>
      <c r="J14" s="85"/>
      <c r="K14" s="147"/>
      <c r="L14" s="147"/>
      <c r="M14" s="81"/>
      <c r="N14" s="83"/>
    </row>
    <row r="15" spans="2:17" x14ac:dyDescent="0.35">
      <c r="B15" s="85"/>
      <c r="C15" s="81"/>
      <c r="D15" s="83"/>
      <c r="E15" s="203" t="s">
        <v>76</v>
      </c>
      <c r="F15" s="203"/>
      <c r="G15" s="203"/>
      <c r="H15" s="203"/>
      <c r="I15" s="203"/>
      <c r="J15" s="114"/>
      <c r="K15" s="212" t="s">
        <v>26</v>
      </c>
      <c r="L15" s="213"/>
      <c r="M15" s="86">
        <f>IRR!F37</f>
        <v>4.7014350567971093</v>
      </c>
      <c r="N15" s="83"/>
    </row>
    <row r="16" spans="2:17" x14ac:dyDescent="0.35">
      <c r="B16" s="85"/>
      <c r="C16" s="81"/>
      <c r="D16" s="83"/>
      <c r="E16" s="81"/>
      <c r="F16" s="81"/>
      <c r="G16" s="81"/>
      <c r="H16" s="81"/>
      <c r="I16" s="81"/>
      <c r="J16" s="115"/>
      <c r="K16" s="206" t="s">
        <v>27</v>
      </c>
      <c r="L16" s="207"/>
      <c r="M16" s="128">
        <f>IRR!F38</f>
        <v>100753619.94710742</v>
      </c>
      <c r="N16" s="83"/>
    </row>
    <row r="17" spans="2:18" x14ac:dyDescent="0.35">
      <c r="B17" s="85"/>
      <c r="C17" s="81"/>
      <c r="D17" s="83"/>
      <c r="E17" s="81"/>
      <c r="F17" s="81"/>
      <c r="G17" s="81"/>
      <c r="H17" s="81"/>
      <c r="I17" s="81"/>
      <c r="J17" s="115"/>
      <c r="K17" s="206" t="s">
        <v>28</v>
      </c>
      <c r="L17" s="207"/>
      <c r="M17" s="87">
        <f>IRR!F39</f>
        <v>0.31342360265440278</v>
      </c>
      <c r="N17" s="83"/>
      <c r="R17" s="78" t="s">
        <v>49</v>
      </c>
    </row>
    <row r="18" spans="2:18" ht="16" thickBot="1" x14ac:dyDescent="0.4">
      <c r="B18" s="85"/>
      <c r="C18" s="81"/>
      <c r="D18" s="83"/>
      <c r="E18" s="81"/>
      <c r="F18" s="81"/>
      <c r="G18" s="81"/>
      <c r="H18" s="81"/>
      <c r="I18" s="81"/>
      <c r="J18" s="115"/>
      <c r="K18" s="208" t="s">
        <v>78</v>
      </c>
      <c r="L18" s="209"/>
      <c r="M18" s="129">
        <f>IRR!F40</f>
        <v>0.21266570717330036</v>
      </c>
      <c r="N18" s="83"/>
      <c r="Q18" s="78" t="s">
        <v>49</v>
      </c>
    </row>
    <row r="19" spans="2:18" ht="16" thickBot="1" x14ac:dyDescent="0.4">
      <c r="B19" s="88"/>
      <c r="C19" s="89"/>
      <c r="D19" s="90"/>
      <c r="E19" s="89"/>
      <c r="F19" s="89" t="s">
        <v>49</v>
      </c>
      <c r="G19" s="89"/>
      <c r="H19" s="89"/>
      <c r="I19" s="89"/>
      <c r="J19" s="85"/>
      <c r="K19" s="91"/>
      <c r="L19" s="101"/>
      <c r="M19" s="101"/>
      <c r="N19" s="83"/>
    </row>
    <row r="20" spans="2:18" x14ac:dyDescent="0.35">
      <c r="B20" s="93" t="s">
        <v>81</v>
      </c>
      <c r="C20" s="94"/>
      <c r="D20" s="94"/>
      <c r="E20" s="94"/>
      <c r="F20" s="94"/>
      <c r="G20" s="94"/>
      <c r="H20" s="94"/>
      <c r="I20" s="94"/>
      <c r="J20" s="94"/>
      <c r="L20" s="214" t="s">
        <v>84</v>
      </c>
      <c r="M20" s="214"/>
      <c r="N20" s="95"/>
    </row>
    <row r="21" spans="2:18" x14ac:dyDescent="0.35">
      <c r="B21" s="85" t="s">
        <v>172</v>
      </c>
      <c r="C21" s="81"/>
      <c r="D21" s="81" t="s">
        <v>173</v>
      </c>
      <c r="E21" s="81"/>
      <c r="F21" s="81"/>
      <c r="G21" s="81"/>
      <c r="H21" s="81"/>
      <c r="I21" s="81"/>
      <c r="J21" s="81"/>
      <c r="K21" s="81"/>
      <c r="L21" s="210" t="s">
        <v>132</v>
      </c>
      <c r="M21" s="211"/>
      <c r="N21" s="83"/>
    </row>
    <row r="22" spans="2:18" x14ac:dyDescent="0.35">
      <c r="B22" s="85" t="s">
        <v>174</v>
      </c>
      <c r="C22" s="81"/>
      <c r="D22" s="81" t="s">
        <v>178</v>
      </c>
      <c r="E22" s="81"/>
      <c r="F22" s="81"/>
      <c r="G22" s="81"/>
      <c r="H22" s="81"/>
      <c r="I22" s="81"/>
      <c r="J22" s="81"/>
      <c r="K22" s="81"/>
      <c r="L22" s="81"/>
      <c r="M22" s="81"/>
      <c r="N22" s="83"/>
    </row>
    <row r="23" spans="2:18" x14ac:dyDescent="0.35">
      <c r="B23" s="85"/>
      <c r="E23" s="81"/>
      <c r="F23" s="81"/>
      <c r="G23" s="81"/>
      <c r="H23" s="81"/>
      <c r="I23" s="81"/>
      <c r="J23" s="81"/>
      <c r="K23" s="81"/>
      <c r="L23" s="81"/>
      <c r="M23" s="81"/>
      <c r="N23" s="83"/>
    </row>
    <row r="24" spans="2:18" x14ac:dyDescent="0.35">
      <c r="B24" s="85"/>
      <c r="C24" s="81"/>
      <c r="E24" s="81"/>
      <c r="F24" s="81"/>
      <c r="G24" s="81"/>
      <c r="H24" s="81"/>
      <c r="I24" s="81"/>
      <c r="J24" s="81"/>
      <c r="K24" s="81"/>
      <c r="L24" s="81"/>
      <c r="M24" s="81"/>
      <c r="N24" s="83"/>
    </row>
    <row r="25" spans="2:18" ht="16" thickBot="1" x14ac:dyDescent="0.4">
      <c r="B25" s="88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90"/>
    </row>
    <row r="26" spans="2:18" ht="5.5" customHeight="1" x14ac:dyDescent="0.35"/>
    <row r="27" spans="2:18" x14ac:dyDescent="0.35">
      <c r="B27" s="1" t="s">
        <v>85</v>
      </c>
    </row>
    <row r="28" spans="2:18" x14ac:dyDescent="0.35">
      <c r="B28" s="154"/>
      <c r="C28" s="154"/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</row>
    <row r="29" spans="2:18" x14ac:dyDescent="0.35">
      <c r="B29" s="154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</row>
    <row r="30" spans="2:18" x14ac:dyDescent="0.35">
      <c r="B30" s="154"/>
      <c r="C30" s="154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</row>
    <row r="31" spans="2:18" x14ac:dyDescent="0.35">
      <c r="B31" s="154"/>
      <c r="C31" s="154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</row>
    <row r="32" spans="2:18" x14ac:dyDescent="0.35">
      <c r="B32" s="154"/>
      <c r="C32" s="154"/>
      <c r="D32" s="154"/>
      <c r="E32" s="154"/>
      <c r="F32" s="154"/>
      <c r="G32" s="154"/>
      <c r="H32" s="154"/>
      <c r="I32" s="154"/>
      <c r="J32" s="154"/>
      <c r="K32" s="154"/>
      <c r="L32" s="154"/>
      <c r="M32" s="154"/>
      <c r="N32" s="154"/>
    </row>
    <row r="33" spans="2:14" x14ac:dyDescent="0.35">
      <c r="B33" s="154"/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</row>
    <row r="34" spans="2:14" x14ac:dyDescent="0.35">
      <c r="B34" s="154"/>
      <c r="C34" s="154"/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154"/>
    </row>
  </sheetData>
  <mergeCells count="28">
    <mergeCell ref="K17:L17"/>
    <mergeCell ref="K18:L18"/>
    <mergeCell ref="L21:M21"/>
    <mergeCell ref="E12:G12"/>
    <mergeCell ref="K10:L10"/>
    <mergeCell ref="E13:G13"/>
    <mergeCell ref="E15:I15"/>
    <mergeCell ref="K15:L15"/>
    <mergeCell ref="K16:L16"/>
    <mergeCell ref="K12:L12"/>
    <mergeCell ref="K13:L13"/>
    <mergeCell ref="L20:M20"/>
    <mergeCell ref="K9:L9"/>
    <mergeCell ref="E9:G9"/>
    <mergeCell ref="E10:I10"/>
    <mergeCell ref="K11:L11"/>
    <mergeCell ref="E11:G11"/>
    <mergeCell ref="K7:L7"/>
    <mergeCell ref="K6:L6"/>
    <mergeCell ref="B7:C7"/>
    <mergeCell ref="E7:G7"/>
    <mergeCell ref="B8:C8"/>
    <mergeCell ref="E8:G8"/>
    <mergeCell ref="B5:D5"/>
    <mergeCell ref="E5:I5"/>
    <mergeCell ref="J5:N5"/>
    <mergeCell ref="B6:C6"/>
    <mergeCell ref="E6:I6"/>
  </mergeCells>
  <pageMargins left="0.7" right="0.7" top="0.75" bottom="0.75" header="0.3" footer="0.3"/>
  <pageSetup paperSize="9" scale="1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1:Z48"/>
  <sheetViews>
    <sheetView showGridLines="0" topLeftCell="A37" zoomScale="110" zoomScaleNormal="110" workbookViewId="0">
      <selection activeCell="E8" sqref="E8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83203125" customWidth="1"/>
    <col min="5" max="5" width="12.08203125" customWidth="1"/>
    <col min="6" max="6" width="16.83203125" customWidth="1"/>
    <col min="7" max="7" width="13.08203125" style="2" bestFit="1" customWidth="1"/>
    <col min="8" max="11" width="12" bestFit="1" customWidth="1"/>
    <col min="12" max="15" width="6.6640625" hidden="1" customWidth="1"/>
    <col min="16" max="16" width="25.5" hidden="1" customWidth="1"/>
    <col min="17" max="17" width="14.9140625" customWidth="1"/>
    <col min="18" max="18" width="15.83203125" customWidth="1"/>
    <col min="19" max="22" width="15" bestFit="1" customWidth="1"/>
    <col min="23" max="23" width="15.58203125" bestFit="1" customWidth="1"/>
    <col min="24" max="24" width="11.6640625" bestFit="1" customWidth="1"/>
  </cols>
  <sheetData>
    <row r="1" spans="2:26" ht="21.65" customHeight="1" x14ac:dyDescent="0.6">
      <c r="B1" s="3" t="s">
        <v>0</v>
      </c>
      <c r="D1" s="81" t="s">
        <v>146</v>
      </c>
      <c r="P1" s="155" t="s">
        <v>140</v>
      </c>
      <c r="Q1" s="193" t="s">
        <v>155</v>
      </c>
    </row>
    <row r="2" spans="2:26" x14ac:dyDescent="0.35">
      <c r="C2" t="s">
        <v>1</v>
      </c>
      <c r="F2" s="5">
        <v>0.02</v>
      </c>
      <c r="Q2" s="4"/>
      <c r="R2" s="4"/>
      <c r="S2" s="4"/>
    </row>
    <row r="3" spans="2:26" x14ac:dyDescent="0.35">
      <c r="C3" t="s">
        <v>40</v>
      </c>
      <c r="F3" s="5">
        <v>0.1</v>
      </c>
      <c r="Q3" s="4"/>
      <c r="R3" s="4"/>
      <c r="S3" s="4"/>
    </row>
    <row r="4" spans="2:26" x14ac:dyDescent="0.35">
      <c r="C4" t="s">
        <v>2</v>
      </c>
      <c r="F4" s="5">
        <v>0.05</v>
      </c>
      <c r="G4" s="2" t="s">
        <v>3</v>
      </c>
      <c r="S4" s="54"/>
      <c r="T4" s="54"/>
      <c r="U4" s="54"/>
      <c r="V4" s="54"/>
    </row>
    <row r="5" spans="2:26" x14ac:dyDescent="0.35">
      <c r="C5" t="s">
        <v>4</v>
      </c>
      <c r="F5" s="6">
        <v>0</v>
      </c>
      <c r="G5" s="2" t="s">
        <v>3</v>
      </c>
    </row>
    <row r="6" spans="2:26" x14ac:dyDescent="0.35">
      <c r="C6" t="s">
        <v>128</v>
      </c>
      <c r="F6" s="5">
        <v>0.15</v>
      </c>
    </row>
    <row r="7" spans="2:26" x14ac:dyDescent="0.35">
      <c r="B7" s="1"/>
      <c r="G7" s="32" t="s">
        <v>35</v>
      </c>
      <c r="H7" s="32" t="s">
        <v>36</v>
      </c>
      <c r="I7" s="32" t="s">
        <v>37</v>
      </c>
      <c r="J7" s="32" t="s">
        <v>38</v>
      </c>
      <c r="K7" s="32" t="s">
        <v>39</v>
      </c>
      <c r="L7" s="32" t="s">
        <v>133</v>
      </c>
      <c r="M7" s="32" t="s">
        <v>134</v>
      </c>
      <c r="N7" s="32" t="s">
        <v>135</v>
      </c>
      <c r="O7" s="32" t="s">
        <v>136</v>
      </c>
      <c r="P7" s="32" t="s">
        <v>137</v>
      </c>
      <c r="Q7" s="25"/>
      <c r="R7" s="41"/>
      <c r="W7" s="41"/>
      <c r="X7" s="41"/>
      <c r="Y7" s="41"/>
    </row>
    <row r="8" spans="2:26" s="70" customFormat="1" ht="16" thickBot="1" x14ac:dyDescent="0.4">
      <c r="B8" s="74" t="s">
        <v>47</v>
      </c>
      <c r="E8" s="70" t="s">
        <v>156</v>
      </c>
      <c r="F8" s="73"/>
      <c r="G8" s="71">
        <v>14070025</v>
      </c>
      <c r="H8" s="71"/>
      <c r="I8" s="71">
        <v>0</v>
      </c>
      <c r="J8" s="71">
        <v>0</v>
      </c>
      <c r="K8" s="71"/>
      <c r="L8" s="71"/>
      <c r="M8" s="71"/>
      <c r="N8" s="71"/>
      <c r="O8" s="71"/>
      <c r="P8" s="71"/>
      <c r="Q8" s="148">
        <f>SUM(G8:P8)</f>
        <v>14070025</v>
      </c>
      <c r="R8" s="72"/>
      <c r="S8"/>
      <c r="T8"/>
      <c r="U8"/>
      <c r="V8"/>
      <c r="W8" s="72"/>
      <c r="X8" s="72"/>
      <c r="Y8" s="72"/>
    </row>
    <row r="9" spans="2:26" s="133" customFormat="1" ht="1.75" customHeight="1" thickTop="1" x14ac:dyDescent="0.35">
      <c r="B9" s="132"/>
      <c r="E9" s="133" t="s">
        <v>80</v>
      </c>
      <c r="F9" s="134"/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48">
        <f>SUM(G9:P9)</f>
        <v>0</v>
      </c>
      <c r="R9" s="135"/>
      <c r="W9" s="135"/>
      <c r="X9" s="135"/>
      <c r="Y9" s="135"/>
    </row>
    <row r="10" spans="2:26" s="133" customFormat="1" ht="2.4" customHeight="1" x14ac:dyDescent="0.35">
      <c r="B10" s="132"/>
      <c r="F10" s="134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W10" s="135"/>
      <c r="X10" s="135"/>
      <c r="Y10" s="135"/>
    </row>
    <row r="11" spans="2:26" x14ac:dyDescent="0.35">
      <c r="F11" s="10"/>
      <c r="G11" s="9">
        <v>2024</v>
      </c>
      <c r="H11" s="9">
        <v>2025</v>
      </c>
      <c r="I11" s="9">
        <f t="shared" ref="I11:P11" si="0">H11+1</f>
        <v>2026</v>
      </c>
      <c r="J11" s="9">
        <f t="shared" si="0"/>
        <v>2027</v>
      </c>
      <c r="K11" s="9">
        <f t="shared" si="0"/>
        <v>2028</v>
      </c>
      <c r="L11" s="9">
        <f t="shared" si="0"/>
        <v>2029</v>
      </c>
      <c r="M11" s="9">
        <f t="shared" si="0"/>
        <v>2030</v>
      </c>
      <c r="N11" s="9">
        <f t="shared" si="0"/>
        <v>2031</v>
      </c>
      <c r="O11" s="9">
        <f t="shared" si="0"/>
        <v>2032</v>
      </c>
      <c r="P11" s="9">
        <f t="shared" si="0"/>
        <v>2033</v>
      </c>
      <c r="Q11" s="9"/>
      <c r="W11" s="40"/>
      <c r="X11" s="40"/>
      <c r="Y11" s="40"/>
      <c r="Z11" s="40"/>
    </row>
    <row r="12" spans="2:26" ht="16" thickBot="1" x14ac:dyDescent="0.4">
      <c r="B12" s="11" t="s">
        <v>11</v>
      </c>
      <c r="C12" s="7"/>
      <c r="D12" s="7"/>
      <c r="E12" s="7"/>
      <c r="F12" s="7"/>
      <c r="G12" s="8" t="s">
        <v>6</v>
      </c>
      <c r="H12" s="12" t="s">
        <v>7</v>
      </c>
      <c r="I12" s="8" t="s">
        <v>8</v>
      </c>
      <c r="J12" s="12" t="s">
        <v>9</v>
      </c>
      <c r="K12" s="8" t="s">
        <v>10</v>
      </c>
      <c r="L12" s="8" t="s">
        <v>42</v>
      </c>
      <c r="M12" s="8" t="s">
        <v>43</v>
      </c>
      <c r="N12" s="8" t="s">
        <v>44</v>
      </c>
      <c r="O12" s="8" t="s">
        <v>45</v>
      </c>
      <c r="P12" s="8" t="s">
        <v>46</v>
      </c>
      <c r="Q12" s="136" t="s">
        <v>12</v>
      </c>
      <c r="R12" s="54"/>
      <c r="S12" s="43"/>
      <c r="T12" s="43"/>
      <c r="U12" s="43"/>
      <c r="V12" s="43"/>
      <c r="W12" s="54"/>
      <c r="X12" s="40"/>
      <c r="Y12" s="40"/>
      <c r="Z12" s="40"/>
    </row>
    <row r="13" spans="2:26" x14ac:dyDescent="0.35">
      <c r="B13" t="s">
        <v>13</v>
      </c>
      <c r="G13" s="9">
        <v>12</v>
      </c>
      <c r="H13" s="9">
        <v>12</v>
      </c>
      <c r="I13" s="9">
        <v>12</v>
      </c>
      <c r="J13" s="9">
        <v>12</v>
      </c>
      <c r="K13" s="9">
        <v>12</v>
      </c>
      <c r="L13" s="9">
        <v>12</v>
      </c>
      <c r="M13" s="9">
        <v>12</v>
      </c>
      <c r="N13" s="9">
        <v>12</v>
      </c>
      <c r="O13" s="9">
        <v>12</v>
      </c>
      <c r="P13" s="9">
        <v>12</v>
      </c>
      <c r="Q13" s="137"/>
      <c r="S13" s="45"/>
      <c r="T13" s="45"/>
      <c r="U13" s="45"/>
      <c r="V13" s="45"/>
    </row>
    <row r="14" spans="2:26" x14ac:dyDescent="0.35">
      <c r="B14" s="1" t="s">
        <v>5</v>
      </c>
      <c r="E14" s="17"/>
      <c r="G14" s="18"/>
      <c r="H14" s="130"/>
      <c r="I14" s="19"/>
      <c r="J14" s="19"/>
      <c r="K14" s="19"/>
      <c r="L14" s="19"/>
      <c r="M14" s="19"/>
      <c r="N14" s="19"/>
      <c r="O14" s="19"/>
      <c r="P14" s="19"/>
      <c r="Q14" s="137"/>
      <c r="S14" s="43"/>
      <c r="T14" s="43"/>
      <c r="U14" s="43"/>
      <c r="V14" s="43"/>
    </row>
    <row r="15" spans="2:26" s="9" customFormat="1" ht="15.65" customHeight="1" x14ac:dyDescent="0.35">
      <c r="B15" s="160"/>
      <c r="C15" s="9" t="s">
        <v>129</v>
      </c>
      <c r="E15" s="161"/>
      <c r="G15" s="162">
        <v>215213760</v>
      </c>
      <c r="H15" s="163">
        <f>G15</f>
        <v>215213760</v>
      </c>
      <c r="I15" s="163">
        <f>H15</f>
        <v>215213760</v>
      </c>
      <c r="J15" s="163">
        <f>I15</f>
        <v>215213760</v>
      </c>
      <c r="K15" s="163">
        <f>J15</f>
        <v>215213760</v>
      </c>
      <c r="L15" s="163"/>
      <c r="M15" s="163"/>
      <c r="N15" s="163"/>
      <c r="O15" s="163"/>
      <c r="P15" s="163"/>
      <c r="Q15" s="164">
        <f t="shared" ref="Q15:Q16" si="1">SUM(G15:P15)</f>
        <v>1076068800</v>
      </c>
      <c r="R15" s="165"/>
      <c r="S15" s="166"/>
      <c r="T15" s="166"/>
      <c r="U15" s="166"/>
      <c r="V15" s="166"/>
    </row>
    <row r="16" spans="2:26" x14ac:dyDescent="0.35">
      <c r="B16" s="1"/>
      <c r="E16" s="17"/>
      <c r="G16" s="130"/>
      <c r="H16" s="130">
        <v>0</v>
      </c>
      <c r="I16" s="130"/>
      <c r="J16" s="130"/>
      <c r="K16" s="130"/>
      <c r="L16" s="130"/>
      <c r="M16" s="130"/>
      <c r="N16" s="130"/>
      <c r="O16" s="130"/>
      <c r="P16" s="130"/>
      <c r="Q16" s="138">
        <f t="shared" si="1"/>
        <v>0</v>
      </c>
      <c r="S16" s="47"/>
      <c r="T16" s="47"/>
      <c r="U16" s="47"/>
      <c r="V16" s="47"/>
    </row>
    <row r="17" spans="2:24" x14ac:dyDescent="0.35">
      <c r="B17" s="63" t="s">
        <v>125</v>
      </c>
      <c r="C17" s="63"/>
      <c r="D17" s="63"/>
      <c r="E17" s="215"/>
      <c r="F17" s="216"/>
      <c r="G17" s="64">
        <f t="shared" ref="G17:Q17" si="2">SUM(G15:G16)</f>
        <v>215213760</v>
      </c>
      <c r="H17" s="64">
        <f t="shared" si="2"/>
        <v>215213760</v>
      </c>
      <c r="I17" s="64">
        <f t="shared" si="2"/>
        <v>215213760</v>
      </c>
      <c r="J17" s="64">
        <f t="shared" si="2"/>
        <v>215213760</v>
      </c>
      <c r="K17" s="64">
        <f t="shared" si="2"/>
        <v>215213760</v>
      </c>
      <c r="L17" s="64">
        <f t="shared" si="2"/>
        <v>0</v>
      </c>
      <c r="M17" s="64">
        <f t="shared" si="2"/>
        <v>0</v>
      </c>
      <c r="N17" s="64">
        <f t="shared" si="2"/>
        <v>0</v>
      </c>
      <c r="O17" s="64">
        <f t="shared" si="2"/>
        <v>0</v>
      </c>
      <c r="P17" s="64">
        <f t="shared" si="2"/>
        <v>0</v>
      </c>
      <c r="Q17" s="139">
        <f t="shared" si="2"/>
        <v>1076068800</v>
      </c>
      <c r="R17" s="43"/>
      <c r="S17" s="48"/>
      <c r="T17" s="48"/>
      <c r="U17" s="48"/>
      <c r="V17" s="48"/>
      <c r="W17" s="43"/>
      <c r="X17" s="45"/>
    </row>
    <row r="18" spans="2:24" x14ac:dyDescent="0.35">
      <c r="B18" s="1" t="s">
        <v>14</v>
      </c>
      <c r="E18" s="17"/>
      <c r="F18" s="17"/>
      <c r="G18" s="18"/>
      <c r="H18" s="17"/>
      <c r="I18" s="19"/>
      <c r="J18" s="19"/>
      <c r="K18" s="19"/>
      <c r="L18" s="19"/>
      <c r="M18" s="19"/>
      <c r="N18" s="19"/>
      <c r="O18" s="19"/>
      <c r="P18" s="19"/>
      <c r="Q18" s="140"/>
      <c r="R18" s="46"/>
      <c r="S18" s="50"/>
      <c r="T18" s="50"/>
      <c r="U18" s="50"/>
      <c r="V18" s="50"/>
      <c r="W18" s="45"/>
      <c r="X18" s="45"/>
    </row>
    <row r="19" spans="2:24" x14ac:dyDescent="0.35">
      <c r="C19" t="s">
        <v>127</v>
      </c>
      <c r="E19" s="131"/>
      <c r="G19" s="13">
        <v>130000000</v>
      </c>
      <c r="H19" s="13">
        <v>130000000</v>
      </c>
      <c r="I19" s="13">
        <v>130000000</v>
      </c>
      <c r="J19" s="13">
        <v>130000000</v>
      </c>
      <c r="K19" s="13">
        <v>130000000</v>
      </c>
      <c r="L19" s="13"/>
      <c r="M19" s="13"/>
      <c r="N19" s="13"/>
      <c r="O19" s="13"/>
      <c r="P19" s="13"/>
      <c r="Q19" s="138">
        <f>SUM(G19:P19)</f>
        <v>650000000</v>
      </c>
      <c r="R19" s="43" t="s">
        <v>49</v>
      </c>
      <c r="S19" s="43"/>
      <c r="T19" s="43"/>
      <c r="U19" s="43"/>
      <c r="V19" s="43"/>
      <c r="W19" s="44"/>
      <c r="X19" s="45"/>
    </row>
    <row r="20" spans="2:24" x14ac:dyDescent="0.35">
      <c r="C20" t="s">
        <v>15</v>
      </c>
      <c r="F20" s="96"/>
      <c r="G20" s="13">
        <v>0</v>
      </c>
      <c r="H20" s="13"/>
      <c r="I20" s="13"/>
      <c r="J20" s="13"/>
      <c r="K20" s="13"/>
      <c r="L20" s="13"/>
      <c r="M20" s="13"/>
      <c r="N20" s="13"/>
      <c r="O20" s="13"/>
      <c r="P20" s="13"/>
      <c r="Q20" s="138">
        <f t="shared" ref="Q20:Q22" si="3">SUM(G20:P20)</f>
        <v>0</v>
      </c>
      <c r="R20" s="43"/>
      <c r="S20" s="51"/>
      <c r="T20" s="51"/>
      <c r="U20" s="51"/>
      <c r="V20" s="51"/>
      <c r="W20" s="44"/>
      <c r="X20" s="45"/>
    </row>
    <row r="21" spans="2:24" x14ac:dyDescent="0.35">
      <c r="C21" t="s">
        <v>41</v>
      </c>
      <c r="G21" s="92">
        <v>7000000</v>
      </c>
      <c r="H21" s="92">
        <v>7000000</v>
      </c>
      <c r="I21" s="92">
        <v>7000000</v>
      </c>
      <c r="J21" s="92">
        <v>7000000</v>
      </c>
      <c r="K21" s="92">
        <v>7000000</v>
      </c>
      <c r="L21" s="92"/>
      <c r="M21" s="92"/>
      <c r="N21" s="92"/>
      <c r="O21" s="92"/>
      <c r="P21" s="92"/>
      <c r="Q21" s="138">
        <f>SUM(G21:P21)</f>
        <v>35000000</v>
      </c>
      <c r="R21" s="43"/>
      <c r="S21" s="51"/>
      <c r="T21" s="51"/>
      <c r="U21" s="51"/>
      <c r="V21" s="51"/>
      <c r="W21" s="44"/>
      <c r="X21" s="45"/>
    </row>
    <row r="22" spans="2:24" x14ac:dyDescent="0.35">
      <c r="B22" s="15"/>
      <c r="C22" s="15" t="s">
        <v>2</v>
      </c>
      <c r="D22" s="15"/>
      <c r="E22" s="15"/>
      <c r="F22" s="15"/>
      <c r="G22" s="20">
        <f>G17*$F$4</f>
        <v>10760688</v>
      </c>
      <c r="H22" s="20">
        <f>H17*$F$4</f>
        <v>10760688</v>
      </c>
      <c r="I22" s="20">
        <f t="shared" ref="I22:K22" si="4">I17*$F$4</f>
        <v>10760688</v>
      </c>
      <c r="J22" s="20">
        <f t="shared" si="4"/>
        <v>10760688</v>
      </c>
      <c r="K22" s="20">
        <f t="shared" si="4"/>
        <v>10760688</v>
      </c>
      <c r="L22" s="20"/>
      <c r="M22" s="20"/>
      <c r="N22" s="20"/>
      <c r="O22" s="20"/>
      <c r="P22" s="20"/>
      <c r="Q22" s="138">
        <f t="shared" si="3"/>
        <v>53803440</v>
      </c>
      <c r="R22" s="47"/>
      <c r="S22" s="51"/>
      <c r="T22" s="51"/>
      <c r="U22" s="51"/>
      <c r="V22" s="51"/>
      <c r="W22" s="44"/>
      <c r="X22" s="45"/>
    </row>
    <row r="23" spans="2:24" s="1" customFormat="1" x14ac:dyDescent="0.35">
      <c r="B23" s="63" t="s">
        <v>16</v>
      </c>
      <c r="C23" s="63"/>
      <c r="D23" s="63"/>
      <c r="E23" s="63"/>
      <c r="F23" s="63"/>
      <c r="G23" s="64">
        <f t="shared" ref="G23:Q23" si="5">SUM(G19:G22)</f>
        <v>147760688</v>
      </c>
      <c r="H23" s="64">
        <f t="shared" si="5"/>
        <v>147760688</v>
      </c>
      <c r="I23" s="64">
        <f t="shared" si="5"/>
        <v>147760688</v>
      </c>
      <c r="J23" s="64">
        <f t="shared" si="5"/>
        <v>147760688</v>
      </c>
      <c r="K23" s="64">
        <f t="shared" si="5"/>
        <v>147760688</v>
      </c>
      <c r="L23" s="64">
        <f t="shared" si="5"/>
        <v>0</v>
      </c>
      <c r="M23" s="64">
        <f t="shared" si="5"/>
        <v>0</v>
      </c>
      <c r="N23" s="64">
        <f t="shared" si="5"/>
        <v>0</v>
      </c>
      <c r="O23" s="64">
        <f t="shared" si="5"/>
        <v>0</v>
      </c>
      <c r="P23" s="64">
        <f t="shared" si="5"/>
        <v>0</v>
      </c>
      <c r="Q23" s="139">
        <f t="shared" si="5"/>
        <v>738803440</v>
      </c>
      <c r="R23" s="48"/>
      <c r="S23" s="53"/>
      <c r="T23" s="53"/>
      <c r="U23" s="53"/>
      <c r="V23" s="53"/>
      <c r="W23" s="48"/>
      <c r="X23" s="49"/>
    </row>
    <row r="24" spans="2:24" s="1" customFormat="1" x14ac:dyDescent="0.35">
      <c r="B24" s="1" t="s">
        <v>17</v>
      </c>
      <c r="G24" s="180">
        <f t="shared" ref="G24:Q24" si="6">G17-G23</f>
        <v>67453072</v>
      </c>
      <c r="H24" s="21">
        <f t="shared" si="6"/>
        <v>67453072</v>
      </c>
      <c r="I24" s="21">
        <f t="shared" si="6"/>
        <v>67453072</v>
      </c>
      <c r="J24" s="21">
        <f t="shared" si="6"/>
        <v>67453072</v>
      </c>
      <c r="K24" s="21">
        <f t="shared" si="6"/>
        <v>67453072</v>
      </c>
      <c r="L24" s="21">
        <f t="shared" si="6"/>
        <v>0</v>
      </c>
      <c r="M24" s="21">
        <f t="shared" si="6"/>
        <v>0</v>
      </c>
      <c r="N24" s="21">
        <f t="shared" si="6"/>
        <v>0</v>
      </c>
      <c r="O24" s="21">
        <f t="shared" si="6"/>
        <v>0</v>
      </c>
      <c r="P24" s="21">
        <f t="shared" si="6"/>
        <v>0</v>
      </c>
      <c r="Q24" s="141">
        <f t="shared" si="6"/>
        <v>337265360</v>
      </c>
      <c r="R24" s="48"/>
      <c r="S24" s="51"/>
      <c r="T24" s="51"/>
      <c r="U24" s="51"/>
      <c r="V24" s="51"/>
      <c r="W24" s="48"/>
      <c r="X24" s="49"/>
    </row>
    <row r="25" spans="2:24" s="1" customFormat="1" x14ac:dyDescent="0.35">
      <c r="B25" s="22" t="s">
        <v>18</v>
      </c>
      <c r="C25" s="23"/>
      <c r="D25" s="23"/>
      <c r="E25" s="23"/>
      <c r="F25" s="23"/>
      <c r="G25" s="24">
        <v>0</v>
      </c>
      <c r="H25" s="24">
        <f t="shared" ref="H25:Q25" si="7">H24/H17</f>
        <v>0.31342360265440278</v>
      </c>
      <c r="I25" s="24">
        <f t="shared" si="7"/>
        <v>0.31342360265440278</v>
      </c>
      <c r="J25" s="24">
        <f t="shared" si="7"/>
        <v>0.31342360265440278</v>
      </c>
      <c r="K25" s="24">
        <f t="shared" si="7"/>
        <v>0.31342360265440278</v>
      </c>
      <c r="L25" s="24" t="e">
        <f t="shared" si="7"/>
        <v>#DIV/0!</v>
      </c>
      <c r="M25" s="24" t="e">
        <f t="shared" si="7"/>
        <v>#DIV/0!</v>
      </c>
      <c r="N25" s="24" t="e">
        <f t="shared" si="7"/>
        <v>#DIV/0!</v>
      </c>
      <c r="O25" s="24" t="e">
        <f t="shared" si="7"/>
        <v>#DIV/0!</v>
      </c>
      <c r="P25" s="24" t="e">
        <f t="shared" si="7"/>
        <v>#DIV/0!</v>
      </c>
      <c r="Q25" s="142">
        <f t="shared" si="7"/>
        <v>0.31342360265440278</v>
      </c>
      <c r="R25" s="50"/>
      <c r="S25" s="45"/>
      <c r="T25" s="45"/>
      <c r="U25" s="45"/>
      <c r="V25" s="45"/>
      <c r="W25" s="50"/>
      <c r="X25" s="49"/>
    </row>
    <row r="26" spans="2:24" x14ac:dyDescent="0.35">
      <c r="B26" s="15" t="s">
        <v>19</v>
      </c>
      <c r="C26" s="15"/>
      <c r="D26" s="15"/>
      <c r="E26" s="15"/>
      <c r="F26" s="15"/>
      <c r="G26" s="16">
        <f t="shared" ref="G26:K26" si="8">G45</f>
        <v>2814005</v>
      </c>
      <c r="H26" s="16">
        <f t="shared" si="8"/>
        <v>2814005</v>
      </c>
      <c r="I26" s="16">
        <f t="shared" si="8"/>
        <v>2814005</v>
      </c>
      <c r="J26" s="16">
        <f t="shared" si="8"/>
        <v>2814005</v>
      </c>
      <c r="K26" s="16">
        <f t="shared" si="8"/>
        <v>2814005</v>
      </c>
      <c r="L26" s="16"/>
      <c r="M26" s="16"/>
      <c r="N26" s="16"/>
      <c r="O26" s="16"/>
      <c r="P26" s="16"/>
      <c r="Q26" s="143">
        <f>SUM(G26:L26)</f>
        <v>14070025</v>
      </c>
      <c r="R26" s="43"/>
      <c r="S26" s="52"/>
      <c r="T26" s="52"/>
      <c r="U26" s="52"/>
      <c r="V26" s="52"/>
      <c r="W26" s="43"/>
      <c r="X26" s="45"/>
    </row>
    <row r="27" spans="2:24" x14ac:dyDescent="0.35">
      <c r="B27" s="25" t="s">
        <v>20</v>
      </c>
      <c r="G27" s="26">
        <f t="shared" ref="G27:K27" si="9">G24-G26</f>
        <v>64639067</v>
      </c>
      <c r="H27" s="26">
        <f>H24-H26</f>
        <v>64639067</v>
      </c>
      <c r="I27" s="26">
        <f t="shared" si="9"/>
        <v>64639067</v>
      </c>
      <c r="J27" s="26">
        <f t="shared" si="9"/>
        <v>64639067</v>
      </c>
      <c r="K27" s="26">
        <f t="shared" si="9"/>
        <v>64639067</v>
      </c>
      <c r="L27" s="26">
        <f t="shared" ref="L27:P27" si="10">L24-L26</f>
        <v>0</v>
      </c>
      <c r="M27" s="26">
        <f t="shared" si="10"/>
        <v>0</v>
      </c>
      <c r="N27" s="26">
        <f t="shared" si="10"/>
        <v>0</v>
      </c>
      <c r="O27" s="26">
        <f t="shared" si="10"/>
        <v>0</v>
      </c>
      <c r="P27" s="26">
        <f t="shared" si="10"/>
        <v>0</v>
      </c>
      <c r="Q27" s="144">
        <f>Q24-Q26</f>
        <v>323195335</v>
      </c>
      <c r="R27" s="51"/>
      <c r="S27" s="52"/>
      <c r="T27" s="52"/>
      <c r="U27" s="52"/>
      <c r="V27" s="52"/>
      <c r="W27" s="51"/>
      <c r="X27" s="45"/>
    </row>
    <row r="28" spans="2:24" x14ac:dyDescent="0.35">
      <c r="B28" s="25" t="s">
        <v>33</v>
      </c>
      <c r="G28" s="67"/>
      <c r="H28" s="67"/>
      <c r="I28" s="67"/>
      <c r="J28" s="67"/>
      <c r="K28" s="67"/>
      <c r="L28" s="67"/>
      <c r="M28" s="67"/>
      <c r="N28" s="67"/>
      <c r="O28" s="149"/>
      <c r="P28" s="149">
        <f>PARAMETER!K4</f>
        <v>0</v>
      </c>
      <c r="Q28" s="138">
        <f t="shared" ref="Q28" si="11">SUM(G28:P28)</f>
        <v>0</v>
      </c>
      <c r="R28" s="51"/>
      <c r="S28" s="52"/>
      <c r="T28" s="52"/>
      <c r="U28" s="52"/>
      <c r="V28" s="52"/>
      <c r="W28" s="51"/>
      <c r="X28" s="45"/>
    </row>
    <row r="29" spans="2:24" x14ac:dyDescent="0.35">
      <c r="B29" s="25" t="s">
        <v>34</v>
      </c>
      <c r="G29" s="67">
        <f t="shared" ref="G29:K29" si="12">G27-G28</f>
        <v>64639067</v>
      </c>
      <c r="H29" s="67">
        <f>H27-H28</f>
        <v>64639067</v>
      </c>
      <c r="I29" s="67">
        <f t="shared" si="12"/>
        <v>64639067</v>
      </c>
      <c r="J29" s="67">
        <f t="shared" si="12"/>
        <v>64639067</v>
      </c>
      <c r="K29" s="67">
        <f t="shared" si="12"/>
        <v>64639067</v>
      </c>
      <c r="L29" s="67">
        <f t="shared" ref="L29:P29" si="13">L27-L28</f>
        <v>0</v>
      </c>
      <c r="M29" s="67">
        <f t="shared" si="13"/>
        <v>0</v>
      </c>
      <c r="N29" s="67">
        <f t="shared" si="13"/>
        <v>0</v>
      </c>
      <c r="O29" s="67">
        <f t="shared" si="13"/>
        <v>0</v>
      </c>
      <c r="P29" s="67">
        <f t="shared" si="13"/>
        <v>0</v>
      </c>
      <c r="Q29" s="138">
        <f>SUM(G29:P29)</f>
        <v>323195335</v>
      </c>
      <c r="R29" s="51"/>
      <c r="S29" s="31"/>
      <c r="T29" s="31"/>
      <c r="U29" s="31"/>
      <c r="V29" s="31"/>
      <c r="W29" s="51"/>
      <c r="X29" s="45"/>
    </row>
    <row r="30" spans="2:24" x14ac:dyDescent="0.35">
      <c r="B30" s="15" t="s">
        <v>21</v>
      </c>
      <c r="C30" s="15"/>
      <c r="D30" s="15"/>
      <c r="E30" s="15"/>
      <c r="F30" s="15"/>
      <c r="G30" s="65">
        <f>IF(G29&lt;0,0,G29*$F$2)</f>
        <v>1292781.3400000001</v>
      </c>
      <c r="H30" s="65">
        <f t="shared" ref="H30:K30" si="14">IF(H29&lt;0,0,H29*$F$2)</f>
        <v>1292781.3400000001</v>
      </c>
      <c r="I30" s="65">
        <f t="shared" si="14"/>
        <v>1292781.3400000001</v>
      </c>
      <c r="J30" s="65">
        <f t="shared" si="14"/>
        <v>1292781.3400000001</v>
      </c>
      <c r="K30" s="65">
        <f t="shared" si="14"/>
        <v>1292781.3400000001</v>
      </c>
      <c r="L30" s="65">
        <f t="shared" ref="L30:P30" si="15">IF(L29&lt;0,0,L29*$F$2)</f>
        <v>0</v>
      </c>
      <c r="M30" s="65">
        <f t="shared" si="15"/>
        <v>0</v>
      </c>
      <c r="N30" s="65">
        <f t="shared" si="15"/>
        <v>0</v>
      </c>
      <c r="O30" s="65">
        <f t="shared" si="15"/>
        <v>0</v>
      </c>
      <c r="P30" s="65">
        <f t="shared" si="15"/>
        <v>0</v>
      </c>
      <c r="Q30" s="138">
        <f>SUM(G30:P30)</f>
        <v>6463906.7000000002</v>
      </c>
      <c r="R30" s="53"/>
      <c r="W30" s="52"/>
      <c r="X30" s="45"/>
    </row>
    <row r="31" spans="2:24" ht="16" thickBot="1" x14ac:dyDescent="0.4">
      <c r="B31" s="28" t="s">
        <v>48</v>
      </c>
      <c r="C31" s="28"/>
      <c r="D31" s="28"/>
      <c r="E31" s="28"/>
      <c r="F31" s="28"/>
      <c r="G31" s="29">
        <f>G29-G30</f>
        <v>63346285.659999996</v>
      </c>
      <c r="H31" s="29">
        <f>H29-H30</f>
        <v>63346285.659999996</v>
      </c>
      <c r="I31" s="29">
        <f t="shared" ref="I31:O31" si="16">I29-I30</f>
        <v>63346285.659999996</v>
      </c>
      <c r="J31" s="29">
        <f t="shared" si="16"/>
        <v>63346285.659999996</v>
      </c>
      <c r="K31" s="29">
        <f t="shared" si="16"/>
        <v>63346285.659999996</v>
      </c>
      <c r="L31" s="29">
        <f t="shared" si="16"/>
        <v>0</v>
      </c>
      <c r="M31" s="29">
        <f t="shared" si="16"/>
        <v>0</v>
      </c>
      <c r="N31" s="29">
        <f t="shared" si="16"/>
        <v>0</v>
      </c>
      <c r="O31" s="29">
        <f t="shared" si="16"/>
        <v>0</v>
      </c>
      <c r="P31" s="29">
        <f>P29-P30</f>
        <v>0</v>
      </c>
      <c r="Q31" s="29">
        <f>Q29-Q30</f>
        <v>316731428.30000001</v>
      </c>
      <c r="R31" s="51"/>
      <c r="W31" s="51"/>
      <c r="X31" s="45"/>
    </row>
    <row r="32" spans="2:24" x14ac:dyDescent="0.35">
      <c r="R32" s="45"/>
      <c r="W32" s="45"/>
      <c r="X32" s="45"/>
    </row>
    <row r="33" spans="2:26" x14ac:dyDescent="0.35">
      <c r="B33" s="15" t="s">
        <v>22</v>
      </c>
      <c r="C33" s="15"/>
      <c r="D33" s="15"/>
      <c r="E33" s="15"/>
      <c r="F33" s="30">
        <f>-G8+-G9</f>
        <v>-14070025</v>
      </c>
      <c r="G33" s="30"/>
      <c r="H33" s="30">
        <f>-H8+-H9</f>
        <v>0</v>
      </c>
      <c r="I33" s="30">
        <f>-I8+-I9</f>
        <v>0</v>
      </c>
      <c r="J33" s="30">
        <f>-K8+-K9</f>
        <v>0</v>
      </c>
      <c r="K33" s="30">
        <f>-L8+-L9</f>
        <v>0</v>
      </c>
      <c r="L33" s="30">
        <f>-R8+-R9</f>
        <v>0</v>
      </c>
      <c r="M33" s="30">
        <f>-S8+-S9</f>
        <v>0</v>
      </c>
      <c r="N33" s="30">
        <f>-T8+-T9</f>
        <v>0</v>
      </c>
      <c r="O33" s="30">
        <f>-U8+-U9</f>
        <v>0</v>
      </c>
      <c r="P33" s="30">
        <f>-V8+-V9</f>
        <v>0</v>
      </c>
      <c r="Q33" s="30">
        <f>SUM(F33:P33)</f>
        <v>-14070025</v>
      </c>
      <c r="R33" s="52"/>
      <c r="W33" s="52"/>
      <c r="X33" s="45"/>
    </row>
    <row r="34" spans="2:26" x14ac:dyDescent="0.35">
      <c r="B34" t="s">
        <v>23</v>
      </c>
      <c r="F34" s="27">
        <f>F33</f>
        <v>-14070025</v>
      </c>
      <c r="G34" s="27">
        <f>G33+G31+G26</f>
        <v>66160290.659999996</v>
      </c>
      <c r="H34" s="27">
        <f>H33+H31+H26</f>
        <v>66160290.659999996</v>
      </c>
      <c r="I34" s="27">
        <f t="shared" ref="I34" si="17">I33+I31+I26</f>
        <v>66160290.659999996</v>
      </c>
      <c r="J34" s="27">
        <f t="shared" ref="J34:K34" si="18">J33+J31+J26</f>
        <v>66160290.659999996</v>
      </c>
      <c r="K34" s="27">
        <f t="shared" si="18"/>
        <v>66160290.659999996</v>
      </c>
      <c r="L34" s="27">
        <f t="shared" ref="L34:O34" si="19">L33+L31+L26</f>
        <v>0</v>
      </c>
      <c r="M34" s="27">
        <f t="shared" si="19"/>
        <v>0</v>
      </c>
      <c r="N34" s="27">
        <f t="shared" si="19"/>
        <v>0</v>
      </c>
      <c r="O34" s="27">
        <f t="shared" si="19"/>
        <v>0</v>
      </c>
      <c r="P34" s="27">
        <f>P33+P31+P26</f>
        <v>0</v>
      </c>
      <c r="Q34" s="30">
        <f>SUM(F34:P34)</f>
        <v>316731428.29999995</v>
      </c>
      <c r="R34" s="52"/>
      <c r="S34" s="32"/>
      <c r="T34" s="9"/>
      <c r="U34" s="32"/>
      <c r="V34" s="9"/>
      <c r="W34" s="52"/>
      <c r="X34" s="45"/>
    </row>
    <row r="35" spans="2:26" x14ac:dyDescent="0.35">
      <c r="B35" t="s">
        <v>24</v>
      </c>
      <c r="F35" s="27">
        <f>F34</f>
        <v>-14070025</v>
      </c>
      <c r="G35" s="27">
        <f>F35+G34</f>
        <v>52090265.659999996</v>
      </c>
      <c r="H35" s="27">
        <f t="shared" ref="H35" si="20">G35+H34</f>
        <v>118250556.31999999</v>
      </c>
      <c r="I35" s="27">
        <f t="shared" ref="I35" si="21">H35+I34</f>
        <v>184410846.97999999</v>
      </c>
      <c r="J35" s="27">
        <f t="shared" ref="J35" si="22">I35+J34</f>
        <v>250571137.63999999</v>
      </c>
      <c r="K35" s="27">
        <f t="shared" ref="K35" si="23">J35+K34</f>
        <v>316731428.29999995</v>
      </c>
      <c r="L35" s="27"/>
      <c r="M35" s="27"/>
      <c r="N35" s="27"/>
      <c r="O35" s="27"/>
      <c r="P35" s="27"/>
      <c r="Q35" s="27"/>
      <c r="R35" s="52"/>
      <c r="S35" s="34"/>
      <c r="T35" s="34"/>
      <c r="U35" s="34"/>
      <c r="V35" s="34"/>
      <c r="W35" s="52"/>
      <c r="X35" s="45"/>
    </row>
    <row r="36" spans="2:26" x14ac:dyDescent="0.35">
      <c r="B36" t="s">
        <v>25</v>
      </c>
      <c r="F36" s="27"/>
      <c r="G36" s="156">
        <f>IF(AND(F35&lt;0,G35&gt;0),G41-(G35/G34),0)</f>
        <v>0.21266570717330036</v>
      </c>
      <c r="H36" s="156">
        <f t="shared" ref="H36:M36" si="24">IF(AND(G35&lt;0,H35&gt;0),H41-(H35/H34),0)</f>
        <v>0</v>
      </c>
      <c r="I36" s="156">
        <f t="shared" si="24"/>
        <v>0</v>
      </c>
      <c r="J36" s="156">
        <f t="shared" si="24"/>
        <v>0</v>
      </c>
      <c r="K36" s="156">
        <f t="shared" si="24"/>
        <v>0</v>
      </c>
      <c r="L36" s="156">
        <f t="shared" si="24"/>
        <v>0</v>
      </c>
      <c r="M36" s="156">
        <f t="shared" si="24"/>
        <v>0</v>
      </c>
      <c r="N36" s="156">
        <f>IF(AND(M35&lt;0,N35&gt;0),N41-(N35/N34),0)</f>
        <v>0</v>
      </c>
      <c r="O36" s="156">
        <f t="shared" ref="O36:P36" si="25">IF(AND(O35&lt;0,P35&gt;0),N41-(N35/N34),0)</f>
        <v>0</v>
      </c>
      <c r="P36" s="156">
        <f t="shared" si="25"/>
        <v>0</v>
      </c>
      <c r="Q36" s="31"/>
      <c r="R36" s="31"/>
      <c r="S36" s="35"/>
      <c r="T36" s="35"/>
      <c r="U36" s="35"/>
      <c r="V36" s="35"/>
      <c r="W36" s="31"/>
    </row>
    <row r="37" spans="2:26" x14ac:dyDescent="0.35">
      <c r="B37" s="55" t="s">
        <v>26</v>
      </c>
      <c r="C37" s="56"/>
      <c r="D37" s="56"/>
      <c r="E37" s="56"/>
      <c r="F37" s="76">
        <f>IRR(F34:P34)</f>
        <v>4.7014350567971093</v>
      </c>
      <c r="S37" s="35"/>
      <c r="T37" s="35"/>
      <c r="U37" s="35"/>
      <c r="V37" s="35"/>
    </row>
    <row r="38" spans="2:26" x14ac:dyDescent="0.35">
      <c r="B38" s="57" t="s">
        <v>27</v>
      </c>
      <c r="C38" s="58"/>
      <c r="D38" s="58"/>
      <c r="E38" s="58"/>
      <c r="F38" s="59">
        <f>NPV(F3,G34:H34)+F34</f>
        <v>100753619.94710742</v>
      </c>
      <c r="G38" s="66"/>
      <c r="H38" s="75"/>
      <c r="I38" s="14"/>
      <c r="S38" s="35"/>
      <c r="T38" s="35"/>
      <c r="U38" s="35"/>
      <c r="V38" s="35"/>
    </row>
    <row r="39" spans="2:26" x14ac:dyDescent="0.35">
      <c r="B39" s="57" t="s">
        <v>28</v>
      </c>
      <c r="C39" s="58"/>
      <c r="D39" s="58"/>
      <c r="E39" s="58"/>
      <c r="F39" s="60">
        <f>Q25</f>
        <v>0.31342360265440278</v>
      </c>
      <c r="H39" s="66"/>
      <c r="S39" s="35"/>
      <c r="T39" s="35"/>
      <c r="U39" s="35"/>
      <c r="V39" s="35"/>
    </row>
    <row r="40" spans="2:26" x14ac:dyDescent="0.35">
      <c r="B40" s="61" t="s">
        <v>29</v>
      </c>
      <c r="C40" s="62"/>
      <c r="D40" s="62"/>
      <c r="E40" s="62"/>
      <c r="F40" s="167">
        <f>SUM(F36:P36)</f>
        <v>0.21266570717330036</v>
      </c>
      <c r="S40" s="35"/>
      <c r="T40" s="35"/>
      <c r="U40" s="35"/>
      <c r="V40" s="35"/>
    </row>
    <row r="41" spans="2:26" x14ac:dyDescent="0.35">
      <c r="G41" s="9">
        <v>1</v>
      </c>
      <c r="H41" s="32">
        <f>G41+1</f>
        <v>2</v>
      </c>
      <c r="I41" s="32">
        <f t="shared" ref="I41:P41" si="26">H41+1</f>
        <v>3</v>
      </c>
      <c r="J41" s="32">
        <f t="shared" si="26"/>
        <v>4</v>
      </c>
      <c r="K41" s="32">
        <f t="shared" si="26"/>
        <v>5</v>
      </c>
      <c r="L41" s="32">
        <f t="shared" si="26"/>
        <v>6</v>
      </c>
      <c r="M41" s="32">
        <f t="shared" si="26"/>
        <v>7</v>
      </c>
      <c r="N41" s="32">
        <f t="shared" si="26"/>
        <v>8</v>
      </c>
      <c r="O41" s="32">
        <f t="shared" si="26"/>
        <v>9</v>
      </c>
      <c r="P41" s="32">
        <f t="shared" si="26"/>
        <v>10</v>
      </c>
      <c r="Q41" s="32"/>
      <c r="R41" s="9"/>
      <c r="S41" s="42"/>
      <c r="T41" s="42"/>
      <c r="U41" s="42"/>
      <c r="V41" s="42"/>
    </row>
    <row r="42" spans="2:26" ht="16" thickBot="1" x14ac:dyDescent="0.4">
      <c r="B42" s="33" t="s">
        <v>30</v>
      </c>
      <c r="E42" s="34" t="s">
        <v>31</v>
      </c>
      <c r="G42" s="34" t="str">
        <f t="shared" ref="G42:P42" si="27">G12</f>
        <v>Year 1</v>
      </c>
      <c r="H42" s="34" t="str">
        <f t="shared" si="27"/>
        <v>Year 2</v>
      </c>
      <c r="I42" s="34" t="str">
        <f t="shared" si="27"/>
        <v>Year 3</v>
      </c>
      <c r="J42" s="34" t="str">
        <f t="shared" si="27"/>
        <v>Year 4</v>
      </c>
      <c r="K42" s="34" t="str">
        <f t="shared" si="27"/>
        <v>Year 5</v>
      </c>
      <c r="L42" s="34" t="str">
        <f t="shared" si="27"/>
        <v>Year 6</v>
      </c>
      <c r="M42" s="34" t="str">
        <f t="shared" si="27"/>
        <v>Year 7</v>
      </c>
      <c r="N42" s="34" t="str">
        <f t="shared" si="27"/>
        <v>Year 8</v>
      </c>
      <c r="O42" s="34" t="str">
        <f t="shared" si="27"/>
        <v>Year 9</v>
      </c>
      <c r="P42" s="34" t="str">
        <f t="shared" si="27"/>
        <v>Year 10</v>
      </c>
      <c r="Q42" s="69" t="s">
        <v>12</v>
      </c>
      <c r="R42" s="34"/>
      <c r="W42" s="34"/>
    </row>
    <row r="43" spans="2:26" x14ac:dyDescent="0.35">
      <c r="D43" t="s">
        <v>6</v>
      </c>
      <c r="E43">
        <v>5</v>
      </c>
      <c r="G43" s="68">
        <f>SUM(G8:G9)/$E43</f>
        <v>2814005</v>
      </c>
      <c r="H43" s="35">
        <f>G43</f>
        <v>2814005</v>
      </c>
      <c r="I43" s="35">
        <f>H43</f>
        <v>2814005</v>
      </c>
      <c r="J43" s="35">
        <f>I43</f>
        <v>2814005</v>
      </c>
      <c r="K43" s="35">
        <f>J43</f>
        <v>2814005</v>
      </c>
      <c r="L43" s="35"/>
      <c r="M43" s="35"/>
      <c r="N43" s="35"/>
      <c r="O43" s="35"/>
      <c r="P43" s="35"/>
      <c r="Q43" s="35">
        <f t="shared" ref="Q43:Q44" si="28">SUM(G43:P43)</f>
        <v>14070025</v>
      </c>
      <c r="R43" s="35"/>
      <c r="W43" s="36"/>
    </row>
    <row r="44" spans="2:26" hidden="1" x14ac:dyDescent="0.35">
      <c r="D44" t="s">
        <v>7</v>
      </c>
      <c r="E44">
        <v>1</v>
      </c>
      <c r="H44" s="68">
        <f>SUM(H8:H9)/$E$44</f>
        <v>0</v>
      </c>
      <c r="I44" s="68">
        <f t="shared" ref="I44:P44" si="29">H44</f>
        <v>0</v>
      </c>
      <c r="J44" s="68">
        <f t="shared" si="29"/>
        <v>0</v>
      </c>
      <c r="K44" s="68">
        <f t="shared" si="29"/>
        <v>0</v>
      </c>
      <c r="L44" s="68">
        <f t="shared" si="29"/>
        <v>0</v>
      </c>
      <c r="M44" s="68">
        <f t="shared" si="29"/>
        <v>0</v>
      </c>
      <c r="N44" s="68">
        <f t="shared" si="29"/>
        <v>0</v>
      </c>
      <c r="O44" s="68">
        <f t="shared" si="29"/>
        <v>0</v>
      </c>
      <c r="P44" s="68">
        <f t="shared" si="29"/>
        <v>0</v>
      </c>
      <c r="Q44" s="68">
        <f t="shared" si="28"/>
        <v>0</v>
      </c>
      <c r="R44" s="35"/>
      <c r="W44" s="36"/>
    </row>
    <row r="45" spans="2:26" ht="16" thickBot="1" x14ac:dyDescent="0.4">
      <c r="B45" s="37" t="s">
        <v>32</v>
      </c>
      <c r="C45" s="38"/>
      <c r="D45" s="38"/>
      <c r="E45" s="38"/>
      <c r="F45" s="38"/>
      <c r="G45" s="39">
        <f t="shared" ref="G45:Q45" si="30">SUM(G43:G44)</f>
        <v>2814005</v>
      </c>
      <c r="H45" s="39">
        <f t="shared" si="30"/>
        <v>2814005</v>
      </c>
      <c r="I45" s="39">
        <f t="shared" si="30"/>
        <v>2814005</v>
      </c>
      <c r="J45" s="39">
        <f t="shared" si="30"/>
        <v>2814005</v>
      </c>
      <c r="K45" s="39">
        <f t="shared" si="30"/>
        <v>2814005</v>
      </c>
      <c r="L45" s="39">
        <f t="shared" si="30"/>
        <v>0</v>
      </c>
      <c r="M45" s="39">
        <f t="shared" si="30"/>
        <v>0</v>
      </c>
      <c r="N45" s="39">
        <f t="shared" si="30"/>
        <v>0</v>
      </c>
      <c r="O45" s="39">
        <f t="shared" si="30"/>
        <v>0</v>
      </c>
      <c r="P45" s="39">
        <f t="shared" si="30"/>
        <v>0</v>
      </c>
      <c r="Q45" s="39">
        <f t="shared" si="30"/>
        <v>14070025</v>
      </c>
      <c r="R45" s="42"/>
      <c r="W45" s="42"/>
      <c r="X45" s="40"/>
      <c r="Y45" s="40"/>
      <c r="Z45" s="40"/>
    </row>
    <row r="46" spans="2:26" ht="16" thickTop="1" x14ac:dyDescent="0.35">
      <c r="W46" s="14"/>
    </row>
    <row r="48" spans="2:26" x14ac:dyDescent="0.35">
      <c r="F48" t="s">
        <v>49</v>
      </c>
    </row>
  </sheetData>
  <mergeCells count="1">
    <mergeCell ref="E17:F17"/>
  </mergeCells>
  <pageMargins left="0.23622047244094491" right="0.23622047244094491" top="0.74803149606299213" bottom="0.74803149606299213" header="0.31496062992125984" footer="0.31496062992125984"/>
  <pageSetup paperSize="9" scale="1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T56"/>
  <sheetViews>
    <sheetView zoomScale="70" zoomScaleNormal="70" workbookViewId="0">
      <selection activeCell="K32" sqref="K32"/>
    </sheetView>
  </sheetViews>
  <sheetFormatPr defaultRowHeight="15.5" x14ac:dyDescent="0.35"/>
  <cols>
    <col min="1" max="1" width="13.5" bestFit="1" customWidth="1"/>
    <col min="2" max="2" width="15.83203125" bestFit="1" customWidth="1"/>
    <col min="3" max="3" width="14.5" bestFit="1" customWidth="1"/>
    <col min="4" max="4" width="13.6640625" bestFit="1" customWidth="1"/>
    <col min="5" max="5" width="14.83203125" customWidth="1"/>
    <col min="6" max="6" width="15" customWidth="1"/>
    <col min="7" max="7" width="13" bestFit="1" customWidth="1"/>
    <col min="8" max="8" width="16.6640625" customWidth="1"/>
    <col min="9" max="9" width="15.33203125" customWidth="1"/>
    <col min="10" max="11" width="13.6640625" bestFit="1" customWidth="1"/>
    <col min="12" max="12" width="12.1640625" bestFit="1" customWidth="1"/>
    <col min="13" max="13" width="14" bestFit="1" customWidth="1"/>
    <col min="14" max="14" width="12.1640625" bestFit="1" customWidth="1"/>
    <col min="15" max="15" width="14.6640625" bestFit="1" customWidth="1"/>
    <col min="16" max="18" width="12.1640625" bestFit="1" customWidth="1"/>
    <col min="19" max="19" width="10.1640625" bestFit="1" customWidth="1"/>
  </cols>
  <sheetData>
    <row r="1" spans="1:20" x14ac:dyDescent="0.35">
      <c r="B1" s="9">
        <v>5</v>
      </c>
      <c r="C1" s="116">
        <v>2013</v>
      </c>
      <c r="D1" s="116">
        <f>C1+1</f>
        <v>2014</v>
      </c>
      <c r="E1" s="116">
        <f t="shared" ref="E1:M1" si="0">D1+1</f>
        <v>2015</v>
      </c>
      <c r="F1" s="116">
        <f t="shared" si="0"/>
        <v>2016</v>
      </c>
      <c r="G1" s="116">
        <f t="shared" si="0"/>
        <v>2017</v>
      </c>
      <c r="H1" s="116">
        <f t="shared" si="0"/>
        <v>2018</v>
      </c>
      <c r="I1" s="116">
        <f t="shared" si="0"/>
        <v>2019</v>
      </c>
      <c r="J1" s="116">
        <f t="shared" si="0"/>
        <v>2020</v>
      </c>
      <c r="K1" s="116">
        <f t="shared" si="0"/>
        <v>2021</v>
      </c>
      <c r="L1" s="116">
        <f t="shared" si="0"/>
        <v>2022</v>
      </c>
      <c r="M1" s="116">
        <f t="shared" si="0"/>
        <v>2023</v>
      </c>
    </row>
    <row r="2" spans="1:20" x14ac:dyDescent="0.35">
      <c r="A2" s="158" t="s">
        <v>142</v>
      </c>
      <c r="B2" t="s">
        <v>50</v>
      </c>
      <c r="C2" s="77">
        <v>1726670811.6800001</v>
      </c>
      <c r="D2" s="14">
        <f>C2-C3</f>
        <v>1381336649.3440001</v>
      </c>
      <c r="E2" s="14">
        <f>D2-C3</f>
        <v>1036002487.0080001</v>
      </c>
      <c r="F2" s="14">
        <f>E2-C3</f>
        <v>690668324.67200017</v>
      </c>
      <c r="G2" s="14">
        <f>F2-C3</f>
        <v>345334162.33600014</v>
      </c>
      <c r="H2" s="14">
        <f>G2-C3</f>
        <v>0</v>
      </c>
      <c r="I2" s="14">
        <f>H2-$E$3</f>
        <v>0</v>
      </c>
      <c r="J2" s="14">
        <f>I2-$E$3</f>
        <v>0</v>
      </c>
      <c r="K2" s="14"/>
      <c r="N2">
        <v>2013</v>
      </c>
      <c r="O2" s="77">
        <v>1726670811.6800001</v>
      </c>
      <c r="P2" s="14"/>
      <c r="Q2" s="14"/>
      <c r="R2" s="14"/>
      <c r="S2" s="14"/>
    </row>
    <row r="3" spans="1:20" x14ac:dyDescent="0.35">
      <c r="B3" t="s">
        <v>51</v>
      </c>
      <c r="C3" s="77">
        <f>C2/B1</f>
        <v>345334162.33600003</v>
      </c>
      <c r="D3" s="77"/>
      <c r="E3" s="77"/>
      <c r="N3">
        <v>2014</v>
      </c>
      <c r="O3" s="77">
        <v>422342499</v>
      </c>
    </row>
    <row r="4" spans="1:20" x14ac:dyDescent="0.35">
      <c r="B4" t="s">
        <v>52</v>
      </c>
      <c r="C4" s="77">
        <f>(($C$2*IRR!$F$3)*6)/12</f>
        <v>86333540.584000006</v>
      </c>
      <c r="D4" s="14">
        <f>AVERAGE(C2:D2)*IRR!$F$3</f>
        <v>155400373.0512</v>
      </c>
      <c r="E4" s="14">
        <f>AVERAGE(D2:E2)*IRR!$F$3</f>
        <v>120866956.81760001</v>
      </c>
      <c r="F4" s="14">
        <f>AVERAGE(E2:F2)*IRR!$F$3</f>
        <v>86333540.584000021</v>
      </c>
      <c r="G4" s="14">
        <f>AVERAGE(F2:G2)*IRR!$F$3</f>
        <v>51800124.350400023</v>
      </c>
      <c r="H4" s="14">
        <f>AVERAGE(G2:H2)*IRR!$F$3</f>
        <v>17266708.116800006</v>
      </c>
      <c r="I4" s="14">
        <f>AVERAGE($H$2:$I$2)*[3]IRR!$G$4</f>
        <v>0</v>
      </c>
      <c r="J4" s="14">
        <f>AVERAGE($I$2:$J$2)*[3]IRR!$G$4</f>
        <v>0</v>
      </c>
      <c r="K4" s="14"/>
      <c r="N4">
        <v>2016</v>
      </c>
      <c r="O4" s="77">
        <v>10773000</v>
      </c>
      <c r="P4" s="14"/>
      <c r="Q4" s="14"/>
      <c r="R4" s="14"/>
      <c r="S4" s="14"/>
      <c r="T4" s="14"/>
    </row>
    <row r="5" spans="1:20" x14ac:dyDescent="0.35">
      <c r="A5" s="158" t="s">
        <v>143</v>
      </c>
      <c r="B5" t="s">
        <v>50</v>
      </c>
      <c r="C5" s="77"/>
      <c r="D5" s="14">
        <v>422342499</v>
      </c>
      <c r="E5" s="14">
        <f>D5-D6</f>
        <v>337873999.19999999</v>
      </c>
      <c r="F5" s="14">
        <f>E5-D6</f>
        <v>253405499.39999998</v>
      </c>
      <c r="G5" s="14">
        <f>F5-D6</f>
        <v>168936999.59999996</v>
      </c>
      <c r="H5" s="14">
        <f>G5-D6</f>
        <v>84468499.799999967</v>
      </c>
      <c r="I5" s="14">
        <f>H5-D6</f>
        <v>0</v>
      </c>
      <c r="J5" s="14"/>
      <c r="K5" s="14"/>
      <c r="N5">
        <v>2017</v>
      </c>
      <c r="O5" s="77">
        <v>102210600</v>
      </c>
    </row>
    <row r="6" spans="1:20" x14ac:dyDescent="0.35">
      <c r="B6" t="s">
        <v>51</v>
      </c>
      <c r="C6" s="77"/>
      <c r="D6" s="14">
        <f>D5/B1</f>
        <v>84468499.799999997</v>
      </c>
      <c r="E6" s="14"/>
      <c r="F6" s="14"/>
      <c r="G6" s="14"/>
      <c r="H6" s="14"/>
      <c r="I6" s="14"/>
      <c r="J6" s="14"/>
      <c r="K6" s="14"/>
    </row>
    <row r="7" spans="1:20" x14ac:dyDescent="0.35">
      <c r="B7" t="s">
        <v>52</v>
      </c>
      <c r="C7" s="77"/>
      <c r="D7" s="77">
        <f>((D5*IRR!$F$3)*6)/12</f>
        <v>21117124.950000003</v>
      </c>
      <c r="E7" s="14">
        <f>AVERAGE(D5:E5)*IRR!$F$3</f>
        <v>38010824.910000004</v>
      </c>
      <c r="F7" s="14">
        <f>AVERAGE(E5:F5)*IRR!$F$3</f>
        <v>29563974.929999996</v>
      </c>
      <c r="G7" s="14">
        <f>AVERAGE(F5:G5)*IRR!$F$3</f>
        <v>21117124.949999999</v>
      </c>
      <c r="H7" s="14">
        <f>AVERAGE(G5:H5)*IRR!$F$3</f>
        <v>12670274.969999997</v>
      </c>
      <c r="I7" s="14">
        <f>AVERAGE(H5:I5)*IRR!$F$3</f>
        <v>4223424.9899999984</v>
      </c>
      <c r="J7" s="14"/>
      <c r="K7" s="14"/>
    </row>
    <row r="8" spans="1:20" x14ac:dyDescent="0.35">
      <c r="A8" s="158" t="s">
        <v>144</v>
      </c>
      <c r="B8" t="s">
        <v>50</v>
      </c>
      <c r="C8" s="77"/>
      <c r="D8" s="14"/>
      <c r="F8" s="14">
        <v>10773000</v>
      </c>
      <c r="G8" s="14">
        <f>F8-F9</f>
        <v>8618400</v>
      </c>
      <c r="H8" s="14">
        <f>G8-F9</f>
        <v>6463800</v>
      </c>
      <c r="I8" s="14">
        <f>H8-F9</f>
        <v>4309200</v>
      </c>
      <c r="J8" s="14">
        <f>I8-F9</f>
        <v>2154600</v>
      </c>
      <c r="K8" s="14">
        <f>J8-F9</f>
        <v>0</v>
      </c>
    </row>
    <row r="9" spans="1:20" x14ac:dyDescent="0.35">
      <c r="B9" t="s">
        <v>51</v>
      </c>
      <c r="C9" s="77"/>
      <c r="D9" s="14"/>
      <c r="F9" s="14">
        <f>F8/B1</f>
        <v>2154600</v>
      </c>
      <c r="G9" s="14"/>
      <c r="H9" s="14"/>
      <c r="I9" s="14"/>
      <c r="J9" s="14"/>
      <c r="K9" s="14"/>
    </row>
    <row r="10" spans="1:20" x14ac:dyDescent="0.35">
      <c r="B10" t="s">
        <v>52</v>
      </c>
      <c r="C10" s="77"/>
      <c r="D10" s="14"/>
      <c r="F10" s="77">
        <f>((F8*IRR!$F$3)*6)/12</f>
        <v>538650</v>
      </c>
      <c r="G10" s="14">
        <f>AVERAGE(F8:G8)*IRR!$F$3</f>
        <v>969570</v>
      </c>
      <c r="H10" s="14">
        <f>AVERAGE(G8:H8)*IRR!$F$3</f>
        <v>754110</v>
      </c>
      <c r="I10" s="14">
        <f>AVERAGE(H8:I8)*IRR!$F$3</f>
        <v>538650</v>
      </c>
      <c r="J10" s="14">
        <f>AVERAGE(I8:J8)*IRR!$F$3</f>
        <v>323190</v>
      </c>
      <c r="K10" s="14">
        <f>AVERAGE(J8:K8)*IRR!$F$3</f>
        <v>107730</v>
      </c>
    </row>
    <row r="11" spans="1:20" x14ac:dyDescent="0.35">
      <c r="A11" s="158" t="s">
        <v>145</v>
      </c>
      <c r="B11" t="s">
        <v>50</v>
      </c>
      <c r="C11" s="77"/>
      <c r="D11" s="14"/>
      <c r="E11" s="14"/>
      <c r="F11" s="14"/>
      <c r="G11" s="14">
        <v>102210600</v>
      </c>
      <c r="H11" s="14">
        <f>G11-G12</f>
        <v>81768480</v>
      </c>
      <c r="I11" s="14">
        <f>H11-G12</f>
        <v>61326360</v>
      </c>
      <c r="J11" s="14">
        <f>I11-G12</f>
        <v>40884240</v>
      </c>
      <c r="K11" s="14">
        <f>J11-G12</f>
        <v>20442120</v>
      </c>
      <c r="L11" s="14">
        <f>K11-G12</f>
        <v>0</v>
      </c>
    </row>
    <row r="12" spans="1:20" x14ac:dyDescent="0.35">
      <c r="B12" t="s">
        <v>51</v>
      </c>
      <c r="C12" s="77"/>
      <c r="D12" s="14"/>
      <c r="E12" s="14"/>
      <c r="F12" s="14"/>
      <c r="G12" s="14">
        <f>G11/B1</f>
        <v>20442120</v>
      </c>
      <c r="H12" s="14"/>
      <c r="I12" s="14"/>
      <c r="J12" s="14"/>
      <c r="K12" s="14"/>
      <c r="L12" s="14"/>
    </row>
    <row r="13" spans="1:20" x14ac:dyDescent="0.35">
      <c r="B13" t="s">
        <v>52</v>
      </c>
      <c r="C13" s="77"/>
      <c r="D13" s="14"/>
      <c r="E13" s="77"/>
      <c r="F13" s="14"/>
      <c r="G13" s="77">
        <f>((G11*IRR!$F$3)*6)/12</f>
        <v>5110530</v>
      </c>
      <c r="H13" s="14">
        <f>AVERAGE(G11:H11)*IRR!$F$3</f>
        <v>9198954</v>
      </c>
      <c r="I13" s="14">
        <f>AVERAGE(H11:I11)*IRR!$F$3</f>
        <v>7154742</v>
      </c>
      <c r="J13" s="14">
        <f>AVERAGE(I11:J11)*IRR!$F$3</f>
        <v>5110530</v>
      </c>
      <c r="K13" s="14">
        <f>AVERAGE(J11:K11)*IRR!$F$3</f>
        <v>3066318</v>
      </c>
      <c r="L13" s="14">
        <f>AVERAGE(K11:L11)*IRR!$F$3</f>
        <v>1022106</v>
      </c>
    </row>
    <row r="14" spans="1:20" x14ac:dyDescent="0.35">
      <c r="C14" s="77"/>
      <c r="D14" s="14"/>
      <c r="E14" s="14"/>
      <c r="F14" s="14"/>
      <c r="G14" s="14"/>
      <c r="H14" s="14"/>
      <c r="I14" s="14"/>
      <c r="J14" s="14"/>
      <c r="K14" s="14"/>
    </row>
    <row r="15" spans="1:20" x14ac:dyDescent="0.35">
      <c r="C15" s="150">
        <f>C4+C7+C10+C13</f>
        <v>86333540.584000006</v>
      </c>
      <c r="D15" s="150">
        <f t="shared" ref="D15:M15" si="1">D4+D7+D10+D13</f>
        <v>176517498.00120002</v>
      </c>
      <c r="E15" s="150">
        <f t="shared" si="1"/>
        <v>158877781.72760001</v>
      </c>
      <c r="F15" s="150">
        <f t="shared" si="1"/>
        <v>116436165.51400001</v>
      </c>
      <c r="G15" s="150">
        <f t="shared" si="1"/>
        <v>78997349.300400019</v>
      </c>
      <c r="H15" s="150">
        <f t="shared" si="1"/>
        <v>39890047.086800002</v>
      </c>
      <c r="I15" s="150">
        <f t="shared" si="1"/>
        <v>11916816.989999998</v>
      </c>
      <c r="J15" s="150">
        <f t="shared" si="1"/>
        <v>5433720</v>
      </c>
      <c r="K15" s="150">
        <f t="shared" si="1"/>
        <v>3174048</v>
      </c>
      <c r="L15" s="150">
        <f t="shared" si="1"/>
        <v>1022106</v>
      </c>
      <c r="M15" s="150">
        <f t="shared" si="1"/>
        <v>0</v>
      </c>
    </row>
    <row r="16" spans="1:20" x14ac:dyDescent="0.35">
      <c r="B16" s="77"/>
      <c r="C16" s="14"/>
      <c r="D16" s="14"/>
      <c r="E16" s="14"/>
      <c r="F16" s="14"/>
      <c r="G16" s="14"/>
      <c r="H16" s="14"/>
      <c r="I16" s="14"/>
      <c r="J16" s="14"/>
      <c r="K16" s="14"/>
    </row>
    <row r="18" spans="1:11" x14ac:dyDescent="0.35">
      <c r="A18" s="122" t="s">
        <v>2</v>
      </c>
      <c r="B18" s="151">
        <v>50000000</v>
      </c>
      <c r="C18" s="152">
        <f>B18+C19</f>
        <v>51000000</v>
      </c>
      <c r="D18" s="152">
        <f>C18+D20</f>
        <v>52020000</v>
      </c>
      <c r="E18" s="152">
        <f t="shared" ref="E18:K18" si="2">D18+E20</f>
        <v>53060400</v>
      </c>
      <c r="F18" s="152">
        <f t="shared" si="2"/>
        <v>54121608</v>
      </c>
      <c r="G18" s="152">
        <f t="shared" si="2"/>
        <v>55204040.159999996</v>
      </c>
      <c r="H18" s="152">
        <f t="shared" si="2"/>
        <v>56308120.963199995</v>
      </c>
      <c r="I18" s="152">
        <f t="shared" si="2"/>
        <v>57434283.382463992</v>
      </c>
      <c r="J18" s="152">
        <f t="shared" si="2"/>
        <v>58582969.050113268</v>
      </c>
      <c r="K18" s="152">
        <f t="shared" si="2"/>
        <v>59754628.43111553</v>
      </c>
    </row>
    <row r="19" spans="1:11" x14ac:dyDescent="0.35">
      <c r="A19" s="153">
        <v>0.02</v>
      </c>
      <c r="B19" s="122"/>
      <c r="C19" s="152">
        <f>C20</f>
        <v>1000000</v>
      </c>
      <c r="D19" s="152">
        <f>C19+D20</f>
        <v>2020000</v>
      </c>
      <c r="E19" s="152">
        <f t="shared" ref="E19:K19" si="3">D19+E20</f>
        <v>3060400</v>
      </c>
      <c r="F19" s="152">
        <f t="shared" si="3"/>
        <v>4121608</v>
      </c>
      <c r="G19" s="152">
        <f t="shared" si="3"/>
        <v>5204040.16</v>
      </c>
      <c r="H19" s="152">
        <f t="shared" si="3"/>
        <v>6308120.9632000001</v>
      </c>
      <c r="I19" s="152">
        <f t="shared" si="3"/>
        <v>7434283.382464</v>
      </c>
      <c r="J19" s="152">
        <f t="shared" si="3"/>
        <v>8582969.0501132794</v>
      </c>
      <c r="K19" s="152">
        <f t="shared" si="3"/>
        <v>9754628.4311155453</v>
      </c>
    </row>
    <row r="20" spans="1:11" x14ac:dyDescent="0.35">
      <c r="A20" s="122"/>
      <c r="B20" s="122"/>
      <c r="C20" s="152">
        <f t="shared" ref="C20:K20" si="4">B18*$A$19</f>
        <v>1000000</v>
      </c>
      <c r="D20" s="152">
        <f t="shared" si="4"/>
        <v>1020000</v>
      </c>
      <c r="E20" s="152">
        <f t="shared" si="4"/>
        <v>1040400</v>
      </c>
      <c r="F20" s="152">
        <f t="shared" si="4"/>
        <v>1061208</v>
      </c>
      <c r="G20" s="152">
        <f t="shared" si="4"/>
        <v>1082432.1599999999</v>
      </c>
      <c r="H20" s="152">
        <f t="shared" si="4"/>
        <v>1104080.8032</v>
      </c>
      <c r="I20" s="152">
        <f t="shared" si="4"/>
        <v>1126162.4192639999</v>
      </c>
      <c r="J20" s="152">
        <f t="shared" si="4"/>
        <v>1148685.6676492798</v>
      </c>
      <c r="K20" s="152">
        <f t="shared" si="4"/>
        <v>1171659.3810022655</v>
      </c>
    </row>
    <row r="21" spans="1:11" x14ac:dyDescent="0.35">
      <c r="C21" s="14"/>
      <c r="D21" s="14"/>
      <c r="E21" s="14"/>
      <c r="F21" s="14"/>
      <c r="G21" s="14"/>
      <c r="H21" s="14"/>
      <c r="I21" s="14"/>
      <c r="J21" s="14"/>
      <c r="K21" s="14"/>
    </row>
    <row r="22" spans="1:11" x14ac:dyDescent="0.35">
      <c r="F22" s="116" t="s">
        <v>86</v>
      </c>
      <c r="G22" s="116" t="s">
        <v>87</v>
      </c>
      <c r="H22" s="116" t="s">
        <v>88</v>
      </c>
      <c r="I22" s="117" t="s">
        <v>89</v>
      </c>
      <c r="J22" s="217" t="s">
        <v>90</v>
      </c>
      <c r="K22" s="217" t="s">
        <v>91</v>
      </c>
    </row>
    <row r="23" spans="1:11" x14ac:dyDescent="0.35">
      <c r="E23" s="118" t="s">
        <v>92</v>
      </c>
      <c r="F23" s="119">
        <v>1</v>
      </c>
      <c r="G23" s="120">
        <v>1</v>
      </c>
      <c r="H23" s="120">
        <v>1</v>
      </c>
      <c r="I23" s="121">
        <v>50</v>
      </c>
      <c r="J23" s="217"/>
      <c r="K23" s="217"/>
    </row>
    <row r="24" spans="1:11" x14ac:dyDescent="0.35">
      <c r="B24" s="218" t="s">
        <v>93</v>
      </c>
      <c r="C24" s="122" t="s">
        <v>94</v>
      </c>
      <c r="D24" s="123">
        <f>C35</f>
        <v>3000000</v>
      </c>
      <c r="E24" s="122" t="s">
        <v>86</v>
      </c>
      <c r="F24" s="116">
        <f>F23</f>
        <v>1</v>
      </c>
      <c r="G24" s="116"/>
      <c r="H24" s="116"/>
      <c r="I24" s="117"/>
      <c r="J24" s="124">
        <f>F24*D24</f>
        <v>3000000</v>
      </c>
    </row>
    <row r="25" spans="1:11" x14ac:dyDescent="0.35">
      <c r="B25" s="219"/>
      <c r="C25" s="122" t="s">
        <v>95</v>
      </c>
      <c r="D25" s="125">
        <v>600000</v>
      </c>
      <c r="E25" s="122" t="s">
        <v>86</v>
      </c>
      <c r="F25" s="116">
        <f>F23</f>
        <v>1</v>
      </c>
      <c r="G25" s="116"/>
      <c r="H25" s="116"/>
      <c r="I25" s="117">
        <f>IF($I$23&lt;=120,2,IF($I$22&gt;220,4,3))</f>
        <v>2</v>
      </c>
      <c r="J25" s="125">
        <f>D25*F25</f>
        <v>600000</v>
      </c>
    </row>
    <row r="26" spans="1:11" x14ac:dyDescent="0.35">
      <c r="B26" s="220"/>
      <c r="C26" s="122" t="s">
        <v>93</v>
      </c>
      <c r="D26" s="125">
        <v>200000</v>
      </c>
      <c r="E26" s="122" t="s">
        <v>96</v>
      </c>
      <c r="F26" s="116"/>
      <c r="G26" s="116">
        <f>G23</f>
        <v>1</v>
      </c>
      <c r="H26" s="116"/>
      <c r="I26" s="117"/>
      <c r="J26" s="125">
        <f>G26*D26</f>
        <v>200000</v>
      </c>
    </row>
    <row r="27" spans="1:11" x14ac:dyDescent="0.35">
      <c r="B27" s="122" t="s">
        <v>97</v>
      </c>
      <c r="C27" s="122" t="s">
        <v>97</v>
      </c>
      <c r="D27" s="125">
        <v>450000</v>
      </c>
      <c r="E27" s="122" t="s">
        <v>88</v>
      </c>
      <c r="F27" s="116">
        <f>F23</f>
        <v>1</v>
      </c>
      <c r="G27" s="116"/>
      <c r="H27" s="116">
        <f>H23</f>
        <v>1</v>
      </c>
      <c r="I27" s="117">
        <f>IF($I$23&lt;=120,2,IF($I$23&gt;220,4,3))</f>
        <v>2</v>
      </c>
      <c r="J27" s="125">
        <f>H27*D27*I27</f>
        <v>900000</v>
      </c>
    </row>
    <row r="28" spans="1:11" x14ac:dyDescent="0.35">
      <c r="B28" s="122" t="s">
        <v>98</v>
      </c>
      <c r="C28" s="122" t="s">
        <v>98</v>
      </c>
      <c r="D28" s="125">
        <v>120000</v>
      </c>
      <c r="E28" s="122" t="s">
        <v>86</v>
      </c>
      <c r="F28" s="116">
        <f>F23</f>
        <v>1</v>
      </c>
      <c r="G28" s="116"/>
      <c r="H28" s="116"/>
      <c r="I28" s="117">
        <f>IF($I$23&lt;=120,2,IF($I$23&gt;220,4,3))</f>
        <v>2</v>
      </c>
      <c r="J28" s="125">
        <f>I28*D28*F28</f>
        <v>240000</v>
      </c>
    </row>
    <row r="29" spans="1:11" x14ac:dyDescent="0.35">
      <c r="J29" s="126">
        <f>SUM(J24:J28)</f>
        <v>4940000</v>
      </c>
      <c r="K29" s="127">
        <f>J29*2</f>
        <v>9880000</v>
      </c>
    </row>
    <row r="30" spans="1:11" x14ac:dyDescent="0.35">
      <c r="K30" s="14">
        <f>B41</f>
        <v>15720000</v>
      </c>
    </row>
    <row r="31" spans="1:11" x14ac:dyDescent="0.35">
      <c r="K31" s="14">
        <f>K29+K30</f>
        <v>25600000</v>
      </c>
    </row>
    <row r="32" spans="1:11" x14ac:dyDescent="0.35">
      <c r="K32" s="14"/>
    </row>
    <row r="33" spans="1:11" x14ac:dyDescent="0.35">
      <c r="B33" s="116" t="s">
        <v>99</v>
      </c>
      <c r="C33" s="116" t="s">
        <v>94</v>
      </c>
      <c r="E33" s="122" t="s">
        <v>100</v>
      </c>
      <c r="K33" s="36"/>
    </row>
    <row r="34" spans="1:11" x14ac:dyDescent="0.35">
      <c r="A34" t="s">
        <v>101</v>
      </c>
      <c r="B34" s="77">
        <v>16800000</v>
      </c>
      <c r="C34" s="77">
        <v>4000000</v>
      </c>
      <c r="E34" t="s">
        <v>102</v>
      </c>
      <c r="K34" s="14"/>
    </row>
    <row r="35" spans="1:11" x14ac:dyDescent="0.35">
      <c r="A35" t="s">
        <v>103</v>
      </c>
      <c r="B35" s="77"/>
      <c r="C35" s="77">
        <v>3000000</v>
      </c>
      <c r="E35" t="s">
        <v>104</v>
      </c>
      <c r="I35" s="77">
        <v>10000000</v>
      </c>
    </row>
    <row r="36" spans="1:11" x14ac:dyDescent="0.35">
      <c r="A36" t="s">
        <v>105</v>
      </c>
      <c r="B36" s="77">
        <v>15600000</v>
      </c>
      <c r="C36" s="77">
        <v>2500000</v>
      </c>
      <c r="E36" t="s">
        <v>104</v>
      </c>
      <c r="H36" t="s">
        <v>106</v>
      </c>
      <c r="I36" s="77">
        <v>12000000</v>
      </c>
    </row>
    <row r="37" spans="1:11" x14ac:dyDescent="0.35">
      <c r="A37" t="s">
        <v>107</v>
      </c>
      <c r="B37" s="77">
        <v>15000000</v>
      </c>
      <c r="C37" s="77">
        <v>2000000</v>
      </c>
      <c r="E37" t="s">
        <v>104</v>
      </c>
      <c r="H37" t="s">
        <v>108</v>
      </c>
      <c r="I37" s="77">
        <v>14000000</v>
      </c>
    </row>
    <row r="38" spans="1:11" x14ac:dyDescent="0.35">
      <c r="A38" t="s">
        <v>109</v>
      </c>
      <c r="B38" s="77">
        <v>15000000</v>
      </c>
      <c r="C38" s="77">
        <v>1850000</v>
      </c>
      <c r="E38" t="s">
        <v>104</v>
      </c>
      <c r="H38" t="s">
        <v>110</v>
      </c>
      <c r="I38" s="77">
        <v>14000000</v>
      </c>
    </row>
    <row r="39" spans="1:11" x14ac:dyDescent="0.35">
      <c r="A39" t="s">
        <v>111</v>
      </c>
      <c r="B39" s="77">
        <v>12000000</v>
      </c>
      <c r="C39" s="77">
        <v>1200000</v>
      </c>
      <c r="E39" t="s">
        <v>104</v>
      </c>
      <c r="H39" t="s">
        <v>101</v>
      </c>
      <c r="I39" s="77">
        <v>17000000</v>
      </c>
    </row>
    <row r="40" spans="1:11" x14ac:dyDescent="0.35">
      <c r="A40" t="s">
        <v>112</v>
      </c>
      <c r="B40" s="77">
        <v>16800000</v>
      </c>
      <c r="C40" s="77">
        <v>2000000</v>
      </c>
      <c r="E40" t="s">
        <v>104</v>
      </c>
      <c r="H40" t="s">
        <v>112</v>
      </c>
      <c r="I40" s="77">
        <v>14000000</v>
      </c>
    </row>
    <row r="41" spans="1:11" x14ac:dyDescent="0.35">
      <c r="A41" t="s">
        <v>113</v>
      </c>
      <c r="B41" s="77">
        <v>15720000</v>
      </c>
      <c r="C41" s="77">
        <v>3500000</v>
      </c>
    </row>
    <row r="42" spans="1:11" x14ac:dyDescent="0.35">
      <c r="A42" t="s">
        <v>114</v>
      </c>
      <c r="C42" s="77">
        <v>2800000</v>
      </c>
    </row>
    <row r="43" spans="1:11" x14ac:dyDescent="0.35">
      <c r="A43" t="s">
        <v>115</v>
      </c>
      <c r="B43">
        <v>0</v>
      </c>
      <c r="C43" s="77">
        <v>0</v>
      </c>
      <c r="D43" t="s">
        <v>116</v>
      </c>
    </row>
    <row r="45" spans="1:11" x14ac:dyDescent="0.35">
      <c r="B45" s="116" t="s">
        <v>117</v>
      </c>
      <c r="C45" s="116"/>
    </row>
    <row r="46" spans="1:11" x14ac:dyDescent="0.35">
      <c r="B46" s="77">
        <v>7000000</v>
      </c>
    </row>
    <row r="48" spans="1:11" x14ac:dyDescent="0.35">
      <c r="A48" s="122" t="s">
        <v>118</v>
      </c>
      <c r="B48" s="14"/>
    </row>
    <row r="49" spans="1:2" x14ac:dyDescent="0.35">
      <c r="A49" t="s">
        <v>119</v>
      </c>
    </row>
    <row r="50" spans="1:2" x14ac:dyDescent="0.35">
      <c r="A50" t="s">
        <v>120</v>
      </c>
      <c r="B50" s="77">
        <v>36000000</v>
      </c>
    </row>
    <row r="51" spans="1:2" x14ac:dyDescent="0.35">
      <c r="A51" t="s">
        <v>121</v>
      </c>
      <c r="B51" s="77">
        <v>42000000</v>
      </c>
    </row>
    <row r="52" spans="1:2" x14ac:dyDescent="0.35">
      <c r="A52" t="s">
        <v>122</v>
      </c>
      <c r="B52" s="77">
        <v>48000000</v>
      </c>
    </row>
    <row r="54" spans="1:2" x14ac:dyDescent="0.35">
      <c r="A54" t="s">
        <v>123</v>
      </c>
    </row>
    <row r="55" spans="1:2" x14ac:dyDescent="0.35">
      <c r="A55" t="s">
        <v>124</v>
      </c>
      <c r="B55" s="77">
        <v>75000000</v>
      </c>
    </row>
    <row r="56" spans="1:2" x14ac:dyDescent="0.35">
      <c r="A56" t="s">
        <v>122</v>
      </c>
      <c r="B56" s="77">
        <v>95000000</v>
      </c>
    </row>
  </sheetData>
  <mergeCells count="3">
    <mergeCell ref="J22:J23"/>
    <mergeCell ref="K22:K23"/>
    <mergeCell ref="B24:B26"/>
  </mergeCells>
  <conditionalFormatting sqref="B16:K16 C14:K14 C8:D10 F8:K10 O4:S4 C15:M15 C4:K7">
    <cfRule type="cellIs" dxfId="3" priority="4" operator="lessThan">
      <formula>0</formula>
    </cfRule>
  </conditionalFormatting>
  <conditionalFormatting sqref="T4">
    <cfRule type="cellIs" dxfId="2" priority="3" operator="lessThan">
      <formula>0</formula>
    </cfRule>
  </conditionalFormatting>
  <conditionalFormatting sqref="C11:F13">
    <cfRule type="cellIs" dxfId="1" priority="2" operator="lessThan">
      <formula>0</formula>
    </cfRule>
  </conditionalFormatting>
  <conditionalFormatting sqref="G11:L13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9"/>
  <sheetViews>
    <sheetView workbookViewId="0">
      <selection activeCell="E23" sqref="E23"/>
    </sheetView>
  </sheetViews>
  <sheetFormatPr defaultRowHeight="15.5" x14ac:dyDescent="0.35"/>
  <cols>
    <col min="2" max="3" width="13.6640625" bestFit="1" customWidth="1"/>
    <col min="4" max="4" width="12.08203125" bestFit="1" customWidth="1"/>
    <col min="5" max="5" width="10.08203125" bestFit="1" customWidth="1"/>
    <col min="6" max="6" width="12.08203125" bestFit="1" customWidth="1"/>
  </cols>
  <sheetData>
    <row r="1" spans="1:10" x14ac:dyDescent="0.35">
      <c r="B1">
        <v>2013</v>
      </c>
      <c r="C1">
        <v>2014</v>
      </c>
      <c r="D1">
        <v>2015</v>
      </c>
      <c r="E1">
        <v>2016</v>
      </c>
      <c r="F1">
        <v>2017</v>
      </c>
      <c r="G1">
        <v>2018</v>
      </c>
      <c r="H1">
        <v>2019</v>
      </c>
      <c r="I1">
        <v>2020</v>
      </c>
      <c r="J1">
        <v>2021</v>
      </c>
    </row>
    <row r="2" spans="1:10" x14ac:dyDescent="0.35">
      <c r="A2" t="s">
        <v>79</v>
      </c>
      <c r="B2" s="77">
        <v>1590676795</v>
      </c>
      <c r="C2" s="77"/>
      <c r="D2" s="77"/>
      <c r="E2" s="77"/>
      <c r="F2" s="77"/>
    </row>
    <row r="3" spans="1:10" x14ac:dyDescent="0.35">
      <c r="A3" t="s">
        <v>80</v>
      </c>
      <c r="B3" s="77"/>
      <c r="C3" s="77"/>
      <c r="D3" s="77">
        <v>482091041</v>
      </c>
    </row>
    <row r="5" spans="1:10" x14ac:dyDescent="0.35">
      <c r="A5" t="s">
        <v>79</v>
      </c>
      <c r="B5" s="77">
        <f>(B2/10)*(2023-B1)</f>
        <v>1590676795</v>
      </c>
      <c r="C5" s="77">
        <f t="shared" ref="C5:D5" si="0">(C2/10)*(2023-C1)</f>
        <v>0</v>
      </c>
      <c r="D5" s="77">
        <f t="shared" si="0"/>
        <v>0</v>
      </c>
      <c r="E5" s="77">
        <f t="shared" ref="E5:F5" si="1">(E2/10)*(2023-E1)</f>
        <v>0</v>
      </c>
      <c r="F5" s="77">
        <f t="shared" si="1"/>
        <v>0</v>
      </c>
    </row>
    <row r="6" spans="1:10" x14ac:dyDescent="0.35">
      <c r="A6" t="s">
        <v>80</v>
      </c>
      <c r="C6" s="77">
        <f>(C3/10)*(2023-C1)</f>
        <v>0</v>
      </c>
      <c r="D6" s="77">
        <f>(D3/10)*(2023-D1)</f>
        <v>385672832.80000001</v>
      </c>
      <c r="E6" s="77">
        <f t="shared" ref="E6" si="2">(E3/10)*(2023-E1)</f>
        <v>0</v>
      </c>
    </row>
    <row r="8" spans="1:10" x14ac:dyDescent="0.35">
      <c r="A8" t="s">
        <v>79</v>
      </c>
      <c r="B8" s="14">
        <f>B2-B5</f>
        <v>0</v>
      </c>
      <c r="C8" s="14">
        <f t="shared" ref="C8:D8" si="3">C2-C5</f>
        <v>0</v>
      </c>
      <c r="D8" s="14">
        <f t="shared" si="3"/>
        <v>0</v>
      </c>
      <c r="E8" s="14">
        <f t="shared" ref="D8:F9" si="4">E2-E5</f>
        <v>0</v>
      </c>
      <c r="F8" s="14">
        <f>F2-F5</f>
        <v>0</v>
      </c>
    </row>
    <row r="9" spans="1:10" x14ac:dyDescent="0.35">
      <c r="A9" t="s">
        <v>80</v>
      </c>
      <c r="C9" s="14">
        <f>C3-C6</f>
        <v>0</v>
      </c>
      <c r="D9" s="14">
        <f t="shared" si="4"/>
        <v>96418208.199999988</v>
      </c>
      <c r="E9" s="14">
        <f t="shared" si="4"/>
        <v>0</v>
      </c>
      <c r="F9" s="14">
        <f t="shared" si="4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CFC2B-89B0-43BE-A3C0-0D1F0B30493E}">
  <dimension ref="A2:G22"/>
  <sheetViews>
    <sheetView workbookViewId="0">
      <selection activeCell="B20" sqref="B20"/>
    </sheetView>
  </sheetViews>
  <sheetFormatPr defaultColWidth="8.6640625" defaultRowHeight="14.5" x14ac:dyDescent="0.35"/>
  <cols>
    <col min="1" max="1" width="4.83203125" style="169" customWidth="1"/>
    <col min="2" max="2" width="19.6640625" style="169" customWidth="1"/>
    <col min="3" max="3" width="8.6640625" style="169"/>
    <col min="4" max="4" width="24.83203125" style="169" customWidth="1"/>
    <col min="5" max="5" width="8.6640625" style="169"/>
    <col min="6" max="6" width="20.5" style="169" customWidth="1"/>
    <col min="7" max="16384" width="8.6640625" style="169"/>
  </cols>
  <sheetData>
    <row r="2" spans="1:7" ht="15" customHeight="1" x14ac:dyDescent="0.35">
      <c r="A2" s="252" t="s">
        <v>147</v>
      </c>
      <c r="B2" s="252"/>
      <c r="C2" s="252"/>
      <c r="D2" s="252"/>
      <c r="E2" s="252"/>
      <c r="F2" s="252"/>
      <c r="G2" s="168"/>
    </row>
    <row r="3" spans="1:7" x14ac:dyDescent="0.35">
      <c r="A3" s="170"/>
      <c r="B3" s="170"/>
      <c r="C3" s="170"/>
      <c r="D3" s="170"/>
      <c r="E3" s="170"/>
      <c r="F3" s="170"/>
      <c r="G3" s="168"/>
    </row>
    <row r="4" spans="1:7" ht="15.5" x14ac:dyDescent="0.35">
      <c r="A4" s="251" t="s">
        <v>157</v>
      </c>
      <c r="B4" s="251"/>
      <c r="C4" s="178" t="s">
        <v>158</v>
      </c>
      <c r="D4" s="170"/>
      <c r="E4" s="170"/>
      <c r="F4" s="170"/>
      <c r="G4" s="168"/>
    </row>
    <row r="5" spans="1:7" ht="15.5" x14ac:dyDescent="0.35">
      <c r="A5" s="251" t="s">
        <v>159</v>
      </c>
      <c r="B5" s="251"/>
      <c r="C5" s="178" t="s">
        <v>160</v>
      </c>
      <c r="D5" s="170"/>
      <c r="E5" s="170"/>
      <c r="F5" s="170"/>
      <c r="G5" s="168"/>
    </row>
    <row r="6" spans="1:7" ht="15.5" x14ac:dyDescent="0.35">
      <c r="A6" s="251" t="s">
        <v>161</v>
      </c>
      <c r="B6" s="251"/>
      <c r="C6" s="251" t="s">
        <v>162</v>
      </c>
      <c r="D6" s="251"/>
      <c r="E6" s="251"/>
      <c r="F6" s="170"/>
      <c r="G6" s="168"/>
    </row>
    <row r="7" spans="1:7" ht="15.5" x14ac:dyDescent="0.35">
      <c r="A7" s="251" t="s">
        <v>163</v>
      </c>
      <c r="B7" s="251"/>
      <c r="C7" s="178" t="s">
        <v>164</v>
      </c>
      <c r="D7" s="170"/>
      <c r="E7" s="170"/>
      <c r="F7" s="170"/>
      <c r="G7" s="168"/>
    </row>
    <row r="8" spans="1:7" ht="15" thickBot="1" x14ac:dyDescent="0.4">
      <c r="A8" s="170"/>
      <c r="B8" s="170"/>
      <c r="C8" s="170"/>
      <c r="D8" s="170"/>
      <c r="E8" s="170"/>
      <c r="F8" s="170"/>
      <c r="G8" s="168"/>
    </row>
    <row r="9" spans="1:7" ht="15" customHeight="1" x14ac:dyDescent="0.35">
      <c r="A9" s="236" t="s">
        <v>148</v>
      </c>
      <c r="B9" s="238" t="s">
        <v>149</v>
      </c>
      <c r="C9" s="240" t="s">
        <v>150</v>
      </c>
      <c r="D9" s="241"/>
      <c r="E9" s="244" t="s">
        <v>151</v>
      </c>
      <c r="F9" s="241"/>
      <c r="G9" s="168"/>
    </row>
    <row r="10" spans="1:7" ht="15.75" customHeight="1" thickBot="1" x14ac:dyDescent="0.4">
      <c r="A10" s="237"/>
      <c r="B10" s="239"/>
      <c r="C10" s="242"/>
      <c r="D10" s="243"/>
      <c r="E10" s="245"/>
      <c r="F10" s="246"/>
      <c r="G10" s="168"/>
    </row>
    <row r="11" spans="1:7" ht="15" thickBot="1" x14ac:dyDescent="0.4">
      <c r="A11" s="187">
        <v>1</v>
      </c>
      <c r="B11" s="188" t="s">
        <v>152</v>
      </c>
      <c r="C11" s="247" t="s">
        <v>59</v>
      </c>
      <c r="D11" s="248"/>
      <c r="E11" s="249" t="s">
        <v>59</v>
      </c>
      <c r="F11" s="250"/>
      <c r="G11" s="168"/>
    </row>
    <row r="12" spans="1:7" ht="15" thickBot="1" x14ac:dyDescent="0.4">
      <c r="A12" s="171">
        <v>2</v>
      </c>
      <c r="B12" s="181" t="s">
        <v>179</v>
      </c>
      <c r="C12" s="182" t="s">
        <v>180</v>
      </c>
      <c r="D12" s="189"/>
      <c r="E12" s="186" t="str">
        <f>C12</f>
        <v>380 Omni, BTS, Pole</v>
      </c>
      <c r="F12" s="183"/>
      <c r="G12" s="168"/>
    </row>
    <row r="13" spans="1:7" ht="15" thickBot="1" x14ac:dyDescent="0.4">
      <c r="A13" s="171">
        <v>3</v>
      </c>
      <c r="B13" s="172" t="s">
        <v>153</v>
      </c>
      <c r="C13" s="231" t="s">
        <v>165</v>
      </c>
      <c r="D13" s="232"/>
      <c r="E13" s="233" t="s">
        <v>181</v>
      </c>
      <c r="F13" s="232"/>
      <c r="G13" s="168"/>
    </row>
    <row r="14" spans="1:7" ht="15" thickBot="1" x14ac:dyDescent="0.4">
      <c r="A14" s="192">
        <v>4</v>
      </c>
      <c r="B14" s="173" t="s">
        <v>166</v>
      </c>
      <c r="C14" s="234">
        <v>260000000</v>
      </c>
      <c r="D14" s="235"/>
      <c r="E14" s="223">
        <f>C14/2</f>
        <v>130000000</v>
      </c>
      <c r="F14" s="224"/>
      <c r="G14" s="168"/>
    </row>
    <row r="15" spans="1:7" ht="18.75" customHeight="1" thickBot="1" x14ac:dyDescent="0.4">
      <c r="A15" s="171"/>
      <c r="B15" s="191" t="s">
        <v>167</v>
      </c>
      <c r="C15" s="221">
        <f>C14/2</f>
        <v>130000000</v>
      </c>
      <c r="D15" s="222"/>
      <c r="E15" s="223">
        <f>E14</f>
        <v>130000000</v>
      </c>
      <c r="F15" s="224"/>
      <c r="G15" s="168"/>
    </row>
    <row r="16" spans="1:7" ht="23.25" customHeight="1" thickBot="1" x14ac:dyDescent="0.4">
      <c r="A16" s="171">
        <v>5</v>
      </c>
      <c r="B16" s="190" t="s">
        <v>182</v>
      </c>
      <c r="C16" s="225" t="s">
        <v>183</v>
      </c>
      <c r="D16" s="226"/>
      <c r="E16" s="227" t="s">
        <v>184</v>
      </c>
      <c r="F16" s="226"/>
      <c r="G16" s="168"/>
    </row>
    <row r="17" spans="1:7" ht="20.399999999999999" customHeight="1" thickBot="1" x14ac:dyDescent="0.4">
      <c r="A17" s="174">
        <v>6</v>
      </c>
      <c r="B17" s="175" t="s">
        <v>168</v>
      </c>
      <c r="C17" s="228" t="s">
        <v>185</v>
      </c>
      <c r="D17" s="229"/>
      <c r="E17" s="229"/>
      <c r="F17" s="230"/>
      <c r="G17" s="168"/>
    </row>
    <row r="18" spans="1:7" ht="15.5" x14ac:dyDescent="0.35">
      <c r="A18" s="176"/>
      <c r="B18" s="184"/>
      <c r="C18" s="177"/>
      <c r="D18" s="177"/>
      <c r="E18" s="177"/>
      <c r="F18" s="177"/>
    </row>
    <row r="19" spans="1:7" ht="15.5" x14ac:dyDescent="0.35">
      <c r="A19" s="176"/>
      <c r="B19" s="184" t="s">
        <v>169</v>
      </c>
      <c r="C19" s="177"/>
      <c r="D19" s="177"/>
      <c r="E19" s="177"/>
      <c r="F19" s="177"/>
    </row>
    <row r="20" spans="1:7" x14ac:dyDescent="0.35">
      <c r="B20" s="185" t="s">
        <v>186</v>
      </c>
    </row>
    <row r="21" spans="1:7" x14ac:dyDescent="0.35">
      <c r="B21" s="169" t="s">
        <v>170</v>
      </c>
    </row>
    <row r="22" spans="1:7" x14ac:dyDescent="0.35">
      <c r="B22" s="169" t="s">
        <v>171</v>
      </c>
    </row>
  </sheetData>
  <mergeCells count="21">
    <mergeCell ref="A7:B7"/>
    <mergeCell ref="A2:F2"/>
    <mergeCell ref="A4:B4"/>
    <mergeCell ref="A5:B5"/>
    <mergeCell ref="A6:B6"/>
    <mergeCell ref="C6:E6"/>
    <mergeCell ref="C13:D13"/>
    <mergeCell ref="E13:F13"/>
    <mergeCell ref="C14:D14"/>
    <mergeCell ref="E14:F14"/>
    <mergeCell ref="A9:A10"/>
    <mergeCell ref="B9:B10"/>
    <mergeCell ref="C9:D10"/>
    <mergeCell ref="E9:F10"/>
    <mergeCell ref="C11:D11"/>
    <mergeCell ref="E11:F11"/>
    <mergeCell ref="C15:D15"/>
    <mergeCell ref="E15:F15"/>
    <mergeCell ref="C16:D16"/>
    <mergeCell ref="E16:F16"/>
    <mergeCell ref="C17:F17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Summary</vt:lpstr>
      <vt:lpstr>IRR</vt:lpstr>
      <vt:lpstr>PARAMETER</vt:lpstr>
      <vt:lpstr>Book Value</vt:lpstr>
      <vt:lpstr>summary BR</vt:lpstr>
      <vt:lpstr>IRR!Print_Area</vt:lpstr>
      <vt:lpstr>Summary!Print_Area</vt:lpstr>
      <vt:lpstr>'summary BR'!Print_Area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2024-01-30T03:14:35Z</cp:lastPrinted>
  <dcterms:created xsi:type="dcterms:W3CDTF">2020-06-08T08:40:20Z</dcterms:created>
  <dcterms:modified xsi:type="dcterms:W3CDTF">2024-09-12T07:54:40Z</dcterms:modified>
</cp:coreProperties>
</file>