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2020 strategic planning\PnL\IBC\Hotel Holiday Inn Kemayoran\"/>
    </mc:Choice>
  </mc:AlternateContent>
  <xr:revisionPtr revIDLastSave="0" documentId="13_ncr:1_{554CB7F0-53A3-4D0E-8460-6F92C1C3CAB6}" xr6:coauthVersionLast="36" xr6:coauthVersionMax="47" xr10:uidLastSave="{00000000-0000-0000-0000-000000000000}"/>
  <bookViews>
    <workbookView xWindow="0" yWindow="0" windowWidth="19200" windowHeight="6230" xr2:uid="{A4174494-61B9-4994-8303-9C4639E059BD}"/>
  </bookViews>
  <sheets>
    <sheet name="Summary" sheetId="1" r:id="rId1"/>
    <sheet name="IRR" sheetId="2" r:id="rId2"/>
    <sheet name="Summary Review new (2)" sheetId="10" r:id="rId3"/>
    <sheet name="Parameter" sheetId="4" r:id="rId4"/>
    <sheet name="Analisa" sheetId="11" r:id="rId5"/>
  </sheets>
  <externalReferences>
    <externalReference r:id="rId6"/>
    <externalReference r:id="rId7"/>
  </externalReferences>
  <definedNames>
    <definedName name="jk" localSheetId="4">#REF!</definedName>
    <definedName name="jk" localSheetId="1">#REF!</definedName>
    <definedName name="jk" localSheetId="0">#REF!</definedName>
    <definedName name="jk" localSheetId="2">#REF!</definedName>
    <definedName name="jk">#REF!</definedName>
    <definedName name="_xlnm.Print_Area" localSheetId="1">IRR!$B$1:$Q$49</definedName>
    <definedName name="_xlnm.Print_Area" localSheetId="0">Summary!$B$2:$N$35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11" l="1"/>
  <c r="F9" i="11" s="1"/>
  <c r="D18" i="11"/>
  <c r="F18" i="11" s="1"/>
  <c r="E17" i="11"/>
  <c r="D17" i="11"/>
  <c r="D16" i="11"/>
  <c r="F16" i="11" s="1"/>
  <c r="D11" i="11"/>
  <c r="F11" i="11" s="1"/>
  <c r="D10" i="11"/>
  <c r="J21" i="2"/>
  <c r="K21" i="2" s="1"/>
  <c r="J22" i="2"/>
  <c r="K22" i="2"/>
  <c r="F17" i="11" l="1"/>
  <c r="F10" i="11"/>
  <c r="F13" i="11" s="1"/>
  <c r="F20" i="11"/>
  <c r="H37" i="2"/>
  <c r="I37" i="2"/>
  <c r="H22" i="2"/>
  <c r="I22" i="2" s="1"/>
  <c r="D15" i="10" l="1"/>
  <c r="C15" i="10"/>
  <c r="D12" i="10"/>
  <c r="C12" i="10"/>
  <c r="A6" i="4" l="1"/>
  <c r="N2" i="1" l="1"/>
  <c r="G44" i="2"/>
  <c r="H44" i="2" s="1"/>
  <c r="K34" i="2"/>
  <c r="A9" i="4"/>
  <c r="A12" i="4" s="1"/>
  <c r="A15" i="4" s="1"/>
  <c r="A18" i="4" s="1"/>
  <c r="A21" i="4" s="1"/>
  <c r="A24" i="4" s="1"/>
  <c r="A27" i="4" s="1"/>
  <c r="A30" i="4" s="1"/>
  <c r="G10" i="2"/>
  <c r="G34" i="2" s="1"/>
  <c r="Q9" i="2"/>
  <c r="Q10" i="2" s="1"/>
  <c r="Q1" i="2" l="1"/>
  <c r="M12" i="1" l="1"/>
  <c r="C70" i="4"/>
  <c r="H69" i="4"/>
  <c r="H74" i="4" s="1"/>
  <c r="L29" i="4"/>
  <c r="L28" i="4"/>
  <c r="M27" i="4" s="1"/>
  <c r="M29" i="4" s="1"/>
  <c r="J26" i="4"/>
  <c r="J25" i="4"/>
  <c r="K24" i="4" s="1"/>
  <c r="I23" i="4"/>
  <c r="I22" i="4"/>
  <c r="J21" i="4" s="1"/>
  <c r="H20" i="4"/>
  <c r="H19" i="4"/>
  <c r="I18" i="4" s="1"/>
  <c r="I20" i="4" s="1"/>
  <c r="G16" i="4"/>
  <c r="H15" i="4" s="1"/>
  <c r="H17" i="4" s="1"/>
  <c r="G17" i="4"/>
  <c r="F13" i="4"/>
  <c r="F14" i="4"/>
  <c r="E11" i="4"/>
  <c r="D8" i="4"/>
  <c r="D7" i="4"/>
  <c r="C5" i="4"/>
  <c r="C34" i="4" s="1"/>
  <c r="H73" i="4" l="1"/>
  <c r="M31" i="4"/>
  <c r="N30" i="4" s="1"/>
  <c r="M32" i="4"/>
  <c r="K26" i="4"/>
  <c r="J23" i="4"/>
  <c r="N27" i="4"/>
  <c r="L24" i="4"/>
  <c r="L26" i="4" s="1"/>
  <c r="K21" i="4"/>
  <c r="J18" i="4"/>
  <c r="I15" i="4"/>
  <c r="O30" i="4" l="1"/>
  <c r="O32" i="4" s="1"/>
  <c r="N32" i="4"/>
  <c r="I17" i="4"/>
  <c r="J20" i="4"/>
  <c r="N29" i="4"/>
  <c r="K23" i="4"/>
  <c r="O27" i="4"/>
  <c r="M24" i="4"/>
  <c r="M26" i="4" s="1"/>
  <c r="L21" i="4"/>
  <c r="K18" i="4"/>
  <c r="J15" i="4"/>
  <c r="P30" i="4" l="1"/>
  <c r="P32" i="4" s="1"/>
  <c r="O29" i="4"/>
  <c r="K20" i="4"/>
  <c r="J17" i="4"/>
  <c r="L23" i="4"/>
  <c r="P27" i="4"/>
  <c r="N24" i="4"/>
  <c r="M21" i="4"/>
  <c r="L18" i="4"/>
  <c r="K15" i="4"/>
  <c r="Q30" i="4" l="1"/>
  <c r="Q32" i="4" s="1"/>
  <c r="P29" i="4"/>
  <c r="P34" i="4" s="1"/>
  <c r="K29" i="2" s="1"/>
  <c r="N26" i="4"/>
  <c r="M23" i="4"/>
  <c r="K17" i="4"/>
  <c r="L20" i="4"/>
  <c r="Q27" i="4"/>
  <c r="O24" i="4"/>
  <c r="O26" i="4" s="1"/>
  <c r="O34" i="4" s="1"/>
  <c r="N21" i="4"/>
  <c r="N23" i="4" s="1"/>
  <c r="M18" i="4"/>
  <c r="M20" i="4" s="1"/>
  <c r="L15" i="4"/>
  <c r="L17" i="4" s="1"/>
  <c r="I29" i="2" l="1"/>
  <c r="J29" i="2"/>
  <c r="N34" i="4"/>
  <c r="H29" i="2" s="1"/>
  <c r="L34" i="4"/>
  <c r="M34" i="4"/>
  <c r="G29" i="2" s="1"/>
  <c r="R30" i="4"/>
  <c r="R32" i="4" s="1"/>
  <c r="R34" i="4" s="1"/>
  <c r="Q29" i="4"/>
  <c r="Q34" i="4" s="1"/>
  <c r="M8" i="1" l="1"/>
  <c r="H11" i="2"/>
  <c r="I11" i="2" s="1"/>
  <c r="J11" i="2" s="1"/>
  <c r="K11" i="2" s="1"/>
  <c r="L11" i="2" s="1"/>
  <c r="M11" i="2" s="1"/>
  <c r="N11" i="2" s="1"/>
  <c r="O11" i="2" s="1"/>
  <c r="P11" i="2" s="1"/>
  <c r="E74" i="4"/>
  <c r="I74" i="4" s="1"/>
  <c r="G73" i="4"/>
  <c r="E73" i="4"/>
  <c r="F72" i="4"/>
  <c r="I72" i="4" s="1"/>
  <c r="E71" i="4"/>
  <c r="I71" i="4" s="1"/>
  <c r="E70" i="4"/>
  <c r="B43" i="4"/>
  <c r="C45" i="4" s="1"/>
  <c r="C44" i="4" s="1"/>
  <c r="G12" i="4"/>
  <c r="E10" i="4"/>
  <c r="F9" i="4" s="1"/>
  <c r="E6" i="4"/>
  <c r="C4" i="4"/>
  <c r="D3" i="4" s="1"/>
  <c r="D2" i="4"/>
  <c r="E2" i="4" s="1"/>
  <c r="F2" i="4" s="1"/>
  <c r="I46" i="2"/>
  <c r="K46" i="2" s="1"/>
  <c r="H45" i="2"/>
  <c r="J45" i="2" s="1"/>
  <c r="K45" i="2" s="1"/>
  <c r="K43" i="2"/>
  <c r="J43" i="2"/>
  <c r="I43" i="2"/>
  <c r="H43" i="2"/>
  <c r="G43" i="2"/>
  <c r="J34" i="2"/>
  <c r="I34" i="2"/>
  <c r="H34" i="2"/>
  <c r="H21" i="2"/>
  <c r="Q20" i="2"/>
  <c r="M13" i="1" s="1"/>
  <c r="K17" i="2"/>
  <c r="Q16" i="2"/>
  <c r="G17" i="2"/>
  <c r="F35" i="2"/>
  <c r="G2" i="4" l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F11" i="4"/>
  <c r="E8" i="4"/>
  <c r="G14" i="4"/>
  <c r="D5" i="4"/>
  <c r="D34" i="4" s="1"/>
  <c r="I70" i="4"/>
  <c r="I73" i="4"/>
  <c r="I17" i="2"/>
  <c r="I23" i="2" s="1"/>
  <c r="J17" i="2"/>
  <c r="J23" i="2" s="1"/>
  <c r="H12" i="4"/>
  <c r="H14" i="4" s="1"/>
  <c r="G9" i="4"/>
  <c r="C43" i="4"/>
  <c r="E3" i="4"/>
  <c r="F6" i="4"/>
  <c r="F8" i="4" s="1"/>
  <c r="F36" i="2"/>
  <c r="K23" i="2"/>
  <c r="G23" i="2"/>
  <c r="H17" i="2"/>
  <c r="I21" i="2"/>
  <c r="I75" i="4" l="1"/>
  <c r="J75" i="4" s="1"/>
  <c r="L77" i="4" s="1"/>
  <c r="Q17" i="2"/>
  <c r="M11" i="1" s="1"/>
  <c r="E5" i="4"/>
  <c r="E34" i="4" s="1"/>
  <c r="G11" i="4"/>
  <c r="D45" i="4"/>
  <c r="D44" i="4" s="1"/>
  <c r="F3" i="4"/>
  <c r="H9" i="4"/>
  <c r="H11" i="4" s="1"/>
  <c r="I12" i="4"/>
  <c r="G6" i="4"/>
  <c r="H23" i="2"/>
  <c r="G49" i="2"/>
  <c r="J76" i="4" l="1"/>
  <c r="L76" i="4" s="1"/>
  <c r="G27" i="2"/>
  <c r="I14" i="4"/>
  <c r="G8" i="4"/>
  <c r="F5" i="4"/>
  <c r="F34" i="4" s="1"/>
  <c r="D43" i="4"/>
  <c r="H6" i="4"/>
  <c r="I8" i="4" s="1"/>
  <c r="J12" i="4"/>
  <c r="G3" i="4"/>
  <c r="I9" i="4"/>
  <c r="E45" i="4"/>
  <c r="E44" i="4" s="1"/>
  <c r="H49" i="2"/>
  <c r="H27" i="2" s="1"/>
  <c r="I44" i="2"/>
  <c r="J44" i="2" s="1"/>
  <c r="Q23" i="2"/>
  <c r="G24" i="2" l="1"/>
  <c r="G25" i="2" s="1"/>
  <c r="G28" i="2" s="1"/>
  <c r="I11" i="4"/>
  <c r="G5" i="4"/>
  <c r="G34" i="4" s="1"/>
  <c r="H8" i="4"/>
  <c r="J14" i="4"/>
  <c r="E43" i="4"/>
  <c r="F45" i="4"/>
  <c r="F43" i="4" s="1"/>
  <c r="F44" i="4"/>
  <c r="J9" i="4"/>
  <c r="J11" i="4" s="1"/>
  <c r="K12" i="4"/>
  <c r="K14" i="4" s="1"/>
  <c r="K34" i="4" s="1"/>
  <c r="H3" i="4"/>
  <c r="H5" i="4" s="1"/>
  <c r="I49" i="2"/>
  <c r="I27" i="2" s="1"/>
  <c r="Q21" i="2"/>
  <c r="H34" i="4" l="1"/>
  <c r="H24" i="2"/>
  <c r="H25" i="2" s="1"/>
  <c r="I3" i="4"/>
  <c r="I5" i="4" s="1"/>
  <c r="I34" i="4" s="1"/>
  <c r="G45" i="4"/>
  <c r="G44" i="4" s="1"/>
  <c r="J49" i="2"/>
  <c r="J27" i="2" s="1"/>
  <c r="K44" i="2"/>
  <c r="K49" i="2" l="1"/>
  <c r="K27" i="2" s="1"/>
  <c r="Q44" i="2"/>
  <c r="G30" i="2"/>
  <c r="H26" i="2"/>
  <c r="H28" i="2"/>
  <c r="I24" i="2"/>
  <c r="I25" i="2" s="1"/>
  <c r="G43" i="4"/>
  <c r="H45" i="4" s="1"/>
  <c r="Q27" i="2"/>
  <c r="J3" i="4"/>
  <c r="J5" i="4" s="1"/>
  <c r="J34" i="4" s="1"/>
  <c r="Q29" i="2" s="1"/>
  <c r="Q49" i="2" l="1"/>
  <c r="H30" i="2"/>
  <c r="H31" i="2" s="1"/>
  <c r="H32" i="2" s="1"/>
  <c r="H35" i="2" s="1"/>
  <c r="G31" i="2"/>
  <c r="G32" i="2" s="1"/>
  <c r="G35" i="2" s="1"/>
  <c r="I26" i="2"/>
  <c r="I28" i="2"/>
  <c r="I30" i="2" s="1"/>
  <c r="J24" i="2"/>
  <c r="J25" i="2" s="1"/>
  <c r="K24" i="2"/>
  <c r="K25" i="2" s="1"/>
  <c r="H44" i="4"/>
  <c r="H43" i="4"/>
  <c r="I45" i="4"/>
  <c r="I44" i="4" s="1"/>
  <c r="G36" i="2" l="1"/>
  <c r="Q22" i="2"/>
  <c r="M14" i="1" s="1"/>
  <c r="K26" i="2"/>
  <c r="K28" i="2"/>
  <c r="K30" i="2" s="1"/>
  <c r="K31" i="2" s="1"/>
  <c r="K32" i="2" s="1"/>
  <c r="K35" i="2" s="1"/>
  <c r="J26" i="2"/>
  <c r="J28" i="2"/>
  <c r="J30" i="2" s="1"/>
  <c r="J31" i="2" s="1"/>
  <c r="J32" i="2" s="1"/>
  <c r="J35" i="2" s="1"/>
  <c r="I31" i="2"/>
  <c r="I43" i="4"/>
  <c r="J45" i="4"/>
  <c r="J44" i="4" s="1"/>
  <c r="H36" i="2" l="1"/>
  <c r="G37" i="2"/>
  <c r="Q24" i="2"/>
  <c r="Q25" i="2" s="1"/>
  <c r="Q26" i="2" s="1"/>
  <c r="F40" i="2" s="1"/>
  <c r="M18" i="1" s="1"/>
  <c r="Q30" i="2"/>
  <c r="Q31" i="2"/>
  <c r="I32" i="2"/>
  <c r="I35" i="2" s="1"/>
  <c r="J43" i="4"/>
  <c r="K45" i="4" s="1"/>
  <c r="K44" i="4" s="1"/>
  <c r="I36" i="2" l="1"/>
  <c r="J36" i="2" s="1"/>
  <c r="Q32" i="2"/>
  <c r="Q28" i="2"/>
  <c r="Q35" i="2"/>
  <c r="F39" i="2"/>
  <c r="M17" i="1" s="1"/>
  <c r="M16" i="1"/>
  <c r="K43" i="4"/>
  <c r="K36" i="2" l="1"/>
  <c r="J37" i="2"/>
  <c r="F41" i="2" s="1"/>
  <c r="M19" i="1" s="1"/>
  <c r="K3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69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0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<sst xmlns="http://schemas.openxmlformats.org/spreadsheetml/2006/main" count="307" uniqueCount="227">
  <si>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</si>
  <si>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</si>
  <si>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</si>
  <si>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</si>
  <si>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</si>
  <si>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</si>
  <si>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</si>
  <si>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</si>
  <si>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</si>
  <si>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</si>
  <si>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</si>
  <si>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</si>
  <si>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</si>
  <si>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</si>
  <si>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</si>
  <si>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</si>
  <si>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</si>
  <si>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</si>
  <si>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</si>
  <si>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</si>
  <si>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</si>
  <si>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</si>
  <si>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</si>
  <si>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</si>
  <si>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</si>
  <si>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</si>
  <si>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</si>
  <si>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</si>
  <si>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</si>
  <si>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</si>
  <si>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</si>
  <si>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</si>
  <si>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</si>
  <si>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</si>
  <si>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</si>
  <si>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</si>
  <si>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</si>
  <si>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</si>
  <si>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</si>
  <si>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</si>
  <si>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 xml:space="preserve">: </t>
  </si>
  <si>
    <t>Citra Kartika</t>
  </si>
  <si>
    <t>Approved  by</t>
  </si>
  <si>
    <t>General</t>
  </si>
  <si>
    <t>Operator join</t>
  </si>
  <si>
    <t>Rev.Change</t>
  </si>
  <si>
    <t>Tax Rate</t>
  </si>
  <si>
    <t>Interest Rate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</si>
  <si>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</si>
  <si>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</si>
  <si>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</si>
  <si>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</si>
  <si>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</si>
  <si>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</si>
  <si>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</si>
  <si>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</si>
  <si>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</si>
  <si>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</si>
  <si>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</si>
  <si>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</si>
  <si>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</si>
  <si>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</si>
  <si>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</si>
  <si>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</si>
  <si>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</si>
  <si>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</si>
  <si>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</si>
  <si>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</si>
  <si>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</si>
  <si>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</si>
  <si>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</si>
  <si>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</si>
  <si>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</si>
  <si>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</si>
  <si>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</si>
  <si>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</si>
  <si>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</si>
  <si>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</si>
  <si>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</si>
  <si>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</si>
  <si>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</si>
  <si>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</si>
  <si>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</si>
  <si>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</si>
  <si>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</si>
  <si>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</si>
  <si>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</si>
  <si>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</si>
  <si>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</si>
  <si>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</si>
  <si>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No. </t>
  </si>
  <si>
    <t>Keterangan</t>
  </si>
  <si>
    <t>Existing</t>
  </si>
  <si>
    <t>1.</t>
  </si>
  <si>
    <t>Scope Of Lease</t>
  </si>
  <si>
    <t>2.</t>
  </si>
  <si>
    <t>Obyek Sewa</t>
  </si>
  <si>
    <t>3.</t>
  </si>
  <si>
    <t>Periode Sewa</t>
  </si>
  <si>
    <t>Operator Join</t>
  </si>
  <si>
    <t>Kenaikan/ Penurunan Harga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</si>
  <si>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</si>
  <si>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</si>
  <si>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</si>
  <si>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</si>
  <si>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</si>
  <si>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</si>
  <si>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</si>
  <si>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</si>
  <si>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</si>
  <si>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</si>
  <si>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</si>
  <si>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</si>
  <si>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</si>
  <si>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</si>
  <si>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</si>
  <si>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</si>
  <si>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</si>
  <si>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</si>
  <si>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</si>
  <si>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</si>
  <si>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</si>
  <si>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</si>
  <si>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</si>
  <si>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</si>
  <si>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</si>
  <si>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</si>
  <si>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</si>
  <si>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</si>
  <si>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</si>
  <si>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</si>
  <si>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</si>
  <si>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</si>
  <si>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</si>
  <si>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</si>
  <si>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</si>
  <si>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</si>
  <si>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</si>
  <si>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</si>
  <si>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</si>
  <si>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</si>
  <si>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</si>
  <si>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</si>
  <si>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</si>
  <si>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</si>
  <si>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</si>
  <si>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</si>
  <si>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</si>
  <si>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</si>
  <si>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</si>
  <si>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</si>
  <si>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</si>
  <si>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</si>
  <si>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</si>
  <si>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</si>
  <si>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</si>
  <si>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</si>
  <si>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</si>
  <si>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</si>
  <si>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</si>
  <si>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</si>
  <si>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</si>
  <si>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</si>
  <si>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</si>
  <si>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</si>
  <si>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</si>
  <si>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</si>
  <si>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</si>
  <si>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</si>
  <si>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</si>
  <si>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</si>
  <si>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</si>
  <si>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</si>
  <si>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</si>
  <si>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</si>
  <si>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</si>
  <si>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</si>
  <si>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</si>
  <si>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</si>
  <si>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Extent</t>
  </si>
  <si>
    <t>XL</t>
  </si>
  <si>
    <t>No</t>
  </si>
  <si>
    <t>Harga Sewa / Masa Sewa</t>
  </si>
  <si>
    <t>Harga Sewa / Tahun</t>
  </si>
  <si>
    <t xml:space="preserve">Nama Site                          </t>
  </si>
  <si>
    <t xml:space="preserve">Nama Pemilik      </t>
  </si>
  <si>
    <t xml:space="preserve">Alamat Pemilik      </t>
  </si>
  <si>
    <t xml:space="preserve">Telp                                            </t>
  </si>
  <si>
    <t xml:space="preserve">Obyek Sewa            </t>
  </si>
  <si>
    <t>6.</t>
  </si>
  <si>
    <t>Holiday Inn Kemayoran</t>
  </si>
  <si>
    <t>: Hotel Double Tree By Hilton Jakarta Kemayoran (Holiday Inn Kemayoran)</t>
  </si>
  <si>
    <t>: PT. Nusa Plaza Internasional</t>
  </si>
  <si>
    <t>: Jl. Griya Utama Sunter Agung</t>
  </si>
  <si>
    <t>: 021-65831177</t>
  </si>
  <si>
    <t>: 122 Omni + 8 Unit Pole Antenna + RBS 40 m²</t>
  </si>
  <si>
    <t>09 September 2019 s/d 08 September 2024</t>
  </si>
  <si>
    <t>09 September 2024 s/d 08 September 2025</t>
  </si>
  <si>
    <t>XL (01 Juni 2015 s/d 31 Mei 2020)</t>
  </si>
  <si>
    <t>XL (01 Juni 2020 s/d 31 Mei 2025)</t>
  </si>
  <si>
    <t>Harga sama</t>
  </si>
  <si>
    <t>Note :</t>
  </si>
  <si>
    <t>- Harga untuk 1 operator, apabila ada penambahan akan dibuatkan addendum penambahan</t>
  </si>
  <si>
    <t>BV 31 Aug 24</t>
  </si>
  <si>
    <t>8 Unit Pole Antenna + RBS 40 m²</t>
  </si>
  <si>
    <t>Jl. Griya Utama No.1 Blok B, Sunter Agung, Tanjung Priok, Jakarta, 14350</t>
  </si>
  <si>
    <t>Jakarta</t>
  </si>
  <si>
    <t>Total Capex BV31 Aug24</t>
  </si>
  <si>
    <t>0027/IRR/IBC/IX/2024</t>
  </si>
  <si>
    <t>Positip</t>
  </si>
  <si>
    <t>Perpanjangan Sewa Gedung hanya setahun 9Sep24 sd 8Sep25</t>
  </si>
  <si>
    <t>Harga sewa akan disesuaikan apabila ada penambahan Operator</t>
  </si>
  <si>
    <t xml:space="preserve">Periode </t>
  </si>
  <si>
    <t>Start</t>
  </si>
  <si>
    <t>End</t>
  </si>
  <si>
    <t>Rev XL</t>
  </si>
  <si>
    <t>Sewa BM</t>
  </si>
  <si>
    <t>Days</t>
  </si>
  <si>
    <t xml:space="preserve">Sewa BM </t>
  </si>
  <si>
    <t xml:space="preserve">OM </t>
  </si>
  <si>
    <t>Antisipasi Add Capex and Pole</t>
  </si>
  <si>
    <t>Profit</t>
  </si>
  <si>
    <t xml:space="preserve">Rev XL </t>
  </si>
  <si>
    <t>SITE Holiday Inn Kemayoran</t>
  </si>
  <si>
    <t>Worse &gt;&gt; Jika Sewa BM diperpanjang 1 tahun dan XL sesuai periode XL, maka:</t>
  </si>
  <si>
    <t>Optimist &gt;&gt; Jika Sewa BM diperpanjang 5th dan XL 3 tahun saja, maka:</t>
  </si>
  <si>
    <t>Opex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</si>
</sst>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_(&quot;$&quot;* #,##0.00_);_(&quot;$&quot;* \(#,##0.00\);_(&quot;$&quot;* &quot;-&quot;??_);_(@_)"/>
    <numFmt numFmtId="171" formatCode="[$-C09]dd\-mmm\-yy;@"/>
    <numFmt numFmtId="172" formatCode="#,###&quot;/thn&quot;"/>
    <numFmt numFmtId="173" formatCode="#,###&quot;/pole&quot;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  <font>
      <sz val="1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7" fillId="0" borderId="0"/>
    <xf numFmtId="166" fontId="27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</cellStyleXfs>
  <cellXfs count="241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0" fontId="0" fillId="0" borderId="8" xfId="4" quotePrefix="1" applyNumberFormat="1" applyFont="1" applyBorder="1" applyAlignment="1">
      <alignment horizontal="left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41" fontId="4" fillId="0" borderId="8" xfId="4" applyFont="1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0" fontId="3" fillId="0" borderId="0" xfId="3" applyAlignment="1">
      <alignment horizontal="center"/>
    </xf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0" fontId="4" fillId="0" borderId="0" xfId="3" applyFont="1" applyAlignment="1">
      <alignment horizontal="center"/>
    </xf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11" fillId="0" borderId="13" xfId="3" applyNumberFormat="1" applyFont="1" applyBorder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20" fillId="0" borderId="0" xfId="8" applyFont="1" applyAlignment="1">
      <alignment horizontal="center"/>
    </xf>
    <xf numFmtId="0" fontId="21" fillId="0" borderId="0" xfId="8" applyFont="1"/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0" fontId="3" fillId="0" borderId="0" xfId="3" applyAlignment="1">
      <alignment horizontal="left" indent="1"/>
    </xf>
    <xf numFmtId="167" fontId="0" fillId="0" borderId="0" xfId="0" applyNumberFormat="1"/>
    <xf numFmtId="41" fontId="3" fillId="0" borderId="15" xfId="4" applyFont="1" applyBorder="1" applyAlignment="1">
      <alignment vertical="center"/>
    </xf>
    <xf numFmtId="0" fontId="19" fillId="0" borderId="0" xfId="8" applyFont="1"/>
    <xf numFmtId="0" fontId="19" fillId="0" borderId="24" xfId="8" applyFont="1" applyBorder="1" applyAlignment="1">
      <alignment horizontal="center" vertical="center"/>
    </xf>
    <xf numFmtId="0" fontId="19" fillId="0" borderId="24" xfId="8" applyFont="1" applyBorder="1"/>
    <xf numFmtId="0" fontId="19" fillId="0" borderId="24" xfId="8" applyFont="1" applyFill="1" applyBorder="1"/>
    <xf numFmtId="0" fontId="19" fillId="0" borderId="24" xfId="8" applyFont="1" applyFill="1" applyBorder="1" applyAlignment="1">
      <alignment horizontal="center" vertical="center"/>
    </xf>
    <xf numFmtId="0" fontId="4" fillId="0" borderId="0" xfId="17" applyFont="1"/>
    <xf numFmtId="41" fontId="1" fillId="0" borderId="0" xfId="4" applyFont="1" applyBorder="1"/>
    <xf numFmtId="165" fontId="1" fillId="0" borderId="0" xfId="2" applyFont="1"/>
    <xf numFmtId="41" fontId="1" fillId="0" borderId="0" xfId="4" applyFont="1" applyFill="1" applyBorder="1"/>
    <xf numFmtId="9" fontId="1" fillId="0" borderId="0" xfId="4" applyNumberFormat="1" applyFont="1" applyBorder="1"/>
    <xf numFmtId="0" fontId="21" fillId="0" borderId="0" xfId="8" applyFont="1" applyAlignment="1">
      <alignment horizontal="left" vertical="top"/>
    </xf>
    <xf numFmtId="0" fontId="1" fillId="0" borderId="0" xfId="8" applyFont="1"/>
    <xf numFmtId="0" fontId="1" fillId="0" borderId="24" xfId="8" applyFont="1" applyBorder="1"/>
    <xf numFmtId="164" fontId="0" fillId="0" borderId="24" xfId="9" applyFont="1" applyBorder="1"/>
    <xf numFmtId="0" fontId="19" fillId="0" borderId="0" xfId="8" quotePrefix="1" applyFont="1"/>
    <xf numFmtId="41" fontId="12" fillId="0" borderId="0" xfId="4" applyFont="1" applyFill="1"/>
    <xf numFmtId="0" fontId="19" fillId="0" borderId="0" xfId="8"/>
    <xf numFmtId="0" fontId="19" fillId="0" borderId="24" xfId="8" applyBorder="1" applyAlignment="1">
      <alignment horizontal="center"/>
    </xf>
    <xf numFmtId="0" fontId="19" fillId="0" borderId="0" xfId="8" applyAlignment="1">
      <alignment horizontal="center"/>
    </xf>
    <xf numFmtId="0" fontId="19" fillId="0" borderId="24" xfId="8" applyBorder="1"/>
    <xf numFmtId="171" fontId="19" fillId="0" borderId="24" xfId="8" applyNumberFormat="1" applyBorder="1" applyAlignment="1">
      <alignment horizontal="center"/>
    </xf>
    <xf numFmtId="171" fontId="19" fillId="0" borderId="0" xfId="8" applyNumberFormat="1"/>
    <xf numFmtId="0" fontId="2" fillId="0" borderId="0" xfId="10" applyFont="1" applyAlignment="1">
      <alignment horizontal="center"/>
    </xf>
    <xf numFmtId="171" fontId="19" fillId="0" borderId="0" xfId="8" applyNumberFormat="1" applyAlignment="1">
      <alignment horizontal="center"/>
    </xf>
    <xf numFmtId="165" fontId="19" fillId="0" borderId="0" xfId="2" applyFont="1" applyBorder="1"/>
    <xf numFmtId="172" fontId="19" fillId="0" borderId="0" xfId="11" applyNumberFormat="1" applyFont="1"/>
    <xf numFmtId="165" fontId="19" fillId="0" borderId="0" xfId="8" applyNumberFormat="1"/>
    <xf numFmtId="173" fontId="19" fillId="0" borderId="0" xfId="12" applyNumberFormat="1" applyFont="1"/>
    <xf numFmtId="41" fontId="19" fillId="0" borderId="15" xfId="11" applyFont="1" applyBorder="1"/>
    <xf numFmtId="165" fontId="19" fillId="0" borderId="15" xfId="8" applyNumberFormat="1" applyBorder="1"/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3" fillId="0" borderId="0" xfId="3" quotePrefix="1" applyAlignment="1">
      <alignment horizontal="left" indent="1"/>
    </xf>
    <xf numFmtId="0" fontId="4" fillId="0" borderId="0" xfId="3" applyFont="1" applyAlignment="1">
      <alignment horizontal="left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4" fillId="0" borderId="5" xfId="3" applyFont="1" applyBorder="1" applyAlignment="1">
      <alignment horizontal="center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167" fontId="0" fillId="0" borderId="0" xfId="5" applyNumberFormat="1" applyFont="1" applyFill="1" applyBorder="1" applyAlignment="1" applyProtection="1">
      <alignment horizontal="left" vertical="top" wrapText="1"/>
      <protection locked="0"/>
    </xf>
    <xf numFmtId="167" fontId="0" fillId="0" borderId="8" xfId="5" applyNumberFormat="1" applyFont="1" applyFill="1" applyBorder="1" applyAlignment="1" applyProtection="1">
      <alignment horizontal="left" vertical="top" wrapText="1"/>
      <protection locked="0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19" fillId="0" borderId="27" xfId="8" applyFont="1" applyBorder="1" applyAlignment="1">
      <alignment horizontal="center" wrapText="1"/>
    </xf>
    <xf numFmtId="0" fontId="19" fillId="0" borderId="29" xfId="8" applyFont="1" applyBorder="1" applyAlignment="1">
      <alignment horizontal="center" wrapText="1"/>
    </xf>
    <xf numFmtId="0" fontId="22" fillId="6" borderId="24" xfId="8" applyFont="1" applyFill="1" applyBorder="1" applyAlignment="1">
      <alignment horizontal="center" vertical="center"/>
    </xf>
    <xf numFmtId="0" fontId="23" fillId="6" borderId="25" xfId="8" applyFont="1" applyFill="1" applyBorder="1" applyAlignment="1">
      <alignment horizontal="center" vertical="center"/>
    </xf>
    <xf numFmtId="0" fontId="23" fillId="6" borderId="26" xfId="8" applyFont="1" applyFill="1" applyBorder="1" applyAlignment="1">
      <alignment horizontal="center" vertical="center"/>
    </xf>
    <xf numFmtId="0" fontId="19" fillId="0" borderId="25" xfId="8" applyFont="1" applyBorder="1" applyAlignment="1">
      <alignment horizontal="center" vertical="center"/>
    </xf>
    <xf numFmtId="0" fontId="19" fillId="0" borderId="26" xfId="8" applyFont="1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19" fillId="0" borderId="24" xfId="8" applyBorder="1" applyAlignment="1">
      <alignment horizontal="center"/>
    </xf>
  </cellXfs>
  <cellStyles count="20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2 3" xfId="14" xr:uid="{FDFAA780-32C8-42C8-94DF-F0BAAE9B12D8}"/>
    <cellStyle name="Comma 5 2" xfId="5" xr:uid="{7DB35855-DF1D-41FD-8D1D-57F8E5731502}"/>
    <cellStyle name="Currency [0] 2 2" xfId="9" xr:uid="{31FE3FCA-9591-4575-ADF9-2469AC4B017F}"/>
    <cellStyle name="Currency 2" xfId="15" xr:uid="{2195046E-74DE-4DB5-978A-4F399A011336}"/>
    <cellStyle name="Normal" xfId="0" builtinId="0"/>
    <cellStyle name="Normal 2 2 2 2 3" xfId="6" xr:uid="{DE498679-5550-451A-81BA-8B6F40AD0748}"/>
    <cellStyle name="Normal 2 7" xfId="13" xr:uid="{EB006BD7-BAFA-431B-8D9F-CA10F0629EEE}"/>
    <cellStyle name="Normal 3" xfId="3" xr:uid="{80C6D651-5E36-4AE1-B2AF-24F7035690A9}"/>
    <cellStyle name="Normal 3 2" xfId="18" xr:uid="{FED58831-03E9-4EE4-946F-0CE276DDF50C}"/>
    <cellStyle name="Normal 4" xfId="17" xr:uid="{EF3A0264-2235-47A6-B338-05CEDDF650AF}"/>
    <cellStyle name="Normal 4 2" xfId="19" xr:uid="{B5D3A9AD-CCF3-403A-AFE6-C3683A1ADAD3}"/>
    <cellStyle name="Normal 7" xfId="8" xr:uid="{8336AFE8-187C-4DC7-9E05-5CF89FA2A319}"/>
    <cellStyle name="Normal 7 2" xfId="16" xr:uid="{6301D2BE-D7DC-4D80-A3EA-1C92D765167A}"/>
    <cellStyle name="Normal 7 3" xfId="10" xr:uid="{E3956C3F-B4CE-4040-AFD0-AC78C0F19FE7}"/>
    <cellStyle name="Percent 3" xfId="7" xr:uid="{54F020B5-68BB-4710-814E-90969CA1DF9C}"/>
  </cellStyles>
  <dxfs count="1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702130" y="5934640"/>
          <a:ext cx="8987970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34</xdr:row>
      <xdr:rowOff>104251</xdr:rowOff>
    </xdr:from>
    <xdr:to>
      <xdr:col>13</xdr:col>
      <xdr:colOff>156845</xdr:colOff>
      <xdr:row>35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13876" y="7216251"/>
          <a:ext cx="9203826" cy="174694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 codeName="Sheet1">
    <pageSetUpPr fitToPage="1"/>
  </sheetPr>
  <dimension ref="B1:R35"/>
  <sheetViews>
    <sheetView showGridLines="0" tabSelected="1" topLeftCell="A7" zoomScale="70" zoomScaleNormal="70" workbookViewId="0">
      <selection activeCell="V25" sqref="V25"/>
    </sheetView>
  </sheetViews>
  <sheetFormatPr defaultColWidth="9.54296875" defaultRowHeight="15.5" x14ac:dyDescent="0.35"/>
  <cols>
    <col min="1" max="1" width="4.54296875" style="1" customWidth="1"/>
    <col min="2" max="2" width="4.453125" style="1" customWidth="1"/>
    <col min="3" max="3" width="18.453125" style="1" customWidth="1"/>
    <col min="4" max="4" width="28.36328125" style="1" customWidth="1"/>
    <col min="5" max="5" width="4.6328125" style="1" customWidth="1"/>
    <col min="6" max="6" width="5.453125" style="1" customWidth="1"/>
    <col min="7" max="7" width="11.81640625" style="1" customWidth="1"/>
    <col min="8" max="8" width="9.36328125" style="1" customWidth="1"/>
    <col min="9" max="9" width="6" style="1" customWidth="1"/>
    <col min="10" max="10" width="2.36328125" style="1" customWidth="1"/>
    <col min="11" max="11" width="5.6328125" style="1" customWidth="1"/>
    <col min="12" max="12" width="20.453125" style="1" bestFit="1" customWidth="1"/>
    <col min="13" max="13" width="18.36328125" style="1" customWidth="1"/>
    <col min="14" max="14" width="2.36328125" style="1" customWidth="1"/>
    <col min="15" max="15" width="4" style="1" customWidth="1"/>
    <col min="16" max="16384" width="9.54296875" style="1"/>
  </cols>
  <sheetData>
    <row r="1" spans="2:14" ht="8.4" customHeight="1" x14ac:dyDescent="0.35"/>
    <row r="2" spans="2:14" ht="24" customHeight="1" x14ac:dyDescent="0.55000000000000004">
      <c r="B2" s="1" t="s">
        <v>0</v>
      </c>
      <c r="C2" s="2" t="s">
        <v>208</v>
      </c>
      <c r="M2" s="3"/>
      <c r="N2" s="4" t="str">
        <f>D7</f>
        <v>Holiday Inn Kemayoran</v>
      </c>
    </row>
    <row r="3" spans="2:14" ht="18.5" x14ac:dyDescent="0.45">
      <c r="C3" s="5" t="s">
        <v>1</v>
      </c>
      <c r="D3" s="2" t="s">
        <v>2</v>
      </c>
      <c r="J3" s="5" t="s">
        <v>3</v>
      </c>
      <c r="K3" s="5"/>
      <c r="L3" s="5"/>
      <c r="M3" s="6">
        <v>45530</v>
      </c>
    </row>
    <row r="4" spans="2:14" ht="18.5" x14ac:dyDescent="0.45">
      <c r="C4" s="5" t="s">
        <v>4</v>
      </c>
      <c r="D4" s="2" t="s">
        <v>179</v>
      </c>
    </row>
    <row r="5" spans="2:14" ht="0.9" customHeight="1" thickBot="1" x14ac:dyDescent="0.4">
      <c r="C5" s="2"/>
    </row>
    <row r="6" spans="2:14" s="7" customFormat="1" ht="19" thickBot="1" x14ac:dyDescent="0.5">
      <c r="B6" s="214" t="s">
        <v>5</v>
      </c>
      <c r="C6" s="215"/>
      <c r="D6" s="216"/>
      <c r="E6" s="214" t="s">
        <v>6</v>
      </c>
      <c r="F6" s="215"/>
      <c r="G6" s="215"/>
      <c r="H6" s="215"/>
      <c r="I6" s="215"/>
      <c r="J6" s="214" t="s">
        <v>7</v>
      </c>
      <c r="K6" s="215"/>
      <c r="L6" s="215"/>
      <c r="M6" s="215"/>
      <c r="N6" s="216"/>
    </row>
    <row r="7" spans="2:14" x14ac:dyDescent="0.35">
      <c r="B7" s="217" t="s">
        <v>8</v>
      </c>
      <c r="C7" s="218"/>
      <c r="D7" s="8" t="s">
        <v>190</v>
      </c>
      <c r="E7" s="219" t="s">
        <v>9</v>
      </c>
      <c r="F7" s="219"/>
      <c r="G7" s="219"/>
      <c r="H7" s="219"/>
      <c r="I7" s="219"/>
      <c r="J7" s="9"/>
      <c r="K7" s="218" t="s">
        <v>10</v>
      </c>
      <c r="L7" s="218"/>
      <c r="M7" s="174">
        <v>930779633</v>
      </c>
      <c r="N7" s="8"/>
    </row>
    <row r="8" spans="2:14" ht="46.5" x14ac:dyDescent="0.35">
      <c r="B8" s="210" t="s">
        <v>11</v>
      </c>
      <c r="C8" s="211"/>
      <c r="D8" s="10" t="s">
        <v>205</v>
      </c>
      <c r="E8" s="209" t="s">
        <v>12</v>
      </c>
      <c r="F8" s="209"/>
      <c r="G8" s="209"/>
      <c r="H8" s="11">
        <v>122</v>
      </c>
      <c r="J8" s="12"/>
      <c r="K8" s="209" t="s">
        <v>13</v>
      </c>
      <c r="L8" s="209"/>
      <c r="M8" s="175">
        <f>M7/H9</f>
        <v>7215345.992248062</v>
      </c>
      <c r="N8" s="13"/>
    </row>
    <row r="9" spans="2:14" x14ac:dyDescent="0.35">
      <c r="B9" s="210"/>
      <c r="C9" s="211"/>
      <c r="D9" s="13"/>
      <c r="E9" s="209" t="s">
        <v>14</v>
      </c>
      <c r="F9" s="209"/>
      <c r="G9" s="209"/>
      <c r="H9" s="11">
        <v>129</v>
      </c>
      <c r="J9" s="12"/>
      <c r="K9" s="209" t="s">
        <v>15</v>
      </c>
      <c r="L9" s="209"/>
      <c r="M9" s="176">
        <v>5</v>
      </c>
      <c r="N9" s="13"/>
    </row>
    <row r="10" spans="2:14" x14ac:dyDescent="0.35">
      <c r="B10" s="14" t="s">
        <v>16</v>
      </c>
      <c r="C10" s="15"/>
      <c r="D10" s="13" t="s">
        <v>206</v>
      </c>
      <c r="E10" s="209" t="s">
        <v>17</v>
      </c>
      <c r="F10" s="209"/>
      <c r="G10" s="209"/>
      <c r="H10" s="212" t="s">
        <v>204</v>
      </c>
      <c r="I10" s="213"/>
      <c r="J10" s="12"/>
      <c r="K10" s="16" t="s">
        <v>18</v>
      </c>
      <c r="L10" s="16"/>
      <c r="M10" s="177">
        <v>0.1</v>
      </c>
      <c r="N10" s="13"/>
    </row>
    <row r="11" spans="2:14" x14ac:dyDescent="0.35">
      <c r="B11" s="17" t="s">
        <v>19</v>
      </c>
      <c r="C11" s="16"/>
      <c r="D11" s="13" t="s">
        <v>152</v>
      </c>
      <c r="H11" s="212"/>
      <c r="I11" s="213"/>
      <c r="J11" s="18"/>
      <c r="K11" s="209" t="s">
        <v>21</v>
      </c>
      <c r="L11" s="209"/>
      <c r="M11" s="174">
        <f>IRR!Q17</f>
        <v>750000000</v>
      </c>
      <c r="N11" s="13"/>
    </row>
    <row r="12" spans="2:14" x14ac:dyDescent="0.35">
      <c r="B12" s="17" t="s">
        <v>22</v>
      </c>
      <c r="C12" s="16"/>
      <c r="D12" s="13" t="s">
        <v>23</v>
      </c>
      <c r="E12" s="203" t="s">
        <v>20</v>
      </c>
      <c r="F12" s="203"/>
      <c r="G12" s="203"/>
      <c r="H12" s="203"/>
      <c r="I12" s="203"/>
      <c r="J12" s="12"/>
      <c r="K12" s="209" t="s">
        <v>207</v>
      </c>
      <c r="L12" s="209"/>
      <c r="M12" s="174">
        <f>IRR!G10</f>
        <v>5071455</v>
      </c>
      <c r="N12" s="13"/>
    </row>
    <row r="13" spans="2:14" x14ac:dyDescent="0.35">
      <c r="B13" s="17" t="s">
        <v>25</v>
      </c>
      <c r="C13" s="16"/>
      <c r="D13" s="20"/>
      <c r="E13" s="202" t="s">
        <v>24</v>
      </c>
      <c r="F13" s="202"/>
      <c r="G13" s="202"/>
      <c r="H13" s="19">
        <v>0</v>
      </c>
      <c r="J13" s="12"/>
      <c r="K13" s="209" t="s">
        <v>27</v>
      </c>
      <c r="L13" s="209"/>
      <c r="M13" s="174">
        <f>IRR!Q20</f>
        <v>200000000</v>
      </c>
      <c r="N13" s="13"/>
    </row>
    <row r="14" spans="2:14" x14ac:dyDescent="0.35">
      <c r="B14" s="17" t="s">
        <v>28</v>
      </c>
      <c r="C14" s="16"/>
      <c r="D14" s="20"/>
      <c r="E14" s="202" t="s">
        <v>26</v>
      </c>
      <c r="F14" s="202"/>
      <c r="G14" s="202"/>
      <c r="H14" s="19">
        <v>0</v>
      </c>
      <c r="J14" s="12"/>
      <c r="K14" s="165" t="s">
        <v>30</v>
      </c>
      <c r="L14" s="165"/>
      <c r="M14" s="175">
        <f>IRR!Q21+IRR!Q22+IRR!Q23</f>
        <v>72500000</v>
      </c>
      <c r="N14" s="13"/>
    </row>
    <row r="15" spans="2:14" ht="16" thickBot="1" x14ac:dyDescent="0.4">
      <c r="B15" s="17" t="s">
        <v>31</v>
      </c>
      <c r="C15" s="16"/>
      <c r="D15" s="21"/>
      <c r="E15" s="202" t="s">
        <v>29</v>
      </c>
      <c r="F15" s="202"/>
      <c r="G15" s="202"/>
      <c r="H15" s="19">
        <v>0</v>
      </c>
      <c r="J15" s="12"/>
      <c r="N15" s="13"/>
    </row>
    <row r="16" spans="2:14" x14ac:dyDescent="0.35">
      <c r="B16" s="12"/>
      <c r="D16" s="13"/>
      <c r="E16" s="203" t="s">
        <v>32</v>
      </c>
      <c r="F16" s="203"/>
      <c r="G16" s="203"/>
      <c r="H16" s="203"/>
      <c r="I16" s="203"/>
      <c r="J16" s="22"/>
      <c r="K16" s="204" t="s">
        <v>33</v>
      </c>
      <c r="L16" s="205"/>
      <c r="M16" s="23" t="str">
        <f>IRR!F38</f>
        <v>Positip</v>
      </c>
      <c r="N16" s="13"/>
    </row>
    <row r="17" spans="2:18" x14ac:dyDescent="0.35">
      <c r="B17" s="12"/>
      <c r="D17" s="13"/>
      <c r="J17" s="24"/>
      <c r="K17" s="206" t="s">
        <v>34</v>
      </c>
      <c r="L17" s="207"/>
      <c r="M17" s="25">
        <f>IRR!F39</f>
        <v>385270841.26369911</v>
      </c>
      <c r="N17" s="13"/>
    </row>
    <row r="18" spans="2:18" x14ac:dyDescent="0.35">
      <c r="B18" s="12"/>
      <c r="D18" s="13"/>
      <c r="J18" s="24"/>
      <c r="K18" s="206" t="s">
        <v>35</v>
      </c>
      <c r="L18" s="207"/>
      <c r="M18" s="26">
        <f>IRR!F40</f>
        <v>0.63666666666666671</v>
      </c>
      <c r="N18" s="13"/>
      <c r="R18" s="1" t="s">
        <v>36</v>
      </c>
    </row>
    <row r="19" spans="2:18" ht="16" thickBot="1" x14ac:dyDescent="0.4">
      <c r="B19" s="12"/>
      <c r="D19" s="13"/>
      <c r="J19" s="24"/>
      <c r="K19" s="198" t="s">
        <v>37</v>
      </c>
      <c r="L19" s="199"/>
      <c r="M19" s="27">
        <f>IRR!F41</f>
        <v>0</v>
      </c>
      <c r="N19" s="13"/>
      <c r="Q19" s="1" t="s">
        <v>36</v>
      </c>
    </row>
    <row r="20" spans="2:18" ht="16" thickBot="1" x14ac:dyDescent="0.4">
      <c r="B20" s="28"/>
      <c r="C20" s="29"/>
      <c r="D20" s="30"/>
      <c r="E20" s="29"/>
      <c r="F20" s="29" t="s">
        <v>36</v>
      </c>
      <c r="G20" s="29"/>
      <c r="H20" s="29"/>
      <c r="I20" s="29"/>
      <c r="J20" s="12"/>
      <c r="K20" s="31"/>
      <c r="L20" s="16"/>
      <c r="M20" s="16"/>
      <c r="N20" s="13"/>
    </row>
    <row r="21" spans="2:18" x14ac:dyDescent="0.35">
      <c r="B21" s="32" t="s">
        <v>38</v>
      </c>
      <c r="C21" s="33"/>
      <c r="D21" s="33"/>
      <c r="E21" s="33"/>
      <c r="F21" s="33"/>
      <c r="G21" s="33"/>
      <c r="H21" s="33"/>
      <c r="I21" s="33"/>
      <c r="J21" s="33"/>
      <c r="L21" s="208" t="s">
        <v>39</v>
      </c>
      <c r="M21" s="208"/>
      <c r="N21" s="8"/>
    </row>
    <row r="22" spans="2:18" x14ac:dyDescent="0.35">
      <c r="B22" s="12" t="s">
        <v>226</v>
      </c>
      <c r="D22" s="1" t="s">
        <v>210</v>
      </c>
      <c r="L22" s="200" t="s">
        <v>41</v>
      </c>
      <c r="M22" s="201"/>
      <c r="N22" s="13"/>
    </row>
    <row r="23" spans="2:18" x14ac:dyDescent="0.35">
      <c r="B23" s="12"/>
      <c r="D23" s="1" t="s">
        <v>211</v>
      </c>
      <c r="N23" s="13"/>
    </row>
    <row r="24" spans="2:18" x14ac:dyDescent="0.35">
      <c r="B24" s="12"/>
      <c r="D24" s="1" t="s">
        <v>40</v>
      </c>
      <c r="N24" s="13"/>
    </row>
    <row r="25" spans="2:18" x14ac:dyDescent="0.35">
      <c r="B25" s="12"/>
      <c r="N25" s="13"/>
    </row>
    <row r="26" spans="2:18" ht="16" thickBot="1" x14ac:dyDescent="0.4">
      <c r="B26" s="28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30"/>
    </row>
    <row r="28" spans="2:18" x14ac:dyDescent="0.35">
      <c r="B28" s="2" t="s">
        <v>42</v>
      </c>
    </row>
    <row r="29" spans="2:18" x14ac:dyDescent="0.35"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</row>
    <row r="30" spans="2:18" x14ac:dyDescent="0.35"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</row>
    <row r="31" spans="2:18" x14ac:dyDescent="0.35"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</row>
    <row r="32" spans="2:18" x14ac:dyDescent="0.35"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</row>
    <row r="33" spans="2:15" x14ac:dyDescent="0.35"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</row>
    <row r="34" spans="2:15" x14ac:dyDescent="0.35"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</row>
    <row r="35" spans="2:15" x14ac:dyDescent="0.35"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</row>
  </sheetData>
  <mergeCells count="28">
    <mergeCell ref="B6:D6"/>
    <mergeCell ref="E6:I6"/>
    <mergeCell ref="J6:N6"/>
    <mergeCell ref="B7:C7"/>
    <mergeCell ref="E7:I7"/>
    <mergeCell ref="K7:L7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2:I12"/>
    <mergeCell ref="K11:L11"/>
    <mergeCell ref="K12:L12"/>
    <mergeCell ref="H10:I11"/>
    <mergeCell ref="K19:L19"/>
    <mergeCell ref="L22:M22"/>
    <mergeCell ref="E14:G14"/>
    <mergeCell ref="E16:I16"/>
    <mergeCell ref="K16:L16"/>
    <mergeCell ref="K17:L17"/>
    <mergeCell ref="K18:L18"/>
    <mergeCell ref="E15:G15"/>
    <mergeCell ref="L21:M21"/>
  </mergeCells>
  <pageMargins left="0.7" right="0.7" top="0.75" bottom="0.75" header="0.3" footer="0.3"/>
  <pageSetup paperSize="9" scale="91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sheetPr codeName="Sheet2">
    <pageSetUpPr fitToPage="1"/>
  </sheetPr>
  <dimension ref="B1:Y52"/>
  <sheetViews>
    <sheetView showGridLines="0" topLeftCell="A7" zoomScale="86" zoomScaleNormal="86" workbookViewId="0">
      <selection activeCell="G31" sqref="G31:K31"/>
    </sheetView>
  </sheetViews>
  <sheetFormatPr defaultColWidth="11.81640625" defaultRowHeight="15.5" x14ac:dyDescent="0.35"/>
  <cols>
    <col min="1" max="1" width="4.54296875" style="1" customWidth="1"/>
    <col min="2" max="2" width="4" style="1" customWidth="1"/>
    <col min="3" max="3" width="5.08984375" style="1" customWidth="1"/>
    <col min="4" max="4" width="21" style="1" customWidth="1"/>
    <col min="5" max="5" width="8" style="1" bestFit="1" customWidth="1"/>
    <col min="6" max="6" width="18.81640625" style="1" customWidth="1"/>
    <col min="7" max="7" width="19.54296875" style="35" customWidth="1"/>
    <col min="8" max="8" width="19.90625" style="1" customWidth="1"/>
    <col min="9" max="11" width="15.81640625" style="1" customWidth="1"/>
    <col min="12" max="15" width="6.81640625" style="1" hidden="1" customWidth="1"/>
    <col min="16" max="16" width="7.90625" style="1" hidden="1" customWidth="1"/>
    <col min="17" max="17" width="15.90625" style="1" customWidth="1"/>
    <col min="18" max="18" width="17.6328125" style="1" customWidth="1"/>
    <col min="19" max="22" width="16.6328125" style="1" bestFit="1" customWidth="1"/>
    <col min="23" max="23" width="17.36328125" style="1" bestFit="1" customWidth="1"/>
    <col min="24" max="24" width="13" style="1" bestFit="1" customWidth="1"/>
    <col min="25" max="16384" width="11.81640625" style="1"/>
  </cols>
  <sheetData>
    <row r="1" spans="2:25" ht="23.5" x14ac:dyDescent="0.55000000000000004">
      <c r="B1" s="1" t="s">
        <v>181</v>
      </c>
      <c r="C1" s="1" t="s">
        <v>208</v>
      </c>
      <c r="Q1" s="4" t="str">
        <f>Summary!D7</f>
        <v>Holiday Inn Kemayoran</v>
      </c>
    </row>
    <row r="2" spans="2:25" x14ac:dyDescent="0.35">
      <c r="B2" s="36" t="s">
        <v>43</v>
      </c>
      <c r="H2" s="162" t="s">
        <v>44</v>
      </c>
      <c r="I2" s="163" t="s">
        <v>45</v>
      </c>
    </row>
    <row r="3" spans="2:25" x14ac:dyDescent="0.35">
      <c r="C3" s="1" t="s">
        <v>46</v>
      </c>
      <c r="E3" s="38">
        <v>0.02</v>
      </c>
      <c r="H3" s="164"/>
      <c r="I3" s="39"/>
      <c r="L3" s="39"/>
      <c r="M3" s="39"/>
      <c r="N3" s="39"/>
      <c r="O3" s="39"/>
      <c r="P3" s="39"/>
      <c r="R3" s="40"/>
      <c r="S3" s="40"/>
    </row>
    <row r="4" spans="2:25" x14ac:dyDescent="0.35">
      <c r="C4" s="1" t="s">
        <v>47</v>
      </c>
      <c r="E4" s="38">
        <v>0.1</v>
      </c>
      <c r="H4" s="164"/>
      <c r="I4" s="39"/>
      <c r="L4" s="39"/>
      <c r="M4" s="39"/>
      <c r="N4" s="39"/>
      <c r="O4" s="39"/>
      <c r="P4" s="39"/>
      <c r="R4" s="40"/>
      <c r="S4" s="40"/>
    </row>
    <row r="5" spans="2:25" x14ac:dyDescent="0.35">
      <c r="C5" s="1" t="s">
        <v>48</v>
      </c>
      <c r="E5" s="38">
        <v>0.05</v>
      </c>
      <c r="F5" s="35" t="s">
        <v>49</v>
      </c>
      <c r="H5" s="164"/>
      <c r="I5" s="39"/>
      <c r="S5" s="41"/>
      <c r="T5" s="41"/>
      <c r="U5" s="41"/>
      <c r="V5" s="41"/>
    </row>
    <row r="6" spans="2:25" x14ac:dyDescent="0.35">
      <c r="C6" s="1" t="s">
        <v>50</v>
      </c>
      <c r="E6" s="42">
        <v>0</v>
      </c>
      <c r="F6" s="35" t="s">
        <v>49</v>
      </c>
      <c r="H6" s="164"/>
    </row>
    <row r="7" spans="2:25" x14ac:dyDescent="0.35">
      <c r="F7" s="38"/>
    </row>
    <row r="8" spans="2:25" ht="14.4" customHeight="1" x14ac:dyDescent="0.35">
      <c r="B8" s="2"/>
      <c r="G8" s="37" t="s">
        <v>51</v>
      </c>
      <c r="H8" s="37" t="s">
        <v>52</v>
      </c>
      <c r="I8" s="37" t="s">
        <v>53</v>
      </c>
      <c r="J8" s="37" t="s">
        <v>54</v>
      </c>
      <c r="K8" s="37" t="s">
        <v>55</v>
      </c>
      <c r="L8" s="37" t="s">
        <v>174</v>
      </c>
      <c r="M8" s="37" t="s">
        <v>175</v>
      </c>
      <c r="N8" s="37" t="s">
        <v>176</v>
      </c>
      <c r="O8" s="37" t="s">
        <v>177</v>
      </c>
      <c r="P8" s="37" t="s">
        <v>178</v>
      </c>
      <c r="R8" s="43"/>
      <c r="W8" s="43"/>
      <c r="X8" s="43"/>
      <c r="Y8" s="43"/>
    </row>
    <row r="9" spans="2:25" s="45" customFormat="1" ht="16" thickBot="1" x14ac:dyDescent="0.4">
      <c r="B9" s="44" t="s">
        <v>56</v>
      </c>
      <c r="E9" s="45" t="s">
        <v>203</v>
      </c>
      <c r="F9" s="46"/>
      <c r="G9" s="47">
        <v>5071455</v>
      </c>
      <c r="H9" s="47">
        <v>0</v>
      </c>
      <c r="I9" s="47">
        <v>0</v>
      </c>
      <c r="J9" s="47">
        <v>0</v>
      </c>
      <c r="K9" s="47"/>
      <c r="L9" s="47"/>
      <c r="M9" s="47"/>
      <c r="N9" s="47"/>
      <c r="O9" s="47"/>
      <c r="P9" s="47"/>
      <c r="Q9" s="47">
        <f>SUM(G9:K9)</f>
        <v>5071455</v>
      </c>
      <c r="R9" s="46"/>
      <c r="S9" s="1"/>
      <c r="T9" s="1"/>
      <c r="U9" s="1"/>
      <c r="V9" s="1"/>
      <c r="W9" s="46"/>
      <c r="X9" s="46"/>
      <c r="Y9" s="46"/>
    </row>
    <row r="10" spans="2:25" s="45" customFormat="1" ht="16" thickTop="1" x14ac:dyDescent="0.35">
      <c r="B10" s="44"/>
      <c r="F10" s="46"/>
      <c r="G10" s="46">
        <f>G9</f>
        <v>5071455</v>
      </c>
      <c r="H10" s="46"/>
      <c r="I10" s="46"/>
      <c r="J10" s="46"/>
      <c r="K10" s="46"/>
      <c r="L10" s="46"/>
      <c r="M10" s="46"/>
      <c r="N10" s="46"/>
      <c r="O10" s="46"/>
      <c r="P10" s="46"/>
      <c r="Q10" s="46">
        <f>SUM(Q9)</f>
        <v>5071455</v>
      </c>
      <c r="R10" s="46"/>
      <c r="S10" s="1"/>
      <c r="T10" s="1"/>
      <c r="U10" s="1"/>
      <c r="V10" s="1"/>
      <c r="W10" s="46"/>
      <c r="X10" s="46"/>
      <c r="Y10" s="46"/>
    </row>
    <row r="11" spans="2:25" x14ac:dyDescent="0.35">
      <c r="F11" s="48"/>
      <c r="G11" s="49">
        <v>2024</v>
      </c>
      <c r="H11" s="49">
        <f>G11+1</f>
        <v>2025</v>
      </c>
      <c r="I11" s="49">
        <f t="shared" ref="I11:P11" si="0">H11+1</f>
        <v>2026</v>
      </c>
      <c r="J11" s="49">
        <f t="shared" si="0"/>
        <v>2027</v>
      </c>
      <c r="K11" s="49">
        <f t="shared" si="0"/>
        <v>2028</v>
      </c>
      <c r="L11" s="49">
        <f t="shared" si="0"/>
        <v>2029</v>
      </c>
      <c r="M11" s="49">
        <f t="shared" si="0"/>
        <v>2030</v>
      </c>
      <c r="N11" s="49">
        <f t="shared" si="0"/>
        <v>2031</v>
      </c>
      <c r="O11" s="49">
        <f t="shared" si="0"/>
        <v>2032</v>
      </c>
      <c r="P11" s="49">
        <f t="shared" si="0"/>
        <v>2033</v>
      </c>
      <c r="Q11" s="49"/>
    </row>
    <row r="12" spans="2:25" ht="16" thickBot="1" x14ac:dyDescent="0.4">
      <c r="B12" s="50" t="s">
        <v>57</v>
      </c>
      <c r="C12" s="29"/>
      <c r="D12" s="29"/>
      <c r="E12" s="29"/>
      <c r="F12" s="51" t="s">
        <v>173</v>
      </c>
      <c r="G12" s="51" t="s">
        <v>58</v>
      </c>
      <c r="H12" s="52" t="s">
        <v>59</v>
      </c>
      <c r="I12" s="51" t="s">
        <v>60</v>
      </c>
      <c r="J12" s="52" t="s">
        <v>61</v>
      </c>
      <c r="K12" s="51" t="s">
        <v>62</v>
      </c>
      <c r="L12" s="51" t="s">
        <v>87</v>
      </c>
      <c r="M12" s="51" t="s">
        <v>169</v>
      </c>
      <c r="N12" s="51" t="s">
        <v>170</v>
      </c>
      <c r="O12" s="51" t="s">
        <v>171</v>
      </c>
      <c r="P12" s="51" t="s">
        <v>172</v>
      </c>
      <c r="Q12" s="53" t="s">
        <v>63</v>
      </c>
      <c r="R12" s="41"/>
      <c r="S12" s="54"/>
      <c r="T12" s="54"/>
      <c r="U12" s="54"/>
      <c r="V12" s="54"/>
      <c r="W12" s="41"/>
    </row>
    <row r="13" spans="2:25" x14ac:dyDescent="0.35">
      <c r="B13" s="1" t="s">
        <v>64</v>
      </c>
      <c r="G13" s="49">
        <v>12</v>
      </c>
      <c r="H13" s="49">
        <v>12</v>
      </c>
      <c r="I13" s="49">
        <v>12</v>
      </c>
      <c r="J13" s="49">
        <v>12</v>
      </c>
      <c r="K13" s="49">
        <v>12</v>
      </c>
      <c r="L13" s="49"/>
      <c r="M13" s="49"/>
      <c r="N13" s="49"/>
      <c r="O13" s="49"/>
      <c r="P13" s="49"/>
      <c r="Q13" s="55"/>
      <c r="S13" s="40"/>
      <c r="T13" s="40"/>
      <c r="U13" s="40"/>
      <c r="V13" s="40"/>
    </row>
    <row r="14" spans="2:25" ht="6.65" customHeight="1" x14ac:dyDescent="0.35">
      <c r="Q14" s="55"/>
      <c r="S14" s="56"/>
      <c r="T14" s="56"/>
      <c r="U14" s="56"/>
      <c r="V14" s="56"/>
    </row>
    <row r="15" spans="2:25" x14ac:dyDescent="0.35">
      <c r="B15" s="2" t="s">
        <v>65</v>
      </c>
      <c r="E15" s="57"/>
      <c r="G15" s="58"/>
      <c r="H15" s="59"/>
      <c r="I15" s="60"/>
      <c r="J15" s="60"/>
      <c r="K15" s="60"/>
      <c r="L15" s="60"/>
      <c r="M15" s="60"/>
      <c r="N15" s="60"/>
      <c r="O15" s="60"/>
      <c r="P15" s="60"/>
      <c r="Q15" s="55"/>
      <c r="S15" s="54"/>
      <c r="T15" s="54"/>
      <c r="U15" s="54"/>
      <c r="V15" s="54"/>
    </row>
    <row r="16" spans="2:25" x14ac:dyDescent="0.35">
      <c r="B16" s="2"/>
      <c r="C16" s="1" t="s">
        <v>180</v>
      </c>
      <c r="E16" s="57"/>
      <c r="G16" s="59">
        <v>150000000</v>
      </c>
      <c r="H16" s="59">
        <v>150000000</v>
      </c>
      <c r="I16" s="59">
        <v>150000000</v>
      </c>
      <c r="J16" s="59">
        <v>150000000</v>
      </c>
      <c r="K16" s="59">
        <v>150000000</v>
      </c>
      <c r="L16" s="59"/>
      <c r="M16" s="59"/>
      <c r="N16" s="59"/>
      <c r="O16" s="59"/>
      <c r="P16" s="59"/>
      <c r="Q16" s="61">
        <f t="shared" ref="Q16" si="1">SUM(G16:K16)</f>
        <v>750000000</v>
      </c>
      <c r="S16" s="54"/>
      <c r="T16" s="54"/>
      <c r="U16" s="54"/>
      <c r="V16" s="54"/>
    </row>
    <row r="17" spans="2:24" x14ac:dyDescent="0.35">
      <c r="B17" s="64" t="s">
        <v>66</v>
      </c>
      <c r="C17" s="64"/>
      <c r="D17" s="64"/>
      <c r="E17" s="220"/>
      <c r="F17" s="221"/>
      <c r="G17" s="65">
        <f>SUM(G16:G16)</f>
        <v>150000000</v>
      </c>
      <c r="H17" s="65">
        <f>SUM(H16:H16)</f>
        <v>150000000</v>
      </c>
      <c r="I17" s="65">
        <f>SUM(I16:I16)</f>
        <v>150000000</v>
      </c>
      <c r="J17" s="65">
        <f>SUM(J16:J16)</f>
        <v>150000000</v>
      </c>
      <c r="K17" s="65">
        <f>SUM(K16:K16)</f>
        <v>150000000</v>
      </c>
      <c r="L17" s="65"/>
      <c r="M17" s="65"/>
      <c r="N17" s="65"/>
      <c r="O17" s="65"/>
      <c r="P17" s="65"/>
      <c r="Q17" s="66">
        <f>SUM(G17:K17)</f>
        <v>750000000</v>
      </c>
      <c r="R17" s="54"/>
      <c r="S17" s="67"/>
      <c r="T17" s="67"/>
      <c r="U17" s="67"/>
      <c r="V17" s="67"/>
      <c r="W17" s="54"/>
      <c r="X17" s="40"/>
    </row>
    <row r="18" spans="2:24" ht="6" customHeight="1" x14ac:dyDescent="0.35">
      <c r="Q18" s="55"/>
      <c r="R18" s="40"/>
      <c r="S18" s="67"/>
      <c r="T18" s="67"/>
      <c r="U18" s="67"/>
      <c r="V18" s="67"/>
      <c r="W18" s="40"/>
      <c r="X18" s="40"/>
    </row>
    <row r="19" spans="2:24" x14ac:dyDescent="0.35">
      <c r="B19" s="2" t="s">
        <v>67</v>
      </c>
      <c r="E19" s="57"/>
      <c r="F19" s="57"/>
      <c r="G19" s="58"/>
      <c r="H19" s="57"/>
      <c r="I19" s="60"/>
      <c r="J19" s="60"/>
      <c r="K19" s="60"/>
      <c r="L19" s="60"/>
      <c r="M19" s="60"/>
      <c r="N19" s="60"/>
      <c r="O19" s="60"/>
      <c r="P19" s="60"/>
      <c r="Q19" s="68"/>
      <c r="R19" s="56"/>
      <c r="S19" s="69"/>
      <c r="T19" s="69"/>
      <c r="U19" s="69"/>
      <c r="V19" s="69"/>
      <c r="W19" s="40"/>
      <c r="X19" s="40"/>
    </row>
    <row r="20" spans="2:24" x14ac:dyDescent="0.35">
      <c r="C20" s="1" t="s">
        <v>68</v>
      </c>
      <c r="E20" s="70"/>
      <c r="G20" s="71">
        <v>40000000</v>
      </c>
      <c r="H20" s="71">
        <v>40000000</v>
      </c>
      <c r="I20" s="71">
        <v>40000000</v>
      </c>
      <c r="J20" s="71">
        <v>40000000</v>
      </c>
      <c r="K20" s="71">
        <v>40000000</v>
      </c>
      <c r="L20" s="71"/>
      <c r="M20" s="71"/>
      <c r="N20" s="71"/>
      <c r="O20" s="71"/>
      <c r="P20" s="71"/>
      <c r="Q20" s="72">
        <f>SUM(G20:K20)</f>
        <v>200000000</v>
      </c>
      <c r="R20" s="54" t="s">
        <v>36</v>
      </c>
      <c r="S20" s="54"/>
      <c r="T20" s="54"/>
      <c r="U20" s="54"/>
      <c r="V20" s="54"/>
      <c r="W20" s="73"/>
      <c r="X20" s="40"/>
    </row>
    <row r="21" spans="2:24" x14ac:dyDescent="0.35">
      <c r="C21" s="1" t="s">
        <v>69</v>
      </c>
      <c r="F21" s="74"/>
      <c r="G21" s="71">
        <v>0</v>
      </c>
      <c r="H21" s="71">
        <f>G21</f>
        <v>0</v>
      </c>
      <c r="I21" s="71">
        <f>H21</f>
        <v>0</v>
      </c>
      <c r="J21" s="71">
        <f>I21</f>
        <v>0</v>
      </c>
      <c r="K21" s="71">
        <f>J21</f>
        <v>0</v>
      </c>
      <c r="L21" s="71"/>
      <c r="M21" s="71"/>
      <c r="N21" s="71"/>
      <c r="O21" s="71"/>
      <c r="P21" s="71"/>
      <c r="Q21" s="72">
        <f>SUM(G21:K21)</f>
        <v>0</v>
      </c>
      <c r="R21" s="54"/>
      <c r="S21" s="75"/>
      <c r="T21" s="75"/>
      <c r="U21" s="75"/>
      <c r="V21" s="75"/>
      <c r="W21" s="73"/>
      <c r="X21" s="40"/>
    </row>
    <row r="22" spans="2:24" x14ac:dyDescent="0.35">
      <c r="C22" s="1" t="s">
        <v>70</v>
      </c>
      <c r="G22" s="76">
        <v>7000000</v>
      </c>
      <c r="H22" s="76">
        <f>G22</f>
        <v>7000000</v>
      </c>
      <c r="I22" s="76">
        <f t="shared" ref="I22:K22" si="2">H22</f>
        <v>7000000</v>
      </c>
      <c r="J22" s="76">
        <f>I22</f>
        <v>7000000</v>
      </c>
      <c r="K22" s="76">
        <f t="shared" si="2"/>
        <v>7000000</v>
      </c>
      <c r="L22" s="76"/>
      <c r="M22" s="76"/>
      <c r="N22" s="76"/>
      <c r="O22" s="76"/>
      <c r="P22" s="76"/>
      <c r="Q22" s="72">
        <f t="shared" ref="Q22:Q23" si="3">SUM(G22:K22)</f>
        <v>35000000</v>
      </c>
      <c r="R22" s="54"/>
      <c r="S22" s="75"/>
      <c r="T22" s="75"/>
      <c r="U22" s="75"/>
      <c r="V22" s="75"/>
      <c r="W22" s="73"/>
      <c r="X22" s="40"/>
    </row>
    <row r="23" spans="2:24" x14ac:dyDescent="0.35">
      <c r="B23" s="77"/>
      <c r="C23" s="77" t="s">
        <v>48</v>
      </c>
      <c r="D23" s="77"/>
      <c r="E23" s="77"/>
      <c r="F23" s="77"/>
      <c r="G23" s="167">
        <f>G17*$E$5</f>
        <v>7500000</v>
      </c>
      <c r="H23" s="167">
        <f>H17*$E$5</f>
        <v>7500000</v>
      </c>
      <c r="I23" s="167">
        <f>I17*$E$5</f>
        <v>7500000</v>
      </c>
      <c r="J23" s="167">
        <f>J17*$E$5</f>
        <v>7500000</v>
      </c>
      <c r="K23" s="167">
        <f>K17*$E$5</f>
        <v>7500000</v>
      </c>
      <c r="L23" s="160"/>
      <c r="M23" s="160"/>
      <c r="N23" s="160"/>
      <c r="O23" s="160"/>
      <c r="P23" s="160"/>
      <c r="Q23" s="72">
        <f t="shared" si="3"/>
        <v>37500000</v>
      </c>
      <c r="R23" s="63"/>
      <c r="S23" s="75"/>
      <c r="T23" s="75"/>
      <c r="U23" s="75"/>
      <c r="V23" s="75"/>
      <c r="W23" s="73"/>
      <c r="X23" s="40"/>
    </row>
    <row r="24" spans="2:24" s="2" customFormat="1" x14ac:dyDescent="0.35">
      <c r="B24" s="64" t="s">
        <v>71</v>
      </c>
      <c r="C24" s="64"/>
      <c r="D24" s="64"/>
      <c r="E24" s="64"/>
      <c r="F24" s="64"/>
      <c r="G24" s="65">
        <f>SUM(G20:G23)</f>
        <v>54500000</v>
      </c>
      <c r="H24" s="65">
        <f t="shared" ref="H24:K24" si="4">SUM(H20:H23)</f>
        <v>54500000</v>
      </c>
      <c r="I24" s="65">
        <f t="shared" si="4"/>
        <v>54500000</v>
      </c>
      <c r="J24" s="65">
        <f>SUM(J20:J23)</f>
        <v>54500000</v>
      </c>
      <c r="K24" s="65">
        <f t="shared" si="4"/>
        <v>54500000</v>
      </c>
      <c r="L24" s="65"/>
      <c r="M24" s="65"/>
      <c r="N24" s="65"/>
      <c r="O24" s="65"/>
      <c r="P24" s="65"/>
      <c r="Q24" s="78">
        <f>SUM(Q20:Q23)</f>
        <v>272500000</v>
      </c>
      <c r="R24" s="67"/>
      <c r="S24" s="79"/>
      <c r="T24" s="79"/>
      <c r="U24" s="79"/>
      <c r="V24" s="79"/>
      <c r="W24" s="67"/>
      <c r="X24" s="80"/>
    </row>
    <row r="25" spans="2:24" s="2" customFormat="1" x14ac:dyDescent="0.35">
      <c r="B25" s="2" t="s">
        <v>72</v>
      </c>
      <c r="G25" s="90">
        <f>G17-G24</f>
        <v>95500000</v>
      </c>
      <c r="H25" s="81">
        <f>H17-H24</f>
        <v>95500000</v>
      </c>
      <c r="I25" s="81">
        <f t="shared" ref="I25:K25" si="5">I17-I24</f>
        <v>95500000</v>
      </c>
      <c r="J25" s="81">
        <f t="shared" si="5"/>
        <v>95500000</v>
      </c>
      <c r="K25" s="81">
        <f t="shared" si="5"/>
        <v>95500000</v>
      </c>
      <c r="L25" s="81"/>
      <c r="M25" s="81"/>
      <c r="N25" s="81"/>
      <c r="O25" s="81"/>
      <c r="P25" s="81"/>
      <c r="Q25" s="82">
        <f>Q17-Q24</f>
        <v>477500000</v>
      </c>
      <c r="R25" s="67"/>
      <c r="S25" s="75"/>
      <c r="T25" s="75"/>
      <c r="U25" s="75"/>
      <c r="V25" s="75"/>
      <c r="W25" s="67"/>
      <c r="X25" s="80"/>
    </row>
    <row r="26" spans="2:24" s="2" customFormat="1" x14ac:dyDescent="0.35">
      <c r="B26" s="83" t="s">
        <v>73</v>
      </c>
      <c r="C26" s="84"/>
      <c r="D26" s="84"/>
      <c r="E26" s="84"/>
      <c r="F26" s="84"/>
      <c r="G26" s="85">
        <v>0</v>
      </c>
      <c r="H26" s="85">
        <f>H25/H17</f>
        <v>0.63666666666666671</v>
      </c>
      <c r="I26" s="85">
        <f t="shared" ref="I26:K26" si="6">I25/I17</f>
        <v>0.63666666666666671</v>
      </c>
      <c r="J26" s="85">
        <f t="shared" si="6"/>
        <v>0.63666666666666671</v>
      </c>
      <c r="K26" s="85">
        <f t="shared" si="6"/>
        <v>0.63666666666666671</v>
      </c>
      <c r="L26" s="85"/>
      <c r="M26" s="85"/>
      <c r="N26" s="85"/>
      <c r="O26" s="85"/>
      <c r="P26" s="85"/>
      <c r="Q26" s="86">
        <f>Q25/Q17</f>
        <v>0.63666666666666671</v>
      </c>
      <c r="R26" s="69"/>
      <c r="S26" s="40"/>
      <c r="T26" s="40"/>
      <c r="U26" s="40"/>
      <c r="V26" s="40"/>
      <c r="W26" s="69"/>
      <c r="X26" s="80"/>
    </row>
    <row r="27" spans="2:24" x14ac:dyDescent="0.35">
      <c r="B27" s="77" t="s">
        <v>74</v>
      </c>
      <c r="C27" s="77"/>
      <c r="D27" s="77"/>
      <c r="E27" s="77"/>
      <c r="F27" s="77"/>
      <c r="G27" s="87">
        <f>G49</f>
        <v>1014291</v>
      </c>
      <c r="H27" s="87">
        <f>H49</f>
        <v>1014291</v>
      </c>
      <c r="I27" s="87">
        <f>I49</f>
        <v>1014291</v>
      </c>
      <c r="J27" s="87">
        <f>J49</f>
        <v>1014291</v>
      </c>
      <c r="K27" s="87">
        <f>K49</f>
        <v>1014291</v>
      </c>
      <c r="L27" s="87"/>
      <c r="M27" s="87"/>
      <c r="N27" s="87"/>
      <c r="O27" s="87"/>
      <c r="P27" s="87"/>
      <c r="Q27" s="88">
        <f>SUM(G27:K27)</f>
        <v>5071455</v>
      </c>
      <c r="R27" s="54"/>
      <c r="S27" s="89"/>
      <c r="T27" s="89"/>
      <c r="U27" s="89"/>
      <c r="V27" s="89"/>
      <c r="W27" s="54"/>
      <c r="X27" s="40"/>
    </row>
    <row r="28" spans="2:24" x14ac:dyDescent="0.35">
      <c r="B28" s="1" t="s">
        <v>75</v>
      </c>
      <c r="G28" s="90">
        <f t="shared" ref="G28:Q28" si="7">G25-G27</f>
        <v>94485709</v>
      </c>
      <c r="H28" s="90">
        <f t="shared" si="7"/>
        <v>94485709</v>
      </c>
      <c r="I28" s="90">
        <f t="shared" si="7"/>
        <v>94485709</v>
      </c>
      <c r="J28" s="90">
        <f t="shared" si="7"/>
        <v>94485709</v>
      </c>
      <c r="K28" s="90">
        <f t="shared" si="7"/>
        <v>94485709</v>
      </c>
      <c r="L28" s="90"/>
      <c r="M28" s="90"/>
      <c r="N28" s="90"/>
      <c r="O28" s="90"/>
      <c r="P28" s="90"/>
      <c r="Q28" s="91">
        <f t="shared" si="7"/>
        <v>472428545</v>
      </c>
      <c r="R28" s="75"/>
      <c r="S28" s="89"/>
      <c r="T28" s="89"/>
      <c r="U28" s="89"/>
      <c r="V28" s="89"/>
      <c r="W28" s="75"/>
      <c r="X28" s="40"/>
    </row>
    <row r="29" spans="2:24" x14ac:dyDescent="0.35">
      <c r="B29" s="1" t="s">
        <v>76</v>
      </c>
      <c r="G29" s="92">
        <f>Parameter!M34</f>
        <v>0</v>
      </c>
      <c r="H29" s="92">
        <f>Parameter!N34</f>
        <v>0</v>
      </c>
      <c r="I29" s="92">
        <f>Parameter!O34</f>
        <v>0</v>
      </c>
      <c r="J29" s="92">
        <f>Parameter!O34</f>
        <v>0</v>
      </c>
      <c r="K29" s="92">
        <f>Parameter!P34</f>
        <v>0</v>
      </c>
      <c r="L29" s="92"/>
      <c r="M29" s="92"/>
      <c r="N29" s="92"/>
      <c r="O29" s="92"/>
      <c r="P29" s="92"/>
      <c r="Q29" s="93">
        <f>SUM(G29:K29)</f>
        <v>0</v>
      </c>
      <c r="R29" s="75"/>
      <c r="S29" s="89"/>
      <c r="T29" s="89"/>
      <c r="U29" s="89"/>
      <c r="V29" s="89"/>
      <c r="W29" s="75"/>
      <c r="X29" s="40"/>
    </row>
    <row r="30" spans="2:24" x14ac:dyDescent="0.35">
      <c r="B30" s="1" t="s">
        <v>77</v>
      </c>
      <c r="G30" s="183">
        <f t="shared" ref="G30:K30" si="8">G28-G29</f>
        <v>94485709</v>
      </c>
      <c r="H30" s="92">
        <f t="shared" si="8"/>
        <v>94485709</v>
      </c>
      <c r="I30" s="92">
        <f t="shared" si="8"/>
        <v>94485709</v>
      </c>
      <c r="J30" s="92">
        <f t="shared" si="8"/>
        <v>94485709</v>
      </c>
      <c r="K30" s="92">
        <f t="shared" si="8"/>
        <v>94485709</v>
      </c>
      <c r="L30" s="92"/>
      <c r="M30" s="92"/>
      <c r="N30" s="92"/>
      <c r="O30" s="92"/>
      <c r="P30" s="92"/>
      <c r="Q30" s="93">
        <f>SUM(G30:K30)</f>
        <v>472428545</v>
      </c>
      <c r="R30" s="75"/>
      <c r="S30" s="94"/>
      <c r="T30" s="94"/>
      <c r="U30" s="94"/>
      <c r="V30" s="94"/>
      <c r="W30" s="75"/>
      <c r="X30" s="40"/>
    </row>
    <row r="31" spans="2:24" x14ac:dyDescent="0.35">
      <c r="B31" s="77" t="s">
        <v>78</v>
      </c>
      <c r="C31" s="77"/>
      <c r="D31" s="77"/>
      <c r="E31" s="77"/>
      <c r="F31" s="77"/>
      <c r="G31" s="95">
        <f>IF(G30&lt;0,0,G30*$E$3)</f>
        <v>1889714.18</v>
      </c>
      <c r="H31" s="95">
        <f>IF(H30&lt;0,0,H30*$E$3)</f>
        <v>1889714.18</v>
      </c>
      <c r="I31" s="95">
        <f>IF(I30&lt;0,0,I30*$E$3)</f>
        <v>1889714.18</v>
      </c>
      <c r="J31" s="95">
        <f>IF(J30&lt;0,0,J30*$E$3)</f>
        <v>1889714.18</v>
      </c>
      <c r="K31" s="95">
        <f>IF(K30&lt;0,0,K30*$E$3)</f>
        <v>1889714.18</v>
      </c>
      <c r="L31" s="95"/>
      <c r="M31" s="95"/>
      <c r="N31" s="95"/>
      <c r="O31" s="95"/>
      <c r="P31" s="95"/>
      <c r="Q31" s="96">
        <f>SUM(G31:K31)</f>
        <v>9448570.9000000004</v>
      </c>
      <c r="R31" s="79"/>
      <c r="W31" s="89"/>
      <c r="X31" s="40"/>
    </row>
    <row r="32" spans="2:24" ht="16" thickBot="1" x14ac:dyDescent="0.4">
      <c r="B32" s="97" t="s">
        <v>79</v>
      </c>
      <c r="C32" s="97"/>
      <c r="D32" s="97"/>
      <c r="E32" s="97"/>
      <c r="F32" s="97"/>
      <c r="G32" s="98">
        <f>G30-G31</f>
        <v>92595994.819999993</v>
      </c>
      <c r="H32" s="98">
        <f t="shared" ref="H32:J32" si="9">H30-H31</f>
        <v>92595994.819999993</v>
      </c>
      <c r="I32" s="98">
        <f t="shared" si="9"/>
        <v>92595994.819999993</v>
      </c>
      <c r="J32" s="98">
        <f t="shared" si="9"/>
        <v>92595994.819999993</v>
      </c>
      <c r="K32" s="98">
        <f>K30-K31</f>
        <v>92595994.819999993</v>
      </c>
      <c r="L32" s="98"/>
      <c r="M32" s="98"/>
      <c r="N32" s="98"/>
      <c r="O32" s="98"/>
      <c r="P32" s="98"/>
      <c r="Q32" s="99">
        <f>Q30-Q31</f>
        <v>462979974.10000002</v>
      </c>
      <c r="R32" s="75"/>
      <c r="W32" s="75"/>
      <c r="X32" s="40"/>
    </row>
    <row r="33" spans="2:24" x14ac:dyDescent="0.35">
      <c r="Q33" s="55"/>
      <c r="R33" s="40"/>
      <c r="W33" s="40"/>
      <c r="X33" s="40"/>
    </row>
    <row r="34" spans="2:24" x14ac:dyDescent="0.35">
      <c r="B34" s="77" t="s">
        <v>80</v>
      </c>
      <c r="C34" s="77"/>
      <c r="D34" s="77"/>
      <c r="E34" s="77"/>
      <c r="F34" s="100"/>
      <c r="G34" s="100">
        <f>-G10</f>
        <v>-5071455</v>
      </c>
      <c r="H34" s="100">
        <f>-I9+-I10</f>
        <v>0</v>
      </c>
      <c r="I34" s="100">
        <f>-J9+-J10</f>
        <v>0</v>
      </c>
      <c r="J34" s="100">
        <f>-K9+-K10</f>
        <v>0</v>
      </c>
      <c r="K34" s="100">
        <f>-L9+-L10</f>
        <v>0</v>
      </c>
      <c r="L34" s="100"/>
      <c r="M34" s="100"/>
      <c r="N34" s="100"/>
      <c r="O34" s="100"/>
      <c r="P34" s="100"/>
      <c r="Q34" s="101"/>
      <c r="R34" s="89"/>
      <c r="W34" s="89"/>
      <c r="X34" s="40"/>
    </row>
    <row r="35" spans="2:24" x14ac:dyDescent="0.35">
      <c r="B35" s="1" t="s">
        <v>81</v>
      </c>
      <c r="F35" s="102">
        <f>F34</f>
        <v>0</v>
      </c>
      <c r="G35" s="102">
        <f>G34+G32+G27</f>
        <v>88538830.819999993</v>
      </c>
      <c r="H35" s="102">
        <f t="shared" ref="H35:J35" si="10">H34+H32+H27</f>
        <v>93610285.819999993</v>
      </c>
      <c r="I35" s="102">
        <f t="shared" si="10"/>
        <v>93610285.819999993</v>
      </c>
      <c r="J35" s="102">
        <f t="shared" si="10"/>
        <v>93610285.819999993</v>
      </c>
      <c r="K35" s="102">
        <f>K34+K32+K27</f>
        <v>93610285.819999993</v>
      </c>
      <c r="L35" s="102"/>
      <c r="M35" s="102"/>
      <c r="N35" s="102"/>
      <c r="O35" s="102"/>
      <c r="P35" s="102"/>
      <c r="Q35" s="103">
        <f>SUM(F35:K35)</f>
        <v>462979974.09999996</v>
      </c>
      <c r="R35" s="89"/>
      <c r="S35" s="37"/>
      <c r="T35" s="49"/>
      <c r="U35" s="37"/>
      <c r="V35" s="49"/>
      <c r="W35" s="89"/>
      <c r="X35" s="40"/>
    </row>
    <row r="36" spans="2:24" x14ac:dyDescent="0.35">
      <c r="B36" s="1" t="s">
        <v>82</v>
      </c>
      <c r="F36" s="102">
        <f>F35</f>
        <v>0</v>
      </c>
      <c r="G36" s="102">
        <f>F36+G35</f>
        <v>88538830.819999993</v>
      </c>
      <c r="H36" s="102">
        <f t="shared" ref="H36:K36" si="11">G36+H35</f>
        <v>182149116.63999999</v>
      </c>
      <c r="I36" s="102">
        <f t="shared" si="11"/>
        <v>275759402.45999998</v>
      </c>
      <c r="J36" s="102">
        <f t="shared" si="11"/>
        <v>369369688.27999997</v>
      </c>
      <c r="K36" s="102">
        <f t="shared" si="11"/>
        <v>462979974.09999996</v>
      </c>
      <c r="L36" s="102"/>
      <c r="M36" s="102"/>
      <c r="N36" s="102"/>
      <c r="O36" s="102"/>
      <c r="P36" s="102"/>
      <c r="Q36" s="103"/>
      <c r="R36" s="89"/>
      <c r="S36" s="104"/>
      <c r="T36" s="104"/>
      <c r="U36" s="104"/>
      <c r="V36" s="104"/>
      <c r="W36" s="89"/>
      <c r="X36" s="40"/>
    </row>
    <row r="37" spans="2:24" x14ac:dyDescent="0.35">
      <c r="B37" s="1" t="s">
        <v>83</v>
      </c>
      <c r="F37" s="102"/>
      <c r="G37" s="94">
        <f>IF(AND(F36&lt;0,G36&gt;0),G42-(G36/G35),0)</f>
        <v>0</v>
      </c>
      <c r="H37" s="94">
        <f t="shared" ref="H37:K37" si="12">IF(AND(G36&lt;0,H36&gt;0),H42-(H36/H35),0)</f>
        <v>0</v>
      </c>
      <c r="I37" s="94">
        <f t="shared" si="12"/>
        <v>0</v>
      </c>
      <c r="J37" s="94">
        <f t="shared" si="12"/>
        <v>0</v>
      </c>
      <c r="K37" s="94">
        <f t="shared" si="12"/>
        <v>0</v>
      </c>
      <c r="L37" s="94"/>
      <c r="M37" s="94"/>
      <c r="N37" s="94"/>
      <c r="O37" s="94"/>
      <c r="P37" s="94"/>
      <c r="Q37" s="105"/>
      <c r="R37" s="94"/>
      <c r="S37" s="106"/>
      <c r="T37" s="106"/>
      <c r="U37" s="106"/>
      <c r="V37" s="106"/>
      <c r="W37" s="94"/>
    </row>
    <row r="38" spans="2:24" x14ac:dyDescent="0.35">
      <c r="B38" s="107" t="s">
        <v>33</v>
      </c>
      <c r="C38" s="108"/>
      <c r="D38" s="108"/>
      <c r="E38" s="108"/>
      <c r="F38" s="109" t="s">
        <v>209</v>
      </c>
      <c r="S38" s="106"/>
      <c r="T38" s="106"/>
      <c r="U38" s="106"/>
      <c r="V38" s="106"/>
    </row>
    <row r="39" spans="2:24" x14ac:dyDescent="0.35">
      <c r="B39" s="110" t="s">
        <v>34</v>
      </c>
      <c r="C39" s="44"/>
      <c r="D39" s="44"/>
      <c r="E39" s="44"/>
      <c r="F39" s="111">
        <f>NPV(E4,H35:K35)+G35</f>
        <v>385270841.26369911</v>
      </c>
      <c r="H39" s="112"/>
      <c r="I39" s="113"/>
      <c r="S39" s="106"/>
      <c r="T39" s="106"/>
      <c r="U39" s="106"/>
      <c r="V39" s="106"/>
    </row>
    <row r="40" spans="2:24" x14ac:dyDescent="0.35">
      <c r="B40" s="110" t="s">
        <v>35</v>
      </c>
      <c r="C40" s="44"/>
      <c r="D40" s="44"/>
      <c r="E40" s="44"/>
      <c r="F40" s="114">
        <f>Q26</f>
        <v>0.63666666666666671</v>
      </c>
      <c r="H40" s="62"/>
      <c r="S40" s="106"/>
      <c r="T40" s="106"/>
      <c r="U40" s="106"/>
      <c r="V40" s="106"/>
    </row>
    <row r="41" spans="2:24" x14ac:dyDescent="0.35">
      <c r="B41" s="115" t="s">
        <v>84</v>
      </c>
      <c r="C41" s="116"/>
      <c r="D41" s="116"/>
      <c r="E41" s="116"/>
      <c r="F41" s="117">
        <f>SUM(F37:K37)</f>
        <v>0</v>
      </c>
      <c r="S41" s="106"/>
      <c r="T41" s="106"/>
      <c r="U41" s="106"/>
      <c r="V41" s="106"/>
    </row>
    <row r="42" spans="2:24" ht="9.65" customHeight="1" x14ac:dyDescent="0.35">
      <c r="G42" s="49">
        <v>1</v>
      </c>
      <c r="H42" s="37">
        <v>2</v>
      </c>
      <c r="I42" s="49">
        <v>3</v>
      </c>
      <c r="J42" s="37">
        <v>4</v>
      </c>
      <c r="K42" s="49">
        <v>5</v>
      </c>
      <c r="L42" s="49"/>
      <c r="M42" s="49"/>
      <c r="N42" s="49"/>
      <c r="O42" s="49"/>
      <c r="P42" s="49"/>
      <c r="Q42" s="37"/>
      <c r="R42" s="49"/>
      <c r="S42" s="118"/>
      <c r="T42" s="118"/>
      <c r="U42" s="118"/>
      <c r="V42" s="118"/>
    </row>
    <row r="43" spans="2:24" x14ac:dyDescent="0.35">
      <c r="B43" s="119" t="s">
        <v>85</v>
      </c>
      <c r="E43" s="104" t="s">
        <v>86</v>
      </c>
      <c r="G43" s="104" t="str">
        <f>G12</f>
        <v>Year 1</v>
      </c>
      <c r="H43" s="104" t="str">
        <f>H12</f>
        <v>Year 2</v>
      </c>
      <c r="I43" s="104" t="str">
        <f>I12</f>
        <v>Year 3</v>
      </c>
      <c r="J43" s="104" t="str">
        <f>J12</f>
        <v>Year 4</v>
      </c>
      <c r="K43" s="104" t="str">
        <f>K12</f>
        <v>Year 5</v>
      </c>
      <c r="L43" s="104"/>
      <c r="M43" s="104"/>
      <c r="N43" s="104"/>
      <c r="O43" s="104"/>
      <c r="P43" s="104"/>
      <c r="Q43" s="104"/>
      <c r="R43" s="104"/>
      <c r="W43" s="104"/>
    </row>
    <row r="44" spans="2:24" x14ac:dyDescent="0.35">
      <c r="D44" s="1" t="s">
        <v>58</v>
      </c>
      <c r="E44" s="1">
        <v>5</v>
      </c>
      <c r="G44" s="120">
        <f>SUM(G9)/$E44</f>
        <v>1014291</v>
      </c>
      <c r="H44" s="106">
        <f>G44</f>
        <v>1014291</v>
      </c>
      <c r="I44" s="106">
        <f t="shared" ref="I44:K45" si="13">H44</f>
        <v>1014291</v>
      </c>
      <c r="J44" s="106">
        <f>I44</f>
        <v>1014291</v>
      </c>
      <c r="K44" s="106">
        <f t="shared" si="13"/>
        <v>1014291</v>
      </c>
      <c r="L44" s="106"/>
      <c r="M44" s="106"/>
      <c r="N44" s="106"/>
      <c r="O44" s="106"/>
      <c r="P44" s="106"/>
      <c r="Q44" s="106">
        <f>SUM(G44:K44)</f>
        <v>5071455</v>
      </c>
      <c r="R44" s="106"/>
      <c r="W44" s="121"/>
    </row>
    <row r="45" spans="2:24" hidden="1" x14ac:dyDescent="0.35">
      <c r="D45" s="1" t="s">
        <v>60</v>
      </c>
      <c r="E45" s="1">
        <v>4</v>
      </c>
      <c r="H45" s="120">
        <f>I$10/$E45</f>
        <v>0</v>
      </c>
      <c r="J45" s="106">
        <f>H45</f>
        <v>0</v>
      </c>
      <c r="K45" s="106">
        <f t="shared" si="13"/>
        <v>0</v>
      </c>
      <c r="L45" s="106"/>
      <c r="M45" s="106"/>
      <c r="N45" s="106"/>
      <c r="O45" s="106"/>
      <c r="P45" s="106"/>
      <c r="Q45" s="106"/>
      <c r="R45" s="106"/>
      <c r="W45" s="121"/>
    </row>
    <row r="46" spans="2:24" hidden="1" x14ac:dyDescent="0.35">
      <c r="D46" s="1" t="s">
        <v>61</v>
      </c>
      <c r="E46" s="1">
        <v>3</v>
      </c>
      <c r="I46" s="120">
        <f>J$9/$E46</f>
        <v>0</v>
      </c>
      <c r="K46" s="106">
        <f>I46</f>
        <v>0</v>
      </c>
      <c r="L46" s="106"/>
      <c r="M46" s="106"/>
      <c r="N46" s="106"/>
      <c r="O46" s="106"/>
      <c r="P46" s="106"/>
      <c r="Q46" s="106"/>
      <c r="R46" s="106"/>
      <c r="W46" s="121"/>
    </row>
    <row r="47" spans="2:24" hidden="1" x14ac:dyDescent="0.35">
      <c r="D47" s="1" t="s">
        <v>62</v>
      </c>
      <c r="E47" s="1">
        <v>2</v>
      </c>
      <c r="J47" s="120"/>
      <c r="Q47" s="106"/>
      <c r="R47" s="106"/>
      <c r="W47" s="121"/>
    </row>
    <row r="48" spans="2:24" hidden="1" x14ac:dyDescent="0.35">
      <c r="D48" s="1" t="s">
        <v>87</v>
      </c>
      <c r="E48" s="1">
        <v>1</v>
      </c>
      <c r="K48" s="120"/>
      <c r="L48" s="120"/>
      <c r="M48" s="120"/>
      <c r="N48" s="120"/>
      <c r="O48" s="120"/>
      <c r="P48" s="120"/>
      <c r="Q48" s="106"/>
      <c r="R48" s="106"/>
      <c r="W48" s="121"/>
    </row>
    <row r="49" spans="2:23" ht="16" thickBot="1" x14ac:dyDescent="0.4">
      <c r="B49" s="122" t="s">
        <v>88</v>
      </c>
      <c r="C49" s="123"/>
      <c r="D49" s="123"/>
      <c r="E49" s="123"/>
      <c r="F49" s="123"/>
      <c r="G49" s="124">
        <f>SUM(G44:G47)</f>
        <v>1014291</v>
      </c>
      <c r="H49" s="124">
        <f>SUM(H44:H47)</f>
        <v>1014291</v>
      </c>
      <c r="I49" s="124">
        <f>SUM(I44:I47)</f>
        <v>1014291</v>
      </c>
      <c r="J49" s="124">
        <f>SUM(J44:J47)</f>
        <v>1014291</v>
      </c>
      <c r="K49" s="124">
        <f>SUM(K44:K47)</f>
        <v>1014291</v>
      </c>
      <c r="L49" s="161"/>
      <c r="M49" s="161"/>
      <c r="N49" s="161"/>
      <c r="O49" s="161"/>
      <c r="P49" s="161"/>
      <c r="Q49" s="124">
        <f>SUM(G49:K49)</f>
        <v>5071455</v>
      </c>
      <c r="R49" s="118"/>
      <c r="W49" s="118"/>
    </row>
    <row r="50" spans="2:23" ht="16" thickTop="1" x14ac:dyDescent="0.35">
      <c r="W50" s="113"/>
    </row>
    <row r="52" spans="2:23" x14ac:dyDescent="0.35">
      <c r="F52" s="1" t="s">
        <v>36</v>
      </c>
    </row>
  </sheetData>
  <mergeCells count="1">
    <mergeCell ref="E17:F17"/>
  </mergeCells>
  <phoneticPr fontId="26" type="noConversion"/>
  <pageMargins left="0.93" right="0.25" top="0.37" bottom="0.16" header="0.3" footer="0.3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0D66E-30A9-4E05-9523-F6EEFA9FECD6}">
  <sheetPr codeName="Sheet3"/>
  <dimension ref="A1:D29"/>
  <sheetViews>
    <sheetView zoomScaleNormal="100" workbookViewId="0">
      <selection activeCell="D9" sqref="D9:D10"/>
    </sheetView>
  </sheetViews>
  <sheetFormatPr defaultColWidth="9.1796875" defaultRowHeight="14.5" x14ac:dyDescent="0.35"/>
  <cols>
    <col min="1" max="1" width="5.54296875" style="168" customWidth="1"/>
    <col min="2" max="2" width="25.453125" style="168" bestFit="1" customWidth="1"/>
    <col min="3" max="3" width="48.81640625" style="168" customWidth="1"/>
    <col min="4" max="4" width="63.81640625" style="168" customWidth="1"/>
    <col min="5" max="16384" width="9.1796875" style="168"/>
  </cols>
  <sheetData>
    <row r="1" spans="1:4" ht="21" x14ac:dyDescent="0.5">
      <c r="C1" s="125" t="s">
        <v>89</v>
      </c>
    </row>
    <row r="3" spans="1:4" x14ac:dyDescent="0.35">
      <c r="A3" s="178" t="s">
        <v>184</v>
      </c>
      <c r="B3" s="178"/>
      <c r="C3" s="126" t="s">
        <v>191</v>
      </c>
    </row>
    <row r="4" spans="1:4" x14ac:dyDescent="0.35">
      <c r="A4" s="178" t="s">
        <v>185</v>
      </c>
      <c r="B4" s="178"/>
      <c r="C4" s="126" t="s">
        <v>192</v>
      </c>
    </row>
    <row r="5" spans="1:4" x14ac:dyDescent="0.35">
      <c r="A5" s="178" t="s">
        <v>186</v>
      </c>
      <c r="B5" s="178"/>
      <c r="C5" s="126" t="s">
        <v>193</v>
      </c>
    </row>
    <row r="6" spans="1:4" x14ac:dyDescent="0.35">
      <c r="A6" s="178" t="s">
        <v>187</v>
      </c>
      <c r="B6" s="178"/>
      <c r="C6" s="126" t="s">
        <v>194</v>
      </c>
    </row>
    <row r="7" spans="1:4" x14ac:dyDescent="0.35">
      <c r="A7" s="178" t="s">
        <v>188</v>
      </c>
      <c r="B7" s="178"/>
      <c r="C7" s="126" t="s">
        <v>195</v>
      </c>
    </row>
    <row r="9" spans="1:4" x14ac:dyDescent="0.35">
      <c r="A9" s="224" t="s">
        <v>90</v>
      </c>
      <c r="B9" s="225" t="s">
        <v>91</v>
      </c>
      <c r="C9" s="225" t="s">
        <v>92</v>
      </c>
      <c r="D9" s="225" t="s">
        <v>23</v>
      </c>
    </row>
    <row r="10" spans="1:4" x14ac:dyDescent="0.35">
      <c r="A10" s="224"/>
      <c r="B10" s="226"/>
      <c r="C10" s="226"/>
      <c r="D10" s="226"/>
    </row>
    <row r="11" spans="1:4" x14ac:dyDescent="0.35">
      <c r="A11" s="169" t="s">
        <v>93</v>
      </c>
      <c r="B11" s="170" t="s">
        <v>94</v>
      </c>
      <c r="C11" s="170" t="s">
        <v>9</v>
      </c>
      <c r="D11" s="170" t="s">
        <v>9</v>
      </c>
    </row>
    <row r="12" spans="1:4" x14ac:dyDescent="0.35">
      <c r="A12" s="169" t="s">
        <v>95</v>
      </c>
      <c r="B12" s="170" t="s">
        <v>96</v>
      </c>
      <c r="C12" s="179" t="str">
        <f>C7</f>
        <v>: 122 Omni + 8 Unit Pole Antenna + RBS 40 m²</v>
      </c>
      <c r="D12" s="180" t="str">
        <f>C7</f>
        <v>: 122 Omni + 8 Unit Pole Antenna + RBS 40 m²</v>
      </c>
    </row>
    <row r="13" spans="1:4" x14ac:dyDescent="0.35">
      <c r="A13" s="169" t="s">
        <v>97</v>
      </c>
      <c r="B13" s="170" t="s">
        <v>98</v>
      </c>
      <c r="C13" s="170" t="s">
        <v>196</v>
      </c>
      <c r="D13" s="170" t="s">
        <v>197</v>
      </c>
    </row>
    <row r="14" spans="1:4" x14ac:dyDescent="0.35">
      <c r="A14" s="227">
        <v>4</v>
      </c>
      <c r="B14" s="170" t="s">
        <v>182</v>
      </c>
      <c r="C14" s="181">
        <v>200000000</v>
      </c>
      <c r="D14" s="181">
        <v>40000000</v>
      </c>
    </row>
    <row r="15" spans="1:4" x14ac:dyDescent="0.35">
      <c r="A15" s="228"/>
      <c r="B15" s="170" t="s">
        <v>183</v>
      </c>
      <c r="C15" s="181">
        <f>C14/5</f>
        <v>40000000</v>
      </c>
      <c r="D15" s="181">
        <f>D14</f>
        <v>40000000</v>
      </c>
    </row>
    <row r="16" spans="1:4" x14ac:dyDescent="0.35">
      <c r="A16" s="169">
        <v>5</v>
      </c>
      <c r="B16" s="171" t="s">
        <v>99</v>
      </c>
      <c r="C16" s="170" t="s">
        <v>198</v>
      </c>
      <c r="D16" s="170" t="s">
        <v>199</v>
      </c>
    </row>
    <row r="17" spans="1:4" x14ac:dyDescent="0.35">
      <c r="A17" s="172" t="s">
        <v>189</v>
      </c>
      <c r="B17" s="170" t="s">
        <v>100</v>
      </c>
      <c r="C17" s="222" t="s">
        <v>200</v>
      </c>
      <c r="D17" s="223"/>
    </row>
    <row r="19" spans="1:4" x14ac:dyDescent="0.35">
      <c r="B19" s="168" t="s">
        <v>201</v>
      </c>
    </row>
    <row r="20" spans="1:4" x14ac:dyDescent="0.35">
      <c r="B20" s="182" t="s">
        <v>202</v>
      </c>
    </row>
    <row r="25" spans="1:4" ht="15.5" x14ac:dyDescent="0.35">
      <c r="B25" s="173"/>
      <c r="C25" s="173"/>
    </row>
    <row r="26" spans="1:4" ht="15.5" x14ac:dyDescent="0.35">
      <c r="B26" s="173"/>
      <c r="C26" s="173"/>
    </row>
    <row r="27" spans="1:4" ht="15.5" x14ac:dyDescent="0.35">
      <c r="B27" s="173"/>
      <c r="C27" s="173"/>
    </row>
    <row r="28" spans="1:4" ht="15.5" x14ac:dyDescent="0.35">
      <c r="B28" s="173"/>
      <c r="C28" s="173"/>
    </row>
    <row r="29" spans="1:4" ht="15.5" x14ac:dyDescent="0.35">
      <c r="B29" s="173"/>
      <c r="C29" s="173"/>
    </row>
  </sheetData>
  <mergeCells count="6">
    <mergeCell ref="C17:D17"/>
    <mergeCell ref="A9:A10"/>
    <mergeCell ref="B9:B10"/>
    <mergeCell ref="C9:C10"/>
    <mergeCell ref="D9:D10"/>
    <mergeCell ref="A14:A15"/>
  </mergeCells>
  <pageMargins left="0.70866141732283472" right="0.70866141732283472" top="0.74803149606299213" bottom="0.74803149606299213" header="0.31496062992125984" footer="0.31496062992125984"/>
  <pageSetup paperSize="9" scale="9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sheetPr codeName="Sheet4"/>
  <dimension ref="A1:T101"/>
  <sheetViews>
    <sheetView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K34" sqref="K34"/>
    </sheetView>
  </sheetViews>
  <sheetFormatPr defaultRowHeight="14.5" x14ac:dyDescent="0.35"/>
  <cols>
    <col min="1" max="1" width="18" customWidth="1"/>
    <col min="2" max="2" width="17.6328125" bestFit="1" customWidth="1"/>
    <col min="3" max="4" width="15.1796875" bestFit="1" customWidth="1"/>
    <col min="5" max="5" width="16.54296875" customWidth="1"/>
    <col min="6" max="6" width="16.6328125" customWidth="1"/>
    <col min="7" max="7" width="13.81640625" bestFit="1" customWidth="1"/>
    <col min="8" max="8" width="18.54296875" customWidth="1"/>
    <col min="9" max="9" width="17.08984375" customWidth="1"/>
    <col min="10" max="11" width="15.1796875" bestFit="1" customWidth="1"/>
    <col min="12" max="12" width="13.54296875" bestFit="1" customWidth="1"/>
    <col min="13" max="13" width="15.54296875" bestFit="1" customWidth="1"/>
    <col min="14" max="14" width="13.54296875" bestFit="1" customWidth="1"/>
    <col min="15" max="15" width="15.54296875" bestFit="1" customWidth="1"/>
    <col min="16" max="18" width="13.54296875" bestFit="1" customWidth="1"/>
    <col min="19" max="19" width="14.08984375" bestFit="1" customWidth="1"/>
  </cols>
  <sheetData>
    <row r="1" spans="1:20" x14ac:dyDescent="0.35">
      <c r="A1" s="127" t="s">
        <v>101</v>
      </c>
    </row>
    <row r="2" spans="1:20" x14ac:dyDescent="0.35">
      <c r="A2" s="128" t="s">
        <v>102</v>
      </c>
      <c r="B2" s="129">
        <v>5</v>
      </c>
      <c r="C2" s="130">
        <v>2015</v>
      </c>
      <c r="D2" s="130">
        <f>C2+1</f>
        <v>2016</v>
      </c>
      <c r="E2" s="130">
        <f t="shared" ref="E2:M2" si="0">D2+1</f>
        <v>2017</v>
      </c>
      <c r="F2" s="130">
        <f t="shared" si="0"/>
        <v>2018</v>
      </c>
      <c r="G2" s="130">
        <f t="shared" si="0"/>
        <v>2019</v>
      </c>
      <c r="H2" s="130">
        <f t="shared" si="0"/>
        <v>2020</v>
      </c>
      <c r="I2" s="130">
        <f t="shared" si="0"/>
        <v>2021</v>
      </c>
      <c r="J2" s="130">
        <f t="shared" si="0"/>
        <v>2022</v>
      </c>
      <c r="K2" s="130">
        <f t="shared" si="0"/>
        <v>2023</v>
      </c>
      <c r="L2" s="130">
        <f t="shared" si="0"/>
        <v>2024</v>
      </c>
      <c r="M2" s="130">
        <f t="shared" si="0"/>
        <v>2025</v>
      </c>
      <c r="N2" s="130">
        <f t="shared" ref="N2" si="1">M2+1</f>
        <v>2026</v>
      </c>
      <c r="O2" s="130">
        <f t="shared" ref="O2" si="2">N2+1</f>
        <v>2027</v>
      </c>
      <c r="P2" s="130">
        <f t="shared" ref="P2" si="3">O2+1</f>
        <v>2028</v>
      </c>
      <c r="Q2" s="130">
        <f t="shared" ref="Q2:R2" si="4">P2+1</f>
        <v>2029</v>
      </c>
      <c r="R2" s="130">
        <f t="shared" si="4"/>
        <v>2030</v>
      </c>
    </row>
    <row r="3" spans="1:20" x14ac:dyDescent="0.35">
      <c r="A3" s="131">
        <v>2015</v>
      </c>
      <c r="B3" t="s">
        <v>103</v>
      </c>
      <c r="C3" s="132">
        <v>1008381959</v>
      </c>
      <c r="D3" s="133">
        <f>C3-C4</f>
        <v>806705567.20000005</v>
      </c>
      <c r="E3" s="133">
        <f>D3-C4</f>
        <v>605029175.4000001</v>
      </c>
      <c r="F3" s="133">
        <f>E3-C4</f>
        <v>403352783.60000008</v>
      </c>
      <c r="G3" s="133">
        <f>F3-C4</f>
        <v>201676391.80000007</v>
      </c>
      <c r="H3" s="133">
        <f>G3-C4</f>
        <v>0</v>
      </c>
      <c r="I3" s="133">
        <f>H3-$E$4</f>
        <v>0</v>
      </c>
      <c r="J3" s="133">
        <f>I3-$E$4</f>
        <v>0</v>
      </c>
      <c r="K3" s="133"/>
      <c r="P3" s="133"/>
      <c r="Q3" s="133"/>
      <c r="R3">
        <v>2013</v>
      </c>
      <c r="S3" s="132">
        <v>1726670811.6800001</v>
      </c>
    </row>
    <row r="4" spans="1:20" x14ac:dyDescent="0.35">
      <c r="A4" s="134"/>
      <c r="B4" t="s">
        <v>104</v>
      </c>
      <c r="C4" s="132">
        <f>C3/B2</f>
        <v>201676391.80000001</v>
      </c>
      <c r="D4" s="132"/>
      <c r="E4" s="132"/>
      <c r="R4">
        <v>2014</v>
      </c>
      <c r="S4" s="132">
        <v>422342499</v>
      </c>
    </row>
    <row r="5" spans="1:20" x14ac:dyDescent="0.35">
      <c r="A5" s="134"/>
      <c r="B5" t="s">
        <v>105</v>
      </c>
      <c r="C5" s="132">
        <f>(($C$3*IRR!E4*6)/12)</f>
        <v>50419097.95000001</v>
      </c>
      <c r="D5" s="133">
        <f>AVERAGE(C3:D3)*IRR!E4</f>
        <v>90754376.310000002</v>
      </c>
      <c r="E5" s="133">
        <f>AVERAGE(D3:E3)*IRR!E4</f>
        <v>70586737.13000001</v>
      </c>
      <c r="F5" s="133">
        <f>AVERAGE(E3:F3)*IRR!E4</f>
        <v>50419097.950000018</v>
      </c>
      <c r="G5" s="133">
        <f>AVERAGE(F3:G3)*IRR!E4</f>
        <v>30251458.770000007</v>
      </c>
      <c r="H5" s="133">
        <f>AVERAGE(G3:H3)*IRR!E4</f>
        <v>10083819.590000004</v>
      </c>
      <c r="I5" s="133">
        <f>AVERAGE($H$3:$I$3)*[2]IRR!$G$4</f>
        <v>0</v>
      </c>
      <c r="J5" s="133">
        <f>AVERAGE($I$3:$J$3)*[2]IRR!$G$4</f>
        <v>0</v>
      </c>
      <c r="K5" s="133"/>
      <c r="P5" s="133"/>
      <c r="Q5" s="133"/>
      <c r="R5">
        <v>2016</v>
      </c>
      <c r="S5" s="132">
        <v>10773000</v>
      </c>
      <c r="T5" s="133"/>
    </row>
    <row r="6" spans="1:20" x14ac:dyDescent="0.35">
      <c r="A6" s="131">
        <f>A3+1</f>
        <v>2016</v>
      </c>
      <c r="B6" t="s">
        <v>103</v>
      </c>
      <c r="C6" s="132"/>
      <c r="D6" s="133">
        <v>83542705</v>
      </c>
      <c r="E6" s="133">
        <f>D6-D7</f>
        <v>66834164</v>
      </c>
      <c r="F6" s="133">
        <f>E6-D7</f>
        <v>50125623</v>
      </c>
      <c r="G6" s="133">
        <f>F6-D7</f>
        <v>33417082</v>
      </c>
      <c r="H6" s="133">
        <f>G6-D7</f>
        <v>16708541</v>
      </c>
      <c r="I6" s="133"/>
      <c r="J6" s="133"/>
      <c r="K6" s="133"/>
      <c r="R6">
        <v>2017</v>
      </c>
      <c r="S6" s="132">
        <v>102210600</v>
      </c>
    </row>
    <row r="7" spans="1:20" x14ac:dyDescent="0.35">
      <c r="A7" s="134"/>
      <c r="B7" t="s">
        <v>104</v>
      </c>
      <c r="C7" s="132"/>
      <c r="D7" s="133">
        <f>D6/B2</f>
        <v>16708541</v>
      </c>
      <c r="E7" s="133"/>
      <c r="F7" s="133"/>
      <c r="G7" s="133"/>
      <c r="H7" s="133"/>
      <c r="I7" s="133"/>
      <c r="J7" s="133"/>
      <c r="K7" s="133"/>
    </row>
    <row r="8" spans="1:20" x14ac:dyDescent="0.35">
      <c r="A8" s="134"/>
      <c r="B8" t="s">
        <v>105</v>
      </c>
      <c r="C8" s="132"/>
      <c r="D8" s="132">
        <f>((D6*IRR!E4*6)/12)</f>
        <v>4177135.25</v>
      </c>
      <c r="E8" s="133">
        <f>AVERAGE(D6:E6)*IRR!E4</f>
        <v>7518843.4500000002</v>
      </c>
      <c r="F8" s="133">
        <f>AVERAGE(E6:F6)*IRR!E4</f>
        <v>5847989.3500000006</v>
      </c>
      <c r="G8" s="133">
        <f>AVERAGE(F6:G6)*IRR!E4</f>
        <v>4177135.25</v>
      </c>
      <c r="H8" s="133">
        <f>AVERAGE(G6:H6)*IRR!E4</f>
        <v>2506281.15</v>
      </c>
      <c r="I8" s="133">
        <f>AVERAGE(H6:I6)*IRR!E4</f>
        <v>1670854.1</v>
      </c>
      <c r="J8" s="133"/>
      <c r="K8" s="133"/>
    </row>
    <row r="9" spans="1:20" x14ac:dyDescent="0.35">
      <c r="A9" s="131">
        <f>A6+1</f>
        <v>2017</v>
      </c>
      <c r="B9" t="s">
        <v>103</v>
      </c>
      <c r="C9" s="132"/>
      <c r="D9" s="133"/>
      <c r="E9" s="133">
        <v>34779633</v>
      </c>
      <c r="F9" s="133">
        <f>E9-E10</f>
        <v>27823706.399999999</v>
      </c>
      <c r="G9" s="133">
        <f>F9-E10</f>
        <v>20867779.799999997</v>
      </c>
      <c r="H9" s="133">
        <f>G9-E10</f>
        <v>13911853.199999997</v>
      </c>
      <c r="I9" s="133">
        <f>H9-E10</f>
        <v>6955926.5999999978</v>
      </c>
      <c r="J9" s="133">
        <f>I9-E10</f>
        <v>0</v>
      </c>
    </row>
    <row r="10" spans="1:20" x14ac:dyDescent="0.35">
      <c r="A10" s="134"/>
      <c r="B10" t="s">
        <v>104</v>
      </c>
      <c r="C10" s="132"/>
      <c r="D10" s="133"/>
      <c r="E10" s="133">
        <f>E9/B2</f>
        <v>6955926.5999999996</v>
      </c>
      <c r="F10" s="133"/>
      <c r="G10" s="133"/>
      <c r="H10" s="133"/>
      <c r="I10" s="133"/>
      <c r="J10" s="133"/>
    </row>
    <row r="11" spans="1:20" x14ac:dyDescent="0.35">
      <c r="A11" s="134"/>
      <c r="B11" t="s">
        <v>105</v>
      </c>
      <c r="C11" s="132"/>
      <c r="D11" s="133"/>
      <c r="E11" s="132">
        <f>((E9*IRR!E4*6)/12)</f>
        <v>1738981.6500000001</v>
      </c>
      <c r="F11" s="133">
        <f>AVERAGE(E9:F9)*IRR!$E$4</f>
        <v>3130166.97</v>
      </c>
      <c r="G11" s="133">
        <f>AVERAGE(F9:G9)*IRR!$E$4</f>
        <v>2434574.31</v>
      </c>
      <c r="H11" s="133">
        <f>AVERAGE(G9:H9)*IRR!$E$4</f>
        <v>1738981.6499999997</v>
      </c>
      <c r="I11" s="133">
        <f>AVERAGE(H9:I9)*IRR!$E$4</f>
        <v>1043388.9899999999</v>
      </c>
      <c r="J11" s="133">
        <f>AVERAGE(I9:J9)*IRR!$E$4</f>
        <v>347796.3299999999</v>
      </c>
    </row>
    <row r="12" spans="1:20" x14ac:dyDescent="0.35">
      <c r="A12" s="131">
        <f>A9+1</f>
        <v>2018</v>
      </c>
      <c r="B12" t="s">
        <v>103</v>
      </c>
      <c r="C12" s="132"/>
      <c r="D12" s="133"/>
      <c r="E12" s="133"/>
      <c r="F12" s="133"/>
      <c r="G12" s="133">
        <f>F12-F13</f>
        <v>0</v>
      </c>
      <c r="H12" s="133">
        <f>G12-F13</f>
        <v>0</v>
      </c>
      <c r="I12" s="133">
        <f>H12-F13</f>
        <v>0</v>
      </c>
      <c r="J12" s="133">
        <f>I12-F13</f>
        <v>0</v>
      </c>
      <c r="K12" s="133">
        <f>J12-F13</f>
        <v>0</v>
      </c>
    </row>
    <row r="13" spans="1:20" x14ac:dyDescent="0.35">
      <c r="B13" t="s">
        <v>104</v>
      </c>
      <c r="C13" s="132"/>
      <c r="D13" s="133"/>
      <c r="E13" s="133"/>
      <c r="F13" s="133">
        <f>F12/B2</f>
        <v>0</v>
      </c>
      <c r="G13" s="133"/>
      <c r="H13" s="133"/>
      <c r="I13" s="133"/>
      <c r="J13" s="133"/>
      <c r="K13" s="133"/>
    </row>
    <row r="14" spans="1:20" x14ac:dyDescent="0.35">
      <c r="B14" t="s">
        <v>105</v>
      </c>
      <c r="C14" s="132"/>
      <c r="D14" s="133"/>
      <c r="E14" s="132"/>
      <c r="F14" s="132">
        <f>((F12*IRR!E4*6)/12)</f>
        <v>0</v>
      </c>
      <c r="G14" s="133">
        <f>AVERAGE(F12:G12)*IRR!$E$4</f>
        <v>0</v>
      </c>
      <c r="H14" s="133">
        <f>AVERAGE(G12:H12)*IRR!$E$4</f>
        <v>0</v>
      </c>
      <c r="I14" s="133">
        <f>AVERAGE(H12:I12)*IRR!$E$4</f>
        <v>0</v>
      </c>
      <c r="J14" s="133">
        <f>AVERAGE(I12:J12)*IRR!$E$4</f>
        <v>0</v>
      </c>
      <c r="K14" s="133">
        <f>AVERAGE(J12:K12)*IRR!$E$4</f>
        <v>0</v>
      </c>
    </row>
    <row r="15" spans="1:20" x14ac:dyDescent="0.35">
      <c r="A15" s="131">
        <f>A12+1</f>
        <v>2019</v>
      </c>
      <c r="B15" t="s">
        <v>103</v>
      </c>
      <c r="C15" s="132"/>
      <c r="D15" s="133"/>
      <c r="E15" s="133"/>
      <c r="F15" s="133"/>
      <c r="G15" s="133"/>
      <c r="H15" s="133">
        <f>G15-G16</f>
        <v>0</v>
      </c>
      <c r="I15" s="133">
        <f>H15-G16</f>
        <v>0</v>
      </c>
      <c r="J15" s="133">
        <f>I15-G16</f>
        <v>0</v>
      </c>
      <c r="K15" s="133">
        <f>J15-G16</f>
        <v>0</v>
      </c>
      <c r="L15" s="133">
        <f>K15-G16</f>
        <v>0</v>
      </c>
    </row>
    <row r="16" spans="1:20" x14ac:dyDescent="0.35">
      <c r="B16" t="s">
        <v>104</v>
      </c>
      <c r="C16" s="132"/>
      <c r="D16" s="133"/>
      <c r="E16" s="133"/>
      <c r="F16" s="133"/>
      <c r="G16" s="133">
        <f>G15/B2</f>
        <v>0</v>
      </c>
      <c r="H16" s="133"/>
      <c r="I16" s="133"/>
      <c r="J16" s="133"/>
      <c r="K16" s="133"/>
      <c r="L16" s="133"/>
    </row>
    <row r="17" spans="1:18" x14ac:dyDescent="0.35">
      <c r="B17" t="s">
        <v>105</v>
      </c>
      <c r="C17" s="132"/>
      <c r="D17" s="133"/>
      <c r="E17" s="132"/>
      <c r="F17" s="133"/>
      <c r="G17" s="132">
        <f>((G15*IRR!E4*6)/12)</f>
        <v>0</v>
      </c>
      <c r="H17" s="133">
        <f>AVERAGE(G15:H15)*IRR!$E$4</f>
        <v>0</v>
      </c>
      <c r="I17" s="133">
        <f>AVERAGE(H15:I15)*IRR!$E$4</f>
        <v>0</v>
      </c>
      <c r="J17" s="133">
        <f>AVERAGE(I15:J15)*IRR!$E$4</f>
        <v>0</v>
      </c>
      <c r="K17" s="133">
        <f>AVERAGE(J15:K15)*IRR!$E$4</f>
        <v>0</v>
      </c>
      <c r="L17" s="133">
        <f>AVERAGE(K15:L15)*IRR!$E$4</f>
        <v>0</v>
      </c>
    </row>
    <row r="18" spans="1:18" x14ac:dyDescent="0.35">
      <c r="A18" s="131">
        <f>A15+1</f>
        <v>2020</v>
      </c>
      <c r="B18" t="s">
        <v>103</v>
      </c>
      <c r="C18" s="132"/>
      <c r="D18" s="133"/>
      <c r="E18" s="133"/>
      <c r="F18" s="133"/>
      <c r="H18" s="133"/>
      <c r="I18" s="133">
        <f>H18-H19</f>
        <v>0</v>
      </c>
      <c r="J18" s="133">
        <f>I18-H19</f>
        <v>0</v>
      </c>
      <c r="K18" s="133">
        <f>J18-H19</f>
        <v>0</v>
      </c>
      <c r="L18" s="133">
        <f>K18-H19</f>
        <v>0</v>
      </c>
      <c r="M18" s="133">
        <f>L18-H19</f>
        <v>0</v>
      </c>
    </row>
    <row r="19" spans="1:18" x14ac:dyDescent="0.35">
      <c r="B19" t="s">
        <v>104</v>
      </c>
      <c r="C19" s="132"/>
      <c r="D19" s="133"/>
      <c r="E19" s="133"/>
      <c r="F19" s="133"/>
      <c r="H19" s="133">
        <f>H18/B2</f>
        <v>0</v>
      </c>
      <c r="I19" s="133"/>
      <c r="J19" s="133"/>
      <c r="K19" s="133"/>
      <c r="L19" s="133"/>
      <c r="M19" s="133"/>
    </row>
    <row r="20" spans="1:18" x14ac:dyDescent="0.35">
      <c r="B20" t="s">
        <v>105</v>
      </c>
      <c r="C20" s="132"/>
      <c r="D20" s="133"/>
      <c r="E20" s="132"/>
      <c r="F20" s="133"/>
      <c r="H20" s="132">
        <f>((H18*IRR!E4*6)/12)</f>
        <v>0</v>
      </c>
      <c r="I20" s="133">
        <f>AVERAGE(H18:I18)*IRR!$E$4</f>
        <v>0</v>
      </c>
      <c r="J20" s="133">
        <f>AVERAGE(I18:J18)*IRR!$E$4</f>
        <v>0</v>
      </c>
      <c r="K20" s="133">
        <f>AVERAGE(J18:K18)*IRR!$E$4</f>
        <v>0</v>
      </c>
      <c r="L20" s="133">
        <f>AVERAGE(K18:L18)*IRR!$E$4</f>
        <v>0</v>
      </c>
      <c r="M20" s="133">
        <f>AVERAGE(L18:M18)*IRR!$E$4</f>
        <v>0</v>
      </c>
    </row>
    <row r="21" spans="1:18" x14ac:dyDescent="0.35">
      <c r="A21" s="131">
        <f>A18+1</f>
        <v>2021</v>
      </c>
      <c r="B21" t="s">
        <v>103</v>
      </c>
      <c r="C21" s="132"/>
      <c r="D21" s="133"/>
      <c r="E21" s="133"/>
      <c r="F21" s="133"/>
      <c r="I21" s="133"/>
      <c r="J21" s="133">
        <f>I21-I22</f>
        <v>0</v>
      </c>
      <c r="K21" s="133">
        <f>J21-I22</f>
        <v>0</v>
      </c>
      <c r="L21" s="133">
        <f>K21-I22</f>
        <v>0</v>
      </c>
      <c r="M21" s="133">
        <f>L21-I22</f>
        <v>0</v>
      </c>
      <c r="N21" s="133">
        <f>M21-I22</f>
        <v>0</v>
      </c>
    </row>
    <row r="22" spans="1:18" x14ac:dyDescent="0.35">
      <c r="B22" t="s">
        <v>104</v>
      </c>
      <c r="C22" s="132"/>
      <c r="D22" s="133"/>
      <c r="E22" s="133"/>
      <c r="F22" s="133"/>
      <c r="I22" s="133">
        <f>I21/B2</f>
        <v>0</v>
      </c>
      <c r="J22" s="133"/>
      <c r="K22" s="133"/>
      <c r="L22" s="133"/>
      <c r="M22" s="133"/>
      <c r="N22" s="133"/>
    </row>
    <row r="23" spans="1:18" x14ac:dyDescent="0.35">
      <c r="B23" t="s">
        <v>105</v>
      </c>
      <c r="C23" s="132"/>
      <c r="D23" s="133"/>
      <c r="E23" s="132"/>
      <c r="F23" s="133"/>
      <c r="I23" s="132">
        <f>((I21*IRR!E4*6)/12)</f>
        <v>0</v>
      </c>
      <c r="J23" s="133">
        <f>AVERAGE(I21:J21)*IRR!$E$4</f>
        <v>0</v>
      </c>
      <c r="K23" s="133">
        <f>AVERAGE(J21:K21)*IRR!$E$4</f>
        <v>0</v>
      </c>
      <c r="L23" s="133">
        <f>AVERAGE(K21:L21)*IRR!$E$4</f>
        <v>0</v>
      </c>
      <c r="M23" s="133">
        <f>AVERAGE(L21:M21)*IRR!$E$4</f>
        <v>0</v>
      </c>
      <c r="N23" s="133">
        <f>AVERAGE(M21:N21)*IRR!$E$4</f>
        <v>0</v>
      </c>
    </row>
    <row r="24" spans="1:18" x14ac:dyDescent="0.35">
      <c r="A24" s="131">
        <f>A21+1</f>
        <v>2022</v>
      </c>
      <c r="B24" t="s">
        <v>103</v>
      </c>
      <c r="C24" s="132"/>
      <c r="D24" s="133"/>
      <c r="E24" s="133"/>
      <c r="F24" s="133"/>
      <c r="J24" s="133"/>
      <c r="K24" s="133">
        <f>J24-J25</f>
        <v>0</v>
      </c>
      <c r="L24" s="133">
        <f>K24-J25</f>
        <v>0</v>
      </c>
      <c r="M24" s="133">
        <f>L24-J25</f>
        <v>0</v>
      </c>
      <c r="N24" s="133">
        <f>M24-J25</f>
        <v>0</v>
      </c>
      <c r="O24" s="133">
        <f>N24-J25</f>
        <v>0</v>
      </c>
    </row>
    <row r="25" spans="1:18" x14ac:dyDescent="0.35">
      <c r="B25" t="s">
        <v>104</v>
      </c>
      <c r="C25" s="132"/>
      <c r="D25" s="133"/>
      <c r="E25" s="133"/>
      <c r="F25" s="133"/>
      <c r="J25" s="133">
        <f>J24/B2</f>
        <v>0</v>
      </c>
      <c r="K25" s="133"/>
      <c r="L25" s="133"/>
      <c r="M25" s="133"/>
      <c r="N25" s="133"/>
      <c r="O25" s="133"/>
    </row>
    <row r="26" spans="1:18" x14ac:dyDescent="0.35">
      <c r="B26" t="s">
        <v>105</v>
      </c>
      <c r="C26" s="132"/>
      <c r="D26" s="133"/>
      <c r="E26" s="132"/>
      <c r="F26" s="133"/>
      <c r="J26" s="132">
        <f>((J24*IRR!E4*6)/12)</f>
        <v>0</v>
      </c>
      <c r="K26" s="133">
        <f>AVERAGE(J24:K24)*IRR!$E$4</f>
        <v>0</v>
      </c>
      <c r="L26" s="133">
        <f>AVERAGE(K24:L24)*IRR!$E$4</f>
        <v>0</v>
      </c>
      <c r="M26" s="133">
        <f>AVERAGE(L24:M24)*IRR!$E$4</f>
        <v>0</v>
      </c>
      <c r="N26" s="133">
        <f>AVERAGE(M24:N24)*IRR!$E$4</f>
        <v>0</v>
      </c>
      <c r="O26" s="133">
        <f>AVERAGE(N24:O24)*IRR!$E$4</f>
        <v>0</v>
      </c>
    </row>
    <row r="27" spans="1:18" x14ac:dyDescent="0.35">
      <c r="A27" s="131">
        <f>A24+1</f>
        <v>2023</v>
      </c>
      <c r="B27" t="s">
        <v>103</v>
      </c>
      <c r="C27" s="132"/>
      <c r="D27" s="133"/>
      <c r="E27" s="133"/>
      <c r="F27" s="133"/>
      <c r="L27" s="133"/>
      <c r="M27" s="133">
        <f>L27-L28</f>
        <v>0</v>
      </c>
      <c r="N27" s="133">
        <f>M27-L28</f>
        <v>0</v>
      </c>
      <c r="O27" s="133">
        <f>N27-L28</f>
        <v>0</v>
      </c>
      <c r="P27" s="133">
        <f>O27-L28</f>
        <v>0</v>
      </c>
      <c r="Q27" s="133">
        <f>P27-L28</f>
        <v>0</v>
      </c>
    </row>
    <row r="28" spans="1:18" x14ac:dyDescent="0.35">
      <c r="B28" t="s">
        <v>104</v>
      </c>
      <c r="C28" s="132"/>
      <c r="D28" s="133"/>
      <c r="E28" s="133"/>
      <c r="F28" s="133"/>
      <c r="L28" s="133">
        <f>L27/B2</f>
        <v>0</v>
      </c>
      <c r="M28" s="133"/>
      <c r="N28" s="133"/>
      <c r="O28" s="133"/>
      <c r="P28" s="133"/>
      <c r="Q28" s="133"/>
    </row>
    <row r="29" spans="1:18" x14ac:dyDescent="0.35">
      <c r="B29" t="s">
        <v>105</v>
      </c>
      <c r="C29" s="132"/>
      <c r="D29" s="133"/>
      <c r="E29" s="132"/>
      <c r="F29" s="133"/>
      <c r="L29" s="132">
        <f>((L27*IRR!E4*6)/12)</f>
        <v>0</v>
      </c>
      <c r="M29" s="133">
        <f>AVERAGE(L27:M27)*IRR!$E$4</f>
        <v>0</v>
      </c>
      <c r="N29" s="133">
        <f>AVERAGE(M27:N27)*IRR!$E$4</f>
        <v>0</v>
      </c>
      <c r="O29" s="133">
        <f>AVERAGE(N27:O27)*IRR!$E$4</f>
        <v>0</v>
      </c>
      <c r="P29" s="133">
        <f>AVERAGE(O27:P27)*IRR!$E$4</f>
        <v>0</v>
      </c>
      <c r="Q29" s="133">
        <f>AVERAGE(P27:Q27)*IRR!$E$4</f>
        <v>0</v>
      </c>
    </row>
    <row r="30" spans="1:18" x14ac:dyDescent="0.35">
      <c r="A30">
        <f>A27+1</f>
        <v>2024</v>
      </c>
      <c r="B30" t="s">
        <v>103</v>
      </c>
      <c r="C30" s="132"/>
      <c r="D30" s="133"/>
      <c r="E30" s="132"/>
      <c r="F30" s="133"/>
      <c r="L30" s="132"/>
      <c r="M30" s="133"/>
      <c r="N30" s="133">
        <f>M30-M31</f>
        <v>0</v>
      </c>
      <c r="O30" s="133">
        <f>N30-M31</f>
        <v>0</v>
      </c>
      <c r="P30" s="133">
        <f>O30-M31</f>
        <v>0</v>
      </c>
      <c r="Q30" s="133">
        <f>P30-M31</f>
        <v>0</v>
      </c>
      <c r="R30" s="133">
        <f>Q30-M31</f>
        <v>0</v>
      </c>
    </row>
    <row r="31" spans="1:18" x14ac:dyDescent="0.35">
      <c r="B31" t="s">
        <v>104</v>
      </c>
      <c r="C31" s="132"/>
      <c r="D31" s="133"/>
      <c r="E31" s="132"/>
      <c r="F31" s="133"/>
      <c r="L31" s="132"/>
      <c r="M31" s="133">
        <f>M30/B2</f>
        <v>0</v>
      </c>
      <c r="N31" s="133"/>
      <c r="O31" s="133"/>
      <c r="P31" s="133"/>
      <c r="Q31" s="133"/>
    </row>
    <row r="32" spans="1:18" x14ac:dyDescent="0.35">
      <c r="B32" t="s">
        <v>105</v>
      </c>
      <c r="C32" s="132"/>
      <c r="D32" s="133"/>
      <c r="E32" s="132"/>
      <c r="F32" s="133"/>
      <c r="L32" s="132"/>
      <c r="M32" s="132">
        <f>((M30*IRR!E4*6)/12)</f>
        <v>0</v>
      </c>
      <c r="N32" s="133">
        <f>AVERAGE(M30:N30)*IRR!$E$4</f>
        <v>0</v>
      </c>
      <c r="O32" s="133">
        <f>AVERAGE(N30:O30)*IRR!$E$4</f>
        <v>0</v>
      </c>
      <c r="P32" s="133">
        <f>AVERAGE(O30:P30)*IRR!$E$4</f>
        <v>0</v>
      </c>
      <c r="Q32" s="133">
        <f>AVERAGE(P30:Q30)*IRR!$E$4</f>
        <v>0</v>
      </c>
      <c r="R32" s="133">
        <f>AVERAGE(Q30:R30)*IRR!$E$4</f>
        <v>0</v>
      </c>
    </row>
    <row r="33" spans="1:18" x14ac:dyDescent="0.35">
      <c r="C33" s="132"/>
      <c r="D33" s="133"/>
      <c r="E33" s="133"/>
      <c r="F33" s="133"/>
      <c r="G33" s="133"/>
      <c r="H33" s="133"/>
      <c r="I33" s="133"/>
      <c r="J33" s="133"/>
      <c r="K33" s="133"/>
    </row>
    <row r="34" spans="1:18" x14ac:dyDescent="0.35">
      <c r="A34" s="128"/>
      <c r="B34" s="135" t="s">
        <v>106</v>
      </c>
      <c r="C34" s="136">
        <f t="shared" ref="C34:L34" si="5">C5+C8+C11+C14+C17+C20+C23+C26+C29+C32</f>
        <v>50419097.95000001</v>
      </c>
      <c r="D34" s="136">
        <f t="shared" si="5"/>
        <v>94931511.560000002</v>
      </c>
      <c r="E34" s="136">
        <f t="shared" si="5"/>
        <v>79844562.230000019</v>
      </c>
      <c r="F34" s="136">
        <f t="shared" si="5"/>
        <v>59397254.270000018</v>
      </c>
      <c r="G34" s="136">
        <f t="shared" si="5"/>
        <v>36863168.330000013</v>
      </c>
      <c r="H34" s="136">
        <f t="shared" si="5"/>
        <v>14329082.390000004</v>
      </c>
      <c r="I34" s="136">
        <f t="shared" si="5"/>
        <v>2714243.09</v>
      </c>
      <c r="J34" s="136">
        <f t="shared" si="5"/>
        <v>347796.3299999999</v>
      </c>
      <c r="K34" s="136">
        <f t="shared" si="5"/>
        <v>0</v>
      </c>
      <c r="L34" s="136">
        <f t="shared" si="5"/>
        <v>0</v>
      </c>
      <c r="M34" s="136">
        <f t="shared" ref="M34:Q34" si="6">M5+M8+M11+M14+M17+M20+M23+M26+M29+M32</f>
        <v>0</v>
      </c>
      <c r="N34" s="136">
        <f t="shared" si="6"/>
        <v>0</v>
      </c>
      <c r="O34" s="136">
        <f t="shared" si="6"/>
        <v>0</v>
      </c>
      <c r="P34" s="136">
        <f t="shared" si="6"/>
        <v>0</v>
      </c>
      <c r="Q34" s="136">
        <f t="shared" si="6"/>
        <v>0</v>
      </c>
      <c r="R34" s="136">
        <f>R5+R8+R11+R14+R17+R20+R23+R26+R29+R32</f>
        <v>2016</v>
      </c>
    </row>
    <row r="35" spans="1:18" x14ac:dyDescent="0.35">
      <c r="B35" s="132"/>
      <c r="C35" s="133"/>
      <c r="D35" s="133"/>
      <c r="E35" s="133"/>
      <c r="F35" s="133"/>
      <c r="G35" s="133"/>
      <c r="H35" s="133"/>
      <c r="I35" s="133"/>
      <c r="J35" s="133"/>
      <c r="K35" s="133"/>
    </row>
    <row r="36" spans="1:18" x14ac:dyDescent="0.35">
      <c r="A36" s="137"/>
      <c r="B36" s="137"/>
      <c r="C36" s="137"/>
      <c r="D36" s="137"/>
      <c r="E36" s="137"/>
      <c r="F36" s="137"/>
      <c r="G36" s="137"/>
      <c r="H36" s="137"/>
      <c r="I36" s="137"/>
      <c r="J36" s="137"/>
      <c r="K36" s="137"/>
      <c r="L36" s="137"/>
      <c r="M36" s="137"/>
      <c r="N36" s="137"/>
      <c r="O36" s="137"/>
    </row>
    <row r="37" spans="1:18" x14ac:dyDescent="0.35">
      <c r="A37" s="127" t="s">
        <v>107</v>
      </c>
    </row>
    <row r="38" spans="1:18" x14ac:dyDescent="0.35">
      <c r="A38" t="s">
        <v>108</v>
      </c>
      <c r="B38" t="s">
        <v>109</v>
      </c>
      <c r="C38" s="138">
        <v>50000000</v>
      </c>
    </row>
    <row r="39" spans="1:18" x14ac:dyDescent="0.35">
      <c r="A39" t="s">
        <v>110</v>
      </c>
      <c r="B39" t="s">
        <v>109</v>
      </c>
      <c r="C39" s="138">
        <v>20000000</v>
      </c>
    </row>
    <row r="40" spans="1:18" x14ac:dyDescent="0.35">
      <c r="A40" t="s">
        <v>111</v>
      </c>
      <c r="B40" s="139" t="s">
        <v>112</v>
      </c>
      <c r="C40" s="138"/>
    </row>
    <row r="41" spans="1:18" x14ac:dyDescent="0.35">
      <c r="A41" t="s">
        <v>113</v>
      </c>
      <c r="B41" s="139" t="s">
        <v>112</v>
      </c>
      <c r="C41" s="138"/>
    </row>
    <row r="43" spans="1:18" x14ac:dyDescent="0.35">
      <c r="A43" s="140" t="s">
        <v>48</v>
      </c>
      <c r="B43" s="136">
        <f>C38</f>
        <v>50000000</v>
      </c>
      <c r="C43" s="141">
        <f>B43+C44</f>
        <v>51000000</v>
      </c>
      <c r="D43" s="141">
        <f>C43+D45</f>
        <v>52020000</v>
      </c>
      <c r="E43" s="141">
        <f t="shared" ref="E43:K43" si="7">D43+E45</f>
        <v>53060400</v>
      </c>
      <c r="F43" s="141">
        <f t="shared" si="7"/>
        <v>54121608</v>
      </c>
      <c r="G43" s="141">
        <f t="shared" si="7"/>
        <v>55204040.159999996</v>
      </c>
      <c r="H43" s="141">
        <f t="shared" si="7"/>
        <v>56308120.963199995</v>
      </c>
      <c r="I43" s="141">
        <f t="shared" si="7"/>
        <v>57434283.382463992</v>
      </c>
      <c r="J43" s="141">
        <f t="shared" si="7"/>
        <v>58582969.050113268</v>
      </c>
      <c r="K43" s="141">
        <f t="shared" si="7"/>
        <v>59754628.43111553</v>
      </c>
    </row>
    <row r="44" spans="1:18" x14ac:dyDescent="0.35">
      <c r="A44" s="142">
        <v>0.02</v>
      </c>
      <c r="B44" s="140"/>
      <c r="C44" s="141">
        <f>C45</f>
        <v>1000000</v>
      </c>
      <c r="D44" s="141">
        <f>C44+D45</f>
        <v>2020000</v>
      </c>
      <c r="E44" s="141">
        <f t="shared" ref="E44:K44" si="8">D44+E45</f>
        <v>3060400</v>
      </c>
      <c r="F44" s="141">
        <f t="shared" si="8"/>
        <v>4121608</v>
      </c>
      <c r="G44" s="141">
        <f t="shared" si="8"/>
        <v>5204040.16</v>
      </c>
      <c r="H44" s="141">
        <f t="shared" si="8"/>
        <v>6308120.9632000001</v>
      </c>
      <c r="I44" s="141">
        <f t="shared" si="8"/>
        <v>7434283.382464</v>
      </c>
      <c r="J44" s="141">
        <f t="shared" si="8"/>
        <v>8582969.0501132794</v>
      </c>
      <c r="K44" s="141">
        <f t="shared" si="8"/>
        <v>9754628.4311155453</v>
      </c>
    </row>
    <row r="45" spans="1:18" x14ac:dyDescent="0.35">
      <c r="A45" s="140"/>
      <c r="B45" s="140"/>
      <c r="C45" s="141">
        <f t="shared" ref="C45:K45" si="9">B43*$A$44</f>
        <v>1000000</v>
      </c>
      <c r="D45" s="141">
        <f t="shared" si="9"/>
        <v>1020000</v>
      </c>
      <c r="E45" s="141">
        <f t="shared" si="9"/>
        <v>1040400</v>
      </c>
      <c r="F45" s="141">
        <f t="shared" si="9"/>
        <v>1061208</v>
      </c>
      <c r="G45" s="141">
        <f t="shared" si="9"/>
        <v>1082432.1599999999</v>
      </c>
      <c r="H45" s="141">
        <f t="shared" si="9"/>
        <v>1104080.8032</v>
      </c>
      <c r="I45" s="141">
        <f t="shared" si="9"/>
        <v>1126162.4192639999</v>
      </c>
      <c r="J45" s="141">
        <f t="shared" si="9"/>
        <v>1148685.6676492798</v>
      </c>
      <c r="K45" s="141">
        <f t="shared" si="9"/>
        <v>1171659.3810022655</v>
      </c>
    </row>
    <row r="46" spans="1:18" x14ac:dyDescent="0.35">
      <c r="C46" s="133"/>
      <c r="D46" s="133"/>
      <c r="E46" s="133"/>
      <c r="F46" s="133"/>
      <c r="G46" s="133"/>
      <c r="H46" s="133"/>
      <c r="I46" s="133"/>
      <c r="J46" s="133"/>
      <c r="K46" s="133"/>
    </row>
    <row r="47" spans="1:18" x14ac:dyDescent="0.35">
      <c r="A47" s="137"/>
      <c r="B47" s="137"/>
      <c r="C47" s="143"/>
      <c r="D47" s="143"/>
      <c r="E47" s="143"/>
      <c r="F47" s="143"/>
      <c r="G47" s="143"/>
      <c r="H47" s="143"/>
      <c r="I47" s="143"/>
      <c r="J47" s="143"/>
      <c r="K47" s="143"/>
      <c r="L47" s="137"/>
      <c r="M47" s="137"/>
      <c r="N47" s="137"/>
      <c r="O47" s="137"/>
    </row>
    <row r="48" spans="1:18" x14ac:dyDescent="0.35">
      <c r="A48" s="127" t="s">
        <v>114</v>
      </c>
      <c r="C48" s="133"/>
      <c r="D48" s="133"/>
      <c r="E48" s="133"/>
      <c r="F48" s="133"/>
      <c r="G48" s="133"/>
      <c r="H48" s="133"/>
      <c r="I48" s="133"/>
      <c r="J48" s="133"/>
      <c r="K48" s="133"/>
    </row>
    <row r="49" spans="1:11" x14ac:dyDescent="0.35">
      <c r="A49" t="s">
        <v>115</v>
      </c>
      <c r="C49" s="133"/>
      <c r="D49" s="133"/>
      <c r="E49" s="133"/>
      <c r="F49" s="133"/>
      <c r="G49" s="133"/>
      <c r="H49" s="133"/>
      <c r="I49" s="133"/>
      <c r="J49" s="133"/>
      <c r="K49" s="133"/>
    </row>
    <row r="50" spans="1:11" x14ac:dyDescent="0.35">
      <c r="A50" t="s">
        <v>116</v>
      </c>
      <c r="C50" s="133"/>
      <c r="D50" s="133"/>
      <c r="E50" s="133"/>
      <c r="F50" s="133"/>
      <c r="G50" s="133"/>
      <c r="H50" s="133"/>
      <c r="I50" s="133"/>
      <c r="J50" s="133"/>
      <c r="K50" s="133"/>
    </row>
    <row r="51" spans="1:11" x14ac:dyDescent="0.35">
      <c r="A51" t="s">
        <v>117</v>
      </c>
      <c r="C51" s="133"/>
      <c r="D51" s="133"/>
      <c r="E51" s="133"/>
      <c r="F51" s="133"/>
      <c r="G51" s="133"/>
      <c r="H51" s="133"/>
      <c r="I51" s="133"/>
      <c r="J51" s="133"/>
      <c r="K51" s="133"/>
    </row>
    <row r="52" spans="1:11" x14ac:dyDescent="0.35">
      <c r="A52" t="s">
        <v>118</v>
      </c>
      <c r="C52" s="133"/>
      <c r="D52" s="133"/>
      <c r="E52" s="133"/>
      <c r="F52" s="133"/>
      <c r="G52" s="133"/>
      <c r="H52" s="133"/>
      <c r="I52" s="133"/>
      <c r="J52" s="133"/>
      <c r="K52" s="133"/>
    </row>
    <row r="53" spans="1:11" x14ac:dyDescent="0.35">
      <c r="A53" s="144" t="s">
        <v>119</v>
      </c>
      <c r="B53" s="145"/>
      <c r="C53" s="146"/>
      <c r="D53" s="133"/>
      <c r="E53" s="133"/>
      <c r="F53" s="133"/>
      <c r="G53" s="133"/>
      <c r="H53" s="133"/>
      <c r="I53" s="133"/>
      <c r="J53" s="133"/>
      <c r="K53" s="133"/>
    </row>
    <row r="54" spans="1:11" x14ac:dyDescent="0.35">
      <c r="C54" s="133"/>
      <c r="D54" s="133"/>
      <c r="E54" s="133"/>
      <c r="F54" s="133"/>
      <c r="G54" s="133"/>
      <c r="H54" s="133"/>
      <c r="I54" s="133"/>
      <c r="J54" s="133"/>
      <c r="K54" s="133"/>
    </row>
    <row r="55" spans="1:11" x14ac:dyDescent="0.35">
      <c r="A55" s="147" t="s">
        <v>120</v>
      </c>
      <c r="B55" s="130" t="s">
        <v>121</v>
      </c>
      <c r="D55" s="147" t="s">
        <v>122</v>
      </c>
      <c r="E55" s="130" t="s">
        <v>123</v>
      </c>
      <c r="G55" s="234" t="s">
        <v>118</v>
      </c>
      <c r="H55" s="235"/>
      <c r="J55" s="130" t="s">
        <v>124</v>
      </c>
      <c r="K55" s="130" t="s">
        <v>125</v>
      </c>
    </row>
    <row r="56" spans="1:11" x14ac:dyDescent="0.35">
      <c r="A56" t="s">
        <v>126</v>
      </c>
      <c r="B56" s="132">
        <v>16800000</v>
      </c>
      <c r="D56" t="s">
        <v>127</v>
      </c>
      <c r="E56" s="132">
        <v>7000000</v>
      </c>
      <c r="G56" t="s">
        <v>128</v>
      </c>
      <c r="H56" s="132">
        <v>10000000</v>
      </c>
      <c r="J56" t="s">
        <v>126</v>
      </c>
      <c r="K56" s="132">
        <v>4000000</v>
      </c>
    </row>
    <row r="57" spans="1:11" x14ac:dyDescent="0.35">
      <c r="A57" t="s">
        <v>129</v>
      </c>
      <c r="B57" s="132"/>
      <c r="G57" t="s">
        <v>130</v>
      </c>
      <c r="H57" s="132">
        <v>12000000</v>
      </c>
      <c r="J57" t="s">
        <v>129</v>
      </c>
      <c r="K57" s="132">
        <v>3000000</v>
      </c>
    </row>
    <row r="58" spans="1:11" x14ac:dyDescent="0.35">
      <c r="A58" t="s">
        <v>131</v>
      </c>
      <c r="B58" s="132">
        <v>15600000</v>
      </c>
      <c r="G58" t="s">
        <v>132</v>
      </c>
      <c r="H58" s="132">
        <v>14000000</v>
      </c>
      <c r="J58" t="s">
        <v>131</v>
      </c>
      <c r="K58" s="132">
        <v>2500000</v>
      </c>
    </row>
    <row r="59" spans="1:11" x14ac:dyDescent="0.35">
      <c r="A59" t="s">
        <v>133</v>
      </c>
      <c r="B59" s="132">
        <v>15000000</v>
      </c>
      <c r="G59" t="s">
        <v>134</v>
      </c>
      <c r="H59" s="132">
        <v>14000000</v>
      </c>
      <c r="J59" t="s">
        <v>133</v>
      </c>
      <c r="K59" s="132">
        <v>2000000</v>
      </c>
    </row>
    <row r="60" spans="1:11" x14ac:dyDescent="0.35">
      <c r="A60" t="s">
        <v>135</v>
      </c>
      <c r="B60" s="132">
        <v>15000000</v>
      </c>
      <c r="G60" t="s">
        <v>126</v>
      </c>
      <c r="H60" s="132">
        <v>17000000</v>
      </c>
      <c r="J60" t="s">
        <v>135</v>
      </c>
      <c r="K60" s="132">
        <v>1850000</v>
      </c>
    </row>
    <row r="61" spans="1:11" x14ac:dyDescent="0.35">
      <c r="A61" t="s">
        <v>136</v>
      </c>
      <c r="B61" s="132">
        <v>12000000</v>
      </c>
      <c r="G61" t="s">
        <v>137</v>
      </c>
      <c r="H61" s="132">
        <v>14000000</v>
      </c>
      <c r="J61" t="s">
        <v>136</v>
      </c>
      <c r="K61" s="132">
        <v>1200000</v>
      </c>
    </row>
    <row r="62" spans="1:11" x14ac:dyDescent="0.35">
      <c r="A62" t="s">
        <v>137</v>
      </c>
      <c r="B62" s="132">
        <v>16800000</v>
      </c>
      <c r="J62" t="s">
        <v>137</v>
      </c>
      <c r="K62" s="132">
        <v>2000000</v>
      </c>
    </row>
    <row r="63" spans="1:11" x14ac:dyDescent="0.35">
      <c r="A63" t="s">
        <v>138</v>
      </c>
      <c r="B63" s="132">
        <v>15720000</v>
      </c>
      <c r="J63" t="s">
        <v>138</v>
      </c>
      <c r="K63" s="132">
        <v>3500000</v>
      </c>
    </row>
    <row r="64" spans="1:11" x14ac:dyDescent="0.35">
      <c r="A64" t="s">
        <v>139</v>
      </c>
      <c r="J64" t="s">
        <v>139</v>
      </c>
      <c r="K64" s="132">
        <v>2800000</v>
      </c>
    </row>
    <row r="65" spans="1:15" x14ac:dyDescent="0.35">
      <c r="A65" t="s">
        <v>140</v>
      </c>
      <c r="B65">
        <v>0</v>
      </c>
    </row>
    <row r="67" spans="1:15" x14ac:dyDescent="0.35">
      <c r="C67" s="133"/>
      <c r="D67" s="133"/>
      <c r="E67" s="133"/>
      <c r="F67" s="133"/>
      <c r="G67" s="133"/>
      <c r="H67" s="133"/>
      <c r="I67" s="133"/>
      <c r="J67" s="133"/>
      <c r="K67" s="133"/>
    </row>
    <row r="68" spans="1:15" ht="14.4" customHeight="1" x14ac:dyDescent="0.35">
      <c r="A68" s="236" t="s">
        <v>117</v>
      </c>
      <c r="B68" s="238" t="s">
        <v>91</v>
      </c>
      <c r="C68" s="238" t="s">
        <v>141</v>
      </c>
      <c r="D68" s="239" t="s">
        <v>142</v>
      </c>
      <c r="E68" s="148" t="s">
        <v>143</v>
      </c>
      <c r="F68" s="148" t="s">
        <v>144</v>
      </c>
      <c r="G68" s="148" t="s">
        <v>145</v>
      </c>
      <c r="H68" s="149" t="s">
        <v>146</v>
      </c>
      <c r="I68" s="229" t="s">
        <v>147</v>
      </c>
      <c r="J68" s="229" t="s">
        <v>148</v>
      </c>
    </row>
    <row r="69" spans="1:15" x14ac:dyDescent="0.35">
      <c r="A69" s="237"/>
      <c r="B69" s="238"/>
      <c r="C69" s="238"/>
      <c r="D69" s="239"/>
      <c r="E69" s="150">
        <v>1</v>
      </c>
      <c r="F69" s="151">
        <v>1</v>
      </c>
      <c r="G69" s="151">
        <v>1</v>
      </c>
      <c r="H69" s="152">
        <f>Summary!H9</f>
        <v>129</v>
      </c>
      <c r="I69" s="230"/>
      <c r="J69" s="230"/>
    </row>
    <row r="70" spans="1:15" x14ac:dyDescent="0.35">
      <c r="A70" s="231" t="s">
        <v>149</v>
      </c>
      <c r="B70" s="140" t="s">
        <v>124</v>
      </c>
      <c r="C70" s="153">
        <f>K63</f>
        <v>3500000</v>
      </c>
      <c r="D70" s="140" t="s">
        <v>143</v>
      </c>
      <c r="E70" s="130">
        <f>E69</f>
        <v>1</v>
      </c>
      <c r="F70" s="130"/>
      <c r="G70" s="130"/>
      <c r="H70" s="154"/>
      <c r="I70" s="155">
        <f>E70*C70</f>
        <v>3500000</v>
      </c>
    </row>
    <row r="71" spans="1:15" x14ac:dyDescent="0.35">
      <c r="A71" s="232"/>
      <c r="B71" s="140" t="s">
        <v>150</v>
      </c>
      <c r="C71" s="156">
        <v>600000</v>
      </c>
      <c r="D71" s="140" t="s">
        <v>143</v>
      </c>
      <c r="E71" s="130">
        <f>E69</f>
        <v>1</v>
      </c>
      <c r="F71" s="130"/>
      <c r="G71" s="130"/>
      <c r="H71" s="154"/>
      <c r="I71" s="156">
        <f>C71*E71</f>
        <v>600000</v>
      </c>
    </row>
    <row r="72" spans="1:15" x14ac:dyDescent="0.35">
      <c r="A72" s="233"/>
      <c r="B72" s="140" t="s">
        <v>149</v>
      </c>
      <c r="C72" s="156">
        <v>200000</v>
      </c>
      <c r="D72" s="140" t="s">
        <v>151</v>
      </c>
      <c r="E72" s="130"/>
      <c r="F72" s="130">
        <f>F69</f>
        <v>1</v>
      </c>
      <c r="G72" s="130"/>
      <c r="H72" s="154"/>
      <c r="I72" s="156">
        <f>F72*C72</f>
        <v>200000</v>
      </c>
    </row>
    <row r="73" spans="1:15" x14ac:dyDescent="0.35">
      <c r="A73" s="140" t="s">
        <v>152</v>
      </c>
      <c r="B73" s="140" t="s">
        <v>152</v>
      </c>
      <c r="C73" s="156">
        <v>450000</v>
      </c>
      <c r="D73" s="140" t="s">
        <v>145</v>
      </c>
      <c r="E73" s="130">
        <f>E69</f>
        <v>1</v>
      </c>
      <c r="F73" s="130"/>
      <c r="G73" s="130">
        <f>G69</f>
        <v>1</v>
      </c>
      <c r="H73" s="154">
        <f>IF($H$69&lt;=120,2,IF($H$69&gt;220,4,3))</f>
        <v>3</v>
      </c>
      <c r="I73" s="156">
        <f>G73*C73*H73</f>
        <v>1350000</v>
      </c>
    </row>
    <row r="74" spans="1:15" x14ac:dyDescent="0.35">
      <c r="A74" s="140" t="s">
        <v>153</v>
      </c>
      <c r="B74" s="140" t="s">
        <v>153</v>
      </c>
      <c r="C74" s="156">
        <v>120000</v>
      </c>
      <c r="D74" s="140" t="s">
        <v>143</v>
      </c>
      <c r="E74" s="130">
        <f>E69</f>
        <v>1</v>
      </c>
      <c r="F74" s="130"/>
      <c r="G74" s="130"/>
      <c r="H74" s="154">
        <f>IF($H$69&lt;=120,2,IF($H$69&gt;220,4,3))</f>
        <v>3</v>
      </c>
      <c r="I74" s="156">
        <f>H74*C74*E74</f>
        <v>360000</v>
      </c>
    </row>
    <row r="75" spans="1:15" x14ac:dyDescent="0.35">
      <c r="I75" s="157">
        <f>SUM(I70:I74)</f>
        <v>6010000</v>
      </c>
      <c r="J75" s="158">
        <f>I75*2</f>
        <v>12020000</v>
      </c>
      <c r="K75" t="s">
        <v>154</v>
      </c>
    </row>
    <row r="76" spans="1:15" x14ac:dyDescent="0.35">
      <c r="J76" s="157">
        <f>I75*4</f>
        <v>24040000</v>
      </c>
      <c r="K76" t="s">
        <v>155</v>
      </c>
      <c r="L76" s="166">
        <f>J76+B63+E56</f>
        <v>46760000</v>
      </c>
    </row>
    <row r="77" spans="1:15" x14ac:dyDescent="0.35">
      <c r="K77" s="133"/>
      <c r="L77" s="166">
        <f>J75+B63+E56*1</f>
        <v>34740000</v>
      </c>
    </row>
    <row r="79" spans="1:15" x14ac:dyDescent="0.35">
      <c r="A79" s="137"/>
      <c r="B79" s="137"/>
      <c r="C79" s="143"/>
      <c r="D79" s="143"/>
      <c r="E79" s="143"/>
      <c r="F79" s="143"/>
      <c r="G79" s="143"/>
      <c r="H79" s="143"/>
      <c r="I79" s="143"/>
      <c r="J79" s="143"/>
      <c r="K79" s="143"/>
      <c r="L79" s="137"/>
      <c r="M79" s="137"/>
      <c r="N79" s="137"/>
      <c r="O79" s="137"/>
    </row>
    <row r="80" spans="1:15" x14ac:dyDescent="0.35">
      <c r="A80" s="127" t="s">
        <v>156</v>
      </c>
    </row>
    <row r="82" spans="1:15" x14ac:dyDescent="0.35">
      <c r="A82" s="140" t="s">
        <v>156</v>
      </c>
      <c r="B82" s="133"/>
    </row>
    <row r="83" spans="1:15" x14ac:dyDescent="0.35">
      <c r="A83" t="s">
        <v>157</v>
      </c>
    </row>
    <row r="84" spans="1:15" x14ac:dyDescent="0.35">
      <c r="A84" t="s">
        <v>158</v>
      </c>
      <c r="B84" s="132">
        <v>36000000</v>
      </c>
    </row>
    <row r="85" spans="1:15" x14ac:dyDescent="0.35">
      <c r="A85" t="s">
        <v>159</v>
      </c>
      <c r="B85" s="132">
        <v>42000000</v>
      </c>
    </row>
    <row r="86" spans="1:15" x14ac:dyDescent="0.35">
      <c r="A86" t="s">
        <v>160</v>
      </c>
      <c r="B86" s="132">
        <v>48000000</v>
      </c>
    </row>
    <row r="88" spans="1:15" x14ac:dyDescent="0.35">
      <c r="A88" t="s">
        <v>161</v>
      </c>
    </row>
    <row r="89" spans="1:15" x14ac:dyDescent="0.35">
      <c r="A89" t="s">
        <v>162</v>
      </c>
      <c r="B89" s="132">
        <v>75000000</v>
      </c>
    </row>
    <row r="90" spans="1:15" x14ac:dyDescent="0.35">
      <c r="A90" t="s">
        <v>160</v>
      </c>
      <c r="B90" s="132">
        <v>95000000</v>
      </c>
    </row>
    <row r="92" spans="1:15" x14ac:dyDescent="0.35">
      <c r="A92" s="137"/>
      <c r="B92" s="137"/>
      <c r="C92" s="143"/>
      <c r="D92" s="143"/>
      <c r="E92" s="143"/>
      <c r="F92" s="143"/>
      <c r="G92" s="143"/>
      <c r="H92" s="143"/>
      <c r="I92" s="143"/>
      <c r="J92" s="143"/>
      <c r="K92" s="143"/>
      <c r="L92" s="137"/>
      <c r="M92" s="137"/>
      <c r="N92" s="137"/>
      <c r="O92" s="137"/>
    </row>
    <row r="93" spans="1:15" x14ac:dyDescent="0.35">
      <c r="A93" s="127" t="s">
        <v>163</v>
      </c>
    </row>
    <row r="95" spans="1:15" x14ac:dyDescent="0.35">
      <c r="A95" t="s">
        <v>164</v>
      </c>
      <c r="C95" s="159">
        <v>150000000</v>
      </c>
    </row>
    <row r="96" spans="1:15" x14ac:dyDescent="0.35">
      <c r="A96" t="s">
        <v>165</v>
      </c>
      <c r="C96" s="159">
        <v>200000000</v>
      </c>
    </row>
    <row r="97" spans="1:15" x14ac:dyDescent="0.35">
      <c r="A97" t="s">
        <v>166</v>
      </c>
      <c r="C97" s="159">
        <v>85000000</v>
      </c>
    </row>
    <row r="98" spans="1:15" x14ac:dyDescent="0.35">
      <c r="A98" t="s">
        <v>167</v>
      </c>
      <c r="C98" s="159">
        <v>150000000</v>
      </c>
    </row>
    <row r="99" spans="1:15" x14ac:dyDescent="0.35">
      <c r="A99" t="s">
        <v>168</v>
      </c>
      <c r="C99" s="159">
        <v>50000000</v>
      </c>
    </row>
    <row r="101" spans="1:15" x14ac:dyDescent="0.35">
      <c r="A101" s="137"/>
      <c r="B101" s="137"/>
      <c r="C101" s="143"/>
      <c r="D101" s="143"/>
      <c r="E101" s="143"/>
      <c r="F101" s="143"/>
      <c r="G101" s="143"/>
      <c r="H101" s="143"/>
      <c r="I101" s="143"/>
      <c r="J101" s="143"/>
      <c r="K101" s="143"/>
      <c r="L101" s="137"/>
      <c r="M101" s="137"/>
      <c r="N101" s="137"/>
      <c r="O101" s="137"/>
    </row>
  </sheetData>
  <mergeCells count="8">
    <mergeCell ref="J68:J69"/>
    <mergeCell ref="A70:A72"/>
    <mergeCell ref="G55:H55"/>
    <mergeCell ref="A68:A69"/>
    <mergeCell ref="B68:B69"/>
    <mergeCell ref="C68:C69"/>
    <mergeCell ref="D68:D69"/>
    <mergeCell ref="I68:I69"/>
  </mergeCells>
  <conditionalFormatting sqref="B35:K35 C33:K33 C5:K8 C9:J11 P5:Q5 S5 C34:R34">
    <cfRule type="cellIs" dxfId="13" priority="14" operator="lessThan">
      <formula>0</formula>
    </cfRule>
  </conditionalFormatting>
  <conditionalFormatting sqref="T5">
    <cfRule type="cellIs" dxfId="12" priority="13" operator="lessThan">
      <formula>0</formula>
    </cfRule>
  </conditionalFormatting>
  <conditionalFormatting sqref="C12:E14">
    <cfRule type="cellIs" dxfId="11" priority="12" operator="lessThan">
      <formula>0</formula>
    </cfRule>
  </conditionalFormatting>
  <conditionalFormatting sqref="F12:K14">
    <cfRule type="cellIs" dxfId="10" priority="11" operator="lessThan">
      <formula>0</formula>
    </cfRule>
  </conditionalFormatting>
  <conditionalFormatting sqref="C15:F17">
    <cfRule type="cellIs" dxfId="9" priority="10" operator="lessThan">
      <formula>0</formula>
    </cfRule>
  </conditionalFormatting>
  <conditionalFormatting sqref="G15:L17">
    <cfRule type="cellIs" dxfId="8" priority="9" operator="lessThan">
      <formula>0</formula>
    </cfRule>
  </conditionalFormatting>
  <conditionalFormatting sqref="C18:F20">
    <cfRule type="cellIs" dxfId="7" priority="8" operator="lessThan">
      <formula>0</formula>
    </cfRule>
  </conditionalFormatting>
  <conditionalFormatting sqref="H18:M20">
    <cfRule type="cellIs" dxfId="6" priority="7" operator="lessThan">
      <formula>0</formula>
    </cfRule>
  </conditionalFormatting>
  <conditionalFormatting sqref="C21:F23">
    <cfRule type="cellIs" dxfId="5" priority="6" operator="lessThan">
      <formula>0</formula>
    </cfRule>
  </conditionalFormatting>
  <conditionalFormatting sqref="I21:N23">
    <cfRule type="cellIs" dxfId="4" priority="5" operator="lessThan">
      <formula>0</formula>
    </cfRule>
  </conditionalFormatting>
  <conditionalFormatting sqref="C24:F26">
    <cfRule type="cellIs" dxfId="3" priority="4" operator="lessThan">
      <formula>0</formula>
    </cfRule>
  </conditionalFormatting>
  <conditionalFormatting sqref="J24:O26">
    <cfRule type="cellIs" dxfId="2" priority="3" operator="lessThan">
      <formula>0</formula>
    </cfRule>
  </conditionalFormatting>
  <conditionalFormatting sqref="C27:F32">
    <cfRule type="cellIs" dxfId="1" priority="2" operator="lessThan">
      <formula>0</formula>
    </cfRule>
  </conditionalFormatting>
  <conditionalFormatting sqref="L27:Q31 L32:R32 R30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06573-9030-4F3D-A074-A1F465B2AA39}">
  <sheetPr codeName="Sheet5"/>
  <dimension ref="A2:M20"/>
  <sheetViews>
    <sheetView workbookViewId="0">
      <selection activeCell="C19" sqref="C19"/>
    </sheetView>
  </sheetViews>
  <sheetFormatPr defaultRowHeight="14.5" x14ac:dyDescent="0.35"/>
  <cols>
    <col min="1" max="1" width="27.08984375" customWidth="1"/>
    <col min="2" max="2" width="12.90625" customWidth="1"/>
    <col min="3" max="3" width="14" customWidth="1"/>
    <col min="4" max="4" width="8.90625" customWidth="1"/>
    <col min="5" max="5" width="16.08984375" bestFit="1" customWidth="1"/>
    <col min="6" max="6" width="14.36328125" bestFit="1" customWidth="1"/>
  </cols>
  <sheetData>
    <row r="2" spans="1:13" x14ac:dyDescent="0.35">
      <c r="A2" s="240" t="s">
        <v>223</v>
      </c>
      <c r="B2" s="240"/>
      <c r="C2" s="240"/>
      <c r="D2" s="240"/>
      <c r="E2" s="240"/>
      <c r="F2" s="240"/>
      <c r="G2" s="184"/>
      <c r="H2" s="184"/>
      <c r="I2" s="184"/>
      <c r="J2" s="184"/>
      <c r="K2" s="184"/>
      <c r="L2" s="184"/>
      <c r="M2" s="184"/>
    </row>
    <row r="3" spans="1:13" x14ac:dyDescent="0.35">
      <c r="A3" s="185" t="s">
        <v>212</v>
      </c>
      <c r="B3" s="185" t="s">
        <v>213</v>
      </c>
      <c r="C3" s="185" t="s">
        <v>214</v>
      </c>
      <c r="D3" s="186"/>
      <c r="G3" s="184"/>
      <c r="H3" s="184"/>
      <c r="I3" s="184"/>
      <c r="J3" s="184"/>
      <c r="K3" s="184"/>
      <c r="L3" s="184"/>
      <c r="M3" s="184"/>
    </row>
    <row r="4" spans="1:13" x14ac:dyDescent="0.35">
      <c r="A4" s="187" t="s">
        <v>215</v>
      </c>
      <c r="B4" s="188">
        <v>43983</v>
      </c>
      <c r="C4" s="188">
        <v>45808</v>
      </c>
      <c r="D4" s="189"/>
      <c r="E4" s="190"/>
      <c r="F4" s="190"/>
      <c r="G4" s="184"/>
      <c r="H4" s="184"/>
      <c r="I4" s="184"/>
      <c r="J4" s="184"/>
      <c r="K4" s="184"/>
      <c r="L4" s="184"/>
      <c r="M4" s="184"/>
    </row>
    <row r="5" spans="1:13" x14ac:dyDescent="0.35">
      <c r="A5" s="187" t="s">
        <v>216</v>
      </c>
      <c r="B5" s="188">
        <v>45544</v>
      </c>
      <c r="C5" s="188">
        <v>45908</v>
      </c>
      <c r="D5" s="189"/>
      <c r="G5" s="184"/>
      <c r="H5" s="184"/>
      <c r="I5" s="184"/>
      <c r="J5" s="184"/>
      <c r="K5" s="184"/>
      <c r="L5" s="184"/>
      <c r="M5" s="184"/>
    </row>
    <row r="6" spans="1:13" x14ac:dyDescent="0.35">
      <c r="A6" s="184"/>
      <c r="G6" s="184"/>
      <c r="H6" s="184"/>
      <c r="I6" s="184"/>
      <c r="J6" s="184"/>
      <c r="K6" s="184"/>
      <c r="L6" s="184"/>
      <c r="M6" s="184"/>
    </row>
    <row r="7" spans="1:13" x14ac:dyDescent="0.35">
      <c r="A7" s="184"/>
      <c r="B7" s="185" t="s">
        <v>213</v>
      </c>
      <c r="C7" s="185" t="s">
        <v>214</v>
      </c>
      <c r="D7" s="185" t="s">
        <v>217</v>
      </c>
      <c r="E7" s="189"/>
      <c r="F7" s="189"/>
      <c r="G7" s="184"/>
      <c r="H7" s="184"/>
      <c r="I7" s="184"/>
      <c r="J7" s="184"/>
      <c r="K7" s="184"/>
      <c r="L7" s="184"/>
      <c r="M7" s="184"/>
    </row>
    <row r="8" spans="1:13" x14ac:dyDescent="0.35">
      <c r="A8" s="184" t="s">
        <v>224</v>
      </c>
      <c r="B8" s="184"/>
      <c r="C8" s="184"/>
      <c r="D8" s="184"/>
      <c r="E8" s="184"/>
      <c r="F8" s="184"/>
      <c r="G8" s="184"/>
      <c r="H8" s="184"/>
      <c r="I8" s="184"/>
      <c r="J8" s="184"/>
      <c r="K8" s="184"/>
      <c r="L8" s="184"/>
      <c r="M8" s="184"/>
    </row>
    <row r="9" spans="1:13" x14ac:dyDescent="0.35">
      <c r="A9" s="184" t="s">
        <v>215</v>
      </c>
      <c r="B9" s="191">
        <v>45544</v>
      </c>
      <c r="C9" s="191">
        <v>45808</v>
      </c>
      <c r="D9" s="192">
        <f t="shared" ref="D9:D11" si="0">C9-B9</f>
        <v>264</v>
      </c>
      <c r="E9" s="193">
        <v>150000000</v>
      </c>
      <c r="F9" s="194">
        <f>E9/365*D9</f>
        <v>108493150.68493152</v>
      </c>
      <c r="G9" s="184"/>
      <c r="H9" s="184"/>
      <c r="I9" s="184"/>
      <c r="J9" s="184"/>
      <c r="K9" s="184"/>
      <c r="L9" s="184"/>
      <c r="M9" s="184"/>
    </row>
    <row r="10" spans="1:13" x14ac:dyDescent="0.35">
      <c r="A10" s="184" t="s">
        <v>218</v>
      </c>
      <c r="B10" s="191">
        <v>45544</v>
      </c>
      <c r="C10" s="191">
        <v>45908</v>
      </c>
      <c r="D10" s="192">
        <f t="shared" si="0"/>
        <v>364</v>
      </c>
      <c r="E10" s="193">
        <v>40000000</v>
      </c>
      <c r="F10" s="194">
        <f>-E10/365*D10</f>
        <v>-39890410.95890411</v>
      </c>
      <c r="G10" s="184"/>
      <c r="H10" s="184"/>
      <c r="I10" s="184"/>
      <c r="J10" s="184"/>
      <c r="K10" s="184"/>
      <c r="L10" s="184"/>
      <c r="M10" s="184"/>
    </row>
    <row r="11" spans="1:13" x14ac:dyDescent="0.35">
      <c r="A11" s="184" t="s">
        <v>219</v>
      </c>
      <c r="B11" s="191">
        <v>45544</v>
      </c>
      <c r="C11" s="191">
        <v>45808</v>
      </c>
      <c r="D11" s="192">
        <f t="shared" si="0"/>
        <v>264</v>
      </c>
      <c r="E11" s="193">
        <v>7000000</v>
      </c>
      <c r="F11" s="194">
        <f>-E11/365*D11</f>
        <v>-5063013.6986301364</v>
      </c>
      <c r="G11" s="184"/>
      <c r="H11" s="184"/>
      <c r="I11" s="184"/>
      <c r="J11" s="184"/>
      <c r="K11" s="184"/>
      <c r="L11" s="184"/>
      <c r="M11" s="184"/>
    </row>
    <row r="12" spans="1:13" x14ac:dyDescent="0.35">
      <c r="A12" s="184" t="s">
        <v>220</v>
      </c>
      <c r="B12" s="184"/>
      <c r="C12" s="184"/>
      <c r="D12" s="184"/>
      <c r="E12" s="195">
        <v>100000000</v>
      </c>
      <c r="F12" s="196"/>
      <c r="G12" s="184"/>
      <c r="H12" s="184"/>
      <c r="I12" s="184"/>
      <c r="J12" s="184"/>
      <c r="K12" s="184"/>
      <c r="L12" s="184"/>
      <c r="M12" s="184"/>
    </row>
    <row r="13" spans="1:13" x14ac:dyDescent="0.35">
      <c r="A13" s="184" t="s">
        <v>221</v>
      </c>
      <c r="B13" s="184"/>
      <c r="C13" s="184"/>
      <c r="D13" s="184"/>
      <c r="E13" s="184"/>
      <c r="F13" s="194">
        <f>SUM(F9:F12)</f>
        <v>63539726.02739726</v>
      </c>
      <c r="G13" s="184"/>
      <c r="H13" s="184"/>
      <c r="I13" s="184"/>
      <c r="J13" s="184"/>
      <c r="K13" s="184"/>
      <c r="L13" s="184"/>
      <c r="M13" s="184"/>
    </row>
    <row r="14" spans="1:13" x14ac:dyDescent="0.35">
      <c r="A14" s="184"/>
      <c r="B14" s="184"/>
      <c r="C14" s="184"/>
      <c r="D14" s="184"/>
      <c r="E14" s="184"/>
      <c r="F14" s="184"/>
      <c r="G14" s="184"/>
      <c r="H14" s="184"/>
      <c r="I14" s="184"/>
      <c r="J14" s="184"/>
      <c r="K14" s="184"/>
      <c r="L14" s="184"/>
      <c r="M14" s="184"/>
    </row>
    <row r="15" spans="1:13" x14ac:dyDescent="0.35">
      <c r="A15" s="184" t="s">
        <v>225</v>
      </c>
      <c r="B15" s="184"/>
      <c r="C15" s="184"/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16" spans="1:13" x14ac:dyDescent="0.35">
      <c r="A16" s="184" t="s">
        <v>222</v>
      </c>
      <c r="B16" s="191">
        <v>45544</v>
      </c>
      <c r="C16" s="191">
        <v>46904</v>
      </c>
      <c r="D16" s="192">
        <f>C16-B16</f>
        <v>1360</v>
      </c>
      <c r="E16" s="193">
        <v>150000000</v>
      </c>
      <c r="F16" s="194">
        <f>E16/365*D16</f>
        <v>558904109.58904111</v>
      </c>
      <c r="G16" s="184"/>
      <c r="H16" s="184"/>
      <c r="I16" s="184"/>
      <c r="J16" s="184"/>
      <c r="K16" s="184"/>
      <c r="L16" s="184"/>
      <c r="M16" s="184"/>
    </row>
    <row r="17" spans="1:13" x14ac:dyDescent="0.35">
      <c r="A17" s="184" t="s">
        <v>218</v>
      </c>
      <c r="B17" s="191">
        <v>45544</v>
      </c>
      <c r="C17" s="191">
        <v>47369</v>
      </c>
      <c r="D17" s="192">
        <f t="shared" ref="D17:D18" si="1">C17-B17</f>
        <v>1825</v>
      </c>
      <c r="E17" s="193">
        <f>275000000/5</f>
        <v>55000000</v>
      </c>
      <c r="F17" s="194">
        <f>-E17/365*D17</f>
        <v>-275000000</v>
      </c>
      <c r="G17" s="184"/>
      <c r="H17" s="184"/>
      <c r="I17" s="184"/>
      <c r="J17" s="184"/>
      <c r="K17" s="184"/>
      <c r="L17" s="184"/>
      <c r="M17" s="184"/>
    </row>
    <row r="18" spans="1:13" x14ac:dyDescent="0.35">
      <c r="A18" s="184" t="s">
        <v>219</v>
      </c>
      <c r="B18" s="191">
        <v>45544</v>
      </c>
      <c r="C18" s="191">
        <v>46904</v>
      </c>
      <c r="D18" s="192">
        <f t="shared" si="1"/>
        <v>1360</v>
      </c>
      <c r="E18" s="193">
        <v>7000000</v>
      </c>
      <c r="F18" s="194">
        <f>-E18/365*D18</f>
        <v>-26082191.780821916</v>
      </c>
      <c r="G18" s="184"/>
      <c r="H18" s="184"/>
      <c r="I18" s="184"/>
      <c r="J18" s="184"/>
      <c r="K18" s="184"/>
      <c r="L18" s="184"/>
      <c r="M18" s="184"/>
    </row>
    <row r="19" spans="1:13" x14ac:dyDescent="0.35">
      <c r="A19" s="184" t="s">
        <v>220</v>
      </c>
      <c r="B19" s="184"/>
      <c r="C19" s="184"/>
      <c r="D19" s="184"/>
      <c r="E19" s="195">
        <v>100000000</v>
      </c>
      <c r="F19" s="197"/>
      <c r="G19" s="184"/>
      <c r="H19" s="184"/>
      <c r="I19" s="184"/>
      <c r="J19" s="184"/>
      <c r="K19" s="184"/>
      <c r="L19" s="184"/>
      <c r="M19" s="184"/>
    </row>
    <row r="20" spans="1:13" x14ac:dyDescent="0.35">
      <c r="A20" s="184" t="s">
        <v>221</v>
      </c>
      <c r="B20" s="184"/>
      <c r="C20" s="184"/>
      <c r="D20" s="184"/>
      <c r="E20" s="184"/>
      <c r="F20" s="194">
        <f>SUM(F16:F19)</f>
        <v>257821917.80821919</v>
      </c>
      <c r="G20" s="184"/>
      <c r="H20" s="184"/>
      <c r="I20" s="184"/>
      <c r="J20" s="184"/>
      <c r="K20" s="184"/>
      <c r="L20" s="184"/>
      <c r="M20" s="184"/>
    </row>
  </sheetData>
  <mergeCells count="1">
    <mergeCell ref="A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Summary</vt:lpstr>
      <vt:lpstr>IRR</vt:lpstr>
      <vt:lpstr>Summary Review new (2)</vt:lpstr>
      <vt:lpstr>Parameter</vt:lpstr>
      <vt:lpstr>Analisa</vt:lpstr>
      <vt:lpstr>IRR!Print_Area</vt:lpstr>
      <vt:lpstr>Summary!Print_Area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2024-06-05T13:25:50Z</cp:lastPrinted>
  <dcterms:created xsi:type="dcterms:W3CDTF">2024-01-30T02:49:52Z</dcterms:created>
  <dcterms:modified xsi:type="dcterms:W3CDTF">2024-09-12T09:34:07Z</dcterms:modified>
</cp:coreProperties>
</file>