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13_ncr:1_{3DFC8F4B-A43D-44C7-92B6-C961D6D17122}" xr6:coauthVersionLast="36" xr6:coauthVersionMax="36" xr10:uidLastSave="{00000000-0000-0000-0000-000000000000}"/>
  <bookViews>
    <workbookView xWindow="0" yWindow="0" windowWidth="19200" windowHeight="6230" activeTab="1" xr2:uid="{A4174494-61B9-4994-8303-9C4639E059BD}"/>
  </bookViews>
  <sheets>
    <sheet name="Summary" sheetId="1" r:id="rId1"/>
    <sheet name="IRR" sheetId="12" r:id="rId2"/>
    <sheet name="Summary Review  (2)" sheetId="13" r:id="rId3"/>
    <sheet name="Parameter" sheetId="4" r:id="rId4"/>
    <sheet name="Analisa" sheetId="10" r:id="rId5"/>
  </sheets>
  <externalReferences>
    <externalReference r:id="rId6"/>
    <externalReference r:id="rId7"/>
    <externalReference r:id="rId8"/>
    <externalReference r:id="rId9"/>
    <externalReference r:id="rId10"/>
  </externalReferences>
  <definedNames>
    <definedName name="jk" localSheetId="4">#REF!</definedName>
    <definedName name="jk" localSheetId="1">#REF!</definedName>
    <definedName name="jk" localSheetId="0">#REF!</definedName>
    <definedName name="jk" localSheetId="2">#REF!</definedName>
    <definedName name="jk">#REF!</definedName>
    <definedName name="_xlnm.Print_Area" localSheetId="4">Analisa!$A$2:$F$20</definedName>
    <definedName name="_xlnm.Print_Area" localSheetId="1">IRR!$A$1:$Q$59</definedName>
    <definedName name="_xlnm.Print_Area" localSheetId="0">Summary!$B$2:$N$36</definedName>
    <definedName name="_xlnm.Print_Area" localSheetId="2">'Summary Review  (2)'!$A$1:$D$23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3" l="1"/>
  <c r="M13" i="1" l="1"/>
  <c r="M12" i="1"/>
  <c r="M11" i="1"/>
  <c r="G26" i="12"/>
  <c r="H17" i="12"/>
  <c r="G17" i="12"/>
  <c r="I19" i="12"/>
  <c r="L32" i="4"/>
  <c r="L31" i="4"/>
  <c r="M30" i="4" s="1"/>
  <c r="K29" i="4"/>
  <c r="K28" i="4"/>
  <c r="L27" i="4" s="1"/>
  <c r="J26" i="4"/>
  <c r="I23" i="4"/>
  <c r="H20" i="4"/>
  <c r="G17" i="4"/>
  <c r="F14" i="4"/>
  <c r="E11" i="4"/>
  <c r="D8" i="4"/>
  <c r="I5" i="4"/>
  <c r="H5" i="4"/>
  <c r="G5" i="4"/>
  <c r="F5" i="4"/>
  <c r="E5" i="4"/>
  <c r="D5" i="4"/>
  <c r="C5" i="4"/>
  <c r="I50" i="12"/>
  <c r="K50" i="12" s="1"/>
  <c r="H49" i="12"/>
  <c r="J49" i="12" s="1"/>
  <c r="K49" i="12" s="1"/>
  <c r="K47" i="12"/>
  <c r="J47" i="12"/>
  <c r="I47" i="12"/>
  <c r="H47" i="12"/>
  <c r="G47" i="12"/>
  <c r="F40" i="12"/>
  <c r="F39" i="12"/>
  <c r="K38" i="12"/>
  <c r="J38" i="12"/>
  <c r="I38" i="12"/>
  <c r="H38" i="12"/>
  <c r="H26" i="12"/>
  <c r="Q24" i="12"/>
  <c r="H20" i="12"/>
  <c r="I20" i="12" s="1"/>
  <c r="J20" i="12" s="1"/>
  <c r="K20" i="12" s="1"/>
  <c r="H19" i="12"/>
  <c r="I17" i="12"/>
  <c r="H12" i="12"/>
  <c r="I12" i="12" s="1"/>
  <c r="J12" i="12" s="1"/>
  <c r="K12" i="12" s="1"/>
  <c r="L12" i="12" s="1"/>
  <c r="M12" i="12" s="1"/>
  <c r="N12" i="12" s="1"/>
  <c r="O12" i="12" s="1"/>
  <c r="P12" i="12" s="1"/>
  <c r="G11" i="12"/>
  <c r="G38" i="12" s="1"/>
  <c r="G48" i="12"/>
  <c r="H48" i="12" s="1"/>
  <c r="H53" i="12" s="1"/>
  <c r="H31" i="12" s="1"/>
  <c r="Q9" i="12"/>
  <c r="Q1" i="12"/>
  <c r="M27" i="4" l="1"/>
  <c r="L29" i="4"/>
  <c r="N30" i="4"/>
  <c r="M32" i="4"/>
  <c r="N32" i="4"/>
  <c r="G21" i="12"/>
  <c r="J19" i="12"/>
  <c r="K19" i="12" s="1"/>
  <c r="H25" i="12"/>
  <c r="I48" i="12"/>
  <c r="G53" i="12"/>
  <c r="J17" i="12"/>
  <c r="Q20" i="12"/>
  <c r="I26" i="12"/>
  <c r="J26" i="12" s="1"/>
  <c r="K26" i="12" s="1"/>
  <c r="Q10" i="12"/>
  <c r="Q11" i="12" s="1"/>
  <c r="O30" i="4" l="1"/>
  <c r="O32" i="4"/>
  <c r="N27" i="4"/>
  <c r="M29" i="4"/>
  <c r="G31" i="12"/>
  <c r="I53" i="12"/>
  <c r="I31" i="12" s="1"/>
  <c r="J48" i="12"/>
  <c r="I25" i="12"/>
  <c r="H21" i="12"/>
  <c r="Q26" i="12"/>
  <c r="G27" i="12"/>
  <c r="K17" i="12"/>
  <c r="Q19" i="12"/>
  <c r="O27" i="4" l="1"/>
  <c r="O29" i="4"/>
  <c r="N29" i="4"/>
  <c r="P30" i="4"/>
  <c r="P32" i="4"/>
  <c r="H27" i="12"/>
  <c r="H28" i="12" s="1"/>
  <c r="H29" i="12" s="1"/>
  <c r="Q17" i="12"/>
  <c r="I21" i="12"/>
  <c r="J25" i="12"/>
  <c r="J53" i="12"/>
  <c r="J31" i="12" s="1"/>
  <c r="K48" i="12"/>
  <c r="K53" i="12" s="1"/>
  <c r="K31" i="12" s="1"/>
  <c r="G28" i="12"/>
  <c r="G29" i="12" s="1"/>
  <c r="G32" i="12" s="1"/>
  <c r="Q30" i="4" l="1"/>
  <c r="Q32" i="4"/>
  <c r="P27" i="4"/>
  <c r="Q29" i="4" s="1"/>
  <c r="P29" i="4"/>
  <c r="Q31" i="12"/>
  <c r="Q48" i="12"/>
  <c r="I27" i="12"/>
  <c r="J21" i="12"/>
  <c r="Q53" i="12"/>
  <c r="H30" i="12"/>
  <c r="H32" i="12"/>
  <c r="K25" i="12"/>
  <c r="K21" i="12" l="1"/>
  <c r="Q21" i="12" s="1"/>
  <c r="Q18" i="12"/>
  <c r="Q25" i="12"/>
  <c r="M14" i="1" s="1"/>
  <c r="I28" i="12"/>
  <c r="I29" i="12" s="1"/>
  <c r="J27" i="12"/>
  <c r="J28" i="12" s="1"/>
  <c r="J29" i="12" s="1"/>
  <c r="I30" i="12" l="1"/>
  <c r="I32" i="12"/>
  <c r="J32" i="12"/>
  <c r="J30" i="12"/>
  <c r="K27" i="12"/>
  <c r="K28" i="12" s="1"/>
  <c r="K29" i="12" s="1"/>
  <c r="K32" i="12" l="1"/>
  <c r="K30" i="12"/>
  <c r="Q27" i="12"/>
  <c r="Q28" i="12" s="1"/>
  <c r="Q29" i="12" s="1"/>
  <c r="Q32" i="12" l="1"/>
  <c r="Q30" i="12"/>
  <c r="F44" i="12" s="1"/>
  <c r="M18" i="1" s="1"/>
  <c r="A15" i="4" l="1"/>
  <c r="E2" i="4"/>
  <c r="F18" i="10" l="1"/>
  <c r="D18" i="10"/>
  <c r="D16" i="10"/>
  <c r="F16" i="10" s="1"/>
  <c r="D12" i="10"/>
  <c r="F12" i="10" s="1"/>
  <c r="D13" i="10"/>
  <c r="F13" i="10" s="1"/>
  <c r="D14" i="10"/>
  <c r="D15" i="10"/>
  <c r="D17" i="10"/>
  <c r="F14" i="10" l="1"/>
  <c r="F15" i="10"/>
  <c r="F17" i="10" l="1"/>
  <c r="D11" i="10"/>
  <c r="F11" i="10" s="1"/>
  <c r="F20" i="10" l="1"/>
  <c r="M8" i="1" l="1"/>
  <c r="A6" i="4" l="1"/>
  <c r="A9" i="4" l="1"/>
  <c r="A12" i="4" s="1"/>
  <c r="A18" i="4" s="1"/>
  <c r="A21" i="4" s="1"/>
  <c r="A24" i="4" s="1"/>
  <c r="A27" i="4" s="1"/>
  <c r="C70" i="4" l="1"/>
  <c r="H69" i="4"/>
  <c r="H74" i="4" s="1"/>
  <c r="J25" i="4"/>
  <c r="K24" i="4" s="1"/>
  <c r="I22" i="4"/>
  <c r="J21" i="4" s="1"/>
  <c r="H19" i="4"/>
  <c r="I18" i="4" s="1"/>
  <c r="G16" i="4"/>
  <c r="H15" i="4" s="1"/>
  <c r="F13" i="4"/>
  <c r="D7" i="4"/>
  <c r="C34" i="4"/>
  <c r="H17" i="4" l="1"/>
  <c r="I20" i="4"/>
  <c r="J23" i="4"/>
  <c r="K26" i="4"/>
  <c r="H73" i="4"/>
  <c r="L24" i="4"/>
  <c r="L26" i="4" s="1"/>
  <c r="K21" i="4"/>
  <c r="K23" i="4" s="1"/>
  <c r="J18" i="4"/>
  <c r="I15" i="4"/>
  <c r="J20" i="4" l="1"/>
  <c r="M26" i="4"/>
  <c r="I17" i="4"/>
  <c r="M24" i="4"/>
  <c r="L21" i="4"/>
  <c r="L23" i="4" s="1"/>
  <c r="K18" i="4"/>
  <c r="K20" i="4" s="1"/>
  <c r="J15" i="4"/>
  <c r="J17" i="4" l="1"/>
  <c r="N24" i="4"/>
  <c r="M21" i="4"/>
  <c r="L18" i="4"/>
  <c r="L20" i="4" s="1"/>
  <c r="K15" i="4"/>
  <c r="O26" i="4" l="1"/>
  <c r="N26" i="4"/>
  <c r="M23" i="4"/>
  <c r="K17" i="4"/>
  <c r="O24" i="4"/>
  <c r="N21" i="4"/>
  <c r="O23" i="4" s="1"/>
  <c r="M18" i="4"/>
  <c r="N20" i="4" s="1"/>
  <c r="L15" i="4"/>
  <c r="M17" i="4" s="1"/>
  <c r="L17" i="4" l="1"/>
  <c r="O34" i="4"/>
  <c r="J33" i="12" s="1"/>
  <c r="J34" i="12" s="1"/>
  <c r="J35" i="12" s="1"/>
  <c r="J36" i="12" s="1"/>
  <c r="J39" i="12" s="1"/>
  <c r="P26" i="4"/>
  <c r="P34" i="4" s="1"/>
  <c r="K33" i="12" s="1"/>
  <c r="K34" i="12" s="1"/>
  <c r="N23" i="4"/>
  <c r="M20" i="4"/>
  <c r="M34" i="4" s="1"/>
  <c r="H33" i="12" s="1"/>
  <c r="H34" i="12" s="1"/>
  <c r="H35" i="12" s="1"/>
  <c r="H36" i="12" s="1"/>
  <c r="H39" i="12" s="1"/>
  <c r="N34" i="4"/>
  <c r="I33" i="12" s="1"/>
  <c r="I34" i="12" s="1"/>
  <c r="I35" i="12" s="1"/>
  <c r="I36" i="12" s="1"/>
  <c r="I39" i="12" s="1"/>
  <c r="R30" i="4"/>
  <c r="R32" i="4" s="1"/>
  <c r="Q34" i="4"/>
  <c r="K35" i="12" l="1"/>
  <c r="K36" i="12" s="1"/>
  <c r="K39" i="12" s="1"/>
  <c r="R34" i="4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F2" i="4" s="1"/>
  <c r="M10" i="1"/>
  <c r="E8" i="4" l="1"/>
  <c r="F11" i="4"/>
  <c r="G14" i="4"/>
  <c r="G2" i="4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D34" i="4"/>
  <c r="I70" i="4"/>
  <c r="I73" i="4"/>
  <c r="H12" i="4"/>
  <c r="G9" i="4"/>
  <c r="C43" i="4"/>
  <c r="E3" i="4"/>
  <c r="F6" i="4"/>
  <c r="H14" i="4" l="1"/>
  <c r="G11" i="4"/>
  <c r="F8" i="4"/>
  <c r="I75" i="4"/>
  <c r="J75" i="4" s="1"/>
  <c r="L77" i="4" s="1"/>
  <c r="E34" i="4"/>
  <c r="D45" i="4"/>
  <c r="D44" i="4" s="1"/>
  <c r="F3" i="4"/>
  <c r="H9" i="4"/>
  <c r="I12" i="4"/>
  <c r="G6" i="4"/>
  <c r="G8" i="4" l="1"/>
  <c r="I14" i="4"/>
  <c r="H11" i="4"/>
  <c r="J76" i="4"/>
  <c r="L76" i="4" s="1"/>
  <c r="F34" i="4"/>
  <c r="D43" i="4"/>
  <c r="H6" i="4"/>
  <c r="J12" i="4"/>
  <c r="G3" i="4"/>
  <c r="I9" i="4"/>
  <c r="E45" i="4"/>
  <c r="E44" i="4" s="1"/>
  <c r="I11" i="4" l="1"/>
  <c r="J14" i="4"/>
  <c r="I6" i="4"/>
  <c r="J8" i="4" s="1"/>
  <c r="I8" i="4"/>
  <c r="H8" i="4"/>
  <c r="G34" i="4"/>
  <c r="E43" i="4"/>
  <c r="F45" i="4" s="1"/>
  <c r="J9" i="4"/>
  <c r="K11" i="4" s="1"/>
  <c r="K12" i="4"/>
  <c r="H3" i="4"/>
  <c r="L14" i="4" l="1"/>
  <c r="L34" i="4" s="1"/>
  <c r="G33" i="12" s="1"/>
  <c r="K14" i="4"/>
  <c r="K34" i="4" s="1"/>
  <c r="J11" i="4"/>
  <c r="F43" i="4"/>
  <c r="F44" i="4"/>
  <c r="H34" i="4"/>
  <c r="I3" i="4"/>
  <c r="I34" i="4" s="1"/>
  <c r="G45" i="4"/>
  <c r="G44" i="4" s="1"/>
  <c r="Q33" i="12" l="1"/>
  <c r="G34" i="12"/>
  <c r="G43" i="4"/>
  <c r="H45" i="4" s="1"/>
  <c r="J3" i="4"/>
  <c r="J5" i="4"/>
  <c r="J34" i="4" s="1"/>
  <c r="G35" i="12" l="1"/>
  <c r="Q34" i="12"/>
  <c r="H44" i="4"/>
  <c r="H43" i="4"/>
  <c r="I45" i="4"/>
  <c r="I44" i="4" s="1"/>
  <c r="G36" i="12" l="1"/>
  <c r="G39" i="12" s="1"/>
  <c r="Q35" i="12"/>
  <c r="Q36" i="12" s="1"/>
  <c r="I43" i="4"/>
  <c r="J45" i="4"/>
  <c r="J44" i="4" s="1"/>
  <c r="G40" i="12" l="1"/>
  <c r="Q39" i="12"/>
  <c r="F42" i="12"/>
  <c r="M16" i="1" s="1"/>
  <c r="F43" i="12"/>
  <c r="M17" i="1" s="1"/>
  <c r="J43" i="4"/>
  <c r="K45" i="4" s="1"/>
  <c r="K44" i="4" s="1"/>
  <c r="H40" i="12" l="1"/>
  <c r="G41" i="12"/>
  <c r="K43" i="4"/>
  <c r="H41" i="12" l="1"/>
  <c r="I40" i="12"/>
  <c r="I41" i="12"/>
  <c r="J40" i="12" l="1"/>
  <c r="K40" i="12" s="1"/>
  <c r="K41" i="12" s="1"/>
  <c r="J41" i="12" l="1"/>
  <c r="F45" i="1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<sst xmlns="http://schemas.openxmlformats.org/spreadsheetml/2006/main" count="312" uniqueCount="234">
  <si>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</si>
  <si>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</si>
  <si>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</si>
  <si>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</si>
  <si>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</si>
  <si>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</si>
  <si>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</si>
  <si>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</si>
  <si>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</si>
  <si>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</si>
  <si>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</si>
  <si>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</si>
  <si>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</si>
  <si>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</si>
  <si>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</si>
  <si>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</si>
  <si>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</si>
  <si>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</si>
  <si>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</si>
  <si>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</si>
  <si>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</si>
  <si>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</si>
  <si>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</si>
  <si>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</si>
  <si>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</si>
  <si>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</si>
  <si>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</si>
  <si>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</si>
  <si>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</si>
  <si>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</si>
  <si>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</si>
  <si>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</si>
  <si>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</si>
  <si>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</si>
  <si>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</si>
  <si>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</si>
  <si>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</si>
  <si>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</si>
  <si>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</si>
  <si>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</si>
  <si>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</si>
  <si>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</si>
  <si>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</si>
  <si>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</si>
  <si>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</si>
  <si>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</si>
  <si>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</si>
  <si>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</si>
  <si>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</si>
  <si>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</si>
  <si>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</si>
  <si>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</si>
  <si>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</si>
  <si>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</si>
  <si>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</si>
  <si>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</si>
  <si>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</si>
  <si>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</si>
  <si>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</si>
  <si>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</si>
  <si>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</si>
  <si>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</si>
  <si>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</si>
  <si>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</si>
  <si>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</si>
  <si>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</si>
  <si>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</si>
  <si>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</si>
  <si>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</si>
  <si>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</si>
  <si>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</si>
  <si>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</si>
  <si>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</si>
  <si>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</si>
  <si>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</si>
  <si>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</si>
  <si>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</si>
  <si>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</si>
  <si>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</si>
  <si>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</si>
  <si>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</si>
  <si>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</si>
  <si>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</si>
  <si>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</si>
  <si>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</si>
  <si>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</si>
  <si>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</si>
  <si>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</si>
  <si>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</si>
  <si>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</si>
  <si>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</si>
  <si>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</si>
  <si>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</si>
  <si>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</si>
  <si>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</si>
  <si>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</si>
  <si>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</si>
  <si>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</si>
  <si>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</si>
  <si>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</si>
  <si>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</si>
  <si>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</si>
  <si>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</si>
  <si>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</si>
  <si>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</si>
  <si>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</si>
  <si>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</si>
  <si>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</si>
  <si>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</si>
  <si>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</si>
  <si>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</si>
  <si>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</si>
  <si>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</si>
  <si>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</si>
  <si>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</si>
  <si>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</si>
  <si>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</si>
  <si>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</si>
  <si>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</si>
  <si>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</si>
  <si>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</si>
  <si>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</si>
  <si>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</si>
  <si>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</si>
  <si>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</si>
  <si>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</si>
  <si>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</si>
  <si>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</si>
  <si>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</si>
  <si>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</si>
  <si>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</si>
  <si>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</si>
  <si>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</si>
  <si>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</si>
  <si>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</si>
  <si>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</si>
  <si>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</si>
  <si>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</si>
  <si>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</si>
  <si>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</si>
  <si>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</si>
  <si>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</si>
  <si>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</si>
  <si>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</si>
  <si>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</si>
  <si>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</si>
  <si>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</si>
  <si>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</si>
  <si>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</si>
  <si>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</si>
  <si>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</si>
  <si>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</si>
  <si>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</si>
  <si>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</si>
  <si>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</si>
  <si>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</si>
  <si>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</si>
  <si>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</si>
  <si>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</si>
  <si>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</si>
  <si>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</si>
  <si>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</si>
  <si>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</si>
  <si>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</si>
  <si>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</si>
  <si>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</si>
  <si>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</si>
  <si>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</si>
  <si>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</si>
  <si>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</si>
  <si>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</si>
  <si>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</si>
  <si>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</si>
  <si>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</si>
  <si>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</si>
  <si>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</si>
  <si>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</si>
  <si>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</si>
  <si>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</si>
  <si>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</si>
  <si>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</si>
  <si>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</si>
  <si>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</si>
  <si>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 xml:space="preserve">Obyek Sewa            </t>
  </si>
  <si>
    <t>Banten</t>
  </si>
  <si>
    <t>XL 2027</t>
  </si>
  <si>
    <t>Tsel 2024</t>
  </si>
  <si>
    <t>0024/IRR/IBC/VIII/2024</t>
  </si>
  <si>
    <t xml:space="preserve">Periode </t>
  </si>
  <si>
    <t>Start</t>
  </si>
  <si>
    <t>End</t>
  </si>
  <si>
    <t>Rev Tsel</t>
  </si>
  <si>
    <t>Rev IOH</t>
  </si>
  <si>
    <t>Rev XL</t>
  </si>
  <si>
    <t>Sewa BM</t>
  </si>
  <si>
    <t>Days</t>
  </si>
  <si>
    <t xml:space="preserve">Sewa BM </t>
  </si>
  <si>
    <t>Antisipasi Add Capex and Pole</t>
  </si>
  <si>
    <t>Profit</t>
  </si>
  <si>
    <t>SITE AEON Mall BSD</t>
  </si>
  <si>
    <t>Listrik IOH</t>
  </si>
  <si>
    <t>Listrik Tsel</t>
  </si>
  <si>
    <t>OM IOH dan XL</t>
  </si>
  <si>
    <t>OM Tsel</t>
  </si>
  <si>
    <t>Moderate  &gt;&gt; Jika Sewa BM diperpanjang 5 tahun dan IOH,XL sesuai periode existing, Tsel Extent 5th</t>
  </si>
  <si>
    <t>: Gedung  Sinarmasland BSD</t>
  </si>
  <si>
    <t xml:space="preserve">: PT. Bumi Serpong Damai </t>
  </si>
  <si>
    <t xml:space="preserve">: Jl. Grand Boulevard BSD City </t>
  </si>
  <si>
    <t xml:space="preserve">: Antenna omni 64, BTS dan Pole  </t>
  </si>
  <si>
    <t xml:space="preserve">64 antenna Omni, BTS dan Pole </t>
  </si>
  <si>
    <t xml:space="preserve">01 Desember 2019 s/d 30 November 2024 </t>
  </si>
  <si>
    <t xml:space="preserve">01 desember 2024 - 30 November 2029 </t>
  </si>
  <si>
    <t xml:space="preserve">Harga Sewa </t>
  </si>
  <si>
    <t>Rp. 450.000.000</t>
  </si>
  <si>
    <t xml:space="preserve">Harga Sewa / Yearly </t>
  </si>
  <si>
    <t>Rp. 130.000.000</t>
  </si>
  <si>
    <t>RP. 130.000.000</t>
  </si>
  <si>
    <t xml:space="preserve">Operator Joint </t>
  </si>
  <si>
    <t>Penurunan Harga</t>
  </si>
  <si>
    <t xml:space="preserve">Tidak mengalami penurunan dan kenaikan </t>
  </si>
  <si>
    <t xml:space="preserve">termin of payment </t>
  </si>
  <si>
    <t>20% after Addendum sign</t>
  </si>
  <si>
    <t>30% 3 bulan after first payment</t>
  </si>
  <si>
    <t xml:space="preserve">50% 3 bulan after second payment </t>
  </si>
  <si>
    <t>Sinarmas Land BSd</t>
  </si>
  <si>
    <t>Office</t>
  </si>
  <si>
    <t xml:space="preserve">Jl. Grand Boulevard BSD City </t>
  </si>
  <si>
    <t xml:space="preserve">BTS dan Pole  </t>
  </si>
  <si>
    <t>BV 30Nov24</t>
  </si>
  <si>
    <t>Total Capex BV 30Nov24</t>
  </si>
  <si>
    <t xml:space="preserve">Telkomsel : 08-Apr-19 s/d  07-Apr-24
</t>
  </si>
  <si>
    <t>Telkomsel : 08 -Apr-24 - 7 Apr 29</t>
  </si>
  <si>
    <t>XL : 26 Feb 21 s/d 27 Feb 24</t>
  </si>
  <si>
    <t>XL : 27 Feb 24 s/d 26 Feb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</si>
</sst>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  <numFmt numFmtId="174" formatCode="&quot;Rp&quot;#,##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7" fillId="0" borderId="0"/>
    <xf numFmtId="166" fontId="27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64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6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6" fillId="0" borderId="0" xfId="4" applyFont="1" applyFill="1"/>
    <xf numFmtId="0" fontId="19" fillId="0" borderId="0" xfId="8" applyFont="1"/>
    <xf numFmtId="0" fontId="19" fillId="0" borderId="24" xfId="8" applyFont="1" applyBorder="1"/>
    <xf numFmtId="0" fontId="19" fillId="0" borderId="24" xfId="8" applyFont="1" applyFill="1" applyBorder="1"/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6" fillId="0" borderId="0" xfId="3" applyFont="1"/>
    <xf numFmtId="41" fontId="26" fillId="2" borderId="0" xfId="3" applyNumberFormat="1" applyFont="1" applyFill="1" applyAlignment="1">
      <alignment vertical="center"/>
    </xf>
    <xf numFmtId="41" fontId="28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71" fontId="19" fillId="0" borderId="0" xfId="8" applyNumberForma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41" fontId="19" fillId="0" borderId="15" xfId="11" applyFont="1" applyBorder="1"/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23" fillId="6" borderId="26" xfId="8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4" xfId="8" applyBorder="1" applyAlignment="1">
      <alignment horizontal="center"/>
    </xf>
    <xf numFmtId="0" fontId="21" fillId="0" borderId="0" xfId="16" applyFont="1" applyAlignment="1">
      <alignment horizontal="left" vertical="top"/>
    </xf>
    <xf numFmtId="0" fontId="21" fillId="0" borderId="0" xfId="16" applyFont="1"/>
    <xf numFmtId="0" fontId="22" fillId="6" borderId="31" xfId="8" applyFont="1" applyFill="1" applyBorder="1" applyAlignment="1">
      <alignment horizontal="center" vertical="center"/>
    </xf>
    <xf numFmtId="0" fontId="23" fillId="6" borderId="32" xfId="8" applyFont="1" applyFill="1" applyBorder="1" applyAlignment="1">
      <alignment horizontal="center" vertical="center"/>
    </xf>
    <xf numFmtId="0" fontId="23" fillId="6" borderId="33" xfId="8" applyFont="1" applyFill="1" applyBorder="1" applyAlignment="1">
      <alignment horizontal="center" vertical="center"/>
    </xf>
    <xf numFmtId="0" fontId="22" fillId="6" borderId="34" xfId="8" applyFont="1" applyFill="1" applyBorder="1" applyAlignment="1">
      <alignment horizontal="center" vertical="center"/>
    </xf>
    <xf numFmtId="0" fontId="23" fillId="6" borderId="35" xfId="8" applyFont="1" applyFill="1" applyBorder="1" applyAlignment="1">
      <alignment horizontal="center" vertical="center"/>
    </xf>
    <xf numFmtId="0" fontId="19" fillId="0" borderId="34" xfId="8" applyFont="1" applyBorder="1" applyAlignment="1">
      <alignment horizontal="center" vertical="center"/>
    </xf>
    <xf numFmtId="0" fontId="19" fillId="0" borderId="36" xfId="8" applyFont="1" applyBorder="1"/>
    <xf numFmtId="0" fontId="0" fillId="0" borderId="0" xfId="8" applyFont="1" applyBorder="1"/>
    <xf numFmtId="0" fontId="1" fillId="0" borderId="36" xfId="8" applyFont="1" applyBorder="1"/>
    <xf numFmtId="0" fontId="19" fillId="0" borderId="24" xfId="16" applyFont="1" applyBorder="1"/>
    <xf numFmtId="0" fontId="19" fillId="0" borderId="36" xfId="16" applyFont="1" applyBorder="1"/>
    <xf numFmtId="0" fontId="19" fillId="0" borderId="24" xfId="8" applyFont="1" applyBorder="1" applyAlignment="1">
      <alignment wrapText="1"/>
    </xf>
    <xf numFmtId="174" fontId="0" fillId="0" borderId="24" xfId="11" applyNumberFormat="1" applyFont="1" applyBorder="1" applyAlignment="1">
      <alignment horizontal="left" vertical="top"/>
    </xf>
    <xf numFmtId="164" fontId="0" fillId="0" borderId="36" xfId="9" applyFont="1" applyBorder="1"/>
    <xf numFmtId="0" fontId="19" fillId="0" borderId="37" xfId="8" applyFont="1" applyBorder="1" applyAlignment="1">
      <alignment horizontal="center" vertical="center"/>
    </xf>
    <xf numFmtId="0" fontId="19" fillId="0" borderId="25" xfId="8" applyFont="1" applyFill="1" applyBorder="1" applyAlignment="1">
      <alignment vertical="center"/>
    </xf>
    <xf numFmtId="0" fontId="19" fillId="0" borderId="27" xfId="8" applyFont="1" applyBorder="1"/>
    <xf numFmtId="0" fontId="19" fillId="0" borderId="26" xfId="8" applyFont="1" applyFill="1" applyBorder="1" applyAlignment="1">
      <alignment vertical="center"/>
    </xf>
    <xf numFmtId="0" fontId="19" fillId="0" borderId="38" xfId="8" applyFont="1" applyBorder="1" applyAlignment="1">
      <alignment horizontal="center" vertical="center"/>
    </xf>
    <xf numFmtId="0" fontId="19" fillId="0" borderId="39" xfId="8" applyFont="1" applyFill="1" applyBorder="1"/>
    <xf numFmtId="0" fontId="19" fillId="0" borderId="40" xfId="8" applyFont="1" applyBorder="1" applyAlignment="1">
      <alignment horizontal="center"/>
    </xf>
    <xf numFmtId="0" fontId="19" fillId="0" borderId="41" xfId="8" applyFont="1" applyBorder="1" applyAlignment="1">
      <alignment horizontal="center"/>
    </xf>
    <xf numFmtId="41" fontId="19" fillId="0" borderId="0" xfId="11" applyFont="1"/>
    <xf numFmtId="41" fontId="4" fillId="0" borderId="0" xfId="17" applyNumberFormat="1" applyFont="1"/>
    <xf numFmtId="165" fontId="0" fillId="0" borderId="0" xfId="2" applyFont="1"/>
    <xf numFmtId="165" fontId="0" fillId="0" borderId="0" xfId="0" applyNumberFormat="1"/>
    <xf numFmtId="0" fontId="19" fillId="0" borderId="27" xfId="8" applyFont="1" applyBorder="1" applyAlignment="1">
      <alignment horizontal="left" vertical="top" wrapText="1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31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4851" y="5379469"/>
          <a:ext cx="899341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6597" y="6644751"/>
          <a:ext cx="9212898" cy="17197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AEON%20Mall%20BSD/PnL%20AEON%20Mall%20BSD%2025Aug24%20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itra.kartika\Downloads\Summary%20Review%20Sinarmas%20land%20BSD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ummary Review new"/>
      <sheetName val="Parameter"/>
      <sheetName val="Analisa"/>
    </sheetNames>
    <sheetDataSet>
      <sheetData sheetId="0">
        <row r="7">
          <cell r="D7" t="str">
            <v>AEON Mall BSD</v>
          </cell>
        </row>
      </sheetData>
      <sheetData sheetId="1"/>
      <sheetData sheetId="2" refreshError="1"/>
      <sheetData sheetId="3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Review "/>
      <sheetName val="Sheet1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opLeftCell="A11" zoomScaleNormal="100" workbookViewId="0">
      <selection activeCell="M26" sqref="M26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/>
      <c r="M2" s="3"/>
      <c r="N2" s="4"/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45552</v>
      </c>
    </row>
    <row r="4" spans="2:14" ht="18.5" x14ac:dyDescent="0.45">
      <c r="C4" s="5" t="s">
        <v>4</v>
      </c>
      <c r="D4" s="2" t="s">
        <v>176</v>
      </c>
    </row>
    <row r="5" spans="2:14" ht="0.9" customHeight="1" thickBot="1" x14ac:dyDescent="0.4">
      <c r="C5" s="2"/>
    </row>
    <row r="6" spans="2:14" s="7" customFormat="1" ht="19" thickBot="1" x14ac:dyDescent="0.5">
      <c r="B6" s="214" t="s">
        <v>5</v>
      </c>
      <c r="C6" s="215"/>
      <c r="D6" s="216"/>
      <c r="E6" s="214" t="s">
        <v>6</v>
      </c>
      <c r="F6" s="215"/>
      <c r="G6" s="215"/>
      <c r="H6" s="215"/>
      <c r="I6" s="215"/>
      <c r="J6" s="214" t="s">
        <v>7</v>
      </c>
      <c r="K6" s="215"/>
      <c r="L6" s="215"/>
      <c r="M6" s="215"/>
      <c r="N6" s="216"/>
    </row>
    <row r="7" spans="2:14" x14ac:dyDescent="0.35">
      <c r="B7" s="217" t="s">
        <v>8</v>
      </c>
      <c r="C7" s="218"/>
      <c r="D7" s="8" t="s">
        <v>224</v>
      </c>
      <c r="E7" s="219" t="s">
        <v>9</v>
      </c>
      <c r="F7" s="219"/>
      <c r="G7" s="219"/>
      <c r="H7" s="219"/>
      <c r="I7" s="219"/>
      <c r="J7" s="9"/>
      <c r="K7" s="218" t="s">
        <v>10</v>
      </c>
      <c r="L7" s="218"/>
      <c r="M7" s="171">
        <v>649580182</v>
      </c>
      <c r="N7" s="8"/>
    </row>
    <row r="8" spans="2:14" x14ac:dyDescent="0.35">
      <c r="B8" s="210" t="s">
        <v>11</v>
      </c>
      <c r="C8" s="211"/>
      <c r="D8" s="10" t="s">
        <v>226</v>
      </c>
      <c r="E8" s="209" t="s">
        <v>12</v>
      </c>
      <c r="F8" s="209"/>
      <c r="G8" s="209"/>
      <c r="H8" s="11">
        <v>64</v>
      </c>
      <c r="J8" s="12"/>
      <c r="K8" s="209" t="s">
        <v>13</v>
      </c>
      <c r="L8" s="209"/>
      <c r="M8" s="172">
        <f>M7/H9</f>
        <v>7466438.8735632179</v>
      </c>
      <c r="N8" s="13"/>
    </row>
    <row r="9" spans="2:14" x14ac:dyDescent="0.35">
      <c r="B9" s="210"/>
      <c r="C9" s="211"/>
      <c r="D9" s="13"/>
      <c r="E9" s="209" t="s">
        <v>14</v>
      </c>
      <c r="F9" s="209"/>
      <c r="G9" s="209"/>
      <c r="H9" s="11">
        <v>87</v>
      </c>
      <c r="J9" s="12"/>
      <c r="K9" s="209" t="s">
        <v>15</v>
      </c>
      <c r="L9" s="209"/>
      <c r="M9" s="173">
        <v>5</v>
      </c>
      <c r="N9" s="13"/>
    </row>
    <row r="10" spans="2:14" x14ac:dyDescent="0.35">
      <c r="B10" s="14" t="s">
        <v>16</v>
      </c>
      <c r="C10" s="15"/>
      <c r="D10" s="13" t="s">
        <v>184</v>
      </c>
      <c r="E10" s="209" t="s">
        <v>17</v>
      </c>
      <c r="F10" s="209"/>
      <c r="G10" s="209"/>
      <c r="H10" s="212" t="s">
        <v>227</v>
      </c>
      <c r="I10" s="213"/>
      <c r="J10" s="12"/>
      <c r="K10" s="16" t="s">
        <v>18</v>
      </c>
      <c r="L10" s="16"/>
      <c r="M10" s="174">
        <f>[2]IRR!F3</f>
        <v>0.1</v>
      </c>
      <c r="N10" s="13"/>
    </row>
    <row r="11" spans="2:14" x14ac:dyDescent="0.35">
      <c r="B11" s="17" t="s">
        <v>19</v>
      </c>
      <c r="C11" s="16"/>
      <c r="D11" s="13" t="s">
        <v>225</v>
      </c>
      <c r="H11" s="212"/>
      <c r="I11" s="213"/>
      <c r="J11" s="18"/>
      <c r="K11" s="209" t="s">
        <v>21</v>
      </c>
      <c r="L11" s="209"/>
      <c r="M11" s="171">
        <f>IRR!Q21</f>
        <v>1842501900</v>
      </c>
      <c r="N11" s="13"/>
    </row>
    <row r="12" spans="2:14" x14ac:dyDescent="0.35">
      <c r="B12" s="17" t="s">
        <v>22</v>
      </c>
      <c r="C12" s="16"/>
      <c r="D12" s="13" t="s">
        <v>23</v>
      </c>
      <c r="E12" s="203" t="s">
        <v>20</v>
      </c>
      <c r="F12" s="203"/>
      <c r="G12" s="203"/>
      <c r="H12" s="203"/>
      <c r="I12" s="203"/>
      <c r="J12" s="12"/>
      <c r="K12" s="209" t="s">
        <v>229</v>
      </c>
      <c r="L12" s="209"/>
      <c r="M12" s="171">
        <f>IRR!G9</f>
        <v>32602238</v>
      </c>
      <c r="N12" s="13"/>
    </row>
    <row r="13" spans="2:14" x14ac:dyDescent="0.35">
      <c r="B13" s="17" t="s">
        <v>25</v>
      </c>
      <c r="C13" s="16"/>
      <c r="D13" s="20"/>
      <c r="E13" s="202" t="s">
        <v>24</v>
      </c>
      <c r="F13" s="202"/>
      <c r="G13" s="202"/>
      <c r="H13" s="19">
        <v>0</v>
      </c>
      <c r="J13" s="12"/>
      <c r="K13" s="209" t="s">
        <v>27</v>
      </c>
      <c r="L13" s="209"/>
      <c r="M13" s="171">
        <f>IRR!Q24</f>
        <v>450000000</v>
      </c>
      <c r="N13" s="13"/>
    </row>
    <row r="14" spans="2:14" x14ac:dyDescent="0.35">
      <c r="B14" s="17" t="s">
        <v>28</v>
      </c>
      <c r="C14" s="16"/>
      <c r="D14" s="20"/>
      <c r="E14" s="202" t="s">
        <v>26</v>
      </c>
      <c r="F14" s="202"/>
      <c r="G14" s="202"/>
      <c r="H14" s="19">
        <v>0</v>
      </c>
      <c r="J14" s="12"/>
      <c r="K14" s="162" t="s">
        <v>30</v>
      </c>
      <c r="L14" s="162"/>
      <c r="M14" s="172">
        <f>SUM(IRR!Q25:Q27)</f>
        <v>487125095</v>
      </c>
      <c r="N14" s="13"/>
    </row>
    <row r="15" spans="2:14" ht="16" thickBot="1" x14ac:dyDescent="0.4">
      <c r="B15" s="17" t="s">
        <v>31</v>
      </c>
      <c r="C15" s="16"/>
      <c r="D15" s="21"/>
      <c r="E15" s="202" t="s">
        <v>29</v>
      </c>
      <c r="F15" s="202"/>
      <c r="G15" s="202"/>
      <c r="H15" s="19">
        <v>0</v>
      </c>
      <c r="J15" s="12"/>
      <c r="N15" s="13"/>
    </row>
    <row r="16" spans="2:14" x14ac:dyDescent="0.35">
      <c r="B16" s="12"/>
      <c r="D16" s="13"/>
      <c r="E16" s="203" t="s">
        <v>32</v>
      </c>
      <c r="F16" s="203"/>
      <c r="G16" s="203"/>
      <c r="H16" s="203"/>
      <c r="I16" s="203"/>
      <c r="J16" s="22"/>
      <c r="K16" s="204" t="s">
        <v>33</v>
      </c>
      <c r="L16" s="205"/>
      <c r="M16" s="23">
        <f>IRR!F42</f>
        <v>1.1798699266349626</v>
      </c>
      <c r="N16" s="13"/>
    </row>
    <row r="17" spans="2:18" x14ac:dyDescent="0.35">
      <c r="B17" s="12"/>
      <c r="D17" s="13"/>
      <c r="J17" s="24"/>
      <c r="K17" s="206" t="s">
        <v>34</v>
      </c>
      <c r="L17" s="207"/>
      <c r="M17" s="25">
        <f>IRR!F43</f>
        <v>624798736.24483883</v>
      </c>
      <c r="N17" s="13"/>
    </row>
    <row r="18" spans="2:18" x14ac:dyDescent="0.35">
      <c r="B18" s="12"/>
      <c r="D18" s="13"/>
      <c r="J18" s="24"/>
      <c r="K18" s="206" t="s">
        <v>35</v>
      </c>
      <c r="L18" s="207"/>
      <c r="M18" s="26">
        <f>IRR!F44</f>
        <v>0.49138446207301062</v>
      </c>
      <c r="N18" s="13"/>
      <c r="R18" s="1" t="s">
        <v>36</v>
      </c>
    </row>
    <row r="19" spans="2:18" ht="16" thickBot="1" x14ac:dyDescent="0.4">
      <c r="B19" s="12"/>
      <c r="D19" s="13"/>
      <c r="J19" s="24"/>
      <c r="K19" s="198" t="s">
        <v>37</v>
      </c>
      <c r="L19" s="199"/>
      <c r="M19" s="27">
        <f>IRR!F45</f>
        <v>1.8111253950050541</v>
      </c>
      <c r="N19" s="13"/>
      <c r="Q19" s="1" t="s">
        <v>36</v>
      </c>
    </row>
    <row r="20" spans="2:18" ht="16" thickBot="1" x14ac:dyDescent="0.4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5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08" t="s">
        <v>39</v>
      </c>
      <c r="L21" s="208"/>
      <c r="M21" s="208"/>
      <c r="N21" s="8"/>
    </row>
    <row r="22" spans="2:18" x14ac:dyDescent="0.35">
      <c r="B22" s="12" t="s">
        <v>40</v>
      </c>
      <c r="D22" s="1" t="s">
        <v>41</v>
      </c>
      <c r="L22" s="200" t="s">
        <v>42</v>
      </c>
      <c r="M22" s="201"/>
      <c r="N22" s="13"/>
    </row>
    <row r="23" spans="2:18" x14ac:dyDescent="0.35">
      <c r="B23" s="12"/>
      <c r="D23" s="1" t="s">
        <v>41</v>
      </c>
      <c r="N23" s="13"/>
    </row>
    <row r="24" spans="2:18" x14ac:dyDescent="0.35">
      <c r="B24" s="12"/>
      <c r="D24" s="1" t="s">
        <v>41</v>
      </c>
      <c r="N24" s="13"/>
    </row>
    <row r="25" spans="2:18" x14ac:dyDescent="0.35">
      <c r="B25" s="12"/>
      <c r="N25" s="13"/>
    </row>
    <row r="26" spans="2:18" ht="16" thickBot="1" x14ac:dyDescent="0.4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5"/>
    <row r="28" spans="2:18" x14ac:dyDescent="0.35">
      <c r="B28" s="2" t="s">
        <v>43</v>
      </c>
    </row>
    <row r="29" spans="2:18" x14ac:dyDescent="0.35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5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5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5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5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5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5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</mergeCells>
  <pageMargins left="0.57999999999999996" right="0.7" top="0.52" bottom="0.59" header="0.3" footer="0.3"/>
  <pageSetup paperSize="9" scale="9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B806C-E31A-46EF-85F7-21063FD8399D}">
  <sheetPr>
    <pageSetUpPr fitToPage="1"/>
  </sheetPr>
  <dimension ref="B1:Y59"/>
  <sheetViews>
    <sheetView showGridLines="0" tabSelected="1" topLeftCell="A33" zoomScale="90" zoomScaleNormal="90" workbookViewId="0">
      <selection activeCell="G35" sqref="G35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5.54296875" style="1" customWidth="1"/>
    <col min="7" max="7" width="17.08984375" style="35" customWidth="1"/>
    <col min="8" max="8" width="16.81640625" style="1" customWidth="1"/>
    <col min="9" max="9" width="15.6328125" style="1" customWidth="1"/>
    <col min="10" max="10" width="15.1796875" style="1" customWidth="1"/>
    <col min="11" max="11" width="15.54296875" style="1" customWidth="1"/>
    <col min="12" max="15" width="6.81640625" style="1" hidden="1" customWidth="1"/>
    <col min="16" max="16" width="7.90625" style="1" hidden="1" customWidth="1"/>
    <col min="17" max="17" width="15.90625" style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178</v>
      </c>
      <c r="C1" s="1" t="s">
        <v>187</v>
      </c>
      <c r="Q1" s="4" t="str">
        <f>[4]Summary!D7</f>
        <v>AEON Mall BSD</v>
      </c>
    </row>
    <row r="2" spans="2:25" x14ac:dyDescent="0.35">
      <c r="B2" s="36" t="s">
        <v>44</v>
      </c>
      <c r="H2" s="159" t="s">
        <v>45</v>
      </c>
      <c r="I2" s="160" t="s">
        <v>46</v>
      </c>
    </row>
    <row r="3" spans="2:25" x14ac:dyDescent="0.35">
      <c r="C3" s="1" t="s">
        <v>47</v>
      </c>
      <c r="E3" s="37">
        <v>0.02</v>
      </c>
      <c r="H3" s="161" t="s">
        <v>185</v>
      </c>
      <c r="I3" s="38">
        <v>0</v>
      </c>
      <c r="L3" s="38"/>
      <c r="M3" s="38"/>
      <c r="N3" s="38"/>
      <c r="O3" s="38"/>
      <c r="P3" s="38"/>
      <c r="R3" s="39"/>
      <c r="S3" s="39"/>
    </row>
    <row r="4" spans="2:25" x14ac:dyDescent="0.35">
      <c r="C4" s="1" t="s">
        <v>48</v>
      </c>
      <c r="E4" s="37">
        <v>0.1</v>
      </c>
      <c r="H4" s="161"/>
      <c r="I4" s="38"/>
      <c r="L4" s="38"/>
      <c r="M4" s="38"/>
      <c r="N4" s="38"/>
      <c r="O4" s="38"/>
      <c r="P4" s="38"/>
      <c r="R4" s="39"/>
      <c r="S4" s="39"/>
    </row>
    <row r="5" spans="2:25" x14ac:dyDescent="0.35">
      <c r="C5" s="1" t="s">
        <v>49</v>
      </c>
      <c r="E5" s="37">
        <v>0.05</v>
      </c>
      <c r="F5" s="35" t="s">
        <v>50</v>
      </c>
      <c r="H5" s="161" t="s">
        <v>186</v>
      </c>
      <c r="I5" s="38">
        <v>-0.05</v>
      </c>
      <c r="S5" s="39"/>
      <c r="T5" s="196"/>
      <c r="U5" s="196"/>
      <c r="V5" s="196"/>
    </row>
    <row r="6" spans="2:25" x14ac:dyDescent="0.35">
      <c r="C6" s="1" t="s">
        <v>51</v>
      </c>
      <c r="E6" s="40">
        <v>0</v>
      </c>
      <c r="F6" s="35" t="s">
        <v>50</v>
      </c>
      <c r="H6" s="161"/>
      <c r="S6" s="39"/>
    </row>
    <row r="7" spans="2:25" ht="4.25" customHeight="1" x14ac:dyDescent="0.35">
      <c r="F7" s="37"/>
      <c r="S7" s="39"/>
    </row>
    <row r="8" spans="2:25" ht="14.4" customHeight="1" x14ac:dyDescent="0.35">
      <c r="B8" s="42" t="s">
        <v>57</v>
      </c>
      <c r="G8" s="197" t="s">
        <v>52</v>
      </c>
      <c r="H8" s="197" t="s">
        <v>53</v>
      </c>
      <c r="I8" s="197" t="s">
        <v>54</v>
      </c>
      <c r="J8" s="197" t="s">
        <v>55</v>
      </c>
      <c r="K8" s="197" t="s">
        <v>56</v>
      </c>
      <c r="L8" s="197" t="s">
        <v>171</v>
      </c>
      <c r="M8" s="197" t="s">
        <v>172</v>
      </c>
      <c r="N8" s="197" t="s">
        <v>173</v>
      </c>
      <c r="O8" s="197" t="s">
        <v>174</v>
      </c>
      <c r="P8" s="197" t="s">
        <v>175</v>
      </c>
      <c r="R8" s="41"/>
      <c r="W8" s="41"/>
      <c r="X8" s="41"/>
      <c r="Y8" s="41"/>
    </row>
    <row r="9" spans="2:25" s="43" customFormat="1" x14ac:dyDescent="0.35">
      <c r="D9" s="43" t="s">
        <v>228</v>
      </c>
      <c r="F9" s="44"/>
      <c r="G9" s="181">
        <v>32602238</v>
      </c>
      <c r="H9" s="181">
        <v>0</v>
      </c>
      <c r="I9" s="181">
        <v>0</v>
      </c>
      <c r="J9" s="181">
        <v>0</v>
      </c>
      <c r="K9" s="181"/>
      <c r="L9" s="181"/>
      <c r="M9" s="181"/>
      <c r="N9" s="181"/>
      <c r="O9" s="181"/>
      <c r="P9" s="181"/>
      <c r="Q9" s="181">
        <f>SUM(G9:K9)</f>
        <v>32602238</v>
      </c>
      <c r="R9" s="179"/>
      <c r="S9" s="1"/>
      <c r="T9" s="1"/>
      <c r="U9" s="1"/>
      <c r="V9" s="1"/>
      <c r="W9" s="44"/>
      <c r="X9" s="44"/>
      <c r="Y9" s="44"/>
    </row>
    <row r="10" spans="2:25" s="43" customFormat="1" ht="16" thickBot="1" x14ac:dyDescent="0.4">
      <c r="B10" s="42"/>
      <c r="F10" s="44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>
        <f>G10</f>
        <v>0</v>
      </c>
      <c r="R10" s="179"/>
      <c r="S10" s="1"/>
      <c r="T10" s="1"/>
      <c r="U10" s="1"/>
      <c r="V10" s="1"/>
      <c r="W10" s="44"/>
      <c r="X10" s="44"/>
      <c r="Y10" s="44"/>
    </row>
    <row r="11" spans="2:25" s="43" customFormat="1" ht="16" thickTop="1" x14ac:dyDescent="0.35">
      <c r="B11" s="42"/>
      <c r="F11" s="44"/>
      <c r="G11" s="44">
        <f>SUM(G9:G10)</f>
        <v>32602238</v>
      </c>
      <c r="H11" s="44"/>
      <c r="I11" s="44"/>
      <c r="J11" s="44"/>
      <c r="K11" s="44"/>
      <c r="L11" s="44"/>
      <c r="M11" s="44"/>
      <c r="N11" s="44"/>
      <c r="O11" s="44"/>
      <c r="P11" s="44"/>
      <c r="Q11" s="44">
        <f>Q10+Q9</f>
        <v>32602238</v>
      </c>
      <c r="R11" s="44"/>
      <c r="S11" s="1"/>
      <c r="T11" s="1"/>
      <c r="U11" s="1"/>
      <c r="V11" s="1"/>
      <c r="W11" s="44"/>
      <c r="X11" s="44"/>
      <c r="Y11" s="44"/>
    </row>
    <row r="12" spans="2:25" x14ac:dyDescent="0.35">
      <c r="F12" s="45"/>
      <c r="G12" s="46">
        <v>2024</v>
      </c>
      <c r="H12" s="46">
        <f>G12+1</f>
        <v>2025</v>
      </c>
      <c r="I12" s="46">
        <f t="shared" ref="I12:P12" si="0">H12+1</f>
        <v>2026</v>
      </c>
      <c r="J12" s="46">
        <f t="shared" si="0"/>
        <v>2027</v>
      </c>
      <c r="K12" s="46">
        <f t="shared" si="0"/>
        <v>2028</v>
      </c>
      <c r="L12" s="46">
        <f t="shared" si="0"/>
        <v>2029</v>
      </c>
      <c r="M12" s="46">
        <f t="shared" si="0"/>
        <v>2030</v>
      </c>
      <c r="N12" s="46">
        <f t="shared" si="0"/>
        <v>2031</v>
      </c>
      <c r="O12" s="46">
        <f t="shared" si="0"/>
        <v>2032</v>
      </c>
      <c r="P12" s="46">
        <f t="shared" si="0"/>
        <v>2033</v>
      </c>
      <c r="Q12" s="46"/>
    </row>
    <row r="13" spans="2:25" ht="16" thickBot="1" x14ac:dyDescent="0.4">
      <c r="B13" s="47" t="s">
        <v>58</v>
      </c>
      <c r="C13" s="29"/>
      <c r="D13" s="29"/>
      <c r="E13" s="29"/>
      <c r="F13" s="48" t="s">
        <v>170</v>
      </c>
      <c r="G13" s="48" t="s">
        <v>59</v>
      </c>
      <c r="H13" s="49" t="s">
        <v>60</v>
      </c>
      <c r="I13" s="48" t="s">
        <v>61</v>
      </c>
      <c r="J13" s="49" t="s">
        <v>62</v>
      </c>
      <c r="K13" s="48" t="s">
        <v>63</v>
      </c>
      <c r="L13" s="48" t="s">
        <v>89</v>
      </c>
      <c r="M13" s="48" t="s">
        <v>166</v>
      </c>
      <c r="N13" s="48" t="s">
        <v>167</v>
      </c>
      <c r="O13" s="48" t="s">
        <v>168</v>
      </c>
      <c r="P13" s="48" t="s">
        <v>169</v>
      </c>
      <c r="Q13" s="50" t="s">
        <v>64</v>
      </c>
      <c r="R13" s="196"/>
      <c r="S13" s="51"/>
      <c r="T13" s="51"/>
      <c r="U13" s="51"/>
      <c r="V13" s="51"/>
      <c r="W13" s="196"/>
    </row>
    <row r="14" spans="2:25" x14ac:dyDescent="0.35">
      <c r="B14" s="1" t="s">
        <v>65</v>
      </c>
      <c r="G14" s="46">
        <v>12</v>
      </c>
      <c r="H14" s="46">
        <v>12</v>
      </c>
      <c r="I14" s="46">
        <v>12</v>
      </c>
      <c r="J14" s="46">
        <v>12</v>
      </c>
      <c r="K14" s="46">
        <v>12</v>
      </c>
      <c r="L14" s="46"/>
      <c r="M14" s="46"/>
      <c r="N14" s="46"/>
      <c r="O14" s="46"/>
      <c r="P14" s="46"/>
      <c r="Q14" s="52"/>
      <c r="S14" s="39"/>
      <c r="T14" s="39"/>
      <c r="U14" s="39"/>
      <c r="V14" s="39"/>
    </row>
    <row r="15" spans="2:25" ht="1.75" customHeight="1" x14ac:dyDescent="0.35">
      <c r="Q15" s="52"/>
      <c r="S15" s="53"/>
      <c r="T15" s="53"/>
      <c r="U15" s="53"/>
      <c r="V15" s="53"/>
    </row>
    <row r="16" spans="2:25" x14ac:dyDescent="0.35">
      <c r="B16" s="2" t="s">
        <v>66</v>
      </c>
      <c r="E16" s="54"/>
      <c r="G16" s="55"/>
      <c r="H16" s="56"/>
      <c r="I16" s="57"/>
      <c r="J16" s="57"/>
      <c r="K16" s="57"/>
      <c r="L16" s="57"/>
      <c r="M16" s="57"/>
      <c r="N16" s="57"/>
      <c r="O16" s="57"/>
      <c r="P16" s="57"/>
      <c r="Q16" s="52"/>
      <c r="S16" s="51"/>
      <c r="T16" s="51"/>
      <c r="U16" s="51"/>
      <c r="V16" s="51"/>
    </row>
    <row r="17" spans="2:24" x14ac:dyDescent="0.35">
      <c r="B17" s="2"/>
      <c r="C17" s="1" t="s">
        <v>67</v>
      </c>
      <c r="E17" s="54"/>
      <c r="G17" s="56">
        <f>230000400*95%</f>
        <v>218500380</v>
      </c>
      <c r="H17" s="163">
        <f>G17</f>
        <v>218500380</v>
      </c>
      <c r="I17" s="56">
        <f>H17</f>
        <v>218500380</v>
      </c>
      <c r="J17" s="56">
        <f>I17</f>
        <v>218500380</v>
      </c>
      <c r="K17" s="56">
        <f>J17</f>
        <v>218500380</v>
      </c>
      <c r="L17" s="56"/>
      <c r="M17" s="56"/>
      <c r="N17" s="56"/>
      <c r="O17" s="56"/>
      <c r="P17" s="56"/>
      <c r="Q17" s="58">
        <f>SUM(G17:K17)</f>
        <v>1092501900</v>
      </c>
      <c r="R17" s="177"/>
      <c r="S17" s="51"/>
      <c r="T17" s="51"/>
      <c r="U17" s="51"/>
      <c r="V17" s="51"/>
    </row>
    <row r="18" spans="2:24" x14ac:dyDescent="0.35">
      <c r="B18" s="2"/>
      <c r="E18" s="54"/>
      <c r="G18" s="56"/>
      <c r="H18" s="163"/>
      <c r="I18" s="163"/>
      <c r="J18" s="163"/>
      <c r="K18" s="163"/>
      <c r="L18" s="56"/>
      <c r="M18" s="56"/>
      <c r="N18" s="56"/>
      <c r="O18" s="56"/>
      <c r="P18" s="56"/>
      <c r="Q18" s="58">
        <f>SUM(G18:K18)</f>
        <v>0</v>
      </c>
      <c r="R18" s="177"/>
      <c r="S18" s="51"/>
      <c r="T18" s="51"/>
      <c r="U18" s="51"/>
      <c r="V18" s="51"/>
    </row>
    <row r="19" spans="2:24" x14ac:dyDescent="0.35">
      <c r="B19" s="2"/>
      <c r="C19" s="1" t="s">
        <v>177</v>
      </c>
      <c r="E19" s="54"/>
      <c r="G19" s="56">
        <v>150000000</v>
      </c>
      <c r="H19" s="163">
        <f>G19</f>
        <v>150000000</v>
      </c>
      <c r="I19" s="56">
        <f>H19</f>
        <v>150000000</v>
      </c>
      <c r="J19" s="56">
        <f>I19</f>
        <v>150000000</v>
      </c>
      <c r="K19" s="56">
        <f t="shared" ref="I18:K20" si="1">J19</f>
        <v>150000000</v>
      </c>
      <c r="L19" s="56"/>
      <c r="M19" s="56"/>
      <c r="N19" s="56"/>
      <c r="O19" s="56"/>
      <c r="P19" s="56"/>
      <c r="Q19" s="58">
        <f t="shared" ref="Q19:Q20" si="2">SUM(G19:K19)</f>
        <v>750000000</v>
      </c>
      <c r="S19" s="51"/>
      <c r="T19" s="51"/>
      <c r="U19" s="51"/>
      <c r="V19" s="51"/>
    </row>
    <row r="20" spans="2:24" x14ac:dyDescent="0.35">
      <c r="B20" s="2"/>
      <c r="E20" s="54"/>
      <c r="G20" s="56"/>
      <c r="H20" s="163">
        <f>G20</f>
        <v>0</v>
      </c>
      <c r="I20" s="56">
        <f>H20*90%</f>
        <v>0</v>
      </c>
      <c r="J20" s="56">
        <f>I20</f>
        <v>0</v>
      </c>
      <c r="K20" s="56">
        <f t="shared" si="1"/>
        <v>0</v>
      </c>
      <c r="L20" s="59"/>
      <c r="M20" s="59"/>
      <c r="N20" s="59"/>
      <c r="O20" s="59"/>
      <c r="P20" s="59"/>
      <c r="Q20" s="58">
        <f t="shared" si="2"/>
        <v>0</v>
      </c>
      <c r="S20" s="51"/>
      <c r="T20" s="51"/>
      <c r="U20" s="51"/>
      <c r="V20" s="51"/>
    </row>
    <row r="21" spans="2:24" x14ac:dyDescent="0.35">
      <c r="B21" s="61" t="s">
        <v>68</v>
      </c>
      <c r="C21" s="61"/>
      <c r="D21" s="61"/>
      <c r="E21" s="220"/>
      <c r="F21" s="221"/>
      <c r="G21" s="62">
        <f>SUM(G17:G20)</f>
        <v>368500380</v>
      </c>
      <c r="H21" s="62">
        <f>SUM(H17:H20)</f>
        <v>368500380</v>
      </c>
      <c r="I21" s="62">
        <f>SUM(I17:I20)</f>
        <v>368500380</v>
      </c>
      <c r="J21" s="62">
        <f>SUM(J17:J20)</f>
        <v>368500380</v>
      </c>
      <c r="K21" s="62">
        <f>SUM(K17:K20)</f>
        <v>368500380</v>
      </c>
      <c r="L21" s="62"/>
      <c r="M21" s="62"/>
      <c r="N21" s="62"/>
      <c r="O21" s="62"/>
      <c r="P21" s="62"/>
      <c r="Q21" s="63">
        <f>SUM(G21:K21)</f>
        <v>1842501900</v>
      </c>
      <c r="R21" s="51"/>
      <c r="S21" s="64"/>
      <c r="T21" s="64"/>
      <c r="U21" s="64"/>
      <c r="V21" s="64"/>
      <c r="W21" s="51"/>
      <c r="X21" s="39"/>
    </row>
    <row r="22" spans="2:24" ht="7.25" customHeight="1" x14ac:dyDescent="0.35">
      <c r="Q22" s="52"/>
      <c r="R22" s="39"/>
      <c r="S22" s="64"/>
      <c r="T22" s="64"/>
      <c r="U22" s="64"/>
      <c r="V22" s="64"/>
      <c r="W22" s="39"/>
      <c r="X22" s="39"/>
    </row>
    <row r="23" spans="2:24" x14ac:dyDescent="0.35">
      <c r="B23" s="2" t="s">
        <v>69</v>
      </c>
      <c r="E23" s="54"/>
      <c r="F23" s="54"/>
      <c r="G23" s="55"/>
      <c r="H23" s="54"/>
      <c r="I23" s="57"/>
      <c r="J23" s="57"/>
      <c r="K23" s="57"/>
      <c r="L23" s="57"/>
      <c r="M23" s="57"/>
      <c r="N23" s="57"/>
      <c r="O23" s="57"/>
      <c r="P23" s="57"/>
      <c r="Q23" s="65"/>
      <c r="R23" s="53"/>
      <c r="S23" s="66"/>
      <c r="T23" s="66"/>
      <c r="U23" s="66"/>
      <c r="V23" s="66"/>
      <c r="W23" s="39"/>
      <c r="X23" s="39"/>
    </row>
    <row r="24" spans="2:24" x14ac:dyDescent="0.35">
      <c r="C24" s="1" t="s">
        <v>70</v>
      </c>
      <c r="E24" s="67"/>
      <c r="G24" s="68">
        <v>450000000</v>
      </c>
      <c r="H24" s="68"/>
      <c r="I24" s="68"/>
      <c r="J24" s="68"/>
      <c r="K24" s="68"/>
      <c r="L24" s="68"/>
      <c r="M24" s="68"/>
      <c r="N24" s="68"/>
      <c r="O24" s="68"/>
      <c r="P24" s="68"/>
      <c r="Q24" s="69">
        <f>SUM(G24:K24)</f>
        <v>450000000</v>
      </c>
      <c r="R24" s="53"/>
      <c r="S24" s="51"/>
      <c r="T24" s="51"/>
      <c r="U24" s="51"/>
      <c r="V24" s="51"/>
      <c r="W24" s="70"/>
      <c r="X24" s="39"/>
    </row>
    <row r="25" spans="2:24" x14ac:dyDescent="0.35">
      <c r="C25" s="1" t="s">
        <v>71</v>
      </c>
      <c r="F25" s="71"/>
      <c r="G25" s="68">
        <v>65000000</v>
      </c>
      <c r="H25" s="68">
        <f>G25</f>
        <v>65000000</v>
      </c>
      <c r="I25" s="68">
        <f>H25</f>
        <v>65000000</v>
      </c>
      <c r="J25" s="68">
        <f>I25</f>
        <v>65000000</v>
      </c>
      <c r="K25" s="68">
        <f>J25</f>
        <v>65000000</v>
      </c>
      <c r="L25" s="68"/>
      <c r="M25" s="68"/>
      <c r="N25" s="68"/>
      <c r="O25" s="68"/>
      <c r="P25" s="68"/>
      <c r="Q25" s="69">
        <f>SUM(G25:K25)</f>
        <v>325000000</v>
      </c>
      <c r="R25" s="178"/>
      <c r="S25" s="72"/>
      <c r="T25" s="72"/>
      <c r="U25" s="72"/>
      <c r="V25" s="72"/>
      <c r="W25" s="70"/>
      <c r="X25" s="39"/>
    </row>
    <row r="26" spans="2:24" x14ac:dyDescent="0.35">
      <c r="C26" s="1" t="s">
        <v>72</v>
      </c>
      <c r="G26" s="73">
        <f>7000000*2</f>
        <v>14000000</v>
      </c>
      <c r="H26" s="73">
        <f>G26</f>
        <v>14000000</v>
      </c>
      <c r="I26" s="73">
        <f t="shared" ref="I26:K26" si="3">H26</f>
        <v>14000000</v>
      </c>
      <c r="J26" s="73">
        <f>I26</f>
        <v>14000000</v>
      </c>
      <c r="K26" s="73">
        <f t="shared" si="3"/>
        <v>14000000</v>
      </c>
      <c r="L26" s="73"/>
      <c r="M26" s="73"/>
      <c r="N26" s="73"/>
      <c r="O26" s="73"/>
      <c r="P26" s="73"/>
      <c r="Q26" s="69">
        <f t="shared" ref="Q26:Q27" si="4">SUM(G26:K26)</f>
        <v>70000000</v>
      </c>
      <c r="R26" s="51"/>
      <c r="S26" s="72"/>
      <c r="T26" s="72"/>
      <c r="U26" s="72"/>
      <c r="V26" s="72"/>
      <c r="W26" s="70"/>
      <c r="X26" s="39"/>
    </row>
    <row r="27" spans="2:24" x14ac:dyDescent="0.35">
      <c r="B27" s="74"/>
      <c r="C27" s="74" t="s">
        <v>49</v>
      </c>
      <c r="D27" s="74"/>
      <c r="E27" s="74"/>
      <c r="F27" s="74"/>
      <c r="G27" s="165">
        <f>G21*$E$5</f>
        <v>18425019</v>
      </c>
      <c r="H27" s="165">
        <f>H21*$E$5</f>
        <v>18425019</v>
      </c>
      <c r="I27" s="165">
        <f>I21*$E$5</f>
        <v>18425019</v>
      </c>
      <c r="J27" s="165">
        <f>J21*$E$5</f>
        <v>18425019</v>
      </c>
      <c r="K27" s="165">
        <f>K21*$E$5</f>
        <v>18425019</v>
      </c>
      <c r="L27" s="156"/>
      <c r="M27" s="156"/>
      <c r="N27" s="156"/>
      <c r="O27" s="156"/>
      <c r="P27" s="156"/>
      <c r="Q27" s="69">
        <f t="shared" si="4"/>
        <v>92125095</v>
      </c>
      <c r="R27" s="60"/>
      <c r="S27" s="72"/>
      <c r="T27" s="72"/>
      <c r="U27" s="72"/>
      <c r="V27" s="72"/>
      <c r="W27" s="70"/>
      <c r="X27" s="39"/>
    </row>
    <row r="28" spans="2:24" s="2" customFormat="1" x14ac:dyDescent="0.35">
      <c r="B28" s="61" t="s">
        <v>73</v>
      </c>
      <c r="C28" s="61"/>
      <c r="D28" s="61"/>
      <c r="E28" s="61"/>
      <c r="F28" s="61"/>
      <c r="G28" s="62">
        <f>SUM(G24:G27)</f>
        <v>547425019</v>
      </c>
      <c r="H28" s="62">
        <f t="shared" ref="H28:K28" si="5">SUM(H24:H27)</f>
        <v>97425019</v>
      </c>
      <c r="I28" s="62">
        <f t="shared" si="5"/>
        <v>97425019</v>
      </c>
      <c r="J28" s="62">
        <f>SUM(J24:J27)</f>
        <v>97425019</v>
      </c>
      <c r="K28" s="62">
        <f t="shared" si="5"/>
        <v>97425019</v>
      </c>
      <c r="L28" s="62"/>
      <c r="M28" s="62"/>
      <c r="N28" s="62"/>
      <c r="O28" s="62"/>
      <c r="P28" s="62"/>
      <c r="Q28" s="75">
        <f>SUM(Q24:Q27)</f>
        <v>937125095</v>
      </c>
      <c r="R28" s="64"/>
      <c r="S28" s="76"/>
      <c r="T28" s="76"/>
      <c r="U28" s="76"/>
      <c r="V28" s="76"/>
      <c r="W28" s="64"/>
      <c r="X28" s="77"/>
    </row>
    <row r="29" spans="2:24" s="2" customFormat="1" x14ac:dyDescent="0.35">
      <c r="B29" s="2" t="s">
        <v>74</v>
      </c>
      <c r="G29" s="158">
        <f>G21-G28</f>
        <v>-178924639</v>
      </c>
      <c r="H29" s="78">
        <f>H21-H28</f>
        <v>271075361</v>
      </c>
      <c r="I29" s="78">
        <f t="shared" ref="I29:K29" si="6">I21-I28</f>
        <v>271075361</v>
      </c>
      <c r="J29" s="78">
        <f t="shared" si="6"/>
        <v>271075361</v>
      </c>
      <c r="K29" s="78">
        <f t="shared" si="6"/>
        <v>271075361</v>
      </c>
      <c r="L29" s="78"/>
      <c r="M29" s="78"/>
      <c r="N29" s="78"/>
      <c r="O29" s="78"/>
      <c r="P29" s="78"/>
      <c r="Q29" s="79">
        <f>Q21-Q28</f>
        <v>905376805</v>
      </c>
      <c r="R29" s="64"/>
      <c r="S29" s="72"/>
      <c r="T29" s="72"/>
      <c r="U29" s="72"/>
      <c r="V29" s="72"/>
      <c r="W29" s="64"/>
      <c r="X29" s="77"/>
    </row>
    <row r="30" spans="2:24" s="2" customFormat="1" x14ac:dyDescent="0.35">
      <c r="B30" s="80" t="s">
        <v>75</v>
      </c>
      <c r="C30" s="81"/>
      <c r="D30" s="81"/>
      <c r="E30" s="81"/>
      <c r="F30" s="81"/>
      <c r="G30" s="82">
        <v>0</v>
      </c>
      <c r="H30" s="82">
        <f>H29/H21</f>
        <v>0.7356175887796913</v>
      </c>
      <c r="I30" s="82">
        <f t="shared" ref="I30:K30" si="7">I29/I21</f>
        <v>0.7356175887796913</v>
      </c>
      <c r="J30" s="82">
        <f t="shared" si="7"/>
        <v>0.7356175887796913</v>
      </c>
      <c r="K30" s="82">
        <f t="shared" si="7"/>
        <v>0.7356175887796913</v>
      </c>
      <c r="L30" s="82"/>
      <c r="M30" s="82"/>
      <c r="N30" s="82"/>
      <c r="O30" s="82"/>
      <c r="P30" s="82"/>
      <c r="Q30" s="83">
        <f>Q29/Q21</f>
        <v>0.49138446207301062</v>
      </c>
      <c r="R30" s="66"/>
      <c r="S30" s="39"/>
      <c r="T30" s="39"/>
      <c r="U30" s="39"/>
      <c r="V30" s="39"/>
      <c r="W30" s="66"/>
      <c r="X30" s="77"/>
    </row>
    <row r="31" spans="2:24" x14ac:dyDescent="0.35">
      <c r="B31" s="74" t="s">
        <v>76</v>
      </c>
      <c r="C31" s="74"/>
      <c r="D31" s="74"/>
      <c r="E31" s="74"/>
      <c r="F31" s="74"/>
      <c r="G31" s="84">
        <f>G53</f>
        <v>6520447.5999999996</v>
      </c>
      <c r="H31" s="84">
        <f>H53</f>
        <v>6520447.5999999996</v>
      </c>
      <c r="I31" s="84">
        <f>I53</f>
        <v>6520447.5999999996</v>
      </c>
      <c r="J31" s="84">
        <f>J53</f>
        <v>6520447.5999999996</v>
      </c>
      <c r="K31" s="84">
        <f>K53</f>
        <v>6520447.5999999996</v>
      </c>
      <c r="L31" s="84"/>
      <c r="M31" s="84"/>
      <c r="N31" s="84"/>
      <c r="O31" s="84"/>
      <c r="P31" s="84"/>
      <c r="Q31" s="85">
        <f>SUM(G31:K31)</f>
        <v>32602238</v>
      </c>
      <c r="R31" s="51"/>
      <c r="S31" s="86"/>
      <c r="T31" s="86"/>
      <c r="U31" s="86"/>
      <c r="V31" s="86"/>
      <c r="W31" s="51"/>
      <c r="X31" s="39"/>
    </row>
    <row r="32" spans="2:24" x14ac:dyDescent="0.35">
      <c r="B32" s="1" t="s">
        <v>77</v>
      </c>
      <c r="G32" s="87">
        <f t="shared" ref="G32:Q32" si="8">G29-G31</f>
        <v>-185445086.59999999</v>
      </c>
      <c r="H32" s="87">
        <f t="shared" si="8"/>
        <v>264554913.40000001</v>
      </c>
      <c r="I32" s="87">
        <f t="shared" si="8"/>
        <v>264554913.40000001</v>
      </c>
      <c r="J32" s="87">
        <f t="shared" si="8"/>
        <v>264554913.40000001</v>
      </c>
      <c r="K32" s="87">
        <f t="shared" si="8"/>
        <v>264554913.40000001</v>
      </c>
      <c r="L32" s="87"/>
      <c r="M32" s="87"/>
      <c r="N32" s="87"/>
      <c r="O32" s="87"/>
      <c r="P32" s="87"/>
      <c r="Q32" s="88">
        <f t="shared" si="8"/>
        <v>872774567</v>
      </c>
      <c r="R32" s="72"/>
      <c r="S32" s="86"/>
      <c r="T32" s="86"/>
      <c r="U32" s="86"/>
      <c r="V32" s="86"/>
      <c r="W32" s="72"/>
      <c r="X32" s="39"/>
    </row>
    <row r="33" spans="2:24" x14ac:dyDescent="0.35">
      <c r="B33" s="1" t="s">
        <v>78</v>
      </c>
      <c r="G33" s="89">
        <f>Parameter!L34</f>
        <v>2507318.73</v>
      </c>
      <c r="H33" s="89">
        <f>Parameter!M34</f>
        <v>1950136.7900000003</v>
      </c>
      <c r="I33" s="89">
        <f>Parameter!N34</f>
        <v>1392954.85</v>
      </c>
      <c r="J33" s="89">
        <f>Parameter!O34</f>
        <v>835772.91000000015</v>
      </c>
      <c r="K33" s="89">
        <f>Parameter!P34</f>
        <v>278590.97000000003</v>
      </c>
      <c r="L33" s="89"/>
      <c r="M33" s="89"/>
      <c r="N33" s="89"/>
      <c r="O33" s="89"/>
      <c r="P33" s="89"/>
      <c r="Q33" s="90">
        <f>SUM(G33:K33)</f>
        <v>6964774.2500000009</v>
      </c>
      <c r="R33" s="72"/>
      <c r="S33" s="86"/>
      <c r="T33" s="86"/>
      <c r="U33" s="86"/>
      <c r="V33" s="86"/>
      <c r="W33" s="72"/>
      <c r="X33" s="39"/>
    </row>
    <row r="34" spans="2:24" x14ac:dyDescent="0.35">
      <c r="B34" s="1" t="s">
        <v>79</v>
      </c>
      <c r="G34" s="166">
        <f t="shared" ref="G34:K34" si="9">G32-G33</f>
        <v>-187952405.32999998</v>
      </c>
      <c r="H34" s="89">
        <f t="shared" si="9"/>
        <v>262604776.61000001</v>
      </c>
      <c r="I34" s="89">
        <f t="shared" si="9"/>
        <v>263161958.55000001</v>
      </c>
      <c r="J34" s="89">
        <f t="shared" si="9"/>
        <v>263719140.49000001</v>
      </c>
      <c r="K34" s="89">
        <f t="shared" si="9"/>
        <v>264276322.43000001</v>
      </c>
      <c r="L34" s="89"/>
      <c r="M34" s="89"/>
      <c r="N34" s="89"/>
      <c r="O34" s="89"/>
      <c r="P34" s="89"/>
      <c r="Q34" s="90">
        <f>SUM(G34:K34)</f>
        <v>865809792.75</v>
      </c>
      <c r="R34" s="72"/>
      <c r="S34" s="91"/>
      <c r="T34" s="91"/>
      <c r="U34" s="91"/>
      <c r="V34" s="91"/>
      <c r="W34" s="72"/>
      <c r="X34" s="39"/>
    </row>
    <row r="35" spans="2:24" x14ac:dyDescent="0.35">
      <c r="B35" s="74" t="s">
        <v>80</v>
      </c>
      <c r="C35" s="74"/>
      <c r="D35" s="74"/>
      <c r="E35" s="74"/>
      <c r="F35" s="74"/>
      <c r="G35" s="92">
        <f>IF(G34&lt;0,0,G34*$E$3)</f>
        <v>0</v>
      </c>
      <c r="H35" s="92">
        <f>IF(H34&lt;0,0,H34*$E$3)</f>
        <v>5252095.5322000002</v>
      </c>
      <c r="I35" s="92">
        <f>IF(I34&lt;0,0,I34*$E$3)</f>
        <v>5263239.1710000001</v>
      </c>
      <c r="J35" s="92">
        <f>IF(J34&lt;0,0,J34*$E$3)</f>
        <v>5274382.8097999999</v>
      </c>
      <c r="K35" s="92">
        <f>IF(K34&lt;0,0,K34*$E$3)</f>
        <v>5285526.4486000007</v>
      </c>
      <c r="L35" s="92"/>
      <c r="M35" s="92"/>
      <c r="N35" s="92"/>
      <c r="O35" s="92"/>
      <c r="P35" s="92"/>
      <c r="Q35" s="93">
        <f>SUM(G35:K35)</f>
        <v>21075243.961600002</v>
      </c>
      <c r="R35" s="76"/>
      <c r="W35" s="86"/>
      <c r="X35" s="39"/>
    </row>
    <row r="36" spans="2:24" ht="16" thickBot="1" x14ac:dyDescent="0.4">
      <c r="B36" s="94" t="s">
        <v>81</v>
      </c>
      <c r="C36" s="94"/>
      <c r="D36" s="94"/>
      <c r="E36" s="94"/>
      <c r="F36" s="94"/>
      <c r="G36" s="95">
        <f>G34-G35</f>
        <v>-187952405.32999998</v>
      </c>
      <c r="H36" s="95">
        <f t="shared" ref="H36:J36" si="10">H34-H35</f>
        <v>257352681.07780001</v>
      </c>
      <c r="I36" s="95">
        <f t="shared" si="10"/>
        <v>257898719.37900001</v>
      </c>
      <c r="J36" s="95">
        <f t="shared" si="10"/>
        <v>258444757.68020001</v>
      </c>
      <c r="K36" s="95">
        <f>K34-K35</f>
        <v>258990795.98140001</v>
      </c>
      <c r="L36" s="95"/>
      <c r="M36" s="95"/>
      <c r="N36" s="95"/>
      <c r="O36" s="95"/>
      <c r="P36" s="95"/>
      <c r="Q36" s="96">
        <f>Q34-Q35</f>
        <v>844734548.78840005</v>
      </c>
      <c r="R36" s="72"/>
      <c r="W36" s="72"/>
      <c r="X36" s="39"/>
    </row>
    <row r="37" spans="2:24" ht="5.4" customHeight="1" x14ac:dyDescent="0.35">
      <c r="Q37" s="52"/>
      <c r="R37" s="39"/>
      <c r="W37" s="39"/>
      <c r="X37" s="39"/>
    </row>
    <row r="38" spans="2:24" x14ac:dyDescent="0.35">
      <c r="B38" s="74" t="s">
        <v>82</v>
      </c>
      <c r="C38" s="74"/>
      <c r="D38" s="74"/>
      <c r="E38" s="74"/>
      <c r="F38" s="97"/>
      <c r="G38" s="97">
        <f>-G11</f>
        <v>-32602238</v>
      </c>
      <c r="H38" s="97">
        <f>-I9+-I11</f>
        <v>0</v>
      </c>
      <c r="I38" s="97">
        <f>-J9+-J11</f>
        <v>0</v>
      </c>
      <c r="J38" s="97">
        <f>-K9+-K11</f>
        <v>0</v>
      </c>
      <c r="K38" s="97">
        <f>-L9+-L11</f>
        <v>0</v>
      </c>
      <c r="L38" s="97"/>
      <c r="M38" s="97"/>
      <c r="N38" s="97"/>
      <c r="O38" s="97"/>
      <c r="P38" s="97"/>
      <c r="Q38" s="98"/>
      <c r="R38" s="86"/>
      <c r="W38" s="86"/>
      <c r="X38" s="39"/>
    </row>
    <row r="39" spans="2:24" x14ac:dyDescent="0.35">
      <c r="B39" s="1" t="s">
        <v>83</v>
      </c>
      <c r="F39" s="99">
        <f>F38</f>
        <v>0</v>
      </c>
      <c r="G39" s="99">
        <f>G38+G36+G31</f>
        <v>-214034195.72999999</v>
      </c>
      <c r="H39" s="99">
        <f t="shared" ref="H39:J39" si="11">H38+H36+H31</f>
        <v>263873128.6778</v>
      </c>
      <c r="I39" s="99">
        <f t="shared" si="11"/>
        <v>264419166.979</v>
      </c>
      <c r="J39" s="99">
        <f t="shared" si="11"/>
        <v>264965205.2802</v>
      </c>
      <c r="K39" s="99">
        <f>K38+K36+K31</f>
        <v>265511243.58140001</v>
      </c>
      <c r="L39" s="99"/>
      <c r="M39" s="99"/>
      <c r="N39" s="99"/>
      <c r="O39" s="99"/>
      <c r="P39" s="99"/>
      <c r="Q39" s="100">
        <f>SUM(F39:K39)</f>
        <v>844734548.78840005</v>
      </c>
      <c r="R39" s="86"/>
      <c r="S39" s="197"/>
      <c r="T39" s="46"/>
      <c r="U39" s="197"/>
      <c r="V39" s="46"/>
      <c r="W39" s="86"/>
      <c r="X39" s="39"/>
    </row>
    <row r="40" spans="2:24" x14ac:dyDescent="0.35">
      <c r="B40" s="1" t="s">
        <v>84</v>
      </c>
      <c r="F40" s="99">
        <f>F39</f>
        <v>0</v>
      </c>
      <c r="G40" s="99">
        <f>F40+G39</f>
        <v>-214034195.72999999</v>
      </c>
      <c r="H40" s="99">
        <f t="shared" ref="H40:K40" si="12">G40+H39</f>
        <v>49838932.94780001</v>
      </c>
      <c r="I40" s="99">
        <f t="shared" si="12"/>
        <v>314258099.92680001</v>
      </c>
      <c r="J40" s="99">
        <f t="shared" si="12"/>
        <v>579223305.20700002</v>
      </c>
      <c r="K40" s="99">
        <f t="shared" si="12"/>
        <v>844734548.78840005</v>
      </c>
      <c r="L40" s="99"/>
      <c r="M40" s="99"/>
      <c r="N40" s="99"/>
      <c r="O40" s="99"/>
      <c r="P40" s="99"/>
      <c r="Q40" s="100"/>
      <c r="R40" s="86"/>
      <c r="S40" s="101"/>
      <c r="T40" s="101"/>
      <c r="U40" s="101"/>
      <c r="V40" s="101"/>
      <c r="W40" s="86"/>
      <c r="X40" s="39"/>
    </row>
    <row r="41" spans="2:24" x14ac:dyDescent="0.35">
      <c r="B41" s="1" t="s">
        <v>85</v>
      </c>
      <c r="F41" s="99"/>
      <c r="G41" s="91">
        <f>IF(AND(F40&lt;0,G40&gt;0),G46-(G40/G39),0)</f>
        <v>0</v>
      </c>
      <c r="H41" s="91">
        <f>IF(AND(G40&lt;0,H40&gt;0),H46-(H40/H39),0)</f>
        <v>1.8111253950050541</v>
      </c>
      <c r="I41" s="91">
        <f t="shared" ref="I41:K41" si="13">IF(AND(H40&lt;0,I40&gt;0),I46-(I40/I39),0)</f>
        <v>0</v>
      </c>
      <c r="J41" s="91">
        <f t="shared" si="13"/>
        <v>0</v>
      </c>
      <c r="K41" s="91">
        <f t="shared" si="13"/>
        <v>0</v>
      </c>
      <c r="L41" s="91"/>
      <c r="M41" s="91"/>
      <c r="N41" s="91"/>
      <c r="O41" s="91"/>
      <c r="P41" s="91"/>
      <c r="Q41" s="102"/>
      <c r="R41" s="91"/>
      <c r="S41" s="103"/>
      <c r="T41" s="103"/>
      <c r="U41" s="103"/>
      <c r="V41" s="103"/>
      <c r="W41" s="91"/>
    </row>
    <row r="42" spans="2:24" x14ac:dyDescent="0.35">
      <c r="B42" s="104" t="s">
        <v>33</v>
      </c>
      <c r="C42" s="105"/>
      <c r="D42" s="105"/>
      <c r="E42" s="105"/>
      <c r="F42" s="106">
        <f>IRR(G39:K39)</f>
        <v>1.1798699266349626</v>
      </c>
      <c r="S42" s="103"/>
      <c r="T42" s="103"/>
      <c r="U42" s="103"/>
      <c r="V42" s="103"/>
    </row>
    <row r="43" spans="2:24" x14ac:dyDescent="0.35">
      <c r="B43" s="107" t="s">
        <v>34</v>
      </c>
      <c r="C43" s="42"/>
      <c r="D43" s="42"/>
      <c r="E43" s="42"/>
      <c r="F43" s="108">
        <f>NPV(E4,H39:K39)+G39</f>
        <v>624798736.24483883</v>
      </c>
      <c r="H43" s="109"/>
      <c r="I43" s="110"/>
      <c r="S43" s="103"/>
      <c r="T43" s="103"/>
      <c r="U43" s="103"/>
      <c r="V43" s="103"/>
    </row>
    <row r="44" spans="2:24" x14ac:dyDescent="0.35">
      <c r="B44" s="107" t="s">
        <v>35</v>
      </c>
      <c r="C44" s="42"/>
      <c r="D44" s="42"/>
      <c r="E44" s="42"/>
      <c r="F44" s="111">
        <f>Q30</f>
        <v>0.49138446207301062</v>
      </c>
      <c r="H44" s="59"/>
      <c r="S44" s="103"/>
      <c r="T44" s="103"/>
      <c r="U44" s="103"/>
      <c r="V44" s="103"/>
    </row>
    <row r="45" spans="2:24" x14ac:dyDescent="0.35">
      <c r="B45" s="112" t="s">
        <v>86</v>
      </c>
      <c r="C45" s="113"/>
      <c r="D45" s="113"/>
      <c r="E45" s="113"/>
      <c r="F45" s="114">
        <f>SUM(F41:K41)</f>
        <v>1.8111253950050541</v>
      </c>
      <c r="S45" s="103"/>
      <c r="T45" s="103"/>
      <c r="U45" s="103"/>
      <c r="V45" s="103"/>
    </row>
    <row r="46" spans="2:24" ht="9.65" customHeight="1" x14ac:dyDescent="0.35">
      <c r="G46" s="46">
        <v>1</v>
      </c>
      <c r="H46" s="197">
        <v>2</v>
      </c>
      <c r="I46" s="46">
        <v>3</v>
      </c>
      <c r="J46" s="197">
        <v>4</v>
      </c>
      <c r="K46" s="46">
        <v>5</v>
      </c>
      <c r="L46" s="46"/>
      <c r="M46" s="46"/>
      <c r="N46" s="46"/>
      <c r="O46" s="46"/>
      <c r="P46" s="46"/>
      <c r="Q46" s="197"/>
      <c r="R46" s="46"/>
      <c r="S46" s="115"/>
      <c r="T46" s="115"/>
      <c r="U46" s="115"/>
      <c r="V46" s="115"/>
    </row>
    <row r="47" spans="2:24" x14ac:dyDescent="0.35">
      <c r="B47" s="116" t="s">
        <v>87</v>
      </c>
      <c r="E47" s="101" t="s">
        <v>88</v>
      </c>
      <c r="G47" s="101" t="str">
        <f>G13</f>
        <v>Year 1</v>
      </c>
      <c r="H47" s="101" t="str">
        <f>H13</f>
        <v>Year 2</v>
      </c>
      <c r="I47" s="101" t="str">
        <f>I13</f>
        <v>Year 3</v>
      </c>
      <c r="J47" s="101" t="str">
        <f>J13</f>
        <v>Year 4</v>
      </c>
      <c r="K47" s="101" t="str">
        <f>K13</f>
        <v>Year 5</v>
      </c>
      <c r="L47" s="101"/>
      <c r="M47" s="101"/>
      <c r="N47" s="101"/>
      <c r="O47" s="101"/>
      <c r="P47" s="101"/>
      <c r="Q47" s="101"/>
      <c r="R47" s="101"/>
      <c r="W47" s="101"/>
    </row>
    <row r="48" spans="2:24" x14ac:dyDescent="0.35">
      <c r="D48" s="1" t="s">
        <v>59</v>
      </c>
      <c r="E48" s="1">
        <v>5</v>
      </c>
      <c r="G48" s="117">
        <f>SUM(G9:G10)/$E48</f>
        <v>6520447.5999999996</v>
      </c>
      <c r="H48" s="103">
        <f>G48</f>
        <v>6520447.5999999996</v>
      </c>
      <c r="I48" s="103">
        <f t="shared" ref="I48:K49" si="14">H48</f>
        <v>6520447.5999999996</v>
      </c>
      <c r="J48" s="103">
        <f>I48</f>
        <v>6520447.5999999996</v>
      </c>
      <c r="K48" s="103">
        <f t="shared" si="14"/>
        <v>6520447.5999999996</v>
      </c>
      <c r="L48" s="103"/>
      <c r="M48" s="103"/>
      <c r="N48" s="103"/>
      <c r="O48" s="103"/>
      <c r="P48" s="103"/>
      <c r="Q48" s="103">
        <f>SUM(G48:K48)</f>
        <v>32602238</v>
      </c>
      <c r="R48" s="103"/>
      <c r="W48" s="118"/>
    </row>
    <row r="49" spans="2:23" hidden="1" x14ac:dyDescent="0.35">
      <c r="D49" s="1" t="s">
        <v>61</v>
      </c>
      <c r="E49" s="1">
        <v>4</v>
      </c>
      <c r="H49" s="117">
        <f>I$11/$E49</f>
        <v>0</v>
      </c>
      <c r="J49" s="103">
        <f>H49</f>
        <v>0</v>
      </c>
      <c r="K49" s="103">
        <f t="shared" si="14"/>
        <v>0</v>
      </c>
      <c r="L49" s="103"/>
      <c r="M49" s="103"/>
      <c r="N49" s="103"/>
      <c r="O49" s="103"/>
      <c r="P49" s="103"/>
      <c r="Q49" s="103"/>
      <c r="R49" s="103"/>
      <c r="W49" s="118"/>
    </row>
    <row r="50" spans="2:23" hidden="1" x14ac:dyDescent="0.35">
      <c r="D50" s="1" t="s">
        <v>62</v>
      </c>
      <c r="E50" s="1">
        <v>3</v>
      </c>
      <c r="I50" s="117">
        <f>J$9/$E50</f>
        <v>0</v>
      </c>
      <c r="K50" s="103">
        <f>I50</f>
        <v>0</v>
      </c>
      <c r="L50" s="103"/>
      <c r="M50" s="103"/>
      <c r="N50" s="103"/>
      <c r="O50" s="103"/>
      <c r="P50" s="103"/>
      <c r="Q50" s="103"/>
      <c r="R50" s="103"/>
      <c r="W50" s="118"/>
    </row>
    <row r="51" spans="2:23" hidden="1" x14ac:dyDescent="0.35">
      <c r="D51" s="1" t="s">
        <v>63</v>
      </c>
      <c r="E51" s="1">
        <v>2</v>
      </c>
      <c r="J51" s="117"/>
      <c r="Q51" s="103"/>
      <c r="R51" s="103"/>
      <c r="W51" s="118"/>
    </row>
    <row r="52" spans="2:23" hidden="1" x14ac:dyDescent="0.35">
      <c r="D52" s="1" t="s">
        <v>89</v>
      </c>
      <c r="E52" s="1">
        <v>1</v>
      </c>
      <c r="K52" s="117"/>
      <c r="L52" s="117"/>
      <c r="M52" s="117"/>
      <c r="N52" s="117"/>
      <c r="O52" s="117"/>
      <c r="P52" s="117"/>
      <c r="Q52" s="103"/>
      <c r="R52" s="103"/>
      <c r="W52" s="118"/>
    </row>
    <row r="53" spans="2:23" ht="16" thickBot="1" x14ac:dyDescent="0.4">
      <c r="B53" s="119" t="s">
        <v>90</v>
      </c>
      <c r="C53" s="120"/>
      <c r="D53" s="120"/>
      <c r="E53" s="120"/>
      <c r="F53" s="120"/>
      <c r="G53" s="121">
        <f>SUM(G48:G51)</f>
        <v>6520447.5999999996</v>
      </c>
      <c r="H53" s="121">
        <f>SUM(H48:H51)</f>
        <v>6520447.5999999996</v>
      </c>
      <c r="I53" s="121">
        <f>SUM(I48:I51)</f>
        <v>6520447.5999999996</v>
      </c>
      <c r="J53" s="121">
        <f>SUM(J48:J51)</f>
        <v>6520447.5999999996</v>
      </c>
      <c r="K53" s="121">
        <f>SUM(K48:K51)</f>
        <v>6520447.5999999996</v>
      </c>
      <c r="L53" s="157"/>
      <c r="M53" s="157"/>
      <c r="N53" s="157"/>
      <c r="O53" s="157"/>
      <c r="P53" s="157"/>
      <c r="Q53" s="121">
        <f>SUM(G53:K53)</f>
        <v>32602238</v>
      </c>
      <c r="R53" s="115"/>
      <c r="W53" s="115"/>
    </row>
    <row r="54" spans="2:23" ht="5.4" customHeight="1" thickTop="1" x14ac:dyDescent="0.35">
      <c r="W54" s="110"/>
    </row>
    <row r="55" spans="2:23" ht="3.65" customHeight="1" x14ac:dyDescent="0.35"/>
    <row r="56" spans="2:23" x14ac:dyDescent="0.35">
      <c r="B56" s="175"/>
    </row>
    <row r="57" spans="2:23" x14ac:dyDescent="0.35">
      <c r="B57" s="176"/>
    </row>
    <row r="58" spans="2:23" x14ac:dyDescent="0.35">
      <c r="B58" s="180"/>
    </row>
    <row r="59" spans="2:23" x14ac:dyDescent="0.35">
      <c r="B59" s="176"/>
    </row>
  </sheetData>
  <mergeCells count="1">
    <mergeCell ref="E21:F21"/>
  </mergeCells>
  <pageMargins left="0.93" right="0.25" top="0.2" bottom="0.16" header="0.3" footer="0.3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8E964-0EC8-4DEA-A796-A76AEC849135}">
  <sheetPr>
    <tabColor theme="9" tint="0.39997558519241921"/>
  </sheetPr>
  <dimension ref="A1:D30"/>
  <sheetViews>
    <sheetView zoomScaleNormal="100" workbookViewId="0">
      <selection activeCell="D14" sqref="D14"/>
    </sheetView>
  </sheetViews>
  <sheetFormatPr defaultColWidth="9.1796875" defaultRowHeight="14.5" x14ac:dyDescent="0.35"/>
  <cols>
    <col min="1" max="1" width="5.54296875" style="167" customWidth="1"/>
    <col min="2" max="2" width="31.54296875" style="167" customWidth="1"/>
    <col min="3" max="3" width="58.26953125" style="167" customWidth="1"/>
    <col min="4" max="4" width="51.453125" style="167" customWidth="1"/>
    <col min="5" max="16384" width="9.1796875" style="167"/>
  </cols>
  <sheetData>
    <row r="1" spans="1:4" ht="21" x14ac:dyDescent="0.5">
      <c r="C1" s="122" t="s">
        <v>91</v>
      </c>
    </row>
    <row r="3" spans="1:4" x14ac:dyDescent="0.35">
      <c r="A3" s="235" t="s">
        <v>179</v>
      </c>
      <c r="B3" s="235"/>
      <c r="C3" s="236" t="s">
        <v>205</v>
      </c>
    </row>
    <row r="4" spans="1:4" x14ac:dyDescent="0.35">
      <c r="A4" s="235" t="s">
        <v>180</v>
      </c>
      <c r="B4" s="235"/>
      <c r="C4" s="236" t="s">
        <v>206</v>
      </c>
    </row>
    <row r="5" spans="1:4" x14ac:dyDescent="0.35">
      <c r="A5" s="235" t="s">
        <v>181</v>
      </c>
      <c r="B5" s="235"/>
      <c r="C5" s="236" t="s">
        <v>207</v>
      </c>
    </row>
    <row r="6" spans="1:4" x14ac:dyDescent="0.35">
      <c r="A6" s="235" t="s">
        <v>182</v>
      </c>
      <c r="B6" s="235"/>
      <c r="C6" s="236" t="s">
        <v>41</v>
      </c>
    </row>
    <row r="7" spans="1:4" x14ac:dyDescent="0.35">
      <c r="A7" s="235" t="s">
        <v>183</v>
      </c>
      <c r="B7" s="235"/>
      <c r="C7" s="236" t="s">
        <v>208</v>
      </c>
    </row>
    <row r="8" spans="1:4" ht="15" thickBot="1" x14ac:dyDescent="0.4"/>
    <row r="9" spans="1:4" x14ac:dyDescent="0.35">
      <c r="A9" s="237" t="s">
        <v>92</v>
      </c>
      <c r="B9" s="238" t="s">
        <v>93</v>
      </c>
      <c r="C9" s="238" t="s">
        <v>94</v>
      </c>
      <c r="D9" s="239" t="s">
        <v>23</v>
      </c>
    </row>
    <row r="10" spans="1:4" x14ac:dyDescent="0.35">
      <c r="A10" s="240"/>
      <c r="B10" s="222"/>
      <c r="C10" s="222"/>
      <c r="D10" s="241"/>
    </row>
    <row r="11" spans="1:4" x14ac:dyDescent="0.35">
      <c r="A11" s="242">
        <v>1</v>
      </c>
      <c r="B11" s="168" t="s">
        <v>95</v>
      </c>
      <c r="C11" s="168" t="s">
        <v>9</v>
      </c>
      <c r="D11" s="243" t="s">
        <v>9</v>
      </c>
    </row>
    <row r="12" spans="1:4" x14ac:dyDescent="0.35">
      <c r="A12" s="242">
        <v>2</v>
      </c>
      <c r="B12" s="168" t="s">
        <v>96</v>
      </c>
      <c r="C12" s="244" t="s">
        <v>209</v>
      </c>
      <c r="D12" s="245" t="str">
        <f>C12</f>
        <v xml:space="preserve">64 antenna Omni, BTS dan Pole </v>
      </c>
    </row>
    <row r="13" spans="1:4" x14ac:dyDescent="0.35">
      <c r="A13" s="242">
        <v>3</v>
      </c>
      <c r="B13" s="246" t="s">
        <v>97</v>
      </c>
      <c r="C13" s="246" t="s">
        <v>210</v>
      </c>
      <c r="D13" s="247" t="s">
        <v>211</v>
      </c>
    </row>
    <row r="14" spans="1:4" x14ac:dyDescent="0.35">
      <c r="A14" s="242">
        <v>4</v>
      </c>
      <c r="B14" s="248" t="s">
        <v>212</v>
      </c>
      <c r="C14" s="249" t="s">
        <v>213</v>
      </c>
      <c r="D14" s="250" t="s">
        <v>213</v>
      </c>
    </row>
    <row r="15" spans="1:4" x14ac:dyDescent="0.35">
      <c r="A15" s="251">
        <v>6</v>
      </c>
      <c r="B15" s="169" t="s">
        <v>214</v>
      </c>
      <c r="C15" s="168" t="s">
        <v>215</v>
      </c>
      <c r="D15" s="243" t="s">
        <v>216</v>
      </c>
    </row>
    <row r="16" spans="1:4" ht="19.5" customHeight="1" x14ac:dyDescent="0.35">
      <c r="A16" s="251">
        <v>7</v>
      </c>
      <c r="B16" s="252" t="s">
        <v>217</v>
      </c>
      <c r="C16" s="263" t="s">
        <v>230</v>
      </c>
      <c r="D16" s="243" t="s">
        <v>231</v>
      </c>
    </row>
    <row r="17" spans="1:4" x14ac:dyDescent="0.35">
      <c r="A17" s="251"/>
      <c r="B17" s="254"/>
      <c r="C17" s="253" t="s">
        <v>232</v>
      </c>
      <c r="D17" s="243" t="s">
        <v>233</v>
      </c>
    </row>
    <row r="18" spans="1:4" ht="15" thickBot="1" x14ac:dyDescent="0.4">
      <c r="A18" s="255"/>
      <c r="B18" s="256" t="s">
        <v>218</v>
      </c>
      <c r="C18" s="257" t="s">
        <v>219</v>
      </c>
      <c r="D18" s="258"/>
    </row>
    <row r="20" spans="1:4" x14ac:dyDescent="0.35">
      <c r="B20" s="167" t="s">
        <v>220</v>
      </c>
    </row>
    <row r="21" spans="1:4" x14ac:dyDescent="0.35">
      <c r="B21" s="167" t="s">
        <v>221</v>
      </c>
    </row>
    <row r="22" spans="1:4" x14ac:dyDescent="0.35">
      <c r="B22" s="167" t="s">
        <v>222</v>
      </c>
    </row>
    <row r="23" spans="1:4" x14ac:dyDescent="0.35">
      <c r="B23" s="167" t="s">
        <v>223</v>
      </c>
    </row>
    <row r="25" spans="1:4" x14ac:dyDescent="0.35">
      <c r="C25" s="259"/>
    </row>
    <row r="26" spans="1:4" ht="15.5" x14ac:dyDescent="0.35">
      <c r="B26" s="170"/>
      <c r="C26" s="260"/>
    </row>
    <row r="27" spans="1:4" ht="15.5" x14ac:dyDescent="0.35">
      <c r="B27" s="170"/>
      <c r="C27" s="170"/>
    </row>
    <row r="28" spans="1:4" ht="15.5" x14ac:dyDescent="0.35">
      <c r="B28" s="170"/>
      <c r="C28" s="170"/>
    </row>
    <row r="29" spans="1:4" ht="15.5" x14ac:dyDescent="0.35">
      <c r="B29" s="170"/>
      <c r="C29" s="170"/>
    </row>
    <row r="30" spans="1:4" ht="15.5" x14ac:dyDescent="0.35">
      <c r="B30" s="170"/>
      <c r="C30" s="170"/>
    </row>
  </sheetData>
  <mergeCells count="6">
    <mergeCell ref="A9:A10"/>
    <mergeCell ref="B9:B10"/>
    <mergeCell ref="C9:C10"/>
    <mergeCell ref="D9:D10"/>
    <mergeCell ref="B16:B17"/>
    <mergeCell ref="C18:D18"/>
  </mergeCells>
  <pageMargins left="0.70866141732283472" right="0.70866141732283472" top="0.74803149606299213" bottom="0.74803149606299213" header="0.31496062992125984" footer="0.31496062992125984"/>
  <pageSetup paperSize="9" scale="84"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J74" activePane="bottomRight" state="frozen"/>
      <selection pane="topRight" activeCell="C1" sqref="C1"/>
      <selection pane="bottomLeft" activeCell="A3" sqref="A3"/>
      <selection pane="bottomRight" activeCell="Q34" sqref="Q34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816406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23" t="s">
        <v>98</v>
      </c>
    </row>
    <row r="2" spans="1:20" x14ac:dyDescent="0.35">
      <c r="A2" s="124" t="s">
        <v>99</v>
      </c>
      <c r="B2" s="125">
        <v>5</v>
      </c>
      <c r="C2" s="126">
        <v>2015</v>
      </c>
      <c r="D2" s="126">
        <f>C2+1</f>
        <v>2016</v>
      </c>
      <c r="E2" s="126">
        <f t="shared" ref="E2:M2" si="0">D2+1</f>
        <v>2017</v>
      </c>
      <c r="F2" s="126">
        <f t="shared" si="0"/>
        <v>2018</v>
      </c>
      <c r="G2" s="126">
        <f t="shared" si="0"/>
        <v>2019</v>
      </c>
      <c r="H2" s="126">
        <f t="shared" si="0"/>
        <v>2020</v>
      </c>
      <c r="I2" s="126">
        <f t="shared" si="0"/>
        <v>2021</v>
      </c>
      <c r="J2" s="126">
        <f t="shared" si="0"/>
        <v>2022</v>
      </c>
      <c r="K2" s="126">
        <f t="shared" si="0"/>
        <v>2023</v>
      </c>
      <c r="L2" s="126">
        <f t="shared" si="0"/>
        <v>2024</v>
      </c>
      <c r="M2" s="126">
        <f t="shared" si="0"/>
        <v>2025</v>
      </c>
      <c r="N2" s="126">
        <f t="shared" ref="N2" si="1">M2+1</f>
        <v>2026</v>
      </c>
      <c r="O2" s="126">
        <f t="shared" ref="O2" si="2">N2+1</f>
        <v>2027</v>
      </c>
      <c r="P2" s="126">
        <f t="shared" ref="P2" si="3">O2+1</f>
        <v>2028</v>
      </c>
      <c r="Q2" s="126">
        <f t="shared" ref="Q2:R2" si="4">P2+1</f>
        <v>2029</v>
      </c>
      <c r="R2" s="126">
        <f t="shared" si="4"/>
        <v>2030</v>
      </c>
    </row>
    <row r="3" spans="1:20" x14ac:dyDescent="0.35">
      <c r="A3" s="127">
        <v>2015</v>
      </c>
      <c r="B3" t="s">
        <v>100</v>
      </c>
      <c r="C3" s="128">
        <v>413437731</v>
      </c>
      <c r="D3" s="129">
        <f>C3-C4</f>
        <v>330750184.80000001</v>
      </c>
      <c r="E3" s="129">
        <f>D3-C4</f>
        <v>248062638.60000002</v>
      </c>
      <c r="F3" s="129">
        <f>E3-C4</f>
        <v>165375092.40000004</v>
      </c>
      <c r="G3" s="129">
        <f>F3-C4</f>
        <v>82687546.200000033</v>
      </c>
      <c r="H3" s="129">
        <f>G3-C4</f>
        <v>0</v>
      </c>
      <c r="I3" s="129">
        <f>H3-$E$4</f>
        <v>0</v>
      </c>
      <c r="J3" s="129">
        <f>I3-$E$4</f>
        <v>0</v>
      </c>
      <c r="K3" s="129"/>
      <c r="P3" s="129"/>
      <c r="Q3" s="129"/>
      <c r="S3" s="128"/>
    </row>
    <row r="4" spans="1:20" x14ac:dyDescent="0.35">
      <c r="A4" s="130"/>
      <c r="B4" t="s">
        <v>101</v>
      </c>
      <c r="C4" s="128">
        <f>C3/B2</f>
        <v>82687546.200000003</v>
      </c>
      <c r="D4" s="128"/>
      <c r="E4" s="128"/>
      <c r="S4" s="128"/>
    </row>
    <row r="5" spans="1:20" x14ac:dyDescent="0.35">
      <c r="A5" s="130"/>
      <c r="B5" t="s">
        <v>102</v>
      </c>
      <c r="C5" s="128">
        <f>(($C$3*IRR!E4*6)/12)</f>
        <v>20671886.550000001</v>
      </c>
      <c r="D5" s="129">
        <f>AVERAGE(C3:D3)*IRR!$E$4</f>
        <v>37209395.789999999</v>
      </c>
      <c r="E5" s="129">
        <f>AVERAGE(D3:E3)*IRR!$E$4</f>
        <v>28940641.170000006</v>
      </c>
      <c r="F5" s="129">
        <f>AVERAGE(E3:F3)*IRR!$E$4</f>
        <v>20671886.550000004</v>
      </c>
      <c r="G5" s="129">
        <f>AVERAGE(F3:G3)*IRR!$E$4</f>
        <v>12403131.930000005</v>
      </c>
      <c r="H5" s="129">
        <f>AVERAGE(G3:H3)*IRR!$E$4</f>
        <v>4134377.3100000019</v>
      </c>
      <c r="I5" s="129">
        <f>AVERAGE(H3:I3)*IRR!$E$4</f>
        <v>0</v>
      </c>
      <c r="J5" s="129">
        <f>AVERAGE($I$3:$J$3)*[3]IRR!$G$4</f>
        <v>0</v>
      </c>
      <c r="K5" s="129"/>
      <c r="P5" s="129"/>
      <c r="Q5" s="129"/>
      <c r="S5" s="128"/>
      <c r="T5" s="129"/>
    </row>
    <row r="6" spans="1:20" x14ac:dyDescent="0.35">
      <c r="A6" s="127">
        <f>A3+1</f>
        <v>2016</v>
      </c>
      <c r="B6" t="s">
        <v>100</v>
      </c>
      <c r="C6" s="128"/>
      <c r="D6" s="129">
        <v>649580182</v>
      </c>
      <c r="E6" s="129">
        <f>D6-D7</f>
        <v>519664145.60000002</v>
      </c>
      <c r="F6" s="129">
        <f>E6-D7</f>
        <v>389748109.20000005</v>
      </c>
      <c r="G6" s="129">
        <f>F6-D7</f>
        <v>259832072.80000004</v>
      </c>
      <c r="H6" s="129">
        <f>G6-D7</f>
        <v>129916036.40000004</v>
      </c>
      <c r="I6" s="129">
        <f>H6-D7</f>
        <v>0</v>
      </c>
      <c r="J6" s="129"/>
      <c r="K6" s="129"/>
      <c r="S6" s="128"/>
    </row>
    <row r="7" spans="1:20" x14ac:dyDescent="0.35">
      <c r="A7" s="130"/>
      <c r="B7" t="s">
        <v>101</v>
      </c>
      <c r="C7" s="128"/>
      <c r="D7" s="129">
        <f>D6/B2</f>
        <v>129916036.40000001</v>
      </c>
      <c r="E7" s="129"/>
      <c r="F7" s="129"/>
      <c r="G7" s="129"/>
      <c r="H7" s="129"/>
      <c r="I7" s="129"/>
      <c r="J7" s="129"/>
      <c r="K7" s="129"/>
    </row>
    <row r="8" spans="1:20" x14ac:dyDescent="0.35">
      <c r="A8" s="130"/>
      <c r="B8" t="s">
        <v>102</v>
      </c>
      <c r="C8" s="128"/>
      <c r="D8" s="128">
        <f>((D6*IRR!$E$4*6)/12)</f>
        <v>32479009.100000005</v>
      </c>
      <c r="E8" s="129">
        <f>AVERAGE(D6:E6)*IRR!$E$4</f>
        <v>58462216.379999995</v>
      </c>
      <c r="F8" s="129">
        <f>AVERAGE(E6:F6)*IRR!$E$4</f>
        <v>45470612.74000001</v>
      </c>
      <c r="G8" s="129">
        <f>AVERAGE(F6:G6)*IRR!$E$4</f>
        <v>32479009.100000009</v>
      </c>
      <c r="H8" s="129">
        <f>AVERAGE(G6:H6)*IRR!$E$4</f>
        <v>19487405.460000005</v>
      </c>
      <c r="I8" s="129">
        <f>AVERAGE(H6:I6)*IRR!$E$4</f>
        <v>6495801.8200000022</v>
      </c>
      <c r="J8" s="129">
        <f>AVERAGE(I6:J6)*IRR!$E$4</f>
        <v>0</v>
      </c>
      <c r="K8" s="129"/>
    </row>
    <row r="9" spans="1:20" x14ac:dyDescent="0.35">
      <c r="A9" s="127">
        <f>A6+1</f>
        <v>2017</v>
      </c>
      <c r="B9" t="s">
        <v>100</v>
      </c>
      <c r="C9" s="128"/>
      <c r="D9" s="129"/>
      <c r="E9" s="129">
        <v>12171513</v>
      </c>
      <c r="F9" s="129">
        <f>E9-E10</f>
        <v>9737210.4000000004</v>
      </c>
      <c r="G9" s="129">
        <f>F9-E10</f>
        <v>7302907.8000000007</v>
      </c>
      <c r="H9" s="129">
        <f>G9-E10</f>
        <v>4868605.2000000011</v>
      </c>
      <c r="I9" s="129">
        <f>H9-E10</f>
        <v>2434302.600000001</v>
      </c>
      <c r="J9" s="129">
        <f>I9-E10</f>
        <v>0</v>
      </c>
    </row>
    <row r="10" spans="1:20" x14ac:dyDescent="0.35">
      <c r="A10" s="130"/>
      <c r="B10" t="s">
        <v>101</v>
      </c>
      <c r="C10" s="128"/>
      <c r="D10" s="129"/>
      <c r="E10" s="129">
        <f>E9/B2</f>
        <v>2434302.6</v>
      </c>
      <c r="F10" s="129"/>
      <c r="G10" s="129"/>
      <c r="H10" s="129"/>
      <c r="I10" s="129"/>
      <c r="J10" s="129"/>
    </row>
    <row r="11" spans="1:20" x14ac:dyDescent="0.35">
      <c r="A11" s="130"/>
      <c r="B11" t="s">
        <v>102</v>
      </c>
      <c r="C11" s="128"/>
      <c r="D11" s="129"/>
      <c r="E11" s="128">
        <f>((E9*IRR!$E$4*6)/12)</f>
        <v>608575.65</v>
      </c>
      <c r="F11" s="129">
        <f>AVERAGE(E9:F9)*IRR!$E$4</f>
        <v>1095436.17</v>
      </c>
      <c r="G11" s="129">
        <f>AVERAGE(F9:G9)*IRR!$E$4</f>
        <v>852005.91000000015</v>
      </c>
      <c r="H11" s="129">
        <f>AVERAGE(G9:H9)*IRR!$E$4</f>
        <v>608575.65000000014</v>
      </c>
      <c r="I11" s="129">
        <f>AVERAGE(H9:I9)*IRR!$E$4</f>
        <v>365145.39000000013</v>
      </c>
      <c r="J11" s="129">
        <f>AVERAGE(I9:J9)*IRR!$E$4</f>
        <v>121715.13000000006</v>
      </c>
      <c r="K11" s="129">
        <f>AVERAGE(J9:K9)*IRR!$E$4</f>
        <v>0</v>
      </c>
    </row>
    <row r="12" spans="1:20" x14ac:dyDescent="0.35">
      <c r="A12" s="127">
        <f>A9+1</f>
        <v>2018</v>
      </c>
      <c r="B12" t="s">
        <v>100</v>
      </c>
      <c r="C12" s="128"/>
      <c r="D12" s="129"/>
      <c r="E12" s="129"/>
      <c r="F12" s="129">
        <v>41200000</v>
      </c>
      <c r="G12" s="129">
        <f>F12-F13</f>
        <v>32960000</v>
      </c>
      <c r="H12" s="129">
        <f>G12-F13</f>
        <v>24720000</v>
      </c>
      <c r="I12" s="129">
        <f>H12-F13</f>
        <v>16480000</v>
      </c>
      <c r="J12" s="129">
        <f>I12-F13</f>
        <v>8240000</v>
      </c>
      <c r="K12" s="129">
        <f>J12-F13</f>
        <v>0</v>
      </c>
    </row>
    <row r="13" spans="1:20" x14ac:dyDescent="0.35">
      <c r="B13" t="s">
        <v>101</v>
      </c>
      <c r="C13" s="128"/>
      <c r="D13" s="129"/>
      <c r="E13" s="129"/>
      <c r="F13" s="129">
        <f>F12/B2</f>
        <v>8240000</v>
      </c>
      <c r="G13" s="129"/>
      <c r="H13" s="129"/>
      <c r="I13" s="129"/>
      <c r="J13" s="129"/>
      <c r="K13" s="129"/>
    </row>
    <row r="14" spans="1:20" x14ac:dyDescent="0.35">
      <c r="B14" t="s">
        <v>102</v>
      </c>
      <c r="C14" s="128"/>
      <c r="D14" s="129"/>
      <c r="E14" s="128"/>
      <c r="F14" s="128">
        <f>((F12*IRR!$E$4*6)/12)</f>
        <v>2060000</v>
      </c>
      <c r="G14" s="129">
        <f>AVERAGE(F12:G12)*IRR!$E$4</f>
        <v>3708000</v>
      </c>
      <c r="H14" s="129">
        <f>AVERAGE(G12:H12)*IRR!$E$4</f>
        <v>2884000</v>
      </c>
      <c r="I14" s="129">
        <f>AVERAGE(H12:I12)*IRR!$E$4</f>
        <v>2060000</v>
      </c>
      <c r="J14" s="129">
        <f>AVERAGE(I12:J12)*IRR!$E$4</f>
        <v>1236000</v>
      </c>
      <c r="K14" s="129">
        <f>AVERAGE(J12:K12)*IRR!$E$4</f>
        <v>412000</v>
      </c>
      <c r="L14" s="129">
        <f>AVERAGE(K12:L12)*IRR!$E$4</f>
        <v>0</v>
      </c>
    </row>
    <row r="15" spans="1:20" x14ac:dyDescent="0.35">
      <c r="A15" s="127">
        <f>A12+1</f>
        <v>2019</v>
      </c>
      <c r="B15" t="s">
        <v>100</v>
      </c>
      <c r="C15" s="128"/>
      <c r="D15" s="129"/>
      <c r="E15" s="129"/>
      <c r="F15" s="129"/>
      <c r="G15" s="129"/>
      <c r="H15" s="129">
        <f>G15-G16</f>
        <v>0</v>
      </c>
      <c r="I15" s="129">
        <f>H15-G16</f>
        <v>0</v>
      </c>
      <c r="J15" s="129">
        <f>I15-G16</f>
        <v>0</v>
      </c>
      <c r="K15" s="129">
        <f>J15-G16</f>
        <v>0</v>
      </c>
      <c r="L15" s="129">
        <f>K15-G16</f>
        <v>0</v>
      </c>
    </row>
    <row r="16" spans="1:20" x14ac:dyDescent="0.35">
      <c r="B16" t="s">
        <v>101</v>
      </c>
      <c r="C16" s="128"/>
      <c r="D16" s="129"/>
      <c r="E16" s="129"/>
      <c r="F16" s="129"/>
      <c r="G16" s="129">
        <f>G15/B2</f>
        <v>0</v>
      </c>
      <c r="H16" s="129"/>
      <c r="I16" s="129"/>
      <c r="J16" s="129"/>
      <c r="K16" s="129"/>
      <c r="L16" s="129"/>
    </row>
    <row r="17" spans="1:18" x14ac:dyDescent="0.35">
      <c r="B17" t="s">
        <v>102</v>
      </c>
      <c r="C17" s="128"/>
      <c r="D17" s="129"/>
      <c r="E17" s="128"/>
      <c r="F17" s="129"/>
      <c r="G17" s="128">
        <f>((G15*IRR!$E$4*6)/12)</f>
        <v>0</v>
      </c>
      <c r="H17" s="129">
        <f>AVERAGE(G15:H15)*IRR!$E$4</f>
        <v>0</v>
      </c>
      <c r="I17" s="129">
        <f>AVERAGE(H15:I15)*IRR!$E$4</f>
        <v>0</v>
      </c>
      <c r="J17" s="129">
        <f>AVERAGE(I15:J15)*IRR!$E$4</f>
        <v>0</v>
      </c>
      <c r="K17" s="129">
        <f>AVERAGE(J15:K15)*IRR!$E$4</f>
        <v>0</v>
      </c>
      <c r="L17" s="129">
        <f>AVERAGE(K15:L15)*IRR!$E$4</f>
        <v>0</v>
      </c>
      <c r="M17" s="129">
        <f>AVERAGE(L15:M15)*IRR!$E$4</f>
        <v>0</v>
      </c>
    </row>
    <row r="18" spans="1:18" x14ac:dyDescent="0.35">
      <c r="A18" s="127">
        <f>A15+1</f>
        <v>2020</v>
      </c>
      <c r="B18" t="s">
        <v>100</v>
      </c>
      <c r="C18" s="128"/>
      <c r="D18" s="129"/>
      <c r="E18" s="129"/>
      <c r="F18" s="129"/>
      <c r="H18" s="129"/>
      <c r="I18" s="129">
        <f>H18-H19</f>
        <v>0</v>
      </c>
      <c r="J18" s="129">
        <f>I18-H19</f>
        <v>0</v>
      </c>
      <c r="K18" s="129">
        <f>J18-H19</f>
        <v>0</v>
      </c>
      <c r="L18" s="129">
        <f>K18-H19</f>
        <v>0</v>
      </c>
      <c r="M18" s="129">
        <f>L18-H19</f>
        <v>0</v>
      </c>
    </row>
    <row r="19" spans="1:18" x14ac:dyDescent="0.35">
      <c r="B19" t="s">
        <v>101</v>
      </c>
      <c r="C19" s="128"/>
      <c r="D19" s="129"/>
      <c r="E19" s="129"/>
      <c r="F19" s="129"/>
      <c r="H19" s="129">
        <f>H18/B2</f>
        <v>0</v>
      </c>
      <c r="I19" s="129"/>
      <c r="J19" s="129"/>
      <c r="K19" s="129"/>
      <c r="L19" s="129"/>
      <c r="M19" s="129"/>
    </row>
    <row r="20" spans="1:18" x14ac:dyDescent="0.35">
      <c r="B20" t="s">
        <v>102</v>
      </c>
      <c r="C20" s="128"/>
      <c r="D20" s="129"/>
      <c r="E20" s="128"/>
      <c r="F20" s="129"/>
      <c r="H20" s="128">
        <f>((H18*IRR!$E$4*6)/12)</f>
        <v>0</v>
      </c>
      <c r="I20" s="129">
        <f>AVERAGE(H18:I18)*IRR!$E$4</f>
        <v>0</v>
      </c>
      <c r="J20" s="129">
        <f>AVERAGE(I18:J18)*IRR!$E$4</f>
        <v>0</v>
      </c>
      <c r="K20" s="129">
        <f>AVERAGE(J18:K18)*IRR!$E$4</f>
        <v>0</v>
      </c>
      <c r="L20" s="129">
        <f>AVERAGE(K18:L18)*IRR!$E$4</f>
        <v>0</v>
      </c>
      <c r="M20" s="129">
        <f>AVERAGE(L18:M18)*IRR!$E$4</f>
        <v>0</v>
      </c>
      <c r="N20" s="129">
        <f>AVERAGE(M18:N18)*IRR!$E$4</f>
        <v>0</v>
      </c>
    </row>
    <row r="21" spans="1:18" x14ac:dyDescent="0.35">
      <c r="A21" s="127">
        <f>A18+1</f>
        <v>2021</v>
      </c>
      <c r="B21" t="s">
        <v>100</v>
      </c>
      <c r="C21" s="128"/>
      <c r="D21" s="129"/>
      <c r="E21" s="129"/>
      <c r="F21" s="129"/>
      <c r="I21" s="129"/>
      <c r="J21" s="129">
        <f>I21-I22</f>
        <v>0</v>
      </c>
      <c r="K21" s="129">
        <f>J21-I22</f>
        <v>0</v>
      </c>
      <c r="L21" s="129">
        <f>K21-I22</f>
        <v>0</v>
      </c>
      <c r="M21" s="129">
        <f>L21-I22</f>
        <v>0</v>
      </c>
      <c r="N21" s="129">
        <f>M21-I22</f>
        <v>0</v>
      </c>
    </row>
    <row r="22" spans="1:18" x14ac:dyDescent="0.35">
      <c r="B22" t="s">
        <v>101</v>
      </c>
      <c r="C22" s="128"/>
      <c r="D22" s="129"/>
      <c r="E22" s="129"/>
      <c r="F22" s="129"/>
      <c r="I22" s="129">
        <f>I21/B2</f>
        <v>0</v>
      </c>
      <c r="J22" s="129"/>
      <c r="K22" s="129"/>
      <c r="L22" s="129"/>
      <c r="M22" s="129"/>
      <c r="N22" s="129"/>
    </row>
    <row r="23" spans="1:18" x14ac:dyDescent="0.35">
      <c r="B23" t="s">
        <v>102</v>
      </c>
      <c r="C23" s="128"/>
      <c r="D23" s="129"/>
      <c r="E23" s="128"/>
      <c r="F23" s="129"/>
      <c r="I23" s="128">
        <f>((I21*IRR!$E$4*6)/12)</f>
        <v>0</v>
      </c>
      <c r="J23" s="129">
        <f>AVERAGE(I21:J21)*IRR!$E$4</f>
        <v>0</v>
      </c>
      <c r="K23" s="129">
        <f>AVERAGE(J21:K21)*IRR!$E$4</f>
        <v>0</v>
      </c>
      <c r="L23" s="129">
        <f>AVERAGE(K21:L21)*IRR!$E$4</f>
        <v>0</v>
      </c>
      <c r="M23" s="129">
        <f>AVERAGE(L21:M21)*IRR!$E$4</f>
        <v>0</v>
      </c>
      <c r="N23" s="129">
        <f>AVERAGE(M21:N21)*IRR!$E$4</f>
        <v>0</v>
      </c>
      <c r="O23" s="129">
        <f>AVERAGE(N21:O21)*IRR!$E$4</f>
        <v>0</v>
      </c>
    </row>
    <row r="24" spans="1:18" x14ac:dyDescent="0.35">
      <c r="A24" s="127">
        <f>A21+1</f>
        <v>2022</v>
      </c>
      <c r="B24" t="s">
        <v>100</v>
      </c>
      <c r="C24" s="128"/>
      <c r="D24" s="129"/>
      <c r="E24" s="129"/>
      <c r="F24" s="129"/>
      <c r="J24" s="129"/>
      <c r="K24" s="129">
        <f>J24-J25</f>
        <v>0</v>
      </c>
      <c r="L24" s="129">
        <f>K24-J25</f>
        <v>0</v>
      </c>
      <c r="M24" s="129">
        <f>L24-J25</f>
        <v>0</v>
      </c>
      <c r="N24" s="129">
        <f>M24-J25</f>
        <v>0</v>
      </c>
      <c r="O24" s="129">
        <f>N24-J25</f>
        <v>0</v>
      </c>
    </row>
    <row r="25" spans="1:18" x14ac:dyDescent="0.35">
      <c r="B25" t="s">
        <v>101</v>
      </c>
      <c r="C25" s="128"/>
      <c r="D25" s="129"/>
      <c r="E25" s="129"/>
      <c r="F25" s="129"/>
      <c r="J25" s="129">
        <f>J24/B2</f>
        <v>0</v>
      </c>
      <c r="K25" s="129"/>
      <c r="L25" s="129"/>
      <c r="M25" s="129"/>
      <c r="N25" s="129"/>
      <c r="O25" s="129"/>
    </row>
    <row r="26" spans="1:18" x14ac:dyDescent="0.35">
      <c r="B26" t="s">
        <v>102</v>
      </c>
      <c r="C26" s="128"/>
      <c r="D26" s="129"/>
      <c r="E26" s="128"/>
      <c r="F26" s="129"/>
      <c r="J26" s="128">
        <f>((J24*IRR!$E$4*6)/12)</f>
        <v>0</v>
      </c>
      <c r="K26" s="129">
        <f>AVERAGE(J24:K24)*IRR!$E$4</f>
        <v>0</v>
      </c>
      <c r="L26" s="129">
        <f>AVERAGE(K24:L24)*IRR!$E$4</f>
        <v>0</v>
      </c>
      <c r="M26" s="129">
        <f>AVERAGE(L24:M24)*IRR!$E$4</f>
        <v>0</v>
      </c>
      <c r="N26" s="129">
        <f>AVERAGE(M24:N24)*IRR!$E$4</f>
        <v>0</v>
      </c>
      <c r="O26" s="129">
        <f>AVERAGE(N24:O24)*IRR!$E$4</f>
        <v>0</v>
      </c>
      <c r="P26" s="129">
        <f>AVERAGE(O24:P24)*IRR!$E$4</f>
        <v>0</v>
      </c>
    </row>
    <row r="27" spans="1:18" x14ac:dyDescent="0.35">
      <c r="A27" s="127">
        <f>A24+1</f>
        <v>2023</v>
      </c>
      <c r="B27" t="s">
        <v>100</v>
      </c>
      <c r="C27" s="128"/>
      <c r="D27" s="129"/>
      <c r="E27" s="129"/>
      <c r="F27" s="129"/>
      <c r="K27" s="261">
        <v>27859097</v>
      </c>
      <c r="L27" s="129">
        <f>K27-K28</f>
        <v>22287277.600000001</v>
      </c>
      <c r="M27" s="129">
        <f>L27-$K$28</f>
        <v>16715458.200000001</v>
      </c>
      <c r="N27" s="129">
        <f t="shared" ref="N27:Q27" si="5">M27-$K$28</f>
        <v>11143638.800000001</v>
      </c>
      <c r="O27" s="129">
        <f t="shared" si="5"/>
        <v>5571819.4000000004</v>
      </c>
      <c r="P27" s="129">
        <f t="shared" si="5"/>
        <v>0</v>
      </c>
      <c r="Q27" s="129"/>
    </row>
    <row r="28" spans="1:18" x14ac:dyDescent="0.35">
      <c r="B28" t="s">
        <v>101</v>
      </c>
      <c r="C28" s="128"/>
      <c r="D28" s="129"/>
      <c r="E28" s="129"/>
      <c r="F28" s="129"/>
      <c r="K28" s="262">
        <f>K27/B2</f>
        <v>5571819.4000000004</v>
      </c>
      <c r="L28" s="129"/>
      <c r="M28" s="129"/>
      <c r="N28" s="129"/>
      <c r="O28" s="129"/>
      <c r="P28" s="129"/>
      <c r="Q28" s="129"/>
    </row>
    <row r="29" spans="1:18" x14ac:dyDescent="0.35">
      <c r="B29" t="s">
        <v>102</v>
      </c>
      <c r="C29" s="128"/>
      <c r="D29" s="129"/>
      <c r="E29" s="128"/>
      <c r="F29" s="129"/>
      <c r="K29" s="128">
        <f>((K27*IRR!$E$4*6)/12)</f>
        <v>1392954.85</v>
      </c>
      <c r="L29" s="129">
        <f>AVERAGE(K27:L27)*IRR!$E$4</f>
        <v>2507318.73</v>
      </c>
      <c r="M29" s="129">
        <f>AVERAGE(L27:M27)*IRR!$E$4</f>
        <v>1950136.7900000003</v>
      </c>
      <c r="N29" s="129">
        <f>AVERAGE(M27:N27)*IRR!$E$4</f>
        <v>1392954.85</v>
      </c>
      <c r="O29" s="129">
        <f>AVERAGE(N27:O27)*IRR!$E$4</f>
        <v>835772.91000000015</v>
      </c>
      <c r="P29" s="129">
        <f>AVERAGE(O27:P27)*IRR!$E$4</f>
        <v>278590.97000000003</v>
      </c>
      <c r="Q29" s="129">
        <f>AVERAGE(P27:Q27)*IRR!$E$4</f>
        <v>0</v>
      </c>
    </row>
    <row r="30" spans="1:18" x14ac:dyDescent="0.35">
      <c r="A30">
        <v>2024</v>
      </c>
      <c r="B30" t="s">
        <v>100</v>
      </c>
      <c r="C30" s="128"/>
      <c r="D30" s="129"/>
      <c r="E30" s="128"/>
      <c r="F30" s="129"/>
      <c r="L30" s="128"/>
      <c r="M30" s="129">
        <f>L30-$L$31</f>
        <v>0</v>
      </c>
      <c r="N30" s="129">
        <f t="shared" ref="N30:Q30" si="6">M30-$L$31</f>
        <v>0</v>
      </c>
      <c r="O30" s="129">
        <f t="shared" si="6"/>
        <v>0</v>
      </c>
      <c r="P30" s="129">
        <f t="shared" si="6"/>
        <v>0</v>
      </c>
      <c r="Q30" s="129">
        <f t="shared" si="6"/>
        <v>0</v>
      </c>
      <c r="R30" s="129">
        <f>Q30-M31</f>
        <v>0</v>
      </c>
    </row>
    <row r="31" spans="1:18" x14ac:dyDescent="0.35">
      <c r="B31" t="s">
        <v>101</v>
      </c>
      <c r="C31" s="128"/>
      <c r="D31" s="129"/>
      <c r="E31" s="128"/>
      <c r="F31" s="129"/>
      <c r="L31" s="128">
        <f>L30/B2</f>
        <v>0</v>
      </c>
      <c r="M31" s="129"/>
      <c r="N31" s="129"/>
      <c r="O31" s="129"/>
      <c r="P31" s="129"/>
      <c r="Q31" s="129"/>
    </row>
    <row r="32" spans="1:18" x14ac:dyDescent="0.35">
      <c r="B32" t="s">
        <v>102</v>
      </c>
      <c r="C32" s="128"/>
      <c r="D32" s="129"/>
      <c r="E32" s="128"/>
      <c r="F32" s="129"/>
      <c r="L32" s="128">
        <f>((L30*IRR!$E$4*6)/12)</f>
        <v>0</v>
      </c>
      <c r="M32" s="129">
        <f>AVERAGE(L30:M30)*IRR!$E$4</f>
        <v>0</v>
      </c>
      <c r="N32" s="129">
        <f>AVERAGE(M30:N30)*IRR!$E$4</f>
        <v>0</v>
      </c>
      <c r="O32" s="129">
        <f>AVERAGE(N30:O30)*IRR!$E$4</f>
        <v>0</v>
      </c>
      <c r="P32" s="129">
        <f>AVERAGE(O30:P30)*IRR!$E$4</f>
        <v>0</v>
      </c>
      <c r="Q32" s="129">
        <f>AVERAGE(P30:Q30)*IRR!$E$4</f>
        <v>0</v>
      </c>
      <c r="R32" s="129">
        <f>AVERAGE(Q30:R30)*IRR!$E$4</f>
        <v>0</v>
      </c>
    </row>
    <row r="33" spans="1:18" x14ac:dyDescent="0.35">
      <c r="C33" s="128"/>
      <c r="D33" s="129"/>
      <c r="E33" s="129"/>
      <c r="F33" s="129"/>
      <c r="G33" s="129"/>
      <c r="H33" s="129"/>
      <c r="I33" s="129"/>
      <c r="J33" s="129"/>
      <c r="K33" s="129"/>
    </row>
    <row r="34" spans="1:18" x14ac:dyDescent="0.35">
      <c r="A34" s="124"/>
      <c r="B34" s="131" t="s">
        <v>103</v>
      </c>
      <c r="C34" s="132">
        <f t="shared" ref="C34:L34" si="7">C5+C8+C11+C14+C17+C20+C23+C26+C29+C32</f>
        <v>20671886.550000001</v>
      </c>
      <c r="D34" s="132">
        <f t="shared" si="7"/>
        <v>69688404.890000001</v>
      </c>
      <c r="E34" s="132">
        <f t="shared" si="7"/>
        <v>88011433.200000003</v>
      </c>
      <c r="F34" s="132">
        <f t="shared" si="7"/>
        <v>69297935.460000008</v>
      </c>
      <c r="G34" s="132">
        <f t="shared" si="7"/>
        <v>49442146.940000013</v>
      </c>
      <c r="H34" s="132">
        <f t="shared" si="7"/>
        <v>27114358.420000006</v>
      </c>
      <c r="I34" s="132">
        <f t="shared" si="7"/>
        <v>8920947.2100000028</v>
      </c>
      <c r="J34" s="132">
        <f t="shared" si="7"/>
        <v>1357715.1300000001</v>
      </c>
      <c r="K34" s="132">
        <f t="shared" si="7"/>
        <v>1804954.85</v>
      </c>
      <c r="L34" s="132">
        <f t="shared" si="7"/>
        <v>2507318.73</v>
      </c>
      <c r="M34" s="132">
        <f t="shared" ref="M34:Q34" si="8">M5+M8+M11+M14+M17+M20+M23+M26+M29+M32</f>
        <v>1950136.7900000003</v>
      </c>
      <c r="N34" s="132">
        <f t="shared" si="8"/>
        <v>1392954.85</v>
      </c>
      <c r="O34" s="132">
        <f t="shared" si="8"/>
        <v>835772.91000000015</v>
      </c>
      <c r="P34" s="132">
        <f t="shared" si="8"/>
        <v>278590.97000000003</v>
      </c>
      <c r="Q34" s="132">
        <f t="shared" si="8"/>
        <v>0</v>
      </c>
      <c r="R34" s="132">
        <f>R5+R8+R11+R14+R17+R20+R23+R26+R29+R32</f>
        <v>0</v>
      </c>
    </row>
    <row r="35" spans="1:18" x14ac:dyDescent="0.35">
      <c r="B35" s="128"/>
      <c r="C35" s="129"/>
      <c r="D35" s="129"/>
      <c r="E35" s="129"/>
      <c r="F35" s="129"/>
      <c r="G35" s="129"/>
      <c r="H35" s="129"/>
      <c r="I35" s="129"/>
      <c r="J35" s="129"/>
      <c r="K35" s="129"/>
    </row>
    <row r="36" spans="1:18" x14ac:dyDescent="0.35">
      <c r="A36" s="133"/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</row>
    <row r="37" spans="1:18" x14ac:dyDescent="0.35">
      <c r="A37" s="123" t="s">
        <v>104</v>
      </c>
    </row>
    <row r="38" spans="1:18" x14ac:dyDescent="0.35">
      <c r="A38" t="s">
        <v>105</v>
      </c>
      <c r="B38" t="s">
        <v>106</v>
      </c>
      <c r="C38" s="134">
        <v>50000000</v>
      </c>
    </row>
    <row r="39" spans="1:18" x14ac:dyDescent="0.35">
      <c r="A39" t="s">
        <v>107</v>
      </c>
      <c r="B39" t="s">
        <v>106</v>
      </c>
      <c r="C39" s="134">
        <v>20000000</v>
      </c>
    </row>
    <row r="40" spans="1:18" x14ac:dyDescent="0.35">
      <c r="A40" t="s">
        <v>108</v>
      </c>
      <c r="B40" s="135" t="s">
        <v>109</v>
      </c>
      <c r="C40" s="134"/>
    </row>
    <row r="41" spans="1:18" x14ac:dyDescent="0.35">
      <c r="A41" t="s">
        <v>110</v>
      </c>
      <c r="B41" s="135" t="s">
        <v>109</v>
      </c>
      <c r="C41" s="134"/>
    </row>
    <row r="43" spans="1:18" x14ac:dyDescent="0.35">
      <c r="A43" s="136" t="s">
        <v>49</v>
      </c>
      <c r="B43" s="132">
        <f>C38</f>
        <v>50000000</v>
      </c>
      <c r="C43" s="137">
        <f>B43+C44</f>
        <v>51000000</v>
      </c>
      <c r="D43" s="137">
        <f>C43+D45</f>
        <v>52020000</v>
      </c>
      <c r="E43" s="137">
        <f t="shared" ref="E43:K43" si="9">D43+E45</f>
        <v>53060400</v>
      </c>
      <c r="F43" s="137">
        <f t="shared" si="9"/>
        <v>54121608</v>
      </c>
      <c r="G43" s="137">
        <f t="shared" si="9"/>
        <v>55204040.159999996</v>
      </c>
      <c r="H43" s="137">
        <f t="shared" si="9"/>
        <v>56308120.963199995</v>
      </c>
      <c r="I43" s="137">
        <f t="shared" si="9"/>
        <v>57434283.382463992</v>
      </c>
      <c r="J43" s="137">
        <f t="shared" si="9"/>
        <v>58582969.050113268</v>
      </c>
      <c r="K43" s="137">
        <f t="shared" si="9"/>
        <v>59754628.43111553</v>
      </c>
    </row>
    <row r="44" spans="1:18" x14ac:dyDescent="0.35">
      <c r="A44" s="138">
        <v>0.02</v>
      </c>
      <c r="B44" s="136"/>
      <c r="C44" s="137">
        <f>C45</f>
        <v>1000000</v>
      </c>
      <c r="D44" s="137">
        <f>C44+D45</f>
        <v>2020000</v>
      </c>
      <c r="E44" s="137">
        <f t="shared" ref="E44:K44" si="10">D44+E45</f>
        <v>3060400</v>
      </c>
      <c r="F44" s="137">
        <f t="shared" si="10"/>
        <v>4121608</v>
      </c>
      <c r="G44" s="137">
        <f t="shared" si="10"/>
        <v>5204040.16</v>
      </c>
      <c r="H44" s="137">
        <f t="shared" si="10"/>
        <v>6308120.9632000001</v>
      </c>
      <c r="I44" s="137">
        <f t="shared" si="10"/>
        <v>7434283.382464</v>
      </c>
      <c r="J44" s="137">
        <f t="shared" si="10"/>
        <v>8582969.0501132794</v>
      </c>
      <c r="K44" s="137">
        <f t="shared" si="10"/>
        <v>9754628.4311155453</v>
      </c>
    </row>
    <row r="45" spans="1:18" x14ac:dyDescent="0.35">
      <c r="A45" s="136"/>
      <c r="B45" s="136"/>
      <c r="C45" s="137">
        <f t="shared" ref="C45:K45" si="11">B43*$A$44</f>
        <v>1000000</v>
      </c>
      <c r="D45" s="137">
        <f t="shared" si="11"/>
        <v>1020000</v>
      </c>
      <c r="E45" s="137">
        <f t="shared" si="11"/>
        <v>1040400</v>
      </c>
      <c r="F45" s="137">
        <f t="shared" si="11"/>
        <v>1061208</v>
      </c>
      <c r="G45" s="137">
        <f t="shared" si="11"/>
        <v>1082432.1599999999</v>
      </c>
      <c r="H45" s="137">
        <f t="shared" si="11"/>
        <v>1104080.8032</v>
      </c>
      <c r="I45" s="137">
        <f t="shared" si="11"/>
        <v>1126162.4192639999</v>
      </c>
      <c r="J45" s="137">
        <f t="shared" si="11"/>
        <v>1148685.6676492798</v>
      </c>
      <c r="K45" s="137">
        <f t="shared" si="11"/>
        <v>1171659.3810022655</v>
      </c>
    </row>
    <row r="46" spans="1:18" x14ac:dyDescent="0.35">
      <c r="C46" s="129"/>
      <c r="D46" s="129"/>
      <c r="E46" s="129"/>
      <c r="F46" s="129"/>
      <c r="G46" s="129"/>
      <c r="H46" s="129"/>
      <c r="I46" s="129"/>
      <c r="J46" s="129"/>
      <c r="K46" s="129"/>
    </row>
    <row r="47" spans="1:18" x14ac:dyDescent="0.35">
      <c r="A47" s="133"/>
      <c r="B47" s="133"/>
      <c r="C47" s="139"/>
      <c r="D47" s="139"/>
      <c r="E47" s="139"/>
      <c r="F47" s="139"/>
      <c r="G47" s="139"/>
      <c r="H47" s="139"/>
      <c r="I47" s="139"/>
      <c r="J47" s="139"/>
      <c r="K47" s="139"/>
      <c r="L47" s="133"/>
      <c r="M47" s="133"/>
      <c r="N47" s="133"/>
      <c r="O47" s="133"/>
    </row>
    <row r="48" spans="1:18" x14ac:dyDescent="0.35">
      <c r="A48" s="123" t="s">
        <v>111</v>
      </c>
      <c r="C48" s="129"/>
      <c r="D48" s="129"/>
      <c r="E48" s="129"/>
      <c r="F48" s="129"/>
      <c r="G48" s="129"/>
      <c r="H48" s="129"/>
      <c r="I48" s="129"/>
      <c r="J48" s="129"/>
      <c r="K48" s="129"/>
    </row>
    <row r="49" spans="1:11" x14ac:dyDescent="0.35">
      <c r="A49" t="s">
        <v>112</v>
      </c>
      <c r="C49" s="129"/>
      <c r="D49" s="129"/>
      <c r="E49" s="129"/>
      <c r="F49" s="129"/>
      <c r="G49" s="129"/>
      <c r="H49" s="129"/>
      <c r="I49" s="129"/>
      <c r="J49" s="129"/>
      <c r="K49" s="129"/>
    </row>
    <row r="50" spans="1:11" x14ac:dyDescent="0.35">
      <c r="A50" t="s">
        <v>113</v>
      </c>
      <c r="C50" s="129"/>
      <c r="D50" s="129"/>
      <c r="E50" s="129"/>
      <c r="F50" s="129"/>
      <c r="G50" s="129"/>
      <c r="H50" s="129"/>
      <c r="I50" s="129"/>
      <c r="J50" s="129"/>
      <c r="K50" s="129"/>
    </row>
    <row r="51" spans="1:11" x14ac:dyDescent="0.35">
      <c r="A51" t="s">
        <v>114</v>
      </c>
      <c r="C51" s="129"/>
      <c r="D51" s="129"/>
      <c r="E51" s="129"/>
      <c r="F51" s="129"/>
      <c r="G51" s="129"/>
      <c r="H51" s="129"/>
      <c r="I51" s="129"/>
      <c r="J51" s="129"/>
      <c r="K51" s="129"/>
    </row>
    <row r="52" spans="1:11" x14ac:dyDescent="0.35">
      <c r="A52" t="s">
        <v>115</v>
      </c>
      <c r="C52" s="129"/>
      <c r="D52" s="129"/>
      <c r="E52" s="129"/>
      <c r="F52" s="129"/>
      <c r="G52" s="129"/>
      <c r="H52" s="129"/>
      <c r="I52" s="129"/>
      <c r="J52" s="129"/>
      <c r="K52" s="129"/>
    </row>
    <row r="53" spans="1:11" x14ac:dyDescent="0.35">
      <c r="A53" s="140" t="s">
        <v>116</v>
      </c>
      <c r="B53" s="141"/>
      <c r="C53" s="142"/>
      <c r="D53" s="129"/>
      <c r="E53" s="129"/>
      <c r="F53" s="129"/>
      <c r="G53" s="129"/>
      <c r="H53" s="129"/>
      <c r="I53" s="129"/>
      <c r="J53" s="129"/>
      <c r="K53" s="129"/>
    </row>
    <row r="54" spans="1:11" x14ac:dyDescent="0.35">
      <c r="C54" s="129"/>
      <c r="D54" s="129"/>
      <c r="E54" s="129"/>
      <c r="F54" s="129"/>
      <c r="G54" s="129"/>
      <c r="H54" s="129"/>
      <c r="I54" s="129"/>
      <c r="J54" s="129"/>
      <c r="K54" s="129"/>
    </row>
    <row r="55" spans="1:11" x14ac:dyDescent="0.35">
      <c r="A55" s="143" t="s">
        <v>117</v>
      </c>
      <c r="B55" s="126" t="s">
        <v>118</v>
      </c>
      <c r="D55" s="143" t="s">
        <v>119</v>
      </c>
      <c r="E55" s="126" t="s">
        <v>120</v>
      </c>
      <c r="G55" s="228" t="s">
        <v>115</v>
      </c>
      <c r="H55" s="229"/>
      <c r="J55" s="126" t="s">
        <v>121</v>
      </c>
      <c r="K55" s="126" t="s">
        <v>122</v>
      </c>
    </row>
    <row r="56" spans="1:11" x14ac:dyDescent="0.35">
      <c r="A56" t="s">
        <v>123</v>
      </c>
      <c r="B56" s="128">
        <v>16800000</v>
      </c>
      <c r="D56" t="s">
        <v>124</v>
      </c>
      <c r="E56" s="128">
        <v>7000000</v>
      </c>
      <c r="G56" t="s">
        <v>125</v>
      </c>
      <c r="H56" s="128">
        <v>10000000</v>
      </c>
      <c r="J56" t="s">
        <v>123</v>
      </c>
      <c r="K56" s="128">
        <v>4000000</v>
      </c>
    </row>
    <row r="57" spans="1:11" x14ac:dyDescent="0.35">
      <c r="A57" t="s">
        <v>126</v>
      </c>
      <c r="B57" s="128"/>
      <c r="G57" t="s">
        <v>127</v>
      </c>
      <c r="H57" s="128">
        <v>12000000</v>
      </c>
      <c r="J57" t="s">
        <v>126</v>
      </c>
      <c r="K57" s="128">
        <v>3000000</v>
      </c>
    </row>
    <row r="58" spans="1:11" x14ac:dyDescent="0.35">
      <c r="A58" t="s">
        <v>128</v>
      </c>
      <c r="B58" s="128">
        <v>15600000</v>
      </c>
      <c r="G58" t="s">
        <v>129</v>
      </c>
      <c r="H58" s="128">
        <v>14000000</v>
      </c>
      <c r="J58" t="s">
        <v>128</v>
      </c>
      <c r="K58" s="128">
        <v>2500000</v>
      </c>
    </row>
    <row r="59" spans="1:11" x14ac:dyDescent="0.35">
      <c r="A59" t="s">
        <v>130</v>
      </c>
      <c r="B59" s="128">
        <v>15000000</v>
      </c>
      <c r="G59" t="s">
        <v>131</v>
      </c>
      <c r="H59" s="128">
        <v>14000000</v>
      </c>
      <c r="J59" t="s">
        <v>130</v>
      </c>
      <c r="K59" s="128">
        <v>2000000</v>
      </c>
    </row>
    <row r="60" spans="1:11" x14ac:dyDescent="0.35">
      <c r="A60" t="s">
        <v>132</v>
      </c>
      <c r="B60" s="128">
        <v>15000000</v>
      </c>
      <c r="G60" t="s">
        <v>123</v>
      </c>
      <c r="H60" s="128">
        <v>17000000</v>
      </c>
      <c r="J60" t="s">
        <v>132</v>
      </c>
      <c r="K60" s="128">
        <v>1850000</v>
      </c>
    </row>
    <row r="61" spans="1:11" x14ac:dyDescent="0.35">
      <c r="A61" t="s">
        <v>133</v>
      </c>
      <c r="B61" s="128">
        <v>12000000</v>
      </c>
      <c r="G61" t="s">
        <v>134</v>
      </c>
      <c r="H61" s="128">
        <v>14000000</v>
      </c>
      <c r="J61" t="s">
        <v>133</v>
      </c>
      <c r="K61" s="128">
        <v>1200000</v>
      </c>
    </row>
    <row r="62" spans="1:11" x14ac:dyDescent="0.35">
      <c r="A62" t="s">
        <v>134</v>
      </c>
      <c r="B62" s="128">
        <v>16800000</v>
      </c>
      <c r="J62" t="s">
        <v>134</v>
      </c>
      <c r="K62" s="128">
        <v>2000000</v>
      </c>
    </row>
    <row r="63" spans="1:11" x14ac:dyDescent="0.35">
      <c r="A63" t="s">
        <v>135</v>
      </c>
      <c r="B63" s="128">
        <v>15720000</v>
      </c>
      <c r="J63" t="s">
        <v>135</v>
      </c>
      <c r="K63" s="128">
        <v>3500000</v>
      </c>
    </row>
    <row r="64" spans="1:11" x14ac:dyDescent="0.35">
      <c r="A64" t="s">
        <v>136</v>
      </c>
      <c r="J64" t="s">
        <v>136</v>
      </c>
      <c r="K64" s="128">
        <v>2800000</v>
      </c>
    </row>
    <row r="65" spans="1:15" x14ac:dyDescent="0.35">
      <c r="A65" t="s">
        <v>137</v>
      </c>
      <c r="B65">
        <v>0</v>
      </c>
    </row>
    <row r="67" spans="1:15" x14ac:dyDescent="0.35">
      <c r="C67" s="129"/>
      <c r="D67" s="129"/>
      <c r="E67" s="129"/>
      <c r="F67" s="129"/>
      <c r="G67" s="129"/>
      <c r="H67" s="129"/>
      <c r="I67" s="129"/>
      <c r="J67" s="129"/>
      <c r="K67" s="129"/>
    </row>
    <row r="68" spans="1:15" ht="14.4" customHeight="1" x14ac:dyDescent="0.35">
      <c r="A68" s="230" t="s">
        <v>114</v>
      </c>
      <c r="B68" s="232" t="s">
        <v>93</v>
      </c>
      <c r="C68" s="232" t="s">
        <v>138</v>
      </c>
      <c r="D68" s="233" t="s">
        <v>139</v>
      </c>
      <c r="E68" s="144" t="s">
        <v>140</v>
      </c>
      <c r="F68" s="144" t="s">
        <v>141</v>
      </c>
      <c r="G68" s="144" t="s">
        <v>142</v>
      </c>
      <c r="H68" s="145" t="s">
        <v>143</v>
      </c>
      <c r="I68" s="223" t="s">
        <v>144</v>
      </c>
      <c r="J68" s="223" t="s">
        <v>145</v>
      </c>
    </row>
    <row r="69" spans="1:15" x14ac:dyDescent="0.35">
      <c r="A69" s="231"/>
      <c r="B69" s="232"/>
      <c r="C69" s="232"/>
      <c r="D69" s="233"/>
      <c r="E69" s="146">
        <v>1</v>
      </c>
      <c r="F69" s="147">
        <v>1</v>
      </c>
      <c r="G69" s="147">
        <v>1</v>
      </c>
      <c r="H69" s="148">
        <f>Summary!H9</f>
        <v>87</v>
      </c>
      <c r="I69" s="224"/>
      <c r="J69" s="224"/>
    </row>
    <row r="70" spans="1:15" x14ac:dyDescent="0.35">
      <c r="A70" s="225" t="s">
        <v>146</v>
      </c>
      <c r="B70" s="136" t="s">
        <v>121</v>
      </c>
      <c r="C70" s="149">
        <f>K63</f>
        <v>3500000</v>
      </c>
      <c r="D70" s="136" t="s">
        <v>140</v>
      </c>
      <c r="E70" s="126">
        <f>E69</f>
        <v>1</v>
      </c>
      <c r="F70" s="126"/>
      <c r="G70" s="126"/>
      <c r="H70" s="150"/>
      <c r="I70" s="151">
        <f>E70*C70</f>
        <v>3500000</v>
      </c>
    </row>
    <row r="71" spans="1:15" x14ac:dyDescent="0.35">
      <c r="A71" s="226"/>
      <c r="B71" s="136" t="s">
        <v>147</v>
      </c>
      <c r="C71" s="152">
        <v>600000</v>
      </c>
      <c r="D71" s="136" t="s">
        <v>140</v>
      </c>
      <c r="E71" s="126">
        <f>E69</f>
        <v>1</v>
      </c>
      <c r="F71" s="126"/>
      <c r="G71" s="126"/>
      <c r="H71" s="150"/>
      <c r="I71" s="152">
        <f>C71*E71</f>
        <v>600000</v>
      </c>
    </row>
    <row r="72" spans="1:15" x14ac:dyDescent="0.35">
      <c r="A72" s="227"/>
      <c r="B72" s="136" t="s">
        <v>146</v>
      </c>
      <c r="C72" s="152">
        <v>200000</v>
      </c>
      <c r="D72" s="136" t="s">
        <v>148</v>
      </c>
      <c r="E72" s="126"/>
      <c r="F72" s="126">
        <f>F69</f>
        <v>1</v>
      </c>
      <c r="G72" s="126"/>
      <c r="H72" s="150"/>
      <c r="I72" s="152">
        <f>F72*C72</f>
        <v>200000</v>
      </c>
    </row>
    <row r="73" spans="1:15" x14ac:dyDescent="0.35">
      <c r="A73" s="136" t="s">
        <v>149</v>
      </c>
      <c r="B73" s="136" t="s">
        <v>149</v>
      </c>
      <c r="C73" s="152">
        <v>450000</v>
      </c>
      <c r="D73" s="136" t="s">
        <v>142</v>
      </c>
      <c r="E73" s="126">
        <f>E69</f>
        <v>1</v>
      </c>
      <c r="F73" s="126"/>
      <c r="G73" s="126">
        <f>G69</f>
        <v>1</v>
      </c>
      <c r="H73" s="150">
        <f>IF($H$69&lt;=120,2,IF($H$69&gt;220,4,3))</f>
        <v>2</v>
      </c>
      <c r="I73" s="152">
        <f>G73*C73*H73</f>
        <v>900000</v>
      </c>
    </row>
    <row r="74" spans="1:15" x14ac:dyDescent="0.35">
      <c r="A74" s="136" t="s">
        <v>150</v>
      </c>
      <c r="B74" s="136" t="s">
        <v>150</v>
      </c>
      <c r="C74" s="152">
        <v>120000</v>
      </c>
      <c r="D74" s="136" t="s">
        <v>140</v>
      </c>
      <c r="E74" s="126">
        <f>E69</f>
        <v>1</v>
      </c>
      <c r="F74" s="126"/>
      <c r="G74" s="126"/>
      <c r="H74" s="150">
        <f>IF($H$69&lt;=120,2,IF($H$69&gt;220,4,3))</f>
        <v>2</v>
      </c>
      <c r="I74" s="152">
        <f>H74*C74*E74</f>
        <v>240000</v>
      </c>
    </row>
    <row r="75" spans="1:15" x14ac:dyDescent="0.35">
      <c r="I75" s="153">
        <f>SUM(I70:I74)</f>
        <v>5440000</v>
      </c>
      <c r="J75" s="154">
        <f>I75*2</f>
        <v>10880000</v>
      </c>
      <c r="K75" t="s">
        <v>151</v>
      </c>
    </row>
    <row r="76" spans="1:15" x14ac:dyDescent="0.35">
      <c r="J76" s="153">
        <f>I75*4</f>
        <v>21760000</v>
      </c>
      <c r="K76" t="s">
        <v>152</v>
      </c>
      <c r="L76" s="164">
        <f>J76+B63+E56</f>
        <v>44480000</v>
      </c>
    </row>
    <row r="77" spans="1:15" x14ac:dyDescent="0.35">
      <c r="K77" s="129"/>
      <c r="L77" s="164">
        <f>J75+B63+E56*1</f>
        <v>33600000</v>
      </c>
    </row>
    <row r="79" spans="1:15" x14ac:dyDescent="0.35">
      <c r="A79" s="133"/>
      <c r="B79" s="133"/>
      <c r="C79" s="139"/>
      <c r="D79" s="139"/>
      <c r="E79" s="139"/>
      <c r="F79" s="139"/>
      <c r="G79" s="139"/>
      <c r="H79" s="139"/>
      <c r="I79" s="139"/>
      <c r="J79" s="139"/>
      <c r="K79" s="139"/>
      <c r="L79" s="133"/>
      <c r="M79" s="133"/>
      <c r="N79" s="133"/>
      <c r="O79" s="133"/>
    </row>
    <row r="80" spans="1:15" x14ac:dyDescent="0.35">
      <c r="A80" s="123" t="s">
        <v>153</v>
      </c>
    </row>
    <row r="82" spans="1:15" x14ac:dyDescent="0.35">
      <c r="A82" s="136" t="s">
        <v>153</v>
      </c>
      <c r="B82" s="129"/>
    </row>
    <row r="83" spans="1:15" x14ac:dyDescent="0.35">
      <c r="A83" t="s">
        <v>154</v>
      </c>
    </row>
    <row r="84" spans="1:15" x14ac:dyDescent="0.35">
      <c r="A84" t="s">
        <v>155</v>
      </c>
      <c r="B84" s="128">
        <v>36000000</v>
      </c>
    </row>
    <row r="85" spans="1:15" x14ac:dyDescent="0.35">
      <c r="A85" t="s">
        <v>156</v>
      </c>
      <c r="B85" s="128">
        <v>42000000</v>
      </c>
    </row>
    <row r="86" spans="1:15" x14ac:dyDescent="0.35">
      <c r="A86" t="s">
        <v>157</v>
      </c>
      <c r="B86" s="128">
        <v>48000000</v>
      </c>
    </row>
    <row r="88" spans="1:15" x14ac:dyDescent="0.35">
      <c r="A88" t="s">
        <v>158</v>
      </c>
    </row>
    <row r="89" spans="1:15" x14ac:dyDescent="0.35">
      <c r="A89" t="s">
        <v>159</v>
      </c>
      <c r="B89" s="128">
        <v>75000000</v>
      </c>
    </row>
    <row r="90" spans="1:15" x14ac:dyDescent="0.35">
      <c r="A90" t="s">
        <v>157</v>
      </c>
      <c r="B90" s="128">
        <v>95000000</v>
      </c>
    </row>
    <row r="92" spans="1:15" x14ac:dyDescent="0.35">
      <c r="A92" s="133"/>
      <c r="B92" s="133"/>
      <c r="C92" s="139"/>
      <c r="D92" s="139"/>
      <c r="E92" s="139"/>
      <c r="F92" s="139"/>
      <c r="G92" s="139"/>
      <c r="H92" s="139"/>
      <c r="I92" s="139"/>
      <c r="J92" s="139"/>
      <c r="K92" s="139"/>
      <c r="L92" s="133"/>
      <c r="M92" s="133"/>
      <c r="N92" s="133"/>
      <c r="O92" s="133"/>
    </row>
    <row r="93" spans="1:15" x14ac:dyDescent="0.35">
      <c r="A93" s="123" t="s">
        <v>160</v>
      </c>
    </row>
    <row r="95" spans="1:15" x14ac:dyDescent="0.35">
      <c r="A95" t="s">
        <v>161</v>
      </c>
      <c r="C95" s="155">
        <v>150000000</v>
      </c>
    </row>
    <row r="96" spans="1:15" x14ac:dyDescent="0.35">
      <c r="A96" t="s">
        <v>162</v>
      </c>
      <c r="C96" s="155">
        <v>200000000</v>
      </c>
    </row>
    <row r="97" spans="1:15" x14ac:dyDescent="0.35">
      <c r="A97" t="s">
        <v>163</v>
      </c>
      <c r="C97" s="155">
        <v>85000000</v>
      </c>
    </row>
    <row r="98" spans="1:15" x14ac:dyDescent="0.35">
      <c r="A98" t="s">
        <v>164</v>
      </c>
      <c r="C98" s="155">
        <v>150000000</v>
      </c>
    </row>
    <row r="99" spans="1:15" x14ac:dyDescent="0.35">
      <c r="A99" t="s">
        <v>165</v>
      </c>
      <c r="C99" s="155">
        <v>50000000</v>
      </c>
    </row>
    <row r="101" spans="1:15" x14ac:dyDescent="0.35">
      <c r="A101" s="133"/>
      <c r="B101" s="133"/>
      <c r="C101" s="139"/>
      <c r="D101" s="139"/>
      <c r="E101" s="139"/>
      <c r="F101" s="139"/>
      <c r="G101" s="139"/>
      <c r="H101" s="139"/>
      <c r="I101" s="139"/>
      <c r="J101" s="139"/>
      <c r="K101" s="139"/>
      <c r="L101" s="133"/>
      <c r="M101" s="133"/>
      <c r="N101" s="133"/>
      <c r="O101" s="133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P5:Q5 S5 C34:R34 C5:K8 C9:J11">
    <cfRule type="cellIs" dxfId="30" priority="31" operator="lessThan">
      <formula>0</formula>
    </cfRule>
  </conditionalFormatting>
  <conditionalFormatting sqref="T5">
    <cfRule type="cellIs" dxfId="29" priority="30" operator="lessThan">
      <formula>0</formula>
    </cfRule>
  </conditionalFormatting>
  <conditionalFormatting sqref="C12:E14">
    <cfRule type="cellIs" dxfId="28" priority="29" operator="lessThan">
      <formula>0</formula>
    </cfRule>
  </conditionalFormatting>
  <conditionalFormatting sqref="F12:K13">
    <cfRule type="cellIs" dxfId="27" priority="28" operator="lessThan">
      <formula>0</formula>
    </cfRule>
  </conditionalFormatting>
  <conditionalFormatting sqref="C15:F17">
    <cfRule type="cellIs" dxfId="26" priority="27" operator="lessThan">
      <formula>0</formula>
    </cfRule>
  </conditionalFormatting>
  <conditionalFormatting sqref="G15:L16">
    <cfRule type="cellIs" dxfId="25" priority="26" operator="lessThan">
      <formula>0</formula>
    </cfRule>
  </conditionalFormatting>
  <conditionalFormatting sqref="C18:F20">
    <cfRule type="cellIs" dxfId="24" priority="25" operator="lessThan">
      <formula>0</formula>
    </cfRule>
  </conditionalFormatting>
  <conditionalFormatting sqref="H18:M19">
    <cfRule type="cellIs" dxfId="23" priority="24" operator="lessThan">
      <formula>0</formula>
    </cfRule>
  </conditionalFormatting>
  <conditionalFormatting sqref="C21:F23">
    <cfRule type="cellIs" dxfId="22" priority="23" operator="lessThan">
      <formula>0</formula>
    </cfRule>
  </conditionalFormatting>
  <conditionalFormatting sqref="I21:N22">
    <cfRule type="cellIs" dxfId="21" priority="22" operator="lessThan">
      <formula>0</formula>
    </cfRule>
  </conditionalFormatting>
  <conditionalFormatting sqref="C24:F26">
    <cfRule type="cellIs" dxfId="20" priority="21" operator="lessThan">
      <formula>0</formula>
    </cfRule>
  </conditionalFormatting>
  <conditionalFormatting sqref="J24:O25">
    <cfRule type="cellIs" dxfId="19" priority="20" operator="lessThan">
      <formula>0</formula>
    </cfRule>
  </conditionalFormatting>
  <conditionalFormatting sqref="C27:F32">
    <cfRule type="cellIs" dxfId="18" priority="19" operator="lessThan">
      <formula>0</formula>
    </cfRule>
  </conditionalFormatting>
  <conditionalFormatting sqref="R30 L27:Q28 L30:Q31">
    <cfRule type="cellIs" dxfId="17" priority="18" operator="lessThan">
      <formula>0</formula>
    </cfRule>
  </conditionalFormatting>
  <conditionalFormatting sqref="K11">
    <cfRule type="cellIs" dxfId="16" priority="17" operator="lessThan">
      <formula>0</formula>
    </cfRule>
  </conditionalFormatting>
  <conditionalFormatting sqref="F14:G14">
    <cfRule type="cellIs" dxfId="15" priority="16" operator="lessThan">
      <formula>0</formula>
    </cfRule>
  </conditionalFormatting>
  <conditionalFormatting sqref="H14:L14">
    <cfRule type="cellIs" dxfId="14" priority="15" operator="lessThan">
      <formula>0</formula>
    </cfRule>
  </conditionalFormatting>
  <conditionalFormatting sqref="G17:H17">
    <cfRule type="cellIs" dxfId="13" priority="14" operator="lessThan">
      <formula>0</formula>
    </cfRule>
  </conditionalFormatting>
  <conditionalFormatting sqref="I17:M17">
    <cfRule type="cellIs" dxfId="12" priority="13" operator="lessThan">
      <formula>0</formula>
    </cfRule>
  </conditionalFormatting>
  <conditionalFormatting sqref="H20:I20">
    <cfRule type="cellIs" dxfId="11" priority="12" operator="lessThan">
      <formula>0</formula>
    </cfRule>
  </conditionalFormatting>
  <conditionalFormatting sqref="J20:N20">
    <cfRule type="cellIs" dxfId="10" priority="11" operator="lessThan">
      <formula>0</formula>
    </cfRule>
  </conditionalFormatting>
  <conditionalFormatting sqref="I23:J23">
    <cfRule type="cellIs" dxfId="9" priority="10" operator="lessThan">
      <formula>0</formula>
    </cfRule>
  </conditionalFormatting>
  <conditionalFormatting sqref="K23:O23">
    <cfRule type="cellIs" dxfId="8" priority="9" operator="lessThan">
      <formula>0</formula>
    </cfRule>
  </conditionalFormatting>
  <conditionalFormatting sqref="J26:K26">
    <cfRule type="cellIs" dxfId="7" priority="8" operator="lessThan">
      <formula>0</formula>
    </cfRule>
  </conditionalFormatting>
  <conditionalFormatting sqref="L26:P26">
    <cfRule type="cellIs" dxfId="6" priority="7" operator="lessThan">
      <formula>0</formula>
    </cfRule>
  </conditionalFormatting>
  <conditionalFormatting sqref="K29:L29">
    <cfRule type="cellIs" dxfId="5" priority="6" operator="lessThan">
      <formula>0</formula>
    </cfRule>
  </conditionalFormatting>
  <conditionalFormatting sqref="M29:Q29">
    <cfRule type="cellIs" dxfId="4" priority="5" operator="lessThan">
      <formula>0</formula>
    </cfRule>
  </conditionalFormatting>
  <conditionalFormatting sqref="L32:M32">
    <cfRule type="cellIs" dxfId="1" priority="2" operator="lessThan">
      <formula>0</formula>
    </cfRule>
  </conditionalFormatting>
  <conditionalFormatting sqref="N32:R32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1D943-E1E8-4F5A-85D0-6D9C0A0CEACD}">
  <dimension ref="A2:M20"/>
  <sheetViews>
    <sheetView workbookViewId="0">
      <selection activeCell="A27" sqref="A27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234" t="s">
        <v>199</v>
      </c>
      <c r="B2" s="234"/>
      <c r="C2" s="234"/>
      <c r="D2" s="234"/>
      <c r="E2" s="234"/>
      <c r="F2" s="234"/>
      <c r="G2" s="183"/>
      <c r="H2" s="183"/>
      <c r="I2" s="183"/>
      <c r="J2" s="183"/>
      <c r="K2" s="183"/>
      <c r="L2" s="183"/>
      <c r="M2" s="183"/>
    </row>
    <row r="3" spans="1:13" x14ac:dyDescent="0.35">
      <c r="A3" s="184" t="s">
        <v>188</v>
      </c>
      <c r="B3" s="184" t="s">
        <v>189</v>
      </c>
      <c r="C3" s="184" t="s">
        <v>190</v>
      </c>
      <c r="D3" s="185"/>
      <c r="G3" s="183"/>
      <c r="H3" s="183"/>
      <c r="I3" s="183"/>
      <c r="J3" s="183"/>
      <c r="K3" s="183"/>
      <c r="L3" s="183"/>
      <c r="M3" s="183"/>
    </row>
    <row r="4" spans="1:13" x14ac:dyDescent="0.35">
      <c r="A4" s="186" t="s">
        <v>191</v>
      </c>
      <c r="B4" s="187">
        <v>44086</v>
      </c>
      <c r="C4" s="187">
        <v>45788</v>
      </c>
      <c r="D4" s="188"/>
      <c r="E4" s="189"/>
      <c r="F4" s="189"/>
      <c r="G4" s="183"/>
      <c r="H4" s="183"/>
      <c r="I4" s="183"/>
      <c r="J4" s="183"/>
      <c r="K4" s="183"/>
      <c r="L4" s="183"/>
      <c r="M4" s="183"/>
    </row>
    <row r="5" spans="1:13" x14ac:dyDescent="0.35">
      <c r="A5" s="186" t="s">
        <v>192</v>
      </c>
      <c r="B5" s="187">
        <v>44292</v>
      </c>
      <c r="C5" s="187">
        <v>46117</v>
      </c>
      <c r="D5" s="188"/>
      <c r="E5" s="189"/>
      <c r="F5" s="189"/>
      <c r="G5" s="183"/>
      <c r="H5" s="183"/>
      <c r="I5" s="183"/>
      <c r="J5" s="183"/>
      <c r="K5" s="183"/>
      <c r="L5" s="183"/>
      <c r="M5" s="183"/>
    </row>
    <row r="6" spans="1:13" x14ac:dyDescent="0.35">
      <c r="A6" s="186" t="s">
        <v>193</v>
      </c>
      <c r="B6" s="187">
        <v>44204</v>
      </c>
      <c r="C6" s="187">
        <v>46029</v>
      </c>
      <c r="D6" s="188"/>
      <c r="E6" s="189"/>
      <c r="F6" s="189"/>
      <c r="G6" s="183"/>
      <c r="H6" s="183"/>
      <c r="I6" s="183"/>
      <c r="J6" s="183"/>
      <c r="K6" s="183"/>
      <c r="L6" s="183"/>
      <c r="M6" s="183"/>
    </row>
    <row r="7" spans="1:13" x14ac:dyDescent="0.35">
      <c r="A7" s="186" t="s">
        <v>194</v>
      </c>
      <c r="B7" s="187">
        <v>45807</v>
      </c>
      <c r="C7" s="187">
        <v>11107</v>
      </c>
      <c r="D7" s="188"/>
      <c r="G7" s="183"/>
      <c r="H7" s="183"/>
      <c r="I7" s="183"/>
      <c r="J7" s="183"/>
      <c r="K7" s="183"/>
      <c r="L7" s="183"/>
      <c r="M7" s="183"/>
    </row>
    <row r="8" spans="1:13" x14ac:dyDescent="0.35">
      <c r="A8" s="183"/>
      <c r="G8" s="183"/>
      <c r="H8" s="183"/>
      <c r="I8" s="183"/>
      <c r="J8" s="183"/>
      <c r="K8" s="183"/>
      <c r="L8" s="183"/>
      <c r="M8" s="183"/>
    </row>
    <row r="9" spans="1:13" x14ac:dyDescent="0.35">
      <c r="A9" s="183"/>
      <c r="B9" s="184" t="s">
        <v>189</v>
      </c>
      <c r="C9" s="184" t="s">
        <v>190</v>
      </c>
      <c r="D9" s="184" t="s">
        <v>195</v>
      </c>
      <c r="E9" s="188"/>
      <c r="F9" s="188"/>
      <c r="G9" s="183"/>
      <c r="H9" s="183"/>
      <c r="I9" s="183"/>
      <c r="J9" s="183"/>
      <c r="K9" s="183"/>
      <c r="L9" s="183"/>
      <c r="M9" s="183"/>
    </row>
    <row r="10" spans="1:13" x14ac:dyDescent="0.35">
      <c r="A10" s="183" t="s">
        <v>204</v>
      </c>
      <c r="B10" s="183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</row>
    <row r="11" spans="1:13" x14ac:dyDescent="0.35">
      <c r="A11" s="183" t="s">
        <v>191</v>
      </c>
      <c r="B11" s="190">
        <v>45807</v>
      </c>
      <c r="C11" s="190">
        <v>47614</v>
      </c>
      <c r="D11" s="191">
        <f>C11-B11</f>
        <v>1807</v>
      </c>
      <c r="E11" s="192">
        <v>448200000</v>
      </c>
      <c r="F11" s="193">
        <f>E11/365*D11</f>
        <v>2218896986.3013701</v>
      </c>
      <c r="G11" s="183"/>
      <c r="H11" s="183"/>
      <c r="I11" s="183"/>
      <c r="J11" s="183"/>
      <c r="K11" s="183"/>
      <c r="L11" s="183"/>
      <c r="M11" s="183"/>
    </row>
    <row r="12" spans="1:13" x14ac:dyDescent="0.35">
      <c r="A12" s="183" t="s">
        <v>192</v>
      </c>
      <c r="B12" s="190">
        <v>45807</v>
      </c>
      <c r="C12" s="190">
        <v>46117</v>
      </c>
      <c r="D12" s="191">
        <f t="shared" ref="D12:D18" si="0">C12-B12</f>
        <v>310</v>
      </c>
      <c r="E12" s="192">
        <v>306000000</v>
      </c>
      <c r="F12" s="193">
        <f t="shared" ref="F12:F13" si="1">E12/365*D12</f>
        <v>259890410.95890412</v>
      </c>
      <c r="G12" s="183"/>
      <c r="H12" s="183"/>
      <c r="I12" s="183"/>
      <c r="J12" s="183"/>
      <c r="K12" s="183"/>
      <c r="L12" s="183"/>
      <c r="M12" s="183"/>
    </row>
    <row r="13" spans="1:13" x14ac:dyDescent="0.35">
      <c r="A13" s="183" t="s">
        <v>193</v>
      </c>
      <c r="B13" s="190">
        <v>45807</v>
      </c>
      <c r="C13" s="187">
        <v>46029</v>
      </c>
      <c r="D13" s="191">
        <f t="shared" si="0"/>
        <v>222</v>
      </c>
      <c r="E13" s="192">
        <v>415584000</v>
      </c>
      <c r="F13" s="193">
        <f t="shared" si="1"/>
        <v>252766158.9041096</v>
      </c>
      <c r="G13" s="183"/>
      <c r="H13" s="183"/>
      <c r="I13" s="183"/>
      <c r="J13" s="183"/>
      <c r="K13" s="183"/>
      <c r="L13" s="183"/>
      <c r="M13" s="183"/>
    </row>
    <row r="14" spans="1:13" x14ac:dyDescent="0.35">
      <c r="A14" s="183" t="s">
        <v>196</v>
      </c>
      <c r="B14" s="190">
        <v>45807</v>
      </c>
      <c r="C14" s="190">
        <v>47632</v>
      </c>
      <c r="D14" s="191">
        <f t="shared" si="0"/>
        <v>1825</v>
      </c>
      <c r="E14" s="192">
        <v>400000000</v>
      </c>
      <c r="F14" s="193">
        <f>-E14/365*D14</f>
        <v>-2000000000</v>
      </c>
      <c r="G14" s="183"/>
      <c r="H14" s="183"/>
      <c r="I14" s="183"/>
      <c r="J14" s="183"/>
      <c r="K14" s="183"/>
      <c r="L14" s="183"/>
      <c r="M14" s="183"/>
    </row>
    <row r="15" spans="1:13" x14ac:dyDescent="0.35">
      <c r="A15" s="183" t="s">
        <v>200</v>
      </c>
      <c r="B15" s="190">
        <v>45807</v>
      </c>
      <c r="C15" s="190">
        <v>46117</v>
      </c>
      <c r="D15" s="191">
        <f t="shared" si="0"/>
        <v>310</v>
      </c>
      <c r="E15" s="192">
        <v>48000000</v>
      </c>
      <c r="F15" s="193">
        <f>-E15/365*D15</f>
        <v>-40767123.287671231</v>
      </c>
      <c r="G15" s="183"/>
      <c r="H15" s="183"/>
      <c r="I15" s="183"/>
      <c r="J15" s="183"/>
      <c r="K15" s="183"/>
      <c r="L15" s="183"/>
      <c r="M15" s="183"/>
    </row>
    <row r="16" spans="1:13" x14ac:dyDescent="0.35">
      <c r="A16" s="183" t="s">
        <v>201</v>
      </c>
      <c r="B16" s="190">
        <v>45807</v>
      </c>
      <c r="C16" s="190">
        <v>47614</v>
      </c>
      <c r="D16" s="191">
        <f t="shared" ref="D16" si="2">C16-B16</f>
        <v>1807</v>
      </c>
      <c r="E16" s="192">
        <v>48000001</v>
      </c>
      <c r="F16" s="193">
        <f>-E16/365*D16</f>
        <v>-237632881.6630137</v>
      </c>
      <c r="G16" s="183"/>
      <c r="H16" s="183"/>
      <c r="I16" s="183"/>
      <c r="J16" s="183"/>
      <c r="K16" s="183"/>
      <c r="L16" s="183"/>
      <c r="M16" s="183"/>
    </row>
    <row r="17" spans="1:13" x14ac:dyDescent="0.35">
      <c r="A17" s="183" t="s">
        <v>202</v>
      </c>
      <c r="B17" s="190">
        <v>45807</v>
      </c>
      <c r="C17" s="190">
        <v>46117</v>
      </c>
      <c r="D17" s="191">
        <f t="shared" si="0"/>
        <v>310</v>
      </c>
      <c r="E17" s="192">
        <v>14000000</v>
      </c>
      <c r="F17" s="193">
        <f>-E17/365*D17</f>
        <v>-11890410.958904108</v>
      </c>
      <c r="G17" s="183"/>
      <c r="H17" s="183"/>
      <c r="I17" s="183"/>
      <c r="J17" s="183"/>
      <c r="K17" s="183"/>
      <c r="L17" s="183"/>
      <c r="M17" s="183"/>
    </row>
    <row r="18" spans="1:13" x14ac:dyDescent="0.35">
      <c r="A18" s="183" t="s">
        <v>203</v>
      </c>
      <c r="B18" s="190">
        <v>45807</v>
      </c>
      <c r="C18" s="190">
        <v>47614</v>
      </c>
      <c r="D18" s="191">
        <f t="shared" si="0"/>
        <v>1807</v>
      </c>
      <c r="E18" s="192">
        <v>7000000</v>
      </c>
      <c r="F18" s="193">
        <f>-E18/365*D18</f>
        <v>-34654794.520547941</v>
      </c>
      <c r="G18" s="183"/>
      <c r="H18" s="183"/>
      <c r="I18" s="183"/>
      <c r="J18" s="183"/>
      <c r="K18" s="183"/>
      <c r="L18" s="183"/>
      <c r="M18" s="183"/>
    </row>
    <row r="19" spans="1:13" x14ac:dyDescent="0.35">
      <c r="A19" s="183" t="s">
        <v>197</v>
      </c>
      <c r="B19" s="183"/>
      <c r="C19" s="183"/>
      <c r="D19" s="183"/>
      <c r="E19" s="194">
        <v>100000000</v>
      </c>
      <c r="F19" s="195"/>
      <c r="G19" s="183"/>
      <c r="H19" s="183"/>
      <c r="I19" s="183"/>
      <c r="J19" s="183"/>
      <c r="K19" s="183"/>
      <c r="L19" s="183"/>
      <c r="M19" s="183"/>
    </row>
    <row r="20" spans="1:13" x14ac:dyDescent="0.35">
      <c r="A20" s="183" t="s">
        <v>198</v>
      </c>
      <c r="B20" s="183"/>
      <c r="C20" s="183"/>
      <c r="D20" s="183"/>
      <c r="E20" s="183"/>
      <c r="F20" s="193">
        <f>SUM(F11:F19)</f>
        <v>406608345.73424697</v>
      </c>
      <c r="G20" s="183"/>
      <c r="H20" s="183"/>
      <c r="I20" s="183"/>
      <c r="J20" s="183"/>
      <c r="K20" s="183"/>
      <c r="L20" s="183"/>
      <c r="M20" s="183"/>
    </row>
  </sheetData>
  <mergeCells count="1">
    <mergeCell ref="A2:F2"/>
  </mergeCells>
  <pageMargins left="0.47" right="0.3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Summary Review  (2)</vt:lpstr>
      <vt:lpstr>Parameter</vt:lpstr>
      <vt:lpstr>Analisa</vt:lpstr>
      <vt:lpstr>Analisa!Print_Area</vt:lpstr>
      <vt:lpstr>IRR!Print_Area</vt:lpstr>
      <vt:lpstr>Summary!Print_Area</vt:lpstr>
      <vt:lpstr>'Summary Review 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2024-09-11T01:41:42Z</cp:lastPrinted>
  <dcterms:created xsi:type="dcterms:W3CDTF">2024-01-30T02:49:52Z</dcterms:created>
  <dcterms:modified xsi:type="dcterms:W3CDTF">2024-09-17T03:38:26Z</dcterms:modified>
</cp:coreProperties>
</file>