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13_ncr:1_{695A5344-B24D-4C9D-B51D-61D996A48B3B}" xr6:coauthVersionLast="36" xr6:coauthVersionMax="36" xr10:uidLastSave="{00000000-0000-0000-0000-000000000000}"/>
  <bookViews>
    <workbookView xWindow="0" yWindow="0" windowWidth="19200" windowHeight="7550" firstSheet="2" activeTab="2" xr2:uid="{00000000-000D-0000-FFFF-FFFF00000000}"/>
  </bookViews>
  <sheets>
    <sheet name="IRR (3)" sheetId="4" state="hidden" r:id="rId1"/>
    <sheet name="IRR (2)" sheetId="2" state="hidden" r:id="rId2"/>
    <sheet name="Summary" sheetId="8" r:id="rId3"/>
    <sheet name="IRR Approved" sheetId="1" r:id="rId4"/>
    <sheet name="PARAMETER" sheetId="5" r:id="rId5"/>
  </sheets>
  <externalReferences>
    <externalReference r:id="rId6"/>
    <externalReference r:id="rId7"/>
  </externalReferences>
  <definedNames>
    <definedName name="_xlnm.Print_Area" localSheetId="1">'IRR (2)'!$B$1:$R$79</definedName>
    <definedName name="_xlnm.Print_Area" localSheetId="0">'IRR (3)'!$B$1:$R$82</definedName>
    <definedName name="_xlnm.Print_Area" localSheetId="3">'IRR Approved'!$A$1:$S$66</definedName>
    <definedName name="_xlnm.Print_Area" localSheetId="2">Summary!$B$2:$N$33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9" i="8" l="1"/>
  <c r="D6" i="8" l="1"/>
  <c r="K21" i="1"/>
  <c r="K28" i="1" s="1"/>
  <c r="L28" i="1" s="1"/>
  <c r="M28" i="1" s="1"/>
  <c r="I28" i="1"/>
  <c r="J27" i="1"/>
  <c r="I29" i="1"/>
  <c r="J29" i="1"/>
  <c r="J28" i="1"/>
  <c r="M27" i="1"/>
  <c r="L27" i="1"/>
  <c r="K27" i="1"/>
  <c r="L20" i="1"/>
  <c r="K20" i="1"/>
  <c r="M12" i="8" l="1"/>
  <c r="M6" i="8"/>
  <c r="M7" i="8" s="1"/>
  <c r="B2" i="5" l="1"/>
  <c r="B4" i="5" s="1"/>
  <c r="I54" i="1"/>
  <c r="L58" i="1"/>
  <c r="K57" i="1"/>
  <c r="J56" i="1"/>
  <c r="K42" i="1"/>
  <c r="L42" i="1"/>
  <c r="M42" i="1"/>
  <c r="J42" i="1"/>
  <c r="C2" i="5" l="1"/>
  <c r="D2" i="5" s="1"/>
  <c r="K29" i="1" l="1"/>
  <c r="L29" i="1"/>
  <c r="M29" i="1"/>
  <c r="C11" i="5"/>
  <c r="C12" i="5"/>
  <c r="C10" i="5"/>
  <c r="J14" i="1"/>
  <c r="J54" i="1" s="1"/>
  <c r="I42" i="1"/>
  <c r="I55" i="1"/>
  <c r="M20" i="1"/>
  <c r="L21" i="1"/>
  <c r="M21" i="1" s="1"/>
  <c r="K19" i="1"/>
  <c r="L19" i="1" s="1"/>
  <c r="M19" i="1" s="1"/>
  <c r="K14" i="1" l="1"/>
  <c r="B5" i="5"/>
  <c r="I37" i="1" s="1"/>
  <c r="L14" i="1" l="1"/>
  <c r="K54" i="1"/>
  <c r="Q42" i="1"/>
  <c r="R42" i="1"/>
  <c r="M14" i="1" l="1"/>
  <c r="L54" i="1"/>
  <c r="D12" i="5"/>
  <c r="D11" i="5" s="1"/>
  <c r="N14" i="1" l="1"/>
  <c r="M54" i="1"/>
  <c r="D10" i="5"/>
  <c r="S22" i="1"/>
  <c r="O14" i="1" l="1"/>
  <c r="N54" i="1"/>
  <c r="E12" i="5"/>
  <c r="E10" i="5" s="1"/>
  <c r="H28" i="1"/>
  <c r="P14" i="1" l="1"/>
  <c r="O54" i="1"/>
  <c r="F12" i="5"/>
  <c r="F10" i="5" s="1"/>
  <c r="E11" i="5"/>
  <c r="Q14" i="1" l="1"/>
  <c r="P54" i="1"/>
  <c r="G12" i="5"/>
  <c r="G10" i="5" s="1"/>
  <c r="F11" i="5"/>
  <c r="G11" i="5" s="1"/>
  <c r="R14" i="1" l="1"/>
  <c r="R54" i="1" s="1"/>
  <c r="Q54" i="1"/>
  <c r="H12" i="5"/>
  <c r="I65" i="1"/>
  <c r="I34" i="1" s="1"/>
  <c r="H42" i="1"/>
  <c r="L57" i="1"/>
  <c r="M57" i="1" s="1"/>
  <c r="N57" i="1" s="1"/>
  <c r="O57" i="1" s="1"/>
  <c r="P57" i="1" s="1"/>
  <c r="Q57" i="1" s="1"/>
  <c r="R57" i="1" s="1"/>
  <c r="M58" i="1"/>
  <c r="N58" i="1" s="1"/>
  <c r="O58" i="1" s="1"/>
  <c r="P58" i="1" s="1"/>
  <c r="Q58" i="1" s="1"/>
  <c r="R58" i="1" s="1"/>
  <c r="M59" i="1"/>
  <c r="N59" i="1" s="1"/>
  <c r="O59" i="1" s="1"/>
  <c r="P59" i="1" s="1"/>
  <c r="Q59" i="1" s="1"/>
  <c r="N60" i="1"/>
  <c r="O60" i="1" s="1"/>
  <c r="P60" i="1" s="1"/>
  <c r="Q60" i="1" s="1"/>
  <c r="O61" i="1"/>
  <c r="P61" i="1" s="1"/>
  <c r="Q61" i="1" s="1"/>
  <c r="P62" i="1"/>
  <c r="Q62" i="1" s="1"/>
  <c r="Q63" i="1"/>
  <c r="K56" i="1"/>
  <c r="L56" i="1" s="1"/>
  <c r="M56" i="1" s="1"/>
  <c r="N56" i="1" s="1"/>
  <c r="O56" i="1" s="1"/>
  <c r="P56" i="1" s="1"/>
  <c r="Q56" i="1" s="1"/>
  <c r="R56" i="1" s="1"/>
  <c r="H11" i="5" l="1"/>
  <c r="H10" i="5"/>
  <c r="S21" i="1" l="1"/>
  <c r="I12" i="5"/>
  <c r="I11" i="5" s="1"/>
  <c r="I10" i="5"/>
  <c r="S20" i="1"/>
  <c r="S19" i="1" l="1"/>
  <c r="J12" i="5"/>
  <c r="J11" i="5" s="1"/>
  <c r="J10" i="5"/>
  <c r="S26" i="1"/>
  <c r="M13" i="8" s="1"/>
  <c r="C5" i="5"/>
  <c r="Q38" i="2"/>
  <c r="P38" i="2"/>
  <c r="O38" i="2"/>
  <c r="I78" i="2"/>
  <c r="I82" i="2" s="1"/>
  <c r="H81" i="4"/>
  <c r="H83" i="4" s="1"/>
  <c r="L68" i="4"/>
  <c r="K62" i="4"/>
  <c r="L62" i="4" s="1"/>
  <c r="M62" i="4" s="1"/>
  <c r="N62" i="4" s="1"/>
  <c r="O62" i="4" s="1"/>
  <c r="P62" i="4" s="1"/>
  <c r="J61" i="4"/>
  <c r="K61" i="4" s="1"/>
  <c r="L61" i="4" s="1"/>
  <c r="M61" i="4" s="1"/>
  <c r="N61" i="4" s="1"/>
  <c r="O61" i="4" s="1"/>
  <c r="P61" i="4" s="1"/>
  <c r="I60" i="4"/>
  <c r="J60" i="4" s="1"/>
  <c r="K60" i="4" s="1"/>
  <c r="L60" i="4" s="1"/>
  <c r="M60" i="4" s="1"/>
  <c r="N60" i="4" s="1"/>
  <c r="O60" i="4" s="1"/>
  <c r="P60" i="4" s="1"/>
  <c r="H59" i="4"/>
  <c r="I59" i="4" s="1"/>
  <c r="L58" i="4"/>
  <c r="K58" i="4"/>
  <c r="J58" i="4"/>
  <c r="I58" i="4"/>
  <c r="H58" i="4"/>
  <c r="Q43" i="4"/>
  <c r="P43" i="4"/>
  <c r="O43" i="4"/>
  <c r="N43" i="4"/>
  <c r="M43" i="4"/>
  <c r="L43" i="4"/>
  <c r="K43" i="4"/>
  <c r="J43" i="4"/>
  <c r="I43" i="4"/>
  <c r="H43" i="4"/>
  <c r="G43" i="4"/>
  <c r="G44" i="4" s="1"/>
  <c r="Q35" i="4"/>
  <c r="R29" i="4"/>
  <c r="Q28" i="4"/>
  <c r="P28" i="4"/>
  <c r="O28" i="4"/>
  <c r="N28" i="4"/>
  <c r="M28" i="4"/>
  <c r="L28" i="4"/>
  <c r="K28" i="4"/>
  <c r="J28" i="4"/>
  <c r="I28" i="4"/>
  <c r="M27" i="4"/>
  <c r="M24" i="4"/>
  <c r="M30" i="4" s="1"/>
  <c r="L24" i="4"/>
  <c r="K24" i="4"/>
  <c r="K30" i="4" s="1"/>
  <c r="J24" i="4"/>
  <c r="I24" i="4"/>
  <c r="H24" i="4"/>
  <c r="R23" i="4"/>
  <c r="N22" i="4"/>
  <c r="O22" i="4" s="1"/>
  <c r="P22" i="4" s="1"/>
  <c r="Q22" i="4" s="1"/>
  <c r="N21" i="4"/>
  <c r="N20" i="4"/>
  <c r="H78" i="2"/>
  <c r="H81" i="2" s="1"/>
  <c r="L65" i="2"/>
  <c r="K59" i="2"/>
  <c r="L59" i="2" s="1"/>
  <c r="M59" i="2" s="1"/>
  <c r="N59" i="2" s="1"/>
  <c r="O59" i="2" s="1"/>
  <c r="P59" i="2" s="1"/>
  <c r="J58" i="2"/>
  <c r="K58" i="2" s="1"/>
  <c r="L58" i="2" s="1"/>
  <c r="M58" i="2" s="1"/>
  <c r="N58" i="2" s="1"/>
  <c r="O58" i="2" s="1"/>
  <c r="P58" i="2" s="1"/>
  <c r="I57" i="2"/>
  <c r="J57" i="2" s="1"/>
  <c r="K57" i="2" s="1"/>
  <c r="L57" i="2" s="1"/>
  <c r="M57" i="2" s="1"/>
  <c r="N57" i="2" s="1"/>
  <c r="O57" i="2" s="1"/>
  <c r="P57" i="2" s="1"/>
  <c r="H56" i="2"/>
  <c r="H66" i="2" s="1"/>
  <c r="H35" i="2" s="1"/>
  <c r="L55" i="2"/>
  <c r="K55" i="2"/>
  <c r="J55" i="2"/>
  <c r="I55" i="2"/>
  <c r="H55" i="2"/>
  <c r="Q43" i="2"/>
  <c r="P43" i="2"/>
  <c r="O43" i="2"/>
  <c r="N43" i="2"/>
  <c r="M43" i="2"/>
  <c r="L43" i="2"/>
  <c r="K43" i="2"/>
  <c r="J43" i="2"/>
  <c r="I43" i="2"/>
  <c r="H43" i="2"/>
  <c r="G43" i="2"/>
  <c r="G44" i="2" s="1"/>
  <c r="Q35" i="2"/>
  <c r="R29" i="2"/>
  <c r="Q28" i="2"/>
  <c r="P28" i="2"/>
  <c r="O28" i="2"/>
  <c r="N28" i="2"/>
  <c r="M28" i="2"/>
  <c r="L28" i="2"/>
  <c r="K28" i="2"/>
  <c r="J28" i="2"/>
  <c r="I28" i="2"/>
  <c r="M27" i="2"/>
  <c r="M24" i="2"/>
  <c r="M30" i="2" s="1"/>
  <c r="L24" i="2"/>
  <c r="L30" i="2" s="1"/>
  <c r="K24" i="2"/>
  <c r="J24" i="2"/>
  <c r="I24" i="2"/>
  <c r="H24" i="2"/>
  <c r="H30" i="2" s="1"/>
  <c r="H31" i="2" s="1"/>
  <c r="H32" i="2" s="1"/>
  <c r="R23" i="2"/>
  <c r="N22" i="2"/>
  <c r="N21" i="2"/>
  <c r="O21" i="2" s="1"/>
  <c r="P21" i="2" s="1"/>
  <c r="Q21" i="2" s="1"/>
  <c r="N20" i="2"/>
  <c r="O20" i="2" s="1"/>
  <c r="P20" i="2" s="1"/>
  <c r="Q20" i="2" s="1"/>
  <c r="J37" i="1" l="1"/>
  <c r="R28" i="2"/>
  <c r="K31" i="4"/>
  <c r="K32" i="4" s="1"/>
  <c r="K11" i="5"/>
  <c r="Q30" i="1"/>
  <c r="K12" i="5"/>
  <c r="K10" i="5" s="1"/>
  <c r="Q23" i="1"/>
  <c r="R30" i="1"/>
  <c r="G45" i="4"/>
  <c r="G46" i="4" s="1"/>
  <c r="G47" i="4" s="1"/>
  <c r="G48" i="4" s="1"/>
  <c r="I84" i="2"/>
  <c r="R28" i="4"/>
  <c r="N24" i="2"/>
  <c r="N30" i="2" s="1"/>
  <c r="I80" i="2"/>
  <c r="J82" i="2" s="1"/>
  <c r="N24" i="4"/>
  <c r="N30" i="4" s="1"/>
  <c r="L31" i="2"/>
  <c r="K33" i="4"/>
  <c r="J59" i="4"/>
  <c r="I69" i="4"/>
  <c r="I35" i="4" s="1"/>
  <c r="H84" i="4"/>
  <c r="H30" i="4"/>
  <c r="M31" i="4"/>
  <c r="N27" i="4"/>
  <c r="I30" i="4"/>
  <c r="I31" i="4" s="1"/>
  <c r="I32" i="4" s="1"/>
  <c r="H69" i="4"/>
  <c r="H35" i="4" s="1"/>
  <c r="R22" i="4"/>
  <c r="J30" i="4"/>
  <c r="J31" i="4" s="1"/>
  <c r="J32" i="4" s="1"/>
  <c r="L30" i="4"/>
  <c r="L31" i="4" s="1"/>
  <c r="L32" i="4" s="1"/>
  <c r="M32" i="4"/>
  <c r="O20" i="4"/>
  <c r="O21" i="4"/>
  <c r="P21" i="4" s="1"/>
  <c r="Q21" i="4" s="1"/>
  <c r="I56" i="2"/>
  <c r="J56" i="2" s="1"/>
  <c r="K56" i="2" s="1"/>
  <c r="R21" i="2"/>
  <c r="H83" i="2"/>
  <c r="H85" i="2" s="1"/>
  <c r="H38" i="2" s="1"/>
  <c r="H36" i="2"/>
  <c r="H33" i="2"/>
  <c r="G45" i="2"/>
  <c r="L32" i="2"/>
  <c r="H80" i="2"/>
  <c r="I81" i="2" s="1"/>
  <c r="I83" i="2" s="1"/>
  <c r="N27" i="2"/>
  <c r="I30" i="2"/>
  <c r="I31" i="2" s="1"/>
  <c r="I32" i="2" s="1"/>
  <c r="O22" i="2"/>
  <c r="J30" i="2"/>
  <c r="J31" i="2" s="1"/>
  <c r="J32" i="2" s="1"/>
  <c r="M31" i="2"/>
  <c r="M32" i="2" s="1"/>
  <c r="K30" i="2"/>
  <c r="K31" i="2" s="1"/>
  <c r="K32" i="2" s="1"/>
  <c r="R20" i="2"/>
  <c r="S28" i="1" l="1"/>
  <c r="I85" i="2"/>
  <c r="I38" i="2" s="1"/>
  <c r="Q31" i="1"/>
  <c r="Q32" i="1" s="1"/>
  <c r="S23" i="1"/>
  <c r="M11" i="8" s="1"/>
  <c r="D5" i="5"/>
  <c r="E2" i="5"/>
  <c r="E5" i="5" s="1"/>
  <c r="K84" i="2"/>
  <c r="K82" i="2"/>
  <c r="J84" i="2"/>
  <c r="J66" i="2"/>
  <c r="J35" i="2" s="1"/>
  <c r="I66" i="2"/>
  <c r="I35" i="2" s="1"/>
  <c r="I36" i="2" s="1"/>
  <c r="I39" i="2" s="1"/>
  <c r="L33" i="4"/>
  <c r="J33" i="4"/>
  <c r="I36" i="4"/>
  <c r="I33" i="4"/>
  <c r="O27" i="4"/>
  <c r="N31" i="4"/>
  <c r="N32" i="4" s="1"/>
  <c r="H31" i="4"/>
  <c r="H32" i="4" s="1"/>
  <c r="P20" i="4"/>
  <c r="O24" i="4"/>
  <c r="K59" i="4"/>
  <c r="J69" i="4"/>
  <c r="J35" i="4" s="1"/>
  <c r="J36" i="4" s="1"/>
  <c r="M33" i="4"/>
  <c r="H85" i="4"/>
  <c r="I84" i="4"/>
  <c r="R21" i="4"/>
  <c r="H39" i="2"/>
  <c r="H40" i="2" s="1"/>
  <c r="H41" i="2" s="1"/>
  <c r="H44" i="2" s="1"/>
  <c r="J36" i="2"/>
  <c r="J33" i="2"/>
  <c r="K33" i="2"/>
  <c r="P22" i="2"/>
  <c r="O24" i="2"/>
  <c r="M33" i="2"/>
  <c r="O27" i="2"/>
  <c r="N31" i="2"/>
  <c r="N32" i="2" s="1"/>
  <c r="J81" i="2"/>
  <c r="J83" i="2" s="1"/>
  <c r="I33" i="2"/>
  <c r="L56" i="2"/>
  <c r="K66" i="2"/>
  <c r="K35" i="2" s="1"/>
  <c r="K36" i="2" s="1"/>
  <c r="L33" i="2"/>
  <c r="K37" i="1" l="1"/>
  <c r="L37" i="1"/>
  <c r="J85" i="2"/>
  <c r="J38" i="2" s="1"/>
  <c r="S27" i="1"/>
  <c r="F2" i="5"/>
  <c r="F5" i="5" s="1"/>
  <c r="L82" i="2"/>
  <c r="L84" i="2"/>
  <c r="O30" i="4"/>
  <c r="H36" i="4"/>
  <c r="H39" i="4" s="1"/>
  <c r="H33" i="4"/>
  <c r="Q20" i="4"/>
  <c r="Q24" i="4" s="1"/>
  <c r="P24" i="4"/>
  <c r="L59" i="4"/>
  <c r="K69" i="4"/>
  <c r="K35" i="4" s="1"/>
  <c r="K36" i="4" s="1"/>
  <c r="I39" i="4"/>
  <c r="N33" i="4"/>
  <c r="P27" i="4"/>
  <c r="R27" i="4" s="1"/>
  <c r="J84" i="4"/>
  <c r="I85" i="4"/>
  <c r="H45" i="2"/>
  <c r="P27" i="2"/>
  <c r="O30" i="2"/>
  <c r="J39" i="2"/>
  <c r="N33" i="2"/>
  <c r="M56" i="2"/>
  <c r="L66" i="2"/>
  <c r="L35" i="2" s="1"/>
  <c r="Q22" i="2"/>
  <c r="P24" i="2"/>
  <c r="I40" i="2"/>
  <c r="I41" i="2" s="1"/>
  <c r="I44" i="2" s="1"/>
  <c r="K81" i="2"/>
  <c r="K83" i="2" s="1"/>
  <c r="N42" i="1"/>
  <c r="O42" i="1"/>
  <c r="P42" i="1"/>
  <c r="N23" i="1"/>
  <c r="J23" i="1"/>
  <c r="K23" i="1"/>
  <c r="L23" i="1"/>
  <c r="M23" i="1"/>
  <c r="I23" i="1"/>
  <c r="M37" i="1" l="1"/>
  <c r="S42" i="1"/>
  <c r="G2" i="5"/>
  <c r="G5" i="5" s="1"/>
  <c r="K85" i="2"/>
  <c r="K38" i="2" s="1"/>
  <c r="K39" i="2" s="1"/>
  <c r="K40" i="2" s="1"/>
  <c r="K41" i="2" s="1"/>
  <c r="K44" i="2" s="1"/>
  <c r="R20" i="4"/>
  <c r="R24" i="4" s="1"/>
  <c r="M82" i="2"/>
  <c r="M84" i="2" s="1"/>
  <c r="I40" i="4"/>
  <c r="I41" i="4" s="1"/>
  <c r="I44" i="4" s="1"/>
  <c r="M59" i="4"/>
  <c r="L69" i="4"/>
  <c r="L35" i="4" s="1"/>
  <c r="L36" i="4" s="1"/>
  <c r="P30" i="4"/>
  <c r="P31" i="4" s="1"/>
  <c r="P32" i="4" s="1"/>
  <c r="Q30" i="4"/>
  <c r="Q31" i="4" s="1"/>
  <c r="Q32" i="4" s="1"/>
  <c r="H40" i="4"/>
  <c r="H41" i="4" s="1"/>
  <c r="H44" i="4" s="1"/>
  <c r="O31" i="4"/>
  <c r="O32" i="4" s="1"/>
  <c r="E24" i="4"/>
  <c r="K84" i="4"/>
  <c r="K85" i="4" s="1"/>
  <c r="J85" i="4"/>
  <c r="J39" i="4" s="1"/>
  <c r="P30" i="2"/>
  <c r="P31" i="2" s="1"/>
  <c r="P32" i="2" s="1"/>
  <c r="J40" i="2"/>
  <c r="J41" i="2" s="1"/>
  <c r="J44" i="2" s="1"/>
  <c r="L36" i="2"/>
  <c r="L81" i="2"/>
  <c r="L83" i="2" s="1"/>
  <c r="L85" i="2" s="1"/>
  <c r="L38" i="2" s="1"/>
  <c r="O31" i="2"/>
  <c r="O32" i="2" s="1"/>
  <c r="Q24" i="2"/>
  <c r="R22" i="2"/>
  <c r="R24" i="2" s="1"/>
  <c r="R27" i="2"/>
  <c r="N56" i="2"/>
  <c r="M66" i="2"/>
  <c r="M35" i="2" s="1"/>
  <c r="M36" i="2" s="1"/>
  <c r="I45" i="2"/>
  <c r="I46" i="2" s="1"/>
  <c r="H46" i="2"/>
  <c r="O23" i="1"/>
  <c r="N30" i="1"/>
  <c r="N31" i="1" s="1"/>
  <c r="P23" i="1"/>
  <c r="R23" i="1"/>
  <c r="R31" i="1" s="1"/>
  <c r="M30" i="1"/>
  <c r="M31" i="1" s="1"/>
  <c r="R32" i="1" l="1"/>
  <c r="H2" i="5"/>
  <c r="N82" i="2"/>
  <c r="N84" i="2" s="1"/>
  <c r="N85" i="2" s="1"/>
  <c r="N38" i="2" s="1"/>
  <c r="H45" i="4"/>
  <c r="H46" i="4" s="1"/>
  <c r="H47" i="4" s="1"/>
  <c r="P33" i="4"/>
  <c r="Q33" i="4"/>
  <c r="Q36" i="4"/>
  <c r="Q39" i="4" s="1"/>
  <c r="R30" i="4"/>
  <c r="R31" i="4" s="1"/>
  <c r="R32" i="4" s="1"/>
  <c r="O33" i="4"/>
  <c r="J40" i="4"/>
  <c r="J41" i="4" s="1"/>
  <c r="J44" i="4" s="1"/>
  <c r="L84" i="4"/>
  <c r="L85" i="4" s="1"/>
  <c r="L39" i="4" s="1"/>
  <c r="N59" i="4"/>
  <c r="M69" i="4"/>
  <c r="M35" i="4" s="1"/>
  <c r="K39" i="4"/>
  <c r="P33" i="2"/>
  <c r="Q30" i="2"/>
  <c r="O33" i="2"/>
  <c r="E24" i="2"/>
  <c r="M81" i="2"/>
  <c r="M83" i="2" s="1"/>
  <c r="M85" i="2" s="1"/>
  <c r="M38" i="2" s="1"/>
  <c r="L39" i="2"/>
  <c r="J45" i="2"/>
  <c r="J46" i="2" s="1"/>
  <c r="O56" i="2"/>
  <c r="N66" i="2"/>
  <c r="N35" i="2" s="1"/>
  <c r="N36" i="2" s="1"/>
  <c r="N32" i="1"/>
  <c r="M32" i="1"/>
  <c r="O30" i="1" l="1"/>
  <c r="O31" i="1" s="1"/>
  <c r="O32" i="1" s="1"/>
  <c r="I2" i="5"/>
  <c r="H5" i="5"/>
  <c r="N39" i="2"/>
  <c r="H48" i="4"/>
  <c r="L40" i="4"/>
  <c r="L41" i="4" s="1"/>
  <c r="L44" i="4" s="1"/>
  <c r="M84" i="4"/>
  <c r="M85" i="4" s="1"/>
  <c r="R38" i="4" s="1"/>
  <c r="M36" i="4"/>
  <c r="N69" i="4"/>
  <c r="N35" i="4" s="1"/>
  <c r="N36" i="4" s="1"/>
  <c r="N39" i="4" s="1"/>
  <c r="O59" i="4"/>
  <c r="R33" i="4"/>
  <c r="G54" i="4" s="1"/>
  <c r="Q40" i="4"/>
  <c r="Q41" i="4" s="1"/>
  <c r="Q44" i="4" s="1"/>
  <c r="K40" i="4"/>
  <c r="K41" i="4" s="1"/>
  <c r="K44" i="4" s="1"/>
  <c r="I45" i="4"/>
  <c r="I46" i="4" s="1"/>
  <c r="I47" i="4" s="1"/>
  <c r="R38" i="2"/>
  <c r="M39" i="2"/>
  <c r="K45" i="2"/>
  <c r="K46" i="2" s="1"/>
  <c r="L40" i="2"/>
  <c r="L41" i="2" s="1"/>
  <c r="L44" i="2" s="1"/>
  <c r="Q31" i="2"/>
  <c r="Q32" i="2" s="1"/>
  <c r="R30" i="2"/>
  <c r="R31" i="2" s="1"/>
  <c r="R32" i="2" s="1"/>
  <c r="N40" i="2"/>
  <c r="N41" i="2" s="1"/>
  <c r="N44" i="2" s="1"/>
  <c r="O66" i="2"/>
  <c r="O35" i="2" s="1"/>
  <c r="O36" i="2" s="1"/>
  <c r="O39" i="2" s="1"/>
  <c r="P56" i="2"/>
  <c r="P66" i="2" s="1"/>
  <c r="P35" i="2" s="1"/>
  <c r="P30" i="1"/>
  <c r="P31" i="1" s="1"/>
  <c r="J2" i="5" l="1"/>
  <c r="J5" i="5" s="1"/>
  <c r="I5" i="5"/>
  <c r="I48" i="4"/>
  <c r="I49" i="4" s="1"/>
  <c r="H49" i="4"/>
  <c r="O69" i="4"/>
  <c r="O35" i="4" s="1"/>
  <c r="O36" i="4" s="1"/>
  <c r="O39" i="4" s="1"/>
  <c r="P59" i="4"/>
  <c r="P69" i="4" s="1"/>
  <c r="P35" i="4" s="1"/>
  <c r="M39" i="4"/>
  <c r="N40" i="4"/>
  <c r="N41" i="4" s="1"/>
  <c r="N44" i="4" s="1"/>
  <c r="J45" i="4"/>
  <c r="J46" i="4" s="1"/>
  <c r="J47" i="4" s="1"/>
  <c r="M40" i="2"/>
  <c r="M41" i="2" s="1"/>
  <c r="M44" i="2" s="1"/>
  <c r="O40" i="2"/>
  <c r="O41" i="2" s="1"/>
  <c r="O44" i="2" s="1"/>
  <c r="L45" i="2"/>
  <c r="L46" i="2" s="1"/>
  <c r="R35" i="2"/>
  <c r="P67" i="2" s="1"/>
  <c r="P36" i="2"/>
  <c r="P39" i="2" s="1"/>
  <c r="R33" i="2"/>
  <c r="G51" i="2" s="1"/>
  <c r="Q36" i="2"/>
  <c r="Q39" i="2" s="1"/>
  <c r="Q33" i="2"/>
  <c r="P32" i="1"/>
  <c r="R39" i="2" l="1"/>
  <c r="K2" i="5"/>
  <c r="K5" i="5" s="1"/>
  <c r="R36" i="2"/>
  <c r="J48" i="4"/>
  <c r="K45" i="4"/>
  <c r="K46" i="4" s="1"/>
  <c r="K47" i="4" s="1"/>
  <c r="P36" i="4"/>
  <c r="P39" i="4" s="1"/>
  <c r="R39" i="4" s="1"/>
  <c r="R35" i="4"/>
  <c r="M40" i="4"/>
  <c r="M41" i="4" s="1"/>
  <c r="M44" i="4" s="1"/>
  <c r="O40" i="4"/>
  <c r="O41" i="4" s="1"/>
  <c r="O44" i="4" s="1"/>
  <c r="M45" i="2"/>
  <c r="Q40" i="2"/>
  <c r="P40" i="2"/>
  <c r="P41" i="2" s="1"/>
  <c r="P44" i="2" s="1"/>
  <c r="H23" i="1"/>
  <c r="J49" i="4" l="1"/>
  <c r="K48" i="4"/>
  <c r="K49" i="4" s="1"/>
  <c r="L45" i="4"/>
  <c r="L46" i="4" s="1"/>
  <c r="P40" i="4"/>
  <c r="R40" i="4" s="1"/>
  <c r="P70" i="4"/>
  <c r="R36" i="4"/>
  <c r="R40" i="2"/>
  <c r="R41" i="2" s="1"/>
  <c r="N45" i="2"/>
  <c r="N46" i="2" s="1"/>
  <c r="Q41" i="2"/>
  <c r="Q44" i="2" s="1"/>
  <c r="M46" i="2"/>
  <c r="J55" i="1"/>
  <c r="J65" i="1" l="1"/>
  <c r="J34" i="1" s="1"/>
  <c r="K55" i="1"/>
  <c r="L47" i="4"/>
  <c r="L48" i="4" s="1"/>
  <c r="P41" i="4"/>
  <c r="P44" i="4" s="1"/>
  <c r="R41" i="4"/>
  <c r="M45" i="4"/>
  <c r="M46" i="4" s="1"/>
  <c r="M47" i="4" s="1"/>
  <c r="G50" i="2"/>
  <c r="G49" i="2"/>
  <c r="O45" i="2"/>
  <c r="O46" i="2" s="1"/>
  <c r="L55" i="1" l="1"/>
  <c r="K65" i="1"/>
  <c r="K34" i="1" s="1"/>
  <c r="M48" i="4"/>
  <c r="L49" i="4"/>
  <c r="G53" i="4"/>
  <c r="N45" i="4"/>
  <c r="N46" i="4" s="1"/>
  <c r="N47" i="4" s="1"/>
  <c r="P45" i="2"/>
  <c r="L30" i="1"/>
  <c r="L31" i="1" s="1"/>
  <c r="L32" i="1" s="1"/>
  <c r="K30" i="1"/>
  <c r="K31" i="1" s="1"/>
  <c r="K32" i="1" s="1"/>
  <c r="H29" i="1"/>
  <c r="S29" i="1" s="1"/>
  <c r="J30" i="1"/>
  <c r="J31" i="1" s="1"/>
  <c r="J32" i="1" s="1"/>
  <c r="I30" i="1"/>
  <c r="I31" i="1" s="1"/>
  <c r="I35" i="1" s="1"/>
  <c r="I38" i="1" s="1"/>
  <c r="S30" i="1" l="1"/>
  <c r="S31" i="1" s="1"/>
  <c r="S32" i="1" s="1"/>
  <c r="G50" i="1" s="1"/>
  <c r="M14" i="8"/>
  <c r="M55" i="1"/>
  <c r="L65" i="1"/>
  <c r="L34" i="1" s="1"/>
  <c r="N48" i="4"/>
  <c r="N49" i="4" s="1"/>
  <c r="M49" i="4"/>
  <c r="O45" i="4"/>
  <c r="O46" i="4" s="1"/>
  <c r="O47" i="4" s="1"/>
  <c r="Q45" i="2"/>
  <c r="Q46" i="2" s="1"/>
  <c r="P46" i="2"/>
  <c r="J35" i="1"/>
  <c r="H30" i="1"/>
  <c r="H31" i="1" s="1"/>
  <c r="M17" i="8" l="1"/>
  <c r="N55" i="1"/>
  <c r="M65" i="1"/>
  <c r="M34" i="1" s="1"/>
  <c r="M35" i="1" s="1"/>
  <c r="O48" i="4"/>
  <c r="O49" i="4" s="1"/>
  <c r="I39" i="1"/>
  <c r="I32" i="1"/>
  <c r="P45" i="4"/>
  <c r="P46" i="4" s="1"/>
  <c r="P47" i="4" s="1"/>
  <c r="G52" i="2"/>
  <c r="H35" i="1"/>
  <c r="H38" i="1" s="1"/>
  <c r="K35" i="1"/>
  <c r="J38" i="1"/>
  <c r="J39" i="1" s="1"/>
  <c r="I40" i="1" l="1"/>
  <c r="I43" i="1" s="1"/>
  <c r="J40" i="1"/>
  <c r="J43" i="1" s="1"/>
  <c r="O55" i="1"/>
  <c r="N65" i="1"/>
  <c r="P48" i="4"/>
  <c r="P49" i="4" s="1"/>
  <c r="H39" i="1"/>
  <c r="H40" i="1" s="1"/>
  <c r="H43" i="1" s="1"/>
  <c r="Q45" i="4"/>
  <c r="Q46" i="4" s="1"/>
  <c r="Q47" i="4" s="1"/>
  <c r="G52" i="4" s="1"/>
  <c r="K38" i="1"/>
  <c r="K39" i="1" s="1"/>
  <c r="K40" i="1" s="1"/>
  <c r="K43" i="1" s="1"/>
  <c r="P55" i="1" l="1"/>
  <c r="O65" i="1"/>
  <c r="Q48" i="4"/>
  <c r="Q49" i="4" s="1"/>
  <c r="G55" i="4" s="1"/>
  <c r="R46" i="4"/>
  <c r="H44" i="1"/>
  <c r="H45" i="1" s="1"/>
  <c r="M38" i="1"/>
  <c r="M39" i="1" s="1"/>
  <c r="M40" i="1" s="1"/>
  <c r="M43" i="1" s="1"/>
  <c r="I44" i="1" l="1"/>
  <c r="J44" i="1" s="1"/>
  <c r="J45" i="1" s="1"/>
  <c r="Q55" i="1"/>
  <c r="R55" i="1" s="1"/>
  <c r="R65" i="1" s="1"/>
  <c r="P65" i="1"/>
  <c r="N35" i="1"/>
  <c r="N40" i="1" s="1"/>
  <c r="N43" i="1" s="1"/>
  <c r="L35" i="1"/>
  <c r="R35" i="1" l="1"/>
  <c r="R38" i="1" s="1"/>
  <c r="Q65" i="1"/>
  <c r="Q35" i="1" s="1"/>
  <c r="Q38" i="1" s="1"/>
  <c r="Q39" i="1" s="1"/>
  <c r="Q40" i="1" s="1"/>
  <c r="Q43" i="1" s="1"/>
  <c r="K44" i="1"/>
  <c r="K45" i="1" s="1"/>
  <c r="I45" i="1"/>
  <c r="O35" i="1"/>
  <c r="L38" i="1"/>
  <c r="L39" i="1" s="1"/>
  <c r="R39" i="1" l="1"/>
  <c r="R40" i="1" s="1"/>
  <c r="R43" i="1" s="1"/>
  <c r="P35" i="1"/>
  <c r="S37" i="1"/>
  <c r="O38" i="1"/>
  <c r="O39" i="1" s="1"/>
  <c r="O40" i="1" s="1"/>
  <c r="O43" i="1" s="1"/>
  <c r="L40" i="1"/>
  <c r="L43" i="1" s="1"/>
  <c r="S34" i="1" l="1"/>
  <c r="S35" i="1" s="1"/>
  <c r="P38" i="1"/>
  <c r="L44" i="1"/>
  <c r="L45" i="1" l="1"/>
  <c r="P39" i="1"/>
  <c r="S38" i="1"/>
  <c r="M44" i="1"/>
  <c r="M45" i="1" l="1"/>
  <c r="P40" i="1"/>
  <c r="P43" i="1" s="1"/>
  <c r="G49" i="1" s="1"/>
  <c r="S39" i="1"/>
  <c r="S40" i="1" s="1"/>
  <c r="N44" i="1"/>
  <c r="N45" i="1" s="1"/>
  <c r="G48" i="1" l="1"/>
  <c r="M15" i="8" s="1"/>
  <c r="S43" i="1"/>
  <c r="M16" i="8"/>
  <c r="O44" i="1"/>
  <c r="P44" i="1" s="1"/>
  <c r="Q44" i="1" s="1"/>
  <c r="R44" i="1" s="1"/>
  <c r="O45" i="1" l="1"/>
  <c r="P45" i="1"/>
  <c r="R45" i="1"/>
  <c r="G51" i="1" l="1"/>
  <c r="M18" i="8" s="1"/>
</calcChain>
</file>

<file path=xl/sharedStrings.xml><?xml version="1.0" encoding="utf-8"?>
<sst xmlns="http://schemas.openxmlformats.org/spreadsheetml/2006/main" count="293" uniqueCount="129">
  <si>
    <t>Assumption:</t>
  </si>
  <si>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</si>
  <si>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</si>
  <si>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</si>
  <si>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</si>
  <si>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</si>
  <si>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</si>
  <si>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</si>
  <si>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</si>
  <si>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</si>
  <si>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</si>
  <si>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</si>
  <si>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</si>
  <si>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</si>
  <si>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</si>
  <si>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</si>
  <si>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</si>
  <si>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</si>
  <si>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</si>
  <si>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</si>
  <si>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</si>
  <si>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</si>
  <si>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</si>
  <si>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</si>
  <si>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</si>
  <si>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</si>
  <si>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</si>
  <si>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</si>
  <si>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</si>
  <si>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</si>
  <si>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</si>
  <si>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</si>
  <si>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</si>
  <si>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</si>
  <si>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</si>
  <si>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</si>
  <si>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</si>
  <si>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</si>
  <si>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</si>
  <si>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</si>
  <si>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</si>
  <si>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</si>
  <si>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</si>
  <si>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</si>
  <si>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</si>
  <si>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</si>
  <si>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</si>
  <si>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</si>
  <si>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Maintenance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</si>
  <si>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</si>
  <si>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</si>
  <si>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</si>
  <si>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</si>
  <si>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</si>
  <si>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</si>
  <si>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</si>
  <si>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</si>
  <si>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</si>
  <si>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</si>
  <si>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</si>
  <si>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</si>
  <si>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</si>
  <si>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</si>
  <si>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AEON DELTAMAS</t>
  </si>
  <si>
    <t>loan</t>
  </si>
  <si>
    <t>Period  (thn)</t>
  </si>
  <si>
    <t>Installment/thn</t>
  </si>
  <si>
    <t>Loan balance</t>
  </si>
  <si>
    <t>Interest</t>
  </si>
  <si>
    <t>Deposito Rate</t>
  </si>
  <si>
    <t>Accumulated FCF after Interest</t>
  </si>
  <si>
    <t>FCFF after Interest</t>
  </si>
  <si>
    <t>Loan balance1</t>
  </si>
  <si>
    <t>Loan balance2</t>
  </si>
  <si>
    <t>Interest1</t>
  </si>
  <si>
    <t>Interest2</t>
  </si>
  <si>
    <t>Total Interest</t>
  </si>
  <si>
    <t>loan u/ capex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</si>
  <si>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</si>
  <si>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</si>
  <si>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</si>
  <si>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</si>
  <si>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</si>
  <si>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</si>
  <si>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</si>
  <si>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</si>
  <si>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</si>
  <si>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</si>
  <si>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</si>
  <si>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</si>
  <si>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</si>
  <si>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</si>
  <si>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</si>
  <si>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</si>
  <si>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</si>
  <si>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</si>
  <si>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</si>
  <si>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</si>
  <si>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</si>
  <si>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</si>
  <si>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</si>
  <si>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</si>
  <si>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</si>
  <si>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</si>
  <si>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</si>
  <si>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BTS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</si>
  <si>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</si>
  <si>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</si>
  <si>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</si>
  <si>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</si>
  <si>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</si>
  <si>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</si>
  <si>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</si>
  <si>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</si>
  <si>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Increase every year, start based 50 mil</t>
  </si>
  <si>
    <t>General Asumption</t>
  </si>
  <si>
    <t>NO :  0001/01/IRR/IBC/V/2023</t>
  </si>
  <si>
    <t>0026/03/IRR/IBC/XI/2023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</si>
  <si>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</si>
  <si>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</si>
  <si>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</si>
  <si>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</si>
  <si>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</si>
  <si>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</si>
  <si>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</si>
  <si>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Total Capex CME</t>
  </si>
  <si>
    <t>House Of Sacrifice Medan</t>
  </si>
  <si>
    <t>Hall</t>
  </si>
  <si>
    <t>Medan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</si>
</sst>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3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2">
    <xf numFmtId="0" fontId="0" fillId="0" borderId="0"/>
    <xf numFmtId="166" fontId="8" fillId="0" borderId="0" applyFont="0" applyFill="0" applyBorder="0" applyAlignment="0" applyProtection="0"/>
    <xf numFmtId="41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7" fillId="0" borderId="0"/>
    <xf numFmtId="0" fontId="25" fillId="0" borderId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5" fontId="9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9" fillId="0" borderId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2" fillId="0" borderId="0"/>
    <xf numFmtId="166" fontId="32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2" fillId="0" borderId="0"/>
    <xf numFmtId="165" fontId="2" fillId="0" borderId="0" applyFont="0" applyFill="0" applyBorder="0" applyAlignment="0" applyProtection="0"/>
    <xf numFmtId="0" fontId="1" fillId="0" borderId="0"/>
    <xf numFmtId="17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186">
    <xf numFmtId="0" fontId="0" fillId="0" borderId="0" xfId="0"/>
    <xf numFmtId="0" fontId="10" fillId="0" borderId="0" xfId="0" applyFont="1"/>
    <xf numFmtId="0" fontId="0" fillId="0" borderId="0" xfId="0" applyAlignment="1">
      <alignment vertical="center"/>
    </xf>
    <xf numFmtId="0" fontId="11" fillId="0" borderId="0" xfId="0" applyFont="1"/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0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0" fillId="0" borderId="4" xfId="0" applyFont="1" applyBorder="1"/>
    <xf numFmtId="0" fontId="0" fillId="0" borderId="4" xfId="0" applyBorder="1"/>
    <xf numFmtId="167" fontId="10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0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0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41" fontId="23" fillId="0" borderId="9" xfId="0" applyNumberFormat="1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0" fillId="0" borderId="12" xfId="0" applyFont="1" applyBorder="1"/>
    <xf numFmtId="41" fontId="10" fillId="0" borderId="12" xfId="0" applyNumberFormat="1" applyFont="1" applyBorder="1" applyAlignment="1">
      <alignment vertical="center"/>
    </xf>
    <xf numFmtId="167" fontId="9" fillId="0" borderId="0" xfId="17" applyNumberFormat="1" applyFont="1"/>
    <xf numFmtId="41" fontId="0" fillId="0" borderId="0" xfId="2" applyFont="1" applyAlignment="1">
      <alignment vertical="center"/>
    </xf>
    <xf numFmtId="41" fontId="9" fillId="0" borderId="0" xfId="2" applyFont="1" applyFill="1"/>
    <xf numFmtId="167" fontId="0" fillId="4" borderId="0" xfId="0" applyNumberFormat="1" applyFill="1" applyAlignment="1">
      <alignment vertical="center"/>
    </xf>
    <xf numFmtId="0" fontId="23" fillId="5" borderId="1" xfId="0" applyFont="1" applyFill="1" applyBorder="1" applyAlignment="1">
      <alignment horizontal="center"/>
    </xf>
    <xf numFmtId="0" fontId="14" fillId="5" borderId="0" xfId="0" applyFont="1" applyFill="1"/>
    <xf numFmtId="41" fontId="14" fillId="5" borderId="0" xfId="0" applyNumberFormat="1" applyFont="1" applyFill="1" applyAlignment="1">
      <alignment vertical="center"/>
    </xf>
    <xf numFmtId="41" fontId="23" fillId="5" borderId="12" xfId="0" applyNumberFormat="1" applyFont="1" applyFill="1" applyBorder="1" applyAlignment="1">
      <alignment vertical="center"/>
    </xf>
    <xf numFmtId="166" fontId="24" fillId="5" borderId="0" xfId="1" applyFont="1" applyFill="1"/>
    <xf numFmtId="41" fontId="14" fillId="5" borderId="0" xfId="0" applyNumberFormat="1" applyFont="1" applyFill="1" applyBorder="1" applyAlignment="1">
      <alignment vertical="center"/>
    </xf>
    <xf numFmtId="41" fontId="10" fillId="5" borderId="0" xfId="0" applyNumberFormat="1" applyFont="1" applyFill="1" applyAlignment="1">
      <alignment vertical="center"/>
    </xf>
    <xf numFmtId="9" fontId="20" fillId="5" borderId="0" xfId="3" applyFont="1" applyFill="1" applyAlignment="1">
      <alignment vertical="center"/>
    </xf>
    <xf numFmtId="41" fontId="14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6" fontId="0" fillId="5" borderId="2" xfId="1" applyFont="1" applyFill="1" applyBorder="1"/>
    <xf numFmtId="38" fontId="0" fillId="5" borderId="0" xfId="0" applyNumberFormat="1" applyFill="1"/>
    <xf numFmtId="167" fontId="18" fillId="5" borderId="0" xfId="1" applyNumberFormat="1" applyFont="1" applyFill="1"/>
    <xf numFmtId="0" fontId="14" fillId="0" borderId="0" xfId="0" applyFont="1"/>
    <xf numFmtId="41" fontId="23" fillId="0" borderId="4" xfId="0" applyNumberFormat="1" applyFont="1" applyBorder="1"/>
    <xf numFmtId="41" fontId="23" fillId="0" borderId="0" xfId="0" applyNumberFormat="1" applyFont="1" applyBorder="1"/>
    <xf numFmtId="41" fontId="26" fillId="0" borderId="0" xfId="0" applyNumberFormat="1" applyFont="1" applyBorder="1"/>
    <xf numFmtId="41" fontId="10" fillId="5" borderId="12" xfId="0" applyNumberFormat="1" applyFont="1" applyFill="1" applyBorder="1" applyAlignment="1">
      <alignment vertical="center"/>
    </xf>
    <xf numFmtId="41" fontId="23" fillId="0" borderId="0" xfId="0" applyNumberFormat="1" applyFont="1" applyFill="1" applyBorder="1"/>
    <xf numFmtId="41" fontId="17" fillId="0" borderId="0" xfId="0" applyNumberFormat="1" applyFont="1" applyFill="1" applyBorder="1"/>
    <xf numFmtId="41" fontId="23" fillId="0" borderId="0" xfId="0" applyNumberFormat="1" applyFont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41" fontId="0" fillId="5" borderId="0" xfId="2" applyFont="1" applyFill="1" applyBorder="1"/>
    <xf numFmtId="9" fontId="27" fillId="0" borderId="0" xfId="0" applyNumberFormat="1" applyFont="1"/>
    <xf numFmtId="9" fontId="23" fillId="0" borderId="7" xfId="0" applyNumberFormat="1" applyFont="1" applyBorder="1"/>
    <xf numFmtId="0" fontId="28" fillId="0" borderId="0" xfId="0" applyFont="1" applyAlignment="1">
      <alignment horizontal="right" vertical="top"/>
    </xf>
    <xf numFmtId="9" fontId="0" fillId="0" borderId="0" xfId="0" applyNumberFormat="1"/>
    <xf numFmtId="41" fontId="0" fillId="0" borderId="0" xfId="2" applyFont="1" applyFill="1"/>
    <xf numFmtId="0" fontId="27" fillId="0" borderId="0" xfId="0" applyFont="1"/>
    <xf numFmtId="38" fontId="27" fillId="0" borderId="0" xfId="0" applyNumberFormat="1" applyFont="1"/>
    <xf numFmtId="167" fontId="29" fillId="0" borderId="0" xfId="1" applyNumberFormat="1" applyFont="1"/>
    <xf numFmtId="168" fontId="29" fillId="0" borderId="0" xfId="1" applyNumberFormat="1" applyFont="1"/>
    <xf numFmtId="167" fontId="29" fillId="5" borderId="0" xfId="1" applyNumberFormat="1" applyFont="1" applyFill="1"/>
    <xf numFmtId="0" fontId="27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41" fontId="27" fillId="0" borderId="0" xfId="0" applyNumberFormat="1" applyFont="1"/>
    <xf numFmtId="41" fontId="0" fillId="0" borderId="0" xfId="2" applyFont="1"/>
    <xf numFmtId="0" fontId="0" fillId="0" borderId="0" xfId="0" applyFont="1"/>
    <xf numFmtId="0" fontId="10" fillId="0" borderId="0" xfId="0" applyFont="1" applyBorder="1"/>
    <xf numFmtId="0" fontId="0" fillId="0" borderId="0" xfId="0" applyFont="1" applyBorder="1"/>
    <xf numFmtId="0" fontId="31" fillId="0" borderId="0" xfId="0" applyFont="1"/>
    <xf numFmtId="0" fontId="30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0" fillId="0" borderId="19" xfId="2" applyNumberFormat="1" applyFont="1" applyBorder="1"/>
    <xf numFmtId="9" fontId="10" fillId="0" borderId="18" xfId="2" applyNumberFormat="1" applyFont="1" applyBorder="1"/>
    <xf numFmtId="169" fontId="10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0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0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0" fontId="0" fillId="0" borderId="18" xfId="0" applyFont="1" applyBorder="1" applyAlignment="1">
      <alignment horizontal="left" vertical="justify" wrapText="1"/>
    </xf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0" fillId="0" borderId="23" xfId="0" applyFont="1" applyBorder="1" applyAlignment="1">
      <alignment horizontal="left"/>
    </xf>
    <xf numFmtId="0" fontId="0" fillId="0" borderId="23" xfId="0" applyFont="1" applyBorder="1"/>
    <xf numFmtId="0" fontId="10" fillId="0" borderId="16" xfId="0" applyFont="1" applyBorder="1"/>
    <xf numFmtId="0" fontId="0" fillId="0" borderId="17" xfId="0" applyFont="1" applyBorder="1"/>
    <xf numFmtId="14" fontId="10" fillId="0" borderId="0" xfId="0" applyNumberFormat="1" applyFont="1" applyBorder="1" applyAlignment="1"/>
    <xf numFmtId="0" fontId="0" fillId="0" borderId="0" xfId="0" applyFont="1" applyBorder="1" applyAlignment="1">
      <alignment horizontal="left" indent="1"/>
    </xf>
    <xf numFmtId="165" fontId="0" fillId="5" borderId="2" xfId="1" applyNumberFormat="1" applyFont="1" applyFill="1" applyBorder="1"/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4" fillId="0" borderId="0" xfId="0" applyFont="1" applyFill="1" applyBorder="1"/>
    <xf numFmtId="38" fontId="23" fillId="0" borderId="9" xfId="0" applyNumberFormat="1" applyFont="1" applyBorder="1"/>
    <xf numFmtId="38" fontId="10" fillId="0" borderId="18" xfId="2" applyNumberFormat="1" applyFont="1" applyBorder="1"/>
    <xf numFmtId="41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21" xfId="0" applyFont="1" applyFill="1" applyBorder="1" applyAlignment="1" applyProtection="1">
      <alignment horizontal="left" indent="1"/>
    </xf>
    <xf numFmtId="0" fontId="10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0" fillId="0" borderId="13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0" fillId="0" borderId="17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0" fillId="0" borderId="0" xfId="0" applyFont="1" applyBorder="1" applyAlignment="1">
      <alignment horizontal="left"/>
    </xf>
    <xf numFmtId="0" fontId="10" fillId="0" borderId="16" xfId="0" applyFont="1" applyFill="1" applyBorder="1" applyAlignment="1" applyProtection="1">
      <alignment horizontal="left" indent="1"/>
    </xf>
    <xf numFmtId="0" fontId="10" fillId="0" borderId="17" xfId="0" applyFont="1" applyFill="1" applyBorder="1" applyAlignment="1" applyProtection="1">
      <alignment horizontal="left" indent="1"/>
    </xf>
    <xf numFmtId="0" fontId="10" fillId="0" borderId="20" xfId="0" applyFont="1" applyFill="1" applyBorder="1" applyAlignment="1" applyProtection="1">
      <alignment horizontal="left" indent="1"/>
    </xf>
    <xf numFmtId="0" fontId="10" fillId="0" borderId="0" xfId="0" applyFont="1" applyFill="1" applyBorder="1" applyAlignment="1" applyProtection="1">
      <alignment horizontal="left" indent="1"/>
    </xf>
    <xf numFmtId="0" fontId="10" fillId="0" borderId="17" xfId="0" applyFont="1" applyBorder="1" applyAlignment="1">
      <alignment horizontal="center"/>
    </xf>
    <xf numFmtId="0" fontId="0" fillId="0" borderId="17" xfId="0" applyFont="1" applyFill="1" applyBorder="1" applyAlignment="1" applyProtection="1">
      <alignment horizontal="left" indent="1"/>
    </xf>
    <xf numFmtId="41" fontId="0" fillId="0" borderId="17" xfId="2" applyFont="1" applyBorder="1"/>
  </cellXfs>
  <cellStyles count="32">
    <cellStyle name="Comma" xfId="1" builtinId="3"/>
    <cellStyle name="Comma [0]" xfId="2" builtinId="6"/>
    <cellStyle name="Comma [0] 2" xfId="9" xr:uid="{00000000-0005-0000-0000-000002000000}"/>
    <cellStyle name="Comma [0] 3" xfId="27" xr:uid="{C71C9FCB-3E49-4F66-898E-97B8E406662D}"/>
    <cellStyle name="Comma [0] 4" xfId="31" xr:uid="{E20D87DA-75A3-479C-B3AC-DCE8BBA736C4}"/>
    <cellStyle name="Comma 2" xfId="7" xr:uid="{00000000-0005-0000-0000-000003000000}"/>
    <cellStyle name="Comma 2 3" xfId="22" xr:uid="{BD9AA651-5915-464E-AF6F-54CADA5616E8}"/>
    <cellStyle name="Comma 3" xfId="10" xr:uid="{00000000-0005-0000-0000-000004000000}"/>
    <cellStyle name="Comma 3 2" xfId="11" xr:uid="{00000000-0005-0000-0000-000005000000}"/>
    <cellStyle name="Comma 4" xfId="12" xr:uid="{00000000-0005-0000-0000-000006000000}"/>
    <cellStyle name="Comma 5" xfId="18" xr:uid="{1B295111-7F03-46F3-8446-BF4682724DAE}"/>
    <cellStyle name="Comma 5 2" xfId="19" xr:uid="{39DBC9BA-5AAD-4735-A87C-08F7D50D1B0D}"/>
    <cellStyle name="Comma 6" xfId="20" xr:uid="{FA487CDF-F925-419A-8DF3-BEACF37A2941}"/>
    <cellStyle name="Currency [0] 2" xfId="25" xr:uid="{83FBE8A1-1AF9-4424-9D29-17CB2CA90B21}"/>
    <cellStyle name="Currency [0] 3" xfId="30" xr:uid="{5405A402-8636-44C4-8685-BF2BBD7DFF89}"/>
    <cellStyle name="Currency 2" xfId="24" xr:uid="{E77C7892-DF85-4236-874E-3F4060C30FCC}"/>
    <cellStyle name="Currency 3" xfId="29" xr:uid="{76780268-E12F-43B2-BE08-8EC78DAB9D62}"/>
    <cellStyle name="Normal" xfId="0" builtinId="0"/>
    <cellStyle name="Normal 2" xfId="5" xr:uid="{00000000-0005-0000-0000-000008000000}"/>
    <cellStyle name="Normal 2 2" xfId="6" xr:uid="{00000000-0005-0000-0000-000009000000}"/>
    <cellStyle name="Normal 2 2 2 2 3" xfId="17" xr:uid="{00000000-0005-0000-0000-00000A000000}"/>
    <cellStyle name="Normal 2 7" xfId="21" xr:uid="{4928E9D9-06B6-4391-AC87-87399AFA1611}"/>
    <cellStyle name="Normal 3" xfId="13" xr:uid="{00000000-0005-0000-0000-00000B000000}"/>
    <cellStyle name="Normal 3 2" xfId="14" xr:uid="{00000000-0005-0000-0000-00000C000000}"/>
    <cellStyle name="Normal 3 3" xfId="26" xr:uid="{AC8A7F36-2672-4DFE-B34C-7C8B1240D2C3}"/>
    <cellStyle name="Normal 4" xfId="23" xr:uid="{975B59E7-EA7C-4DEA-8171-504FC9BCFF4C}"/>
    <cellStyle name="Normal 5" xfId="28" xr:uid="{2427ACD3-D7E4-41E2-9E94-3537A53D7AB8}"/>
    <cellStyle name="Percent" xfId="3" builtinId="5"/>
    <cellStyle name="Percent 2" xfId="8" xr:uid="{00000000-0005-0000-0000-00000E000000}"/>
    <cellStyle name="Percent 2 2" xfId="4" xr:uid="{00000000-0005-0000-0000-00000F000000}"/>
    <cellStyle name="Percent 3" xfId="15" xr:uid="{00000000-0005-0000-0000-000010000000}"/>
    <cellStyle name="Percent 3 2" xfId="16" xr:uid="{00000000-0005-0000-0000-000011000000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</xdr:colOff>
      <xdr:row>77</xdr:row>
      <xdr:rowOff>31750</xdr:rowOff>
    </xdr:from>
    <xdr:to>
      <xdr:col>3</xdr:col>
      <xdr:colOff>1842500</xdr:colOff>
      <xdr:row>77</xdr:row>
      <xdr:rowOff>31750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EEC6D48B-E57E-45EA-913B-EFDFAAC35246}"/>
            </a:ext>
          </a:extLst>
        </xdr:cNvPr>
        <xdr:cNvCxnSpPr/>
      </xdr:nvCxnSpPr>
      <xdr:spPr>
        <a:xfrm flipV="1">
          <a:off x="620395" y="15012670"/>
          <a:ext cx="216889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1978025</xdr:colOff>
      <xdr:row>77</xdr:row>
      <xdr:rowOff>41275</xdr:rowOff>
    </xdr:from>
    <xdr:to>
      <xdr:col>6</xdr:col>
      <xdr:colOff>931275</xdr:colOff>
      <xdr:row>77</xdr:row>
      <xdr:rowOff>41275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53C6473-91E1-4A35-B9BE-5903657E293C}"/>
            </a:ext>
          </a:extLst>
        </xdr:cNvPr>
        <xdr:cNvCxnSpPr/>
      </xdr:nvCxnSpPr>
      <xdr:spPr>
        <a:xfrm flipV="1">
          <a:off x="2921000" y="15024100"/>
          <a:ext cx="215746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1098550</xdr:colOff>
      <xdr:row>77</xdr:row>
      <xdr:rowOff>50800</xdr:rowOff>
    </xdr:from>
    <xdr:to>
      <xdr:col>8</xdr:col>
      <xdr:colOff>623300</xdr:colOff>
      <xdr:row>77</xdr:row>
      <xdr:rowOff>50800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5B19F57-5E03-4914-89DA-07A1FAA52932}"/>
            </a:ext>
          </a:extLst>
        </xdr:cNvPr>
        <xdr:cNvCxnSpPr/>
      </xdr:nvCxnSpPr>
      <xdr:spPr>
        <a:xfrm flipV="1">
          <a:off x="5240020" y="15037435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822325</xdr:colOff>
      <xdr:row>77</xdr:row>
      <xdr:rowOff>28575</xdr:rowOff>
    </xdr:from>
    <xdr:to>
      <xdr:col>10</xdr:col>
      <xdr:colOff>426450</xdr:colOff>
      <xdr:row>77</xdr:row>
      <xdr:rowOff>28575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F17D26C-84D4-4CD7-A61C-B5CBD3E7765C}"/>
            </a:ext>
          </a:extLst>
        </xdr:cNvPr>
        <xdr:cNvCxnSpPr/>
      </xdr:nvCxnSpPr>
      <xdr:spPr>
        <a:xfrm flipV="1">
          <a:off x="7590790" y="15009495"/>
          <a:ext cx="216254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561975</xdr:colOff>
      <xdr:row>77</xdr:row>
      <xdr:rowOff>38100</xdr:rowOff>
    </xdr:from>
    <xdr:to>
      <xdr:col>12</xdr:col>
      <xdr:colOff>308975</xdr:colOff>
      <xdr:row>77</xdr:row>
      <xdr:rowOff>38100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6F58EC0E-AEA0-4427-9F80-9CAD9B12B0EC}"/>
            </a:ext>
          </a:extLst>
        </xdr:cNvPr>
        <xdr:cNvCxnSpPr/>
      </xdr:nvCxnSpPr>
      <xdr:spPr>
        <a:xfrm flipV="1">
          <a:off x="9885045" y="15020925"/>
          <a:ext cx="216063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412750</xdr:colOff>
      <xdr:row>77</xdr:row>
      <xdr:rowOff>15875</xdr:rowOff>
    </xdr:from>
    <xdr:to>
      <xdr:col>14</xdr:col>
      <xdr:colOff>128000</xdr:colOff>
      <xdr:row>77</xdr:row>
      <xdr:rowOff>15875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9A8A1DD-64CD-41E5-9C41-068ECE37E787}"/>
            </a:ext>
          </a:extLst>
        </xdr:cNvPr>
        <xdr:cNvCxnSpPr/>
      </xdr:nvCxnSpPr>
      <xdr:spPr>
        <a:xfrm flipV="1">
          <a:off x="12145645" y="15002510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75</xdr:row>
      <xdr:rowOff>63500</xdr:rowOff>
    </xdr:from>
    <xdr:to>
      <xdr:col>3</xdr:col>
      <xdr:colOff>1190625</xdr:colOff>
      <xdr:row>76</xdr:row>
      <xdr:rowOff>158750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1F6973F-5980-4C7B-86F0-86174B1CD8B8}"/>
            </a:ext>
          </a:extLst>
        </xdr:cNvPr>
        <xdr:cNvSpPr txBox="1"/>
      </xdr:nvSpPr>
      <xdr:spPr>
        <a:xfrm>
          <a:off x="1415415" y="14642465"/>
          <a:ext cx="720090" cy="3009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Alpha</a:t>
          </a:r>
        </a:p>
      </xdr:txBody>
    </xdr:sp>
    <xdr:clientData/>
  </xdr:twoCellAnchor>
  <xdr:twoCellAnchor>
    <xdr:from>
      <xdr:col>4</xdr:col>
      <xdr:colOff>533400</xdr:colOff>
      <xdr:row>75</xdr:row>
      <xdr:rowOff>88900</xdr:rowOff>
    </xdr:from>
    <xdr:to>
      <xdr:col>6</xdr:col>
      <xdr:colOff>215900</xdr:colOff>
      <xdr:row>76</xdr:row>
      <xdr:rowOff>184150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CFA84890-9EFC-4D80-9654-676CDEBDF6D3}"/>
            </a:ext>
          </a:extLst>
        </xdr:cNvPr>
        <xdr:cNvSpPr txBox="1"/>
      </xdr:nvSpPr>
      <xdr:spPr>
        <a:xfrm>
          <a:off x="3648075" y="14675485"/>
          <a:ext cx="70739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Lilis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7</xdr:col>
      <xdr:colOff>542925</xdr:colOff>
      <xdr:row>75</xdr:row>
      <xdr:rowOff>98425</xdr:rowOff>
    </xdr:from>
    <xdr:to>
      <xdr:col>8</xdr:col>
      <xdr:colOff>142875</xdr:colOff>
      <xdr:row>77</xdr:row>
      <xdr:rowOff>15875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ED867C1-A457-4450-9CF6-E8EEBE406157}"/>
            </a:ext>
          </a:extLst>
        </xdr:cNvPr>
        <xdr:cNvSpPr txBox="1"/>
      </xdr:nvSpPr>
      <xdr:spPr>
        <a:xfrm>
          <a:off x="5974080" y="14677390"/>
          <a:ext cx="939165" cy="3251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Gaga H</a:t>
          </a:r>
        </a:p>
      </xdr:txBody>
    </xdr:sp>
    <xdr:clientData/>
  </xdr:twoCellAnchor>
  <xdr:twoCellAnchor>
    <xdr:from>
      <xdr:col>8</xdr:col>
      <xdr:colOff>1301750</xdr:colOff>
      <xdr:row>75</xdr:row>
      <xdr:rowOff>79375</xdr:rowOff>
    </xdr:from>
    <xdr:to>
      <xdr:col>9</xdr:col>
      <xdr:colOff>1031875</xdr:colOff>
      <xdr:row>77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1D001F2E-3598-41C9-9673-2A0C2361E680}"/>
            </a:ext>
          </a:extLst>
        </xdr:cNvPr>
        <xdr:cNvSpPr txBox="1"/>
      </xdr:nvSpPr>
      <xdr:spPr>
        <a:xfrm>
          <a:off x="8075930" y="14662150"/>
          <a:ext cx="1090295" cy="32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Robert P</a:t>
          </a:r>
        </a:p>
      </xdr:txBody>
    </xdr:sp>
    <xdr:clientData/>
  </xdr:twoCellAnchor>
  <xdr:twoCellAnchor>
    <xdr:from>
      <xdr:col>11</xdr:col>
      <xdr:colOff>127000</xdr:colOff>
      <xdr:row>75</xdr:row>
      <xdr:rowOff>111125</xdr:rowOff>
    </xdr:from>
    <xdr:to>
      <xdr:col>11</xdr:col>
      <xdr:colOff>841375</xdr:colOff>
      <xdr:row>77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F6C54FE-3956-43F1-BF96-C25BAB8C65AC}"/>
            </a:ext>
          </a:extLst>
        </xdr:cNvPr>
        <xdr:cNvSpPr txBox="1"/>
      </xdr:nvSpPr>
      <xdr:spPr>
        <a:xfrm>
          <a:off x="10646410" y="14693900"/>
          <a:ext cx="710565" cy="288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Anni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12</xdr:col>
      <xdr:colOff>777875</xdr:colOff>
      <xdr:row>75</xdr:row>
      <xdr:rowOff>73025</xdr:rowOff>
    </xdr:from>
    <xdr:to>
      <xdr:col>13</xdr:col>
      <xdr:colOff>803275</xdr:colOff>
      <xdr:row>77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225B87E5-23A9-41D4-8088-8CA21B31C198}"/>
            </a:ext>
          </a:extLst>
        </xdr:cNvPr>
        <xdr:cNvSpPr txBox="1"/>
      </xdr:nvSpPr>
      <xdr:spPr>
        <a:xfrm>
          <a:off x="12516485" y="14655800"/>
          <a:ext cx="1240790" cy="32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Makmur J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</xdr:colOff>
      <xdr:row>74</xdr:row>
      <xdr:rowOff>31750</xdr:rowOff>
    </xdr:from>
    <xdr:to>
      <xdr:col>3</xdr:col>
      <xdr:colOff>1842500</xdr:colOff>
      <xdr:row>74</xdr:row>
      <xdr:rowOff>31750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900ECF5-D03C-4F2A-8652-03800416EA6D}"/>
            </a:ext>
          </a:extLst>
        </xdr:cNvPr>
        <xdr:cNvCxnSpPr/>
      </xdr:nvCxnSpPr>
      <xdr:spPr>
        <a:xfrm flipV="1">
          <a:off x="620395" y="16012795"/>
          <a:ext cx="216889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1978025</xdr:colOff>
      <xdr:row>74</xdr:row>
      <xdr:rowOff>41275</xdr:rowOff>
    </xdr:from>
    <xdr:to>
      <xdr:col>6</xdr:col>
      <xdr:colOff>931275</xdr:colOff>
      <xdr:row>74</xdr:row>
      <xdr:rowOff>41275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3EF87F3-3FAB-4CFC-9A38-83DE35442800}"/>
            </a:ext>
          </a:extLst>
        </xdr:cNvPr>
        <xdr:cNvCxnSpPr/>
      </xdr:nvCxnSpPr>
      <xdr:spPr>
        <a:xfrm flipV="1">
          <a:off x="2921000" y="16024225"/>
          <a:ext cx="215746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1098550</xdr:colOff>
      <xdr:row>74</xdr:row>
      <xdr:rowOff>50800</xdr:rowOff>
    </xdr:from>
    <xdr:to>
      <xdr:col>8</xdr:col>
      <xdr:colOff>623300</xdr:colOff>
      <xdr:row>74</xdr:row>
      <xdr:rowOff>50800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D1A4C850-B5D0-4540-BB9C-3F1A900CA3DA}"/>
            </a:ext>
          </a:extLst>
        </xdr:cNvPr>
        <xdr:cNvCxnSpPr/>
      </xdr:nvCxnSpPr>
      <xdr:spPr>
        <a:xfrm flipV="1">
          <a:off x="5240020" y="16037560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822325</xdr:colOff>
      <xdr:row>74</xdr:row>
      <xdr:rowOff>28575</xdr:rowOff>
    </xdr:from>
    <xdr:to>
      <xdr:col>10</xdr:col>
      <xdr:colOff>426450</xdr:colOff>
      <xdr:row>74</xdr:row>
      <xdr:rowOff>28575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1845975E-CACD-45CB-A18D-5FEB1493DC3A}"/>
            </a:ext>
          </a:extLst>
        </xdr:cNvPr>
        <xdr:cNvCxnSpPr/>
      </xdr:nvCxnSpPr>
      <xdr:spPr>
        <a:xfrm flipV="1">
          <a:off x="7590790" y="16009620"/>
          <a:ext cx="2162540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561975</xdr:colOff>
      <xdr:row>74</xdr:row>
      <xdr:rowOff>38100</xdr:rowOff>
    </xdr:from>
    <xdr:to>
      <xdr:col>12</xdr:col>
      <xdr:colOff>308975</xdr:colOff>
      <xdr:row>74</xdr:row>
      <xdr:rowOff>38100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7C878BF1-EAC3-4FC1-9277-680EE5C8471C}"/>
            </a:ext>
          </a:extLst>
        </xdr:cNvPr>
        <xdr:cNvCxnSpPr/>
      </xdr:nvCxnSpPr>
      <xdr:spPr>
        <a:xfrm flipV="1">
          <a:off x="9885045" y="16021050"/>
          <a:ext cx="216063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412750</xdr:colOff>
      <xdr:row>74</xdr:row>
      <xdr:rowOff>15875</xdr:rowOff>
    </xdr:from>
    <xdr:to>
      <xdr:col>14</xdr:col>
      <xdr:colOff>128000</xdr:colOff>
      <xdr:row>74</xdr:row>
      <xdr:rowOff>15875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D69B6C8-C582-425B-B9E1-819482FB474C}"/>
            </a:ext>
          </a:extLst>
        </xdr:cNvPr>
        <xdr:cNvCxnSpPr/>
      </xdr:nvCxnSpPr>
      <xdr:spPr>
        <a:xfrm flipV="1">
          <a:off x="12145645" y="16002635"/>
          <a:ext cx="2159365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72</xdr:row>
      <xdr:rowOff>63500</xdr:rowOff>
    </xdr:from>
    <xdr:to>
      <xdr:col>3</xdr:col>
      <xdr:colOff>1190625</xdr:colOff>
      <xdr:row>73</xdr:row>
      <xdr:rowOff>158750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F05740B2-34A2-4FBB-9A82-E7E4E0A0AFE4}"/>
            </a:ext>
          </a:extLst>
        </xdr:cNvPr>
        <xdr:cNvSpPr txBox="1"/>
      </xdr:nvSpPr>
      <xdr:spPr>
        <a:xfrm>
          <a:off x="1415415" y="15642590"/>
          <a:ext cx="720090" cy="30099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Alpha</a:t>
          </a:r>
        </a:p>
      </xdr:txBody>
    </xdr:sp>
    <xdr:clientData/>
  </xdr:twoCellAnchor>
  <xdr:twoCellAnchor>
    <xdr:from>
      <xdr:col>4</xdr:col>
      <xdr:colOff>533400</xdr:colOff>
      <xdr:row>72</xdr:row>
      <xdr:rowOff>88900</xdr:rowOff>
    </xdr:from>
    <xdr:to>
      <xdr:col>6</xdr:col>
      <xdr:colOff>215900</xdr:colOff>
      <xdr:row>73</xdr:row>
      <xdr:rowOff>184150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17C13A55-1BB3-4425-979C-DFCBA64B6716}"/>
            </a:ext>
          </a:extLst>
        </xdr:cNvPr>
        <xdr:cNvSpPr txBox="1"/>
      </xdr:nvSpPr>
      <xdr:spPr>
        <a:xfrm>
          <a:off x="3648075" y="15675610"/>
          <a:ext cx="707390" cy="28956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Lilis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7</xdr:col>
      <xdr:colOff>542925</xdr:colOff>
      <xdr:row>72</xdr:row>
      <xdr:rowOff>98425</xdr:rowOff>
    </xdr:from>
    <xdr:to>
      <xdr:col>8</xdr:col>
      <xdr:colOff>142875</xdr:colOff>
      <xdr:row>74</xdr:row>
      <xdr:rowOff>15875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C9A7F622-8784-404E-BCFE-B21336F9B812}"/>
            </a:ext>
          </a:extLst>
        </xdr:cNvPr>
        <xdr:cNvSpPr txBox="1"/>
      </xdr:nvSpPr>
      <xdr:spPr>
        <a:xfrm>
          <a:off x="5974080" y="15677515"/>
          <a:ext cx="939165" cy="3251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Gaga H</a:t>
          </a:r>
        </a:p>
      </xdr:txBody>
    </xdr:sp>
    <xdr:clientData/>
  </xdr:twoCellAnchor>
  <xdr:twoCellAnchor>
    <xdr:from>
      <xdr:col>8</xdr:col>
      <xdr:colOff>1301750</xdr:colOff>
      <xdr:row>72</xdr:row>
      <xdr:rowOff>79375</xdr:rowOff>
    </xdr:from>
    <xdr:to>
      <xdr:col>9</xdr:col>
      <xdr:colOff>1031875</xdr:colOff>
      <xdr:row>74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440F73C7-CAE8-4F0D-8ED8-969AF2E81E28}"/>
            </a:ext>
          </a:extLst>
        </xdr:cNvPr>
        <xdr:cNvSpPr txBox="1"/>
      </xdr:nvSpPr>
      <xdr:spPr>
        <a:xfrm>
          <a:off x="8075930" y="15662275"/>
          <a:ext cx="1090295" cy="320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Robert P</a:t>
          </a:r>
        </a:p>
      </xdr:txBody>
    </xdr:sp>
    <xdr:clientData/>
  </xdr:twoCellAnchor>
  <xdr:twoCellAnchor>
    <xdr:from>
      <xdr:col>11</xdr:col>
      <xdr:colOff>127000</xdr:colOff>
      <xdr:row>72</xdr:row>
      <xdr:rowOff>111125</xdr:rowOff>
    </xdr:from>
    <xdr:to>
      <xdr:col>11</xdr:col>
      <xdr:colOff>841375</xdr:colOff>
      <xdr:row>74</xdr:row>
      <xdr:rowOff>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DE0C2B9C-1F7A-4A99-9F18-BD863E00C979}"/>
            </a:ext>
          </a:extLst>
        </xdr:cNvPr>
        <xdr:cNvSpPr txBox="1"/>
      </xdr:nvSpPr>
      <xdr:spPr>
        <a:xfrm>
          <a:off x="10646410" y="15694025"/>
          <a:ext cx="710565" cy="288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Anni</a:t>
          </a:r>
          <a:r>
            <a:rPr lang="en-US" sz="1600" baseline="0"/>
            <a:t> S</a:t>
          </a:r>
          <a:endParaRPr lang="en-US" sz="1600"/>
        </a:p>
      </xdr:txBody>
    </xdr:sp>
    <xdr:clientData/>
  </xdr:twoCellAnchor>
  <xdr:twoCellAnchor>
    <xdr:from>
      <xdr:col>12</xdr:col>
      <xdr:colOff>777875</xdr:colOff>
      <xdr:row>72</xdr:row>
      <xdr:rowOff>73025</xdr:rowOff>
    </xdr:from>
    <xdr:to>
      <xdr:col>13</xdr:col>
      <xdr:colOff>803275</xdr:colOff>
      <xdr:row>74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67B35B0A-C2C7-4C25-ACA4-16EFB1C75A33}"/>
            </a:ext>
          </a:extLst>
        </xdr:cNvPr>
        <xdr:cNvSpPr txBox="1"/>
      </xdr:nvSpPr>
      <xdr:spPr>
        <a:xfrm>
          <a:off x="12516485" y="15655925"/>
          <a:ext cx="1240790" cy="327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Makmur J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153428"/>
          <a:ext cx="9411368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partmen%20Season%20CIty/PnL%20Apt.%20Seasons%20City%2029Jan24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Book Value"/>
      <sheetName val="Analisa"/>
      <sheetName val="Summary BR"/>
    </sheetNames>
    <sheetDataSet>
      <sheetData sheetId="0"/>
      <sheetData sheetId="1"/>
      <sheetData sheetId="2">
        <row r="31">
          <cell r="K31">
            <v>25600000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F89E8-A4E8-44FD-9065-DC327C4E364A}">
  <sheetPr codeName="Sheet1">
    <pageSetUpPr fitToPage="1"/>
  </sheetPr>
  <dimension ref="B1:AA85"/>
  <sheetViews>
    <sheetView showGridLines="0" topLeftCell="A22" zoomScale="70" zoomScaleNormal="70" workbookViewId="0">
      <selection activeCell="H36" sqref="H36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28.5" customWidth="1"/>
    <col min="5" max="5" width="7.08203125" bestFit="1" customWidth="1"/>
    <col min="6" max="6" width="6.08203125" customWidth="1"/>
    <col min="7" max="7" width="16.83203125" customWidth="1"/>
    <col min="8" max="8" width="17.58203125" style="2" customWidth="1"/>
    <col min="9" max="9" width="17.83203125" customWidth="1"/>
    <col min="10" max="11" width="15.58203125" bestFit="1" customWidth="1"/>
    <col min="12" max="12" width="16" bestFit="1" customWidth="1"/>
    <col min="13" max="17" width="16" customWidth="1"/>
    <col min="18" max="18" width="16.58203125" bestFit="1" customWidth="1"/>
    <col min="19" max="19" width="15.83203125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7" ht="26" x14ac:dyDescent="0.35">
      <c r="B1" s="1" t="s">
        <v>0</v>
      </c>
      <c r="R1" s="105" t="s">
        <v>63</v>
      </c>
    </row>
    <row r="2" spans="2:27" x14ac:dyDescent="0.35">
      <c r="B2" s="3" t="s">
        <v>1</v>
      </c>
    </row>
    <row r="3" spans="2:27" x14ac:dyDescent="0.35">
      <c r="C3" t="s">
        <v>2</v>
      </c>
      <c r="G3" s="5">
        <v>0.02</v>
      </c>
      <c r="R3" s="4"/>
      <c r="S3" s="4"/>
      <c r="T3" s="4"/>
    </row>
    <row r="4" spans="2:27" x14ac:dyDescent="0.35">
      <c r="C4" t="s">
        <v>46</v>
      </c>
      <c r="G4" s="5">
        <v>0.1</v>
      </c>
      <c r="R4" s="4"/>
      <c r="S4" s="4"/>
      <c r="T4" s="4"/>
    </row>
    <row r="5" spans="2:27" x14ac:dyDescent="0.35">
      <c r="C5" t="s">
        <v>3</v>
      </c>
      <c r="G5" s="5">
        <v>0</v>
      </c>
      <c r="H5" s="2" t="s">
        <v>4</v>
      </c>
    </row>
    <row r="6" spans="2:27" x14ac:dyDescent="0.35">
      <c r="C6" t="s">
        <v>5</v>
      </c>
      <c r="G6" s="6">
        <v>0</v>
      </c>
      <c r="H6" s="2" t="s">
        <v>4</v>
      </c>
    </row>
    <row r="7" spans="2:27" x14ac:dyDescent="0.35">
      <c r="C7" t="s">
        <v>69</v>
      </c>
      <c r="G7" s="106">
        <v>0.03</v>
      </c>
    </row>
    <row r="8" spans="2:27" x14ac:dyDescent="0.35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5"/>
      <c r="W8" s="45"/>
      <c r="X8" s="45"/>
      <c r="Y8" s="45"/>
      <c r="Z8" s="45"/>
    </row>
    <row r="9" spans="2:27" x14ac:dyDescent="0.35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36" t="s">
        <v>51</v>
      </c>
      <c r="P9" s="36" t="s">
        <v>52</v>
      </c>
      <c r="Q9" s="36" t="s">
        <v>53</v>
      </c>
      <c r="R9" s="27"/>
      <c r="S9" s="45"/>
      <c r="T9" s="45"/>
      <c r="U9" s="46"/>
      <c r="V9" s="45"/>
      <c r="W9" s="45"/>
      <c r="X9" s="45"/>
      <c r="Y9" s="45"/>
      <c r="Z9" s="45"/>
    </row>
    <row r="10" spans="2:27" x14ac:dyDescent="0.35">
      <c r="B10" s="1" t="s">
        <v>59</v>
      </c>
      <c r="H10"/>
      <c r="R10" s="27"/>
      <c r="S10" s="45"/>
      <c r="T10" s="45"/>
      <c r="U10" s="46"/>
      <c r="V10" s="45"/>
      <c r="W10" s="45"/>
      <c r="X10" s="45"/>
      <c r="Y10" s="45"/>
      <c r="Z10" s="45"/>
    </row>
    <row r="11" spans="2:27" x14ac:dyDescent="0.35">
      <c r="H11"/>
      <c r="R11" s="27"/>
      <c r="S11" s="45"/>
      <c r="T11" s="45"/>
      <c r="U11" s="46"/>
      <c r="V11" s="45"/>
      <c r="W11" s="45"/>
      <c r="X11" s="45"/>
      <c r="Y11" s="45"/>
      <c r="Z11" s="45"/>
    </row>
    <row r="12" spans="2:27" s="90" customFormat="1" ht="16" thickBot="1" x14ac:dyDescent="0.4">
      <c r="B12" s="98" t="s">
        <v>60</v>
      </c>
      <c r="G12" s="97"/>
      <c r="H12" s="91">
        <v>2100000000</v>
      </c>
      <c r="I12" s="91">
        <v>250000000</v>
      </c>
      <c r="J12" s="91">
        <v>0</v>
      </c>
      <c r="K12" s="91">
        <v>0</v>
      </c>
      <c r="L12" s="91"/>
      <c r="M12" s="91"/>
      <c r="N12" s="91"/>
      <c r="O12" s="91"/>
      <c r="P12" s="91"/>
      <c r="Q12" s="91"/>
      <c r="R12" s="95"/>
      <c r="S12" s="92"/>
      <c r="T12" s="92"/>
      <c r="U12" s="93"/>
      <c r="V12" s="92"/>
      <c r="W12" s="92"/>
      <c r="X12" s="92"/>
      <c r="Y12" s="92"/>
      <c r="Z12" s="92"/>
    </row>
    <row r="13" spans="2:27" ht="16" thickTop="1" x14ac:dyDescent="0.35">
      <c r="G13" s="45"/>
      <c r="H13" s="10"/>
      <c r="J13" s="45"/>
      <c r="K13" s="45"/>
      <c r="L13" s="45"/>
      <c r="M13" s="45"/>
      <c r="N13" s="45"/>
      <c r="O13" s="45"/>
      <c r="P13" s="45"/>
      <c r="Q13" s="45"/>
      <c r="R13" s="96"/>
      <c r="S13" s="45"/>
      <c r="T13" s="45"/>
      <c r="U13" s="46"/>
      <c r="V13" s="45"/>
      <c r="W13" s="45"/>
      <c r="X13" s="45"/>
      <c r="Y13" s="45"/>
      <c r="Z13" s="45"/>
    </row>
    <row r="14" spans="2:27" x14ac:dyDescent="0.35">
      <c r="G14" s="11"/>
      <c r="R14" s="27"/>
      <c r="U14" s="44"/>
      <c r="V14" s="44"/>
      <c r="W14" s="44"/>
      <c r="X14" s="44"/>
      <c r="Y14" s="44"/>
      <c r="Z14" s="44"/>
      <c r="AA14" s="44"/>
    </row>
    <row r="15" spans="2:27" ht="16" thickBot="1" x14ac:dyDescent="0.4">
      <c r="B15" s="12" t="s">
        <v>12</v>
      </c>
      <c r="C15" s="7"/>
      <c r="D15" s="7"/>
      <c r="E15" s="7"/>
      <c r="F15" s="7"/>
      <c r="G15" s="7"/>
      <c r="H15" s="8" t="s">
        <v>7</v>
      </c>
      <c r="I15" s="13" t="s">
        <v>8</v>
      </c>
      <c r="J15" s="8" t="s">
        <v>9</v>
      </c>
      <c r="K15" s="13" t="s">
        <v>10</v>
      </c>
      <c r="L15" s="8" t="s">
        <v>11</v>
      </c>
      <c r="M15" s="8" t="s">
        <v>54</v>
      </c>
      <c r="N15" s="8" t="s">
        <v>55</v>
      </c>
      <c r="O15" s="8" t="s">
        <v>56</v>
      </c>
      <c r="P15" s="8" t="s">
        <v>57</v>
      </c>
      <c r="Q15" s="8" t="s">
        <v>58</v>
      </c>
      <c r="R15" s="75" t="s">
        <v>13</v>
      </c>
      <c r="S15" s="59"/>
      <c r="T15" s="59"/>
      <c r="U15" s="59"/>
      <c r="V15" s="59"/>
      <c r="W15" s="59"/>
      <c r="X15" s="59"/>
      <c r="Y15" s="44"/>
      <c r="Z15" s="44"/>
      <c r="AA15" s="44"/>
    </row>
    <row r="16" spans="2:27" x14ac:dyDescent="0.35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9">
        <v>12</v>
      </c>
      <c r="P16" s="9">
        <v>12</v>
      </c>
      <c r="Q16" s="9">
        <v>12</v>
      </c>
      <c r="R16" s="76"/>
    </row>
    <row r="17" spans="2:25" x14ac:dyDescent="0.35">
      <c r="N17" s="103">
        <v>0.15</v>
      </c>
      <c r="R17" s="76"/>
    </row>
    <row r="18" spans="2:25" x14ac:dyDescent="0.35">
      <c r="R18" s="76"/>
    </row>
    <row r="19" spans="2:25" x14ac:dyDescent="0.35">
      <c r="B19" s="1" t="s">
        <v>6</v>
      </c>
      <c r="E19" s="19"/>
      <c r="H19" s="20"/>
      <c r="I19" s="19"/>
      <c r="J19" s="21"/>
      <c r="K19" s="21"/>
      <c r="L19" s="21"/>
      <c r="M19" s="21"/>
      <c r="N19" s="21"/>
      <c r="O19" s="21"/>
      <c r="P19" s="21"/>
      <c r="Q19" s="21"/>
      <c r="R19" s="76"/>
    </row>
    <row r="20" spans="2:25" x14ac:dyDescent="0.35">
      <c r="C20" t="s">
        <v>37</v>
      </c>
      <c r="E20" s="16"/>
      <c r="H20" s="72"/>
      <c r="I20" s="72">
        <v>500000000</v>
      </c>
      <c r="J20" s="72">
        <v>500000000</v>
      </c>
      <c r="K20" s="72">
        <v>500000000</v>
      </c>
      <c r="L20" s="72">
        <v>500000000</v>
      </c>
      <c r="M20" s="72">
        <v>500000000</v>
      </c>
      <c r="N20" s="72">
        <f>M20*(1-$N$17)</f>
        <v>425000000</v>
      </c>
      <c r="O20" s="72">
        <f>N20</f>
        <v>425000000</v>
      </c>
      <c r="P20" s="72">
        <f t="shared" ref="P20:Q20" si="0">O20</f>
        <v>425000000</v>
      </c>
      <c r="Q20" s="72">
        <f t="shared" si="0"/>
        <v>425000000</v>
      </c>
      <c r="R20" s="77">
        <f>SUM(H20:Q20)</f>
        <v>4200000000</v>
      </c>
      <c r="S20" s="14"/>
      <c r="T20" s="14"/>
      <c r="U20" s="14"/>
      <c r="V20" s="14"/>
      <c r="W20" s="14"/>
      <c r="X20" s="15"/>
    </row>
    <row r="21" spans="2:25" x14ac:dyDescent="0.35">
      <c r="C21" t="s">
        <v>38</v>
      </c>
      <c r="H21" s="14"/>
      <c r="I21" s="14">
        <v>250000000</v>
      </c>
      <c r="J21" s="14">
        <v>250000000</v>
      </c>
      <c r="K21" s="14">
        <v>250000000</v>
      </c>
      <c r="L21" s="14">
        <v>250000000</v>
      </c>
      <c r="M21" s="14">
        <v>250000000</v>
      </c>
      <c r="N21" s="72">
        <f>M21*(1-$N$17)</f>
        <v>212500000</v>
      </c>
      <c r="O21" s="72">
        <f t="shared" ref="O21:Q22" si="1">N21</f>
        <v>212500000</v>
      </c>
      <c r="P21" s="72">
        <f t="shared" si="1"/>
        <v>212500000</v>
      </c>
      <c r="Q21" s="72">
        <f t="shared" si="1"/>
        <v>212500000</v>
      </c>
      <c r="R21" s="77">
        <f t="shared" ref="R21:R23" si="2">SUM(H21:Q21)</f>
        <v>2100000000</v>
      </c>
      <c r="S21" s="14"/>
      <c r="T21" s="14"/>
      <c r="U21" s="14"/>
      <c r="V21" s="14"/>
      <c r="W21" s="14"/>
      <c r="X21" s="15"/>
    </row>
    <row r="22" spans="2:25" x14ac:dyDescent="0.35">
      <c r="C22" t="s">
        <v>40</v>
      </c>
      <c r="H22" s="14"/>
      <c r="I22" s="14">
        <v>500000000</v>
      </c>
      <c r="J22" s="14">
        <v>500000000</v>
      </c>
      <c r="K22" s="14">
        <v>500000000</v>
      </c>
      <c r="L22" s="14">
        <v>500000000</v>
      </c>
      <c r="M22" s="14">
        <v>500000000</v>
      </c>
      <c r="N22" s="72">
        <f>M22*(1-$N$17)</f>
        <v>425000000</v>
      </c>
      <c r="O22" s="72">
        <f t="shared" si="1"/>
        <v>425000000</v>
      </c>
      <c r="P22" s="72">
        <f t="shared" si="1"/>
        <v>425000000</v>
      </c>
      <c r="Q22" s="72">
        <f t="shared" si="1"/>
        <v>425000000</v>
      </c>
      <c r="R22" s="77">
        <f t="shared" si="2"/>
        <v>4200000000</v>
      </c>
      <c r="S22" s="14"/>
      <c r="T22" s="14"/>
      <c r="U22" s="14"/>
      <c r="V22" s="14"/>
      <c r="W22" s="14"/>
      <c r="X22" s="15"/>
    </row>
    <row r="23" spans="2:25" x14ac:dyDescent="0.35">
      <c r="C23" t="s">
        <v>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77">
        <f t="shared" si="2"/>
        <v>0</v>
      </c>
      <c r="S23" s="48"/>
      <c r="T23" s="48"/>
      <c r="U23" s="48"/>
      <c r="V23" s="48"/>
      <c r="W23" s="48"/>
      <c r="X23" s="49"/>
      <c r="Y23" s="50"/>
    </row>
    <row r="24" spans="2:25" x14ac:dyDescent="0.35">
      <c r="B24" s="69" t="s">
        <v>15</v>
      </c>
      <c r="C24" s="69"/>
      <c r="D24" s="69"/>
      <c r="E24" s="160">
        <f>SUM(H24:Q24)</f>
        <v>10500000000</v>
      </c>
      <c r="F24" s="161"/>
      <c r="G24" s="161"/>
      <c r="H24" s="70">
        <f>SUM(H20:H23)</f>
        <v>0</v>
      </c>
      <c r="I24" s="70">
        <f>SUM(I20:I23)</f>
        <v>1250000000</v>
      </c>
      <c r="J24" s="70">
        <f t="shared" ref="J24:M24" si="3">SUM(J20:J23)</f>
        <v>1250000000</v>
      </c>
      <c r="K24" s="70">
        <f t="shared" si="3"/>
        <v>1250000000</v>
      </c>
      <c r="L24" s="70">
        <f t="shared" si="3"/>
        <v>1250000000</v>
      </c>
      <c r="M24" s="70">
        <f t="shared" si="3"/>
        <v>1250000000</v>
      </c>
      <c r="N24" s="70">
        <f>SUM(N20:N23)</f>
        <v>1062500000</v>
      </c>
      <c r="O24" s="70">
        <f t="shared" ref="O24:Q24" si="4">SUM(O20:O23)</f>
        <v>1062500000</v>
      </c>
      <c r="P24" s="70">
        <f t="shared" si="4"/>
        <v>1062500000</v>
      </c>
      <c r="Q24" s="70">
        <f t="shared" si="4"/>
        <v>1062500000</v>
      </c>
      <c r="R24" s="78">
        <f>SUM(R20:R23)</f>
        <v>10500000000</v>
      </c>
      <c r="S24" s="48"/>
      <c r="T24" s="48"/>
      <c r="U24" s="48"/>
      <c r="V24" s="48"/>
      <c r="W24" s="48"/>
      <c r="X24" s="48"/>
      <c r="Y24" s="50"/>
    </row>
    <row r="25" spans="2:25" x14ac:dyDescent="0.35">
      <c r="R25" s="76"/>
      <c r="S25" s="50"/>
      <c r="T25" s="50"/>
      <c r="U25" s="50"/>
      <c r="V25" s="50"/>
      <c r="W25" s="50"/>
      <c r="X25" s="50"/>
      <c r="Y25" s="50"/>
    </row>
    <row r="26" spans="2:25" x14ac:dyDescent="0.35">
      <c r="B26" s="1" t="s">
        <v>16</v>
      </c>
      <c r="E26" s="19"/>
      <c r="F26" s="19"/>
      <c r="G26" s="19"/>
      <c r="H26" s="20"/>
      <c r="I26" s="19"/>
      <c r="J26" s="21"/>
      <c r="K26" s="21"/>
      <c r="L26" s="21"/>
      <c r="M26" s="21"/>
      <c r="N26" s="21"/>
      <c r="O26" s="21"/>
      <c r="P26" s="21"/>
      <c r="Q26" s="21"/>
      <c r="R26" s="79"/>
      <c r="S26" s="51"/>
      <c r="T26" s="51"/>
      <c r="U26" s="51"/>
      <c r="V26" s="51"/>
      <c r="W26" s="51"/>
      <c r="X26" s="50"/>
      <c r="Y26" s="50"/>
    </row>
    <row r="27" spans="2:25" x14ac:dyDescent="0.35">
      <c r="C27" t="s">
        <v>47</v>
      </c>
      <c r="H27" s="14"/>
      <c r="I27" s="14">
        <v>400000000</v>
      </c>
      <c r="J27" s="14">
        <v>400000000</v>
      </c>
      <c r="K27" s="14">
        <v>400000000</v>
      </c>
      <c r="L27" s="14">
        <v>400000000</v>
      </c>
      <c r="M27" s="14">
        <f>400000000*(1-N17)</f>
        <v>340000000</v>
      </c>
      <c r="N27" s="14">
        <f>M27</f>
        <v>340000000</v>
      </c>
      <c r="O27" s="14">
        <f t="shared" ref="O27:P27" si="5">N27</f>
        <v>340000000</v>
      </c>
      <c r="P27" s="14">
        <f t="shared" si="5"/>
        <v>340000000</v>
      </c>
      <c r="Q27" s="14">
        <v>0</v>
      </c>
      <c r="R27" s="80">
        <f>SUM(H27:Q27)</f>
        <v>2960000000</v>
      </c>
      <c r="S27" s="48"/>
      <c r="T27" s="48"/>
      <c r="U27" s="48"/>
      <c r="V27" s="48"/>
      <c r="W27" s="48"/>
      <c r="X27" s="49"/>
      <c r="Y27" s="50"/>
    </row>
    <row r="28" spans="2:25" x14ac:dyDescent="0.35">
      <c r="C28" t="s">
        <v>17</v>
      </c>
      <c r="H28" s="14"/>
      <c r="I28" s="14">
        <f>96000000*0.5</f>
        <v>48000000</v>
      </c>
      <c r="J28" s="14">
        <f>96000000*0.5</f>
        <v>48000000</v>
      </c>
      <c r="K28" s="14">
        <f>200000000*0.5</f>
        <v>100000000</v>
      </c>
      <c r="L28" s="14">
        <f t="shared" ref="L28:Q28" si="6">200000000*0.5</f>
        <v>100000000</v>
      </c>
      <c r="M28" s="14">
        <f t="shared" si="6"/>
        <v>100000000</v>
      </c>
      <c r="N28" s="14">
        <f t="shared" si="6"/>
        <v>100000000</v>
      </c>
      <c r="O28" s="14">
        <f t="shared" si="6"/>
        <v>100000000</v>
      </c>
      <c r="P28" s="14">
        <f t="shared" si="6"/>
        <v>100000000</v>
      </c>
      <c r="Q28" s="14">
        <f t="shared" si="6"/>
        <v>100000000</v>
      </c>
      <c r="R28" s="80">
        <f t="shared" ref="R28:R30" si="7">SUM(H28:Q28)</f>
        <v>796000000</v>
      </c>
      <c r="S28" s="48"/>
      <c r="T28" s="48"/>
      <c r="U28" s="48"/>
      <c r="V28" s="48"/>
      <c r="W28" s="48"/>
      <c r="X28" s="49"/>
      <c r="Y28" s="50"/>
    </row>
    <row r="29" spans="2:25" x14ac:dyDescent="0.35">
      <c r="C29" t="s">
        <v>48</v>
      </c>
      <c r="H29" s="14"/>
      <c r="I29" s="14">
        <v>21000000</v>
      </c>
      <c r="J29" s="14">
        <v>21000000</v>
      </c>
      <c r="K29" s="14">
        <v>21000000</v>
      </c>
      <c r="L29" s="14">
        <v>21000000</v>
      </c>
      <c r="M29" s="14">
        <v>21000000</v>
      </c>
      <c r="N29" s="14">
        <v>21000000</v>
      </c>
      <c r="O29" s="14">
        <v>21000000</v>
      </c>
      <c r="P29" s="14">
        <v>21000000</v>
      </c>
      <c r="Q29" s="14">
        <v>21000000</v>
      </c>
      <c r="R29" s="80">
        <f t="shared" si="7"/>
        <v>189000000</v>
      </c>
      <c r="S29" s="48"/>
      <c r="T29" s="48"/>
      <c r="U29" s="48"/>
      <c r="V29" s="48"/>
      <c r="W29" s="48"/>
      <c r="X29" s="49"/>
      <c r="Y29" s="50"/>
    </row>
    <row r="30" spans="2:25" x14ac:dyDescent="0.35">
      <c r="B30" s="17"/>
      <c r="C30" s="17" t="s">
        <v>3</v>
      </c>
      <c r="D30" s="17"/>
      <c r="E30" s="17"/>
      <c r="F30" s="17"/>
      <c r="G30" s="17"/>
      <c r="H30" s="22">
        <f t="shared" ref="H30:Q30" si="8">$G$5*H24</f>
        <v>0</v>
      </c>
      <c r="I30" s="22">
        <f t="shared" si="8"/>
        <v>0</v>
      </c>
      <c r="J30" s="22">
        <f t="shared" si="8"/>
        <v>0</v>
      </c>
      <c r="K30" s="22">
        <f t="shared" si="8"/>
        <v>0</v>
      </c>
      <c r="L30" s="22">
        <f t="shared" si="8"/>
        <v>0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80">
        <f t="shared" si="7"/>
        <v>0</v>
      </c>
      <c r="S30" s="52"/>
      <c r="T30" s="52"/>
      <c r="U30" s="52"/>
      <c r="V30" s="52"/>
      <c r="W30" s="52"/>
      <c r="X30" s="49"/>
      <c r="Y30" s="50"/>
    </row>
    <row r="31" spans="2:25" s="1" customFormat="1" x14ac:dyDescent="0.35">
      <c r="B31" s="69" t="s">
        <v>18</v>
      </c>
      <c r="C31" s="69"/>
      <c r="D31" s="69"/>
      <c r="E31" s="69"/>
      <c r="F31" s="69"/>
      <c r="G31" s="69"/>
      <c r="H31" s="70">
        <f>SUM(H27:H30)</f>
        <v>0</v>
      </c>
      <c r="I31" s="70">
        <f>SUM(I27:I30)</f>
        <v>469000000</v>
      </c>
      <c r="J31" s="70">
        <f t="shared" ref="J31:Q31" si="9">SUM(J27:J30)</f>
        <v>469000000</v>
      </c>
      <c r="K31" s="70">
        <f t="shared" si="9"/>
        <v>521000000</v>
      </c>
      <c r="L31" s="70">
        <f t="shared" si="9"/>
        <v>521000000</v>
      </c>
      <c r="M31" s="70">
        <f t="shared" si="9"/>
        <v>461000000</v>
      </c>
      <c r="N31" s="70">
        <f t="shared" si="9"/>
        <v>461000000</v>
      </c>
      <c r="O31" s="70">
        <f t="shared" si="9"/>
        <v>461000000</v>
      </c>
      <c r="P31" s="70">
        <f t="shared" si="9"/>
        <v>461000000</v>
      </c>
      <c r="Q31" s="70">
        <f t="shared" si="9"/>
        <v>121000000</v>
      </c>
      <c r="R31" s="94">
        <f>SUM(R27:R30)</f>
        <v>3945000000</v>
      </c>
      <c r="S31" s="53"/>
      <c r="T31" s="53"/>
      <c r="U31" s="53"/>
      <c r="V31" s="53"/>
      <c r="W31" s="53"/>
      <c r="X31" s="53"/>
      <c r="Y31" s="54"/>
    </row>
    <row r="32" spans="2:25" s="1" customFormat="1" x14ac:dyDescent="0.35">
      <c r="B32" s="1" t="s">
        <v>19</v>
      </c>
      <c r="H32" s="23">
        <f>H24-H31</f>
        <v>0</v>
      </c>
      <c r="I32" s="23">
        <f>I24-I31</f>
        <v>781000000</v>
      </c>
      <c r="J32" s="23">
        <f t="shared" ref="J32:Q32" si="10">J24-J31</f>
        <v>781000000</v>
      </c>
      <c r="K32" s="23">
        <f t="shared" si="10"/>
        <v>729000000</v>
      </c>
      <c r="L32" s="23">
        <f t="shared" si="10"/>
        <v>729000000</v>
      </c>
      <c r="M32" s="23">
        <f t="shared" si="10"/>
        <v>789000000</v>
      </c>
      <c r="N32" s="23">
        <f t="shared" si="10"/>
        <v>601500000</v>
      </c>
      <c r="O32" s="23">
        <f t="shared" si="10"/>
        <v>601500000</v>
      </c>
      <c r="P32" s="23">
        <f t="shared" si="10"/>
        <v>601500000</v>
      </c>
      <c r="Q32" s="23">
        <f t="shared" si="10"/>
        <v>941500000</v>
      </c>
      <c r="R32" s="81">
        <f>R24-R31</f>
        <v>6555000000</v>
      </c>
      <c r="S32" s="53"/>
      <c r="T32" s="53"/>
      <c r="U32" s="53"/>
      <c r="V32" s="53"/>
      <c r="W32" s="53"/>
      <c r="X32" s="53"/>
      <c r="Y32" s="54"/>
    </row>
    <row r="33" spans="2:25" s="1" customFormat="1" x14ac:dyDescent="0.35">
      <c r="B33" s="24" t="s">
        <v>20</v>
      </c>
      <c r="C33" s="25"/>
      <c r="D33" s="25"/>
      <c r="E33" s="25"/>
      <c r="F33" s="25"/>
      <c r="G33" s="25"/>
      <c r="H33" s="26" t="e">
        <f>H32/H24</f>
        <v>#DIV/0!</v>
      </c>
      <c r="I33" s="26">
        <f>I32/I24</f>
        <v>0.62480000000000002</v>
      </c>
      <c r="J33" s="26">
        <f t="shared" ref="J33:Q33" si="11">J32/J24</f>
        <v>0.62480000000000002</v>
      </c>
      <c r="K33" s="26">
        <f t="shared" si="11"/>
        <v>0.58320000000000005</v>
      </c>
      <c r="L33" s="26">
        <f t="shared" si="11"/>
        <v>0.58320000000000005</v>
      </c>
      <c r="M33" s="26">
        <f t="shared" si="11"/>
        <v>0.63119999999999998</v>
      </c>
      <c r="N33" s="26">
        <f t="shared" si="11"/>
        <v>0.5661176470588235</v>
      </c>
      <c r="O33" s="26">
        <f t="shared" si="11"/>
        <v>0.5661176470588235</v>
      </c>
      <c r="P33" s="26">
        <f t="shared" si="11"/>
        <v>0.5661176470588235</v>
      </c>
      <c r="Q33" s="26">
        <f t="shared" si="11"/>
        <v>0.88611764705882357</v>
      </c>
      <c r="R33" s="82">
        <f>R32/R24</f>
        <v>0.62428571428571433</v>
      </c>
      <c r="S33" s="55"/>
      <c r="T33" s="55"/>
      <c r="U33" s="55"/>
      <c r="V33" s="55"/>
      <c r="W33" s="55"/>
      <c r="X33" s="55"/>
      <c r="Y33" s="54"/>
    </row>
    <row r="34" spans="2:25" x14ac:dyDescent="0.35">
      <c r="R34" s="76"/>
      <c r="S34" s="50"/>
      <c r="T34" s="50"/>
      <c r="U34" s="50"/>
      <c r="V34" s="50"/>
      <c r="W34" s="50"/>
      <c r="X34" s="50"/>
      <c r="Y34" s="50"/>
    </row>
    <row r="35" spans="2:25" x14ac:dyDescent="0.35">
      <c r="B35" s="17" t="s">
        <v>21</v>
      </c>
      <c r="C35" s="17"/>
      <c r="D35" s="17"/>
      <c r="E35" s="17"/>
      <c r="F35" s="17"/>
      <c r="G35" s="17"/>
      <c r="H35" s="18">
        <f>H69</f>
        <v>210000000</v>
      </c>
      <c r="I35" s="18">
        <f t="shared" ref="I35:Q35" si="12">I69</f>
        <v>237777777.77777779</v>
      </c>
      <c r="J35" s="18">
        <f t="shared" si="12"/>
        <v>237777777.77777779</v>
      </c>
      <c r="K35" s="18">
        <f t="shared" si="12"/>
        <v>237777777.77777779</v>
      </c>
      <c r="L35" s="18">
        <f t="shared" si="12"/>
        <v>237777777.77777779</v>
      </c>
      <c r="M35" s="18">
        <f t="shared" si="12"/>
        <v>237777777.77777779</v>
      </c>
      <c r="N35" s="18">
        <f t="shared" si="12"/>
        <v>237777777.77777779</v>
      </c>
      <c r="O35" s="18">
        <f t="shared" si="12"/>
        <v>237777777.77777779</v>
      </c>
      <c r="P35" s="18">
        <f t="shared" si="12"/>
        <v>237777777.77777779</v>
      </c>
      <c r="Q35" s="18">
        <f t="shared" si="12"/>
        <v>0</v>
      </c>
      <c r="R35" s="83">
        <f>SUM(H35:Q35)</f>
        <v>2112222222.2222219</v>
      </c>
      <c r="S35" s="48"/>
      <c r="T35" s="48"/>
      <c r="U35" s="48"/>
      <c r="V35" s="48"/>
      <c r="W35" s="48"/>
      <c r="X35" s="48"/>
      <c r="Y35" s="50"/>
    </row>
    <row r="36" spans="2:25" x14ac:dyDescent="0.35">
      <c r="B36" s="27" t="s">
        <v>22</v>
      </c>
      <c r="H36" s="28">
        <f>H32-H35</f>
        <v>-210000000</v>
      </c>
      <c r="I36" s="28">
        <f t="shared" ref="I36:Q36" si="13">I32-I35</f>
        <v>543222222.22222221</v>
      </c>
      <c r="J36" s="28">
        <f t="shared" si="13"/>
        <v>543222222.22222221</v>
      </c>
      <c r="K36" s="28">
        <f t="shared" si="13"/>
        <v>491222222.22222221</v>
      </c>
      <c r="L36" s="28">
        <f t="shared" si="13"/>
        <v>491222222.22222221</v>
      </c>
      <c r="M36" s="28">
        <f t="shared" si="13"/>
        <v>551222222.22222221</v>
      </c>
      <c r="N36" s="28">
        <f t="shared" si="13"/>
        <v>363722222.22222221</v>
      </c>
      <c r="O36" s="28">
        <f t="shared" si="13"/>
        <v>363722222.22222221</v>
      </c>
      <c r="P36" s="28">
        <f t="shared" si="13"/>
        <v>363722222.22222221</v>
      </c>
      <c r="Q36" s="28">
        <f t="shared" si="13"/>
        <v>941500000</v>
      </c>
      <c r="R36" s="84">
        <f>R32-R35</f>
        <v>4442777777.7777786</v>
      </c>
      <c r="S36" s="56"/>
      <c r="T36" s="56"/>
      <c r="U36" s="56"/>
      <c r="V36" s="56"/>
      <c r="W36" s="56"/>
      <c r="X36" s="56"/>
      <c r="Y36" s="50"/>
    </row>
    <row r="37" spans="2:25" x14ac:dyDescent="0.35">
      <c r="B37" s="27"/>
      <c r="H37" s="28"/>
      <c r="I37" s="29"/>
      <c r="J37" s="29"/>
      <c r="K37" s="29"/>
      <c r="L37" s="29"/>
      <c r="M37" s="29"/>
      <c r="N37" s="29"/>
      <c r="O37" s="29"/>
      <c r="P37" s="29"/>
      <c r="Q37" s="29"/>
      <c r="R37" s="84"/>
      <c r="S37" s="56"/>
      <c r="T37" s="56"/>
      <c r="U37" s="56"/>
      <c r="V37" s="56"/>
      <c r="W37" s="56"/>
      <c r="X37" s="56"/>
      <c r="Y37" s="50"/>
    </row>
    <row r="38" spans="2:25" x14ac:dyDescent="0.35">
      <c r="B38" s="27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102">
        <f t="shared" ref="R38:R39" si="14">SUM(H38:Q38)</f>
        <v>0</v>
      </c>
      <c r="S38" s="56"/>
      <c r="T38" s="56"/>
      <c r="U38" s="56"/>
      <c r="V38" s="56"/>
      <c r="W38" s="56"/>
      <c r="X38" s="56"/>
      <c r="Y38" s="50"/>
    </row>
    <row r="39" spans="2:25" x14ac:dyDescent="0.35">
      <c r="B39" s="27" t="s">
        <v>36</v>
      </c>
      <c r="H39" s="73">
        <f>H36-H38</f>
        <v>-210000000</v>
      </c>
      <c r="I39" s="73">
        <f t="shared" ref="I39:Q39" si="15">I36-I38</f>
        <v>543222222.22222221</v>
      </c>
      <c r="J39" s="73">
        <f t="shared" si="15"/>
        <v>543222222.22222221</v>
      </c>
      <c r="K39" s="73">
        <f t="shared" si="15"/>
        <v>491222222.22222221</v>
      </c>
      <c r="L39" s="73">
        <f t="shared" si="15"/>
        <v>491222222.22222221</v>
      </c>
      <c r="M39" s="73">
        <f t="shared" si="15"/>
        <v>551222222.22222221</v>
      </c>
      <c r="N39" s="73">
        <f t="shared" si="15"/>
        <v>363722222.22222221</v>
      </c>
      <c r="O39" s="73">
        <f t="shared" si="15"/>
        <v>363722222.22222221</v>
      </c>
      <c r="P39" s="73">
        <f t="shared" si="15"/>
        <v>363722222.22222221</v>
      </c>
      <c r="Q39" s="73">
        <f t="shared" si="15"/>
        <v>941500000</v>
      </c>
      <c r="R39" s="102">
        <f t="shared" si="14"/>
        <v>4442777777.7777786</v>
      </c>
      <c r="S39" s="56"/>
      <c r="T39" s="56"/>
      <c r="U39" s="56"/>
      <c r="V39" s="56"/>
      <c r="W39" s="56"/>
      <c r="X39" s="56"/>
      <c r="Y39" s="50"/>
    </row>
    <row r="40" spans="2:25" x14ac:dyDescent="0.35">
      <c r="B40" s="17" t="s">
        <v>23</v>
      </c>
      <c r="C40" s="17"/>
      <c r="D40" s="17"/>
      <c r="E40" s="17"/>
      <c r="F40" s="17"/>
      <c r="G40" s="17"/>
      <c r="H40" s="71">
        <f>IF(H39&lt;0,0,H39*$G$3)</f>
        <v>0</v>
      </c>
      <c r="I40" s="71">
        <f t="shared" ref="I40:Q40" si="16">IF(I39&lt;0,0,I39*$G$3)</f>
        <v>10864444.444444444</v>
      </c>
      <c r="J40" s="71">
        <f t="shared" si="16"/>
        <v>10864444.444444444</v>
      </c>
      <c r="K40" s="71">
        <f t="shared" si="16"/>
        <v>9824444.444444444</v>
      </c>
      <c r="L40" s="71">
        <f t="shared" si="16"/>
        <v>9824444.444444444</v>
      </c>
      <c r="M40" s="71">
        <f t="shared" si="16"/>
        <v>11024444.444444444</v>
      </c>
      <c r="N40" s="71">
        <f t="shared" si="16"/>
        <v>7274444.444444444</v>
      </c>
      <c r="O40" s="71">
        <f t="shared" si="16"/>
        <v>7274444.444444444</v>
      </c>
      <c r="P40" s="71">
        <f t="shared" si="16"/>
        <v>7274444.444444444</v>
      </c>
      <c r="Q40" s="71">
        <f t="shared" si="16"/>
        <v>18830000</v>
      </c>
      <c r="R40" s="85">
        <f>SUM(H40:Q40)</f>
        <v>93055555.555555567</v>
      </c>
      <c r="S40" s="58"/>
      <c r="T40" s="58"/>
      <c r="U40" s="58"/>
      <c r="V40" s="58"/>
      <c r="W40" s="58"/>
      <c r="X40" s="57"/>
      <c r="Y40" s="50"/>
    </row>
    <row r="41" spans="2:25" ht="16" thickBot="1" x14ac:dyDescent="0.4">
      <c r="B41" s="31" t="s">
        <v>61</v>
      </c>
      <c r="C41" s="31"/>
      <c r="D41" s="31"/>
      <c r="E41" s="31"/>
      <c r="F41" s="31"/>
      <c r="G41" s="31"/>
      <c r="H41" s="32">
        <f>H39-H40</f>
        <v>-210000000</v>
      </c>
      <c r="I41" s="32">
        <f t="shared" ref="I41:Q41" si="17">I39-I40</f>
        <v>532357777.77777779</v>
      </c>
      <c r="J41" s="32">
        <f t="shared" si="17"/>
        <v>532357777.77777779</v>
      </c>
      <c r="K41" s="32">
        <f t="shared" si="17"/>
        <v>481397777.77777779</v>
      </c>
      <c r="L41" s="32">
        <f t="shared" si="17"/>
        <v>481397777.77777779</v>
      </c>
      <c r="M41" s="32">
        <f t="shared" si="17"/>
        <v>540197777.77777779</v>
      </c>
      <c r="N41" s="32">
        <f t="shared" si="17"/>
        <v>356447777.77777779</v>
      </c>
      <c r="O41" s="32">
        <f t="shared" si="17"/>
        <v>356447777.77777779</v>
      </c>
      <c r="P41" s="32">
        <f t="shared" si="17"/>
        <v>356447777.77777779</v>
      </c>
      <c r="Q41" s="32">
        <f t="shared" si="17"/>
        <v>922670000</v>
      </c>
      <c r="R41" s="86">
        <f>R36-R40</f>
        <v>4349722222.2222233</v>
      </c>
      <c r="S41" s="56"/>
      <c r="T41" s="56"/>
      <c r="U41" s="56"/>
      <c r="V41" s="56"/>
      <c r="W41" s="56"/>
      <c r="X41" s="56"/>
      <c r="Y41" s="50"/>
    </row>
    <row r="42" spans="2:25" x14ac:dyDescent="0.35">
      <c r="R42" s="76"/>
      <c r="S42" s="50"/>
      <c r="T42" s="50"/>
      <c r="U42" s="50"/>
      <c r="V42" s="50"/>
      <c r="W42" s="50"/>
      <c r="X42" s="50"/>
      <c r="Y42" s="50"/>
    </row>
    <row r="43" spans="2:25" x14ac:dyDescent="0.35">
      <c r="B43" s="17" t="s">
        <v>24</v>
      </c>
      <c r="C43" s="17"/>
      <c r="D43" s="17"/>
      <c r="E43" s="17"/>
      <c r="F43" s="17"/>
      <c r="G43" s="33">
        <f>-H12</f>
        <v>-2100000000</v>
      </c>
      <c r="H43" s="33">
        <f t="shared" ref="H43:I43" si="18">-I12</f>
        <v>-250000000</v>
      </c>
      <c r="I43" s="33">
        <f t="shared" si="18"/>
        <v>0</v>
      </c>
      <c r="J43" s="33">
        <f>-K12</f>
        <v>0</v>
      </c>
      <c r="K43" s="33">
        <f t="shared" ref="K43:Q43" si="19">-L12</f>
        <v>0</v>
      </c>
      <c r="L43" s="33">
        <f t="shared" si="19"/>
        <v>0</v>
      </c>
      <c r="M43" s="33">
        <f t="shared" si="19"/>
        <v>0</v>
      </c>
      <c r="N43" s="33">
        <f t="shared" si="19"/>
        <v>0</v>
      </c>
      <c r="O43" s="33">
        <f t="shared" si="19"/>
        <v>0</v>
      </c>
      <c r="P43" s="33">
        <f t="shared" si="19"/>
        <v>0</v>
      </c>
      <c r="Q43" s="33">
        <f t="shared" si="19"/>
        <v>0</v>
      </c>
      <c r="R43" s="87"/>
      <c r="S43" s="57"/>
      <c r="T43" s="57"/>
      <c r="U43" s="57"/>
      <c r="V43" s="57"/>
      <c r="W43" s="57"/>
      <c r="X43" s="57"/>
      <c r="Y43" s="50"/>
    </row>
    <row r="44" spans="2:25" x14ac:dyDescent="0.35">
      <c r="B44" t="s">
        <v>25</v>
      </c>
      <c r="G44" s="30">
        <f>G43</f>
        <v>-2100000000</v>
      </c>
      <c r="H44" s="30">
        <f>H43+H41+H35</f>
        <v>-250000000</v>
      </c>
      <c r="I44" s="30">
        <f>I43+I41+I35</f>
        <v>770135555.55555558</v>
      </c>
      <c r="J44" s="30">
        <f t="shared" ref="J44:Q44" si="20">J43+J41+J35</f>
        <v>770135555.55555558</v>
      </c>
      <c r="K44" s="30">
        <f t="shared" si="20"/>
        <v>719175555.55555558</v>
      </c>
      <c r="L44" s="30">
        <f t="shared" si="20"/>
        <v>719175555.55555558</v>
      </c>
      <c r="M44" s="30">
        <f t="shared" si="20"/>
        <v>777975555.55555558</v>
      </c>
      <c r="N44" s="30">
        <f t="shared" si="20"/>
        <v>594225555.55555558</v>
      </c>
      <c r="O44" s="30">
        <f t="shared" si="20"/>
        <v>594225555.55555558</v>
      </c>
      <c r="P44" s="30">
        <f t="shared" si="20"/>
        <v>594225555.55555558</v>
      </c>
      <c r="Q44" s="30">
        <f t="shared" si="20"/>
        <v>922670000</v>
      </c>
      <c r="R44" s="88"/>
      <c r="S44" s="57"/>
      <c r="T44" s="57"/>
      <c r="U44" s="57"/>
      <c r="V44" s="57"/>
      <c r="W44" s="57"/>
      <c r="X44" s="57"/>
      <c r="Y44" s="50"/>
    </row>
    <row r="45" spans="2:25" x14ac:dyDescent="0.35">
      <c r="B45" t="s">
        <v>26</v>
      </c>
      <c r="G45" s="30">
        <f>G44</f>
        <v>-2100000000</v>
      </c>
      <c r="H45" s="30">
        <f>G45+H44</f>
        <v>-2350000000</v>
      </c>
      <c r="I45" s="30">
        <f>H45+I44</f>
        <v>-1579864444.4444444</v>
      </c>
      <c r="J45" s="30">
        <f t="shared" ref="J45:Q45" si="21">I45+J44</f>
        <v>-809728888.88888884</v>
      </c>
      <c r="K45" s="30">
        <f t="shared" si="21"/>
        <v>-90553333.333333254</v>
      </c>
      <c r="L45" s="30">
        <f t="shared" si="21"/>
        <v>628622222.22222233</v>
      </c>
      <c r="M45" s="30">
        <f t="shared" si="21"/>
        <v>1406597777.7777779</v>
      </c>
      <c r="N45" s="30">
        <f t="shared" si="21"/>
        <v>2000823333.3333335</v>
      </c>
      <c r="O45" s="30">
        <f t="shared" si="21"/>
        <v>2595048888.8888893</v>
      </c>
      <c r="P45" s="30">
        <f t="shared" si="21"/>
        <v>3189274444.4444447</v>
      </c>
      <c r="Q45" s="30">
        <f t="shared" si="21"/>
        <v>4111944444.4444447</v>
      </c>
      <c r="R45" s="88"/>
      <c r="S45" s="57"/>
      <c r="T45" s="57"/>
      <c r="U45" s="57"/>
      <c r="V45" s="57"/>
      <c r="W45" s="57"/>
      <c r="X45" s="57"/>
      <c r="Y45" s="50"/>
    </row>
    <row r="46" spans="2:25" x14ac:dyDescent="0.35">
      <c r="B46" t="s">
        <v>68</v>
      </c>
      <c r="G46" s="30">
        <f>IF(G45&lt;0,G45*70%*$G$4,G45*$G$7)</f>
        <v>-147000000</v>
      </c>
      <c r="H46" s="30">
        <f t="shared" ref="H46:Q46" si="22">IF(H45&lt;0,H45*70%*$G$4,H45*$G$7)</f>
        <v>-164500000</v>
      </c>
      <c r="I46" s="30">
        <f t="shared" si="22"/>
        <v>-110590511.1111111</v>
      </c>
      <c r="J46" s="30">
        <f t="shared" si="22"/>
        <v>-56681022.222222209</v>
      </c>
      <c r="K46" s="30">
        <f t="shared" si="22"/>
        <v>-6338733.3333333284</v>
      </c>
      <c r="L46" s="30">
        <f>IF(L45&lt;0,L45*70%*$G$4,L45*$G$7)</f>
        <v>18858666.666666668</v>
      </c>
      <c r="M46" s="30">
        <f t="shared" si="22"/>
        <v>42197933.333333336</v>
      </c>
      <c r="N46" s="30">
        <f t="shared" si="22"/>
        <v>60024700</v>
      </c>
      <c r="O46" s="30">
        <f t="shared" si="22"/>
        <v>77851466.666666672</v>
      </c>
      <c r="P46" s="30">
        <f t="shared" si="22"/>
        <v>95678233.333333343</v>
      </c>
      <c r="Q46" s="30">
        <f t="shared" si="22"/>
        <v>123358333.33333333</v>
      </c>
      <c r="R46" s="77">
        <f t="shared" ref="R46" si="23">SUM(H46:Q46)</f>
        <v>79859066.666666731</v>
      </c>
      <c r="S46" s="57"/>
      <c r="T46" s="57"/>
      <c r="U46" s="57"/>
      <c r="V46" s="57"/>
      <c r="W46" s="57"/>
      <c r="X46" s="57"/>
      <c r="Y46" s="50"/>
    </row>
    <row r="47" spans="2:25" x14ac:dyDescent="0.35">
      <c r="B47" t="s">
        <v>71</v>
      </c>
      <c r="G47" s="30">
        <f>G44+G46</f>
        <v>-2247000000</v>
      </c>
      <c r="H47" s="30">
        <f t="shared" ref="H47:Q47" si="24">H44+H46</f>
        <v>-414500000</v>
      </c>
      <c r="I47" s="30">
        <f t="shared" si="24"/>
        <v>659545044.44444442</v>
      </c>
      <c r="J47" s="30">
        <f t="shared" si="24"/>
        <v>713454533.33333337</v>
      </c>
      <c r="K47" s="30">
        <f t="shared" si="24"/>
        <v>712836822.22222221</v>
      </c>
      <c r="L47" s="30">
        <f t="shared" si="24"/>
        <v>738034222.22222221</v>
      </c>
      <c r="M47" s="30">
        <f t="shared" si="24"/>
        <v>820173488.88888896</v>
      </c>
      <c r="N47" s="30">
        <f t="shared" si="24"/>
        <v>654250255.55555558</v>
      </c>
      <c r="O47" s="30">
        <f t="shared" si="24"/>
        <v>672077022.22222221</v>
      </c>
      <c r="P47" s="30">
        <f t="shared" si="24"/>
        <v>689903788.88888896</v>
      </c>
      <c r="Q47" s="30">
        <f t="shared" si="24"/>
        <v>1046028333.3333334</v>
      </c>
      <c r="R47" s="88"/>
      <c r="S47" s="57"/>
      <c r="T47" s="57"/>
      <c r="U47" s="57"/>
      <c r="V47" s="57"/>
      <c r="W47" s="57"/>
      <c r="X47" s="57"/>
      <c r="Y47" s="50"/>
    </row>
    <row r="48" spans="2:25" x14ac:dyDescent="0.35">
      <c r="B48" t="s">
        <v>70</v>
      </c>
      <c r="G48" s="30">
        <f>G47</f>
        <v>-2247000000</v>
      </c>
      <c r="H48" s="30">
        <f>G48+H47</f>
        <v>-2661500000</v>
      </c>
      <c r="I48" s="30">
        <f>H48+I47</f>
        <v>-2001954955.5555556</v>
      </c>
      <c r="J48" s="30">
        <f t="shared" ref="J48" si="25">I48+J47</f>
        <v>-1288500422.2222223</v>
      </c>
      <c r="K48" s="30">
        <f t="shared" ref="K48" si="26">J48+K47</f>
        <v>-575663600.00000012</v>
      </c>
      <c r="L48" s="30">
        <f t="shared" ref="L48" si="27">K48+L47</f>
        <v>162370622.22222209</v>
      </c>
      <c r="M48" s="30">
        <f t="shared" ref="M48" si="28">L48+M47</f>
        <v>982544111.11111104</v>
      </c>
      <c r="N48" s="30">
        <f t="shared" ref="N48" si="29">M48+N47</f>
        <v>1636794366.6666665</v>
      </c>
      <c r="O48" s="30">
        <f t="shared" ref="O48" si="30">N48+O47</f>
        <v>2308871388.8888888</v>
      </c>
      <c r="P48" s="30">
        <f t="shared" ref="P48" si="31">O48+P47</f>
        <v>2998775177.7777777</v>
      </c>
      <c r="Q48" s="30">
        <f t="shared" ref="Q48" si="32">P48+Q47</f>
        <v>4044803511.1111112</v>
      </c>
      <c r="R48" s="88"/>
      <c r="S48" s="57"/>
      <c r="T48" s="57"/>
      <c r="U48" s="57"/>
      <c r="V48" s="57"/>
      <c r="W48" s="57"/>
      <c r="X48" s="57"/>
      <c r="Y48" s="50"/>
    </row>
    <row r="49" spans="2:24" x14ac:dyDescent="0.35">
      <c r="B49" t="s">
        <v>27</v>
      </c>
      <c r="G49" s="30"/>
      <c r="H49" s="34">
        <f>IF(AND(G48&lt;0,H48&gt;0),H57-(H48/H44),0)</f>
        <v>0</v>
      </c>
      <c r="I49" s="34">
        <f t="shared" ref="I49" si="33">IF(AND(H48&lt;0,I48&gt;0),I57-(I48/I44),0)</f>
        <v>0</v>
      </c>
      <c r="J49" s="34">
        <f>IF(AND(I48&lt;0,J48&gt;0),J57-(J48/J47),0)</f>
        <v>0</v>
      </c>
      <c r="K49" s="34">
        <f t="shared" ref="K49:Q49" si="34">IF(AND(J48&lt;0,K48&gt;0),K57-(K48/K47),0)</f>
        <v>0</v>
      </c>
      <c r="L49" s="34">
        <f t="shared" si="34"/>
        <v>4.7799958086857766</v>
      </c>
      <c r="M49" s="100">
        <f t="shared" si="34"/>
        <v>0</v>
      </c>
      <c r="N49" s="34">
        <f t="shared" si="34"/>
        <v>0</v>
      </c>
      <c r="O49" s="34">
        <f t="shared" si="34"/>
        <v>0</v>
      </c>
      <c r="P49" s="34">
        <f t="shared" si="34"/>
        <v>0</v>
      </c>
      <c r="Q49" s="34">
        <f t="shared" si="34"/>
        <v>0</v>
      </c>
      <c r="R49" s="89"/>
      <c r="S49" s="34"/>
      <c r="T49" s="34"/>
      <c r="U49" s="34"/>
      <c r="V49" s="34"/>
      <c r="W49" s="34"/>
      <c r="X49" s="34"/>
    </row>
    <row r="50" spans="2:24" x14ac:dyDescent="0.35">
      <c r="G50" s="30"/>
      <c r="H50" s="34"/>
      <c r="I50" s="34"/>
      <c r="J50" s="34"/>
      <c r="K50" s="34"/>
      <c r="L50" s="100"/>
      <c r="M50" s="34"/>
      <c r="N50" s="34"/>
      <c r="O50" s="34"/>
      <c r="P50" s="34"/>
      <c r="Q50" s="34"/>
      <c r="R50" s="89"/>
      <c r="S50" s="34"/>
      <c r="T50" s="34"/>
      <c r="U50" s="34"/>
      <c r="V50" s="34"/>
      <c r="W50" s="34"/>
      <c r="X50" s="34"/>
    </row>
    <row r="52" spans="2:24" x14ac:dyDescent="0.35">
      <c r="B52" s="60" t="s">
        <v>28</v>
      </c>
      <c r="C52" s="61"/>
      <c r="D52" s="61"/>
      <c r="E52" s="61"/>
      <c r="F52" s="61"/>
      <c r="G52" s="104">
        <f>IRR(G47:Q47)</f>
        <v>0.18395885593128058</v>
      </c>
    </row>
    <row r="53" spans="2:24" x14ac:dyDescent="0.35">
      <c r="B53" s="62" t="s">
        <v>29</v>
      </c>
      <c r="C53" s="63"/>
      <c r="D53" s="63"/>
      <c r="E53" s="63"/>
      <c r="F53" s="63"/>
      <c r="G53" s="64">
        <f>NPV(G4,H44:Q44)+G44</f>
        <v>1454603262.8912854</v>
      </c>
      <c r="I53" s="99"/>
      <c r="J53" s="15"/>
    </row>
    <row r="54" spans="2:24" x14ac:dyDescent="0.35">
      <c r="B54" s="62" t="s">
        <v>30</v>
      </c>
      <c r="C54" s="63"/>
      <c r="D54" s="63"/>
      <c r="E54" s="63"/>
      <c r="F54" s="63"/>
      <c r="G54" s="65">
        <f>R33</f>
        <v>0.62428571428571433</v>
      </c>
      <c r="I54" s="72"/>
    </row>
    <row r="55" spans="2:24" x14ac:dyDescent="0.35">
      <c r="B55" s="66" t="s">
        <v>31</v>
      </c>
      <c r="C55" s="67"/>
      <c r="D55" s="67"/>
      <c r="E55" s="67"/>
      <c r="F55" s="67"/>
      <c r="G55" s="68">
        <f>SUM(G49:Q49)</f>
        <v>4.7799958086857766</v>
      </c>
    </row>
    <row r="56" spans="2:24" x14ac:dyDescent="0.35">
      <c r="G56" s="35"/>
    </row>
    <row r="57" spans="2:24" x14ac:dyDescent="0.35">
      <c r="H57" s="9">
        <v>1</v>
      </c>
      <c r="I57" s="36">
        <v>2</v>
      </c>
      <c r="J57" s="9">
        <v>3</v>
      </c>
      <c r="K57" s="36">
        <v>4</v>
      </c>
      <c r="L57" s="9">
        <v>5</v>
      </c>
      <c r="M57" s="9">
        <v>6</v>
      </c>
      <c r="N57" s="36">
        <v>7</v>
      </c>
      <c r="O57" s="9">
        <v>8</v>
      </c>
      <c r="P57" s="9">
        <v>9</v>
      </c>
      <c r="Q57" s="9"/>
      <c r="R57" s="36"/>
      <c r="S57" s="9"/>
      <c r="T57" s="36"/>
      <c r="U57" s="9"/>
      <c r="V57" s="36"/>
      <c r="W57" s="9"/>
    </row>
    <row r="58" spans="2:24" x14ac:dyDescent="0.35">
      <c r="B58" s="37" t="s">
        <v>32</v>
      </c>
      <c r="E58" s="38" t="s">
        <v>33</v>
      </c>
      <c r="H58" s="38" t="str">
        <f>H15</f>
        <v>Year 1</v>
      </c>
      <c r="I58" s="38" t="str">
        <f>I15</f>
        <v>Year 2</v>
      </c>
      <c r="J58" s="38" t="str">
        <f>J15</f>
        <v>Year 3</v>
      </c>
      <c r="K58" s="38" t="str">
        <f>K15</f>
        <v>Year 4</v>
      </c>
      <c r="L58" s="38" t="str">
        <f>L15</f>
        <v>Year 5</v>
      </c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</row>
    <row r="59" spans="2:24" x14ac:dyDescent="0.35">
      <c r="D59" t="s">
        <v>7</v>
      </c>
      <c r="E59">
        <v>10</v>
      </c>
      <c r="H59" s="74">
        <f>H$12/$E59</f>
        <v>210000000</v>
      </c>
      <c r="I59" s="39">
        <f>H59</f>
        <v>210000000</v>
      </c>
      <c r="J59" s="39">
        <f t="shared" ref="J59:P62" si="35">I59</f>
        <v>210000000</v>
      </c>
      <c r="K59" s="39">
        <f t="shared" si="35"/>
        <v>210000000</v>
      </c>
      <c r="L59" s="39">
        <f t="shared" si="35"/>
        <v>210000000</v>
      </c>
      <c r="M59" s="39">
        <f t="shared" si="35"/>
        <v>210000000</v>
      </c>
      <c r="N59" s="39">
        <f t="shared" si="35"/>
        <v>210000000</v>
      </c>
      <c r="O59" s="39">
        <f t="shared" si="35"/>
        <v>210000000</v>
      </c>
      <c r="P59" s="39">
        <f t="shared" si="35"/>
        <v>210000000</v>
      </c>
      <c r="Q59" s="39"/>
      <c r="R59" s="39"/>
      <c r="S59" s="39"/>
      <c r="T59" s="39"/>
      <c r="U59" s="39"/>
      <c r="V59" s="39"/>
      <c r="W59" s="39"/>
      <c r="X59" s="40"/>
    </row>
    <row r="60" spans="2:24" x14ac:dyDescent="0.35">
      <c r="D60" t="s">
        <v>8</v>
      </c>
      <c r="E60">
        <v>9</v>
      </c>
      <c r="I60" s="74">
        <f>I$12/$E60</f>
        <v>27777777.777777776</v>
      </c>
      <c r="J60" s="39">
        <f>I60</f>
        <v>27777777.777777776</v>
      </c>
      <c r="K60" s="39">
        <f t="shared" si="35"/>
        <v>27777777.777777776</v>
      </c>
      <c r="L60" s="39">
        <f t="shared" si="35"/>
        <v>27777777.777777776</v>
      </c>
      <c r="M60" s="39">
        <f t="shared" si="35"/>
        <v>27777777.777777776</v>
      </c>
      <c r="N60" s="39">
        <f t="shared" si="35"/>
        <v>27777777.777777776</v>
      </c>
      <c r="O60" s="39">
        <f t="shared" si="35"/>
        <v>27777777.777777776</v>
      </c>
      <c r="P60" s="39">
        <f t="shared" si="35"/>
        <v>27777777.777777776</v>
      </c>
      <c r="Q60" s="39"/>
      <c r="R60" s="39"/>
      <c r="S60" s="39"/>
      <c r="T60" s="39"/>
      <c r="U60" s="39"/>
      <c r="V60" s="39"/>
      <c r="W60" s="39"/>
      <c r="X60" s="40"/>
    </row>
    <row r="61" spans="2:24" x14ac:dyDescent="0.35">
      <c r="D61" t="s">
        <v>9</v>
      </c>
      <c r="E61">
        <v>8</v>
      </c>
      <c r="J61" s="74">
        <f>J$12/$E61</f>
        <v>0</v>
      </c>
      <c r="K61" s="39">
        <f>J61</f>
        <v>0</v>
      </c>
      <c r="L61" s="39">
        <f t="shared" si="35"/>
        <v>0</v>
      </c>
      <c r="M61" s="39">
        <f t="shared" si="35"/>
        <v>0</v>
      </c>
      <c r="N61" s="39">
        <f t="shared" si="35"/>
        <v>0</v>
      </c>
      <c r="O61" s="39">
        <f t="shared" si="35"/>
        <v>0</v>
      </c>
      <c r="P61" s="39">
        <f t="shared" si="35"/>
        <v>0</v>
      </c>
      <c r="Q61" s="39"/>
      <c r="R61" s="39"/>
      <c r="S61" s="39"/>
      <c r="T61" s="39"/>
      <c r="U61" s="39"/>
      <c r="V61" s="39"/>
      <c r="W61" s="39"/>
      <c r="X61" s="40"/>
    </row>
    <row r="62" spans="2:24" x14ac:dyDescent="0.35">
      <c r="D62" t="s">
        <v>10</v>
      </c>
      <c r="E62">
        <v>7</v>
      </c>
      <c r="K62" s="74">
        <f>K$12/$E62</f>
        <v>0</v>
      </c>
      <c r="L62" s="39">
        <f>K62</f>
        <v>0</v>
      </c>
      <c r="M62" s="39">
        <f t="shared" si="35"/>
        <v>0</v>
      </c>
      <c r="N62" s="39">
        <f t="shared" si="35"/>
        <v>0</v>
      </c>
      <c r="O62" s="39">
        <f t="shared" si="35"/>
        <v>0</v>
      </c>
      <c r="P62" s="39">
        <f t="shared" si="35"/>
        <v>0</v>
      </c>
      <c r="Q62" s="39"/>
      <c r="R62" s="39"/>
      <c r="S62" s="39"/>
      <c r="T62" s="39"/>
      <c r="U62" s="39"/>
      <c r="V62" s="39"/>
      <c r="W62" s="39"/>
      <c r="X62" s="40"/>
    </row>
    <row r="63" spans="2:24" x14ac:dyDescent="0.35">
      <c r="E63">
        <v>6</v>
      </c>
      <c r="L63" s="74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40"/>
    </row>
    <row r="64" spans="2:24" x14ac:dyDescent="0.35">
      <c r="E64">
        <v>5</v>
      </c>
      <c r="L64" s="39"/>
      <c r="M64" s="74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40"/>
    </row>
    <row r="65" spans="2:27" x14ac:dyDescent="0.35">
      <c r="E65">
        <v>4</v>
      </c>
      <c r="L65" s="39"/>
      <c r="M65" s="39"/>
      <c r="N65" s="74"/>
      <c r="O65" s="39"/>
      <c r="P65" s="39"/>
      <c r="Q65" s="39"/>
      <c r="R65" s="39"/>
      <c r="S65" s="39"/>
      <c r="T65" s="39"/>
      <c r="U65" s="39"/>
      <c r="V65" s="39"/>
      <c r="W65" s="39"/>
      <c r="X65" s="40"/>
    </row>
    <row r="66" spans="2:27" x14ac:dyDescent="0.35">
      <c r="E66">
        <v>3</v>
      </c>
      <c r="L66" s="39"/>
      <c r="M66" s="39"/>
      <c r="N66" s="39"/>
      <c r="O66" s="74"/>
      <c r="P66" s="39"/>
      <c r="Q66" s="39"/>
      <c r="R66" s="39"/>
      <c r="S66" s="39"/>
      <c r="T66" s="39"/>
      <c r="U66" s="39"/>
      <c r="V66" s="39"/>
      <c r="W66" s="39"/>
      <c r="X66" s="40"/>
    </row>
    <row r="67" spans="2:27" x14ac:dyDescent="0.35">
      <c r="E67">
        <v>2</v>
      </c>
      <c r="L67" s="39"/>
      <c r="M67" s="39"/>
      <c r="N67" s="39"/>
      <c r="O67" s="39"/>
      <c r="P67" s="74"/>
      <c r="Q67" s="39"/>
      <c r="R67" s="39"/>
      <c r="S67" s="39"/>
      <c r="T67" s="39"/>
      <c r="U67" s="39"/>
      <c r="V67" s="39"/>
      <c r="W67" s="39"/>
      <c r="X67" s="40"/>
    </row>
    <row r="68" spans="2:27" x14ac:dyDescent="0.35">
      <c r="D68" t="s">
        <v>11</v>
      </c>
      <c r="E68">
        <v>1</v>
      </c>
      <c r="K68" s="39"/>
      <c r="L68" s="101">
        <f>L$12/$E68</f>
        <v>0</v>
      </c>
      <c r="M68" s="101"/>
      <c r="N68" s="101"/>
      <c r="O68" s="101"/>
      <c r="P68" s="101"/>
      <c r="Q68" s="101"/>
      <c r="R68" s="39"/>
      <c r="S68" s="39"/>
      <c r="T68" s="39"/>
      <c r="U68" s="39"/>
      <c r="V68" s="39"/>
      <c r="W68" s="39"/>
      <c r="X68" s="40"/>
    </row>
    <row r="69" spans="2:27" ht="16" thickBot="1" x14ac:dyDescent="0.4">
      <c r="B69" s="41" t="s">
        <v>34</v>
      </c>
      <c r="C69" s="42"/>
      <c r="D69" s="42"/>
      <c r="E69" s="42"/>
      <c r="F69" s="42"/>
      <c r="G69" s="42"/>
      <c r="H69" s="43">
        <f>SUM(H59:H68)</f>
        <v>210000000</v>
      </c>
      <c r="I69" s="43">
        <f t="shared" ref="I69:P69" si="36">SUM(I59:I68)</f>
        <v>237777777.77777779</v>
      </c>
      <c r="J69" s="43">
        <f t="shared" si="36"/>
        <v>237777777.77777779</v>
      </c>
      <c r="K69" s="43">
        <f t="shared" si="36"/>
        <v>237777777.77777779</v>
      </c>
      <c r="L69" s="43">
        <f t="shared" si="36"/>
        <v>237777777.77777779</v>
      </c>
      <c r="M69" s="43">
        <f t="shared" si="36"/>
        <v>237777777.77777779</v>
      </c>
      <c r="N69" s="43">
        <f t="shared" si="36"/>
        <v>237777777.77777779</v>
      </c>
      <c r="O69" s="43">
        <f t="shared" si="36"/>
        <v>237777777.77777779</v>
      </c>
      <c r="P69" s="43">
        <f t="shared" si="36"/>
        <v>237777777.77777779</v>
      </c>
      <c r="Q69" s="47"/>
      <c r="R69" s="47"/>
      <c r="S69" s="47"/>
      <c r="T69" s="47"/>
      <c r="U69" s="47"/>
      <c r="V69" s="47"/>
      <c r="W69" s="47"/>
      <c r="X69" s="47"/>
      <c r="Y69" s="44"/>
      <c r="Z69" s="44"/>
      <c r="AA69" s="44"/>
    </row>
    <row r="70" spans="2:27" ht="16" thickTop="1" x14ac:dyDescent="0.35">
      <c r="M70" s="40"/>
      <c r="N70" s="40"/>
      <c r="O70" s="40"/>
      <c r="P70" s="40">
        <f>SUM(H69:P69)-R35</f>
        <v>0</v>
      </c>
      <c r="Q70" s="40"/>
      <c r="X70" s="15"/>
    </row>
    <row r="72" spans="2:27" x14ac:dyDescent="0.35">
      <c r="G72" t="s">
        <v>62</v>
      </c>
    </row>
    <row r="81" spans="7:13" x14ac:dyDescent="0.35">
      <c r="G81" t="s">
        <v>64</v>
      </c>
      <c r="H81" s="72">
        <f>H12</f>
        <v>2100000000</v>
      </c>
      <c r="I81" s="15"/>
    </row>
    <row r="82" spans="7:13" x14ac:dyDescent="0.35">
      <c r="G82" t="s">
        <v>65</v>
      </c>
      <c r="H82" s="2">
        <v>5</v>
      </c>
    </row>
    <row r="83" spans="7:13" x14ac:dyDescent="0.35">
      <c r="G83" t="s">
        <v>66</v>
      </c>
      <c r="H83" s="14">
        <f>H81/H82</f>
        <v>420000000</v>
      </c>
    </row>
    <row r="84" spans="7:13" x14ac:dyDescent="0.35">
      <c r="G84" t="s">
        <v>67</v>
      </c>
      <c r="H84" s="14">
        <f>H81</f>
        <v>2100000000</v>
      </c>
      <c r="I84" s="15">
        <f>H84-$H$83</f>
        <v>1680000000</v>
      </c>
      <c r="J84" s="15">
        <f t="shared" ref="J84:M84" si="37">I84-$H$83</f>
        <v>1260000000</v>
      </c>
      <c r="K84" s="15">
        <f t="shared" si="37"/>
        <v>840000000</v>
      </c>
      <c r="L84" s="15">
        <f t="shared" si="37"/>
        <v>420000000</v>
      </c>
      <c r="M84" s="15">
        <f t="shared" si="37"/>
        <v>0</v>
      </c>
    </row>
    <row r="85" spans="7:13" x14ac:dyDescent="0.35">
      <c r="G85" t="s">
        <v>68</v>
      </c>
      <c r="H85" s="14">
        <f>H84*$G$4*6/12</f>
        <v>105000000</v>
      </c>
      <c r="I85" s="15">
        <f>AVERAGE(H84,I84)*$G$4</f>
        <v>189000000</v>
      </c>
      <c r="J85" s="15">
        <f t="shared" ref="J85:M85" si="38">AVERAGE(I84,J84)*$G$4</f>
        <v>147000000</v>
      </c>
      <c r="K85" s="15">
        <f t="shared" si="38"/>
        <v>105000000</v>
      </c>
      <c r="L85" s="15">
        <f t="shared" si="38"/>
        <v>63000000</v>
      </c>
      <c r="M85" s="15">
        <f t="shared" si="38"/>
        <v>21000000</v>
      </c>
    </row>
  </sheetData>
  <mergeCells count="1">
    <mergeCell ref="E24:G24"/>
  </mergeCells>
  <printOptions horizontalCentered="1" verticalCentered="1"/>
  <pageMargins left="0" right="0" top="0" bottom="0" header="0.31496062992125984" footer="0.31496062992125984"/>
  <pageSetup paperSize="9" scale="4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43E08-E1CE-424B-B7EB-32E95ABC2DB1}">
  <sheetPr codeName="Sheet2">
    <pageSetUpPr fitToPage="1"/>
  </sheetPr>
  <dimension ref="B1:AA85"/>
  <sheetViews>
    <sheetView showGridLines="0" zoomScale="70" zoomScaleNormal="70" workbookViewId="0">
      <pane xSplit="7" ySplit="17" topLeftCell="H78" activePane="bottomRight" state="frozen"/>
      <selection pane="topRight" activeCell="H1" sqref="H1"/>
      <selection pane="bottomLeft" activeCell="A18" sqref="A18"/>
      <selection pane="bottomRight" activeCell="I9" sqref="I9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28.5" customWidth="1"/>
    <col min="5" max="5" width="7.08203125" bestFit="1" customWidth="1"/>
    <col min="6" max="6" width="6.08203125" customWidth="1"/>
    <col min="7" max="7" width="16.83203125" customWidth="1"/>
    <col min="8" max="8" width="17.58203125" style="2" customWidth="1"/>
    <col min="9" max="9" width="17.83203125" customWidth="1"/>
    <col min="10" max="11" width="15.58203125" bestFit="1" customWidth="1"/>
    <col min="12" max="12" width="16" bestFit="1" customWidth="1"/>
    <col min="13" max="17" width="16" customWidth="1"/>
    <col min="18" max="18" width="16.58203125" bestFit="1" customWidth="1"/>
    <col min="19" max="19" width="15.83203125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7" ht="26" x14ac:dyDescent="0.35">
      <c r="B1" s="1" t="s">
        <v>0</v>
      </c>
      <c r="R1" s="105" t="s">
        <v>63</v>
      </c>
    </row>
    <row r="2" spans="2:27" x14ac:dyDescent="0.35">
      <c r="B2" s="3" t="s">
        <v>1</v>
      </c>
    </row>
    <row r="3" spans="2:27" x14ac:dyDescent="0.35">
      <c r="C3" t="s">
        <v>2</v>
      </c>
      <c r="G3" s="5">
        <v>0.25</v>
      </c>
      <c r="R3" s="4"/>
      <c r="S3" s="4"/>
      <c r="T3" s="4"/>
    </row>
    <row r="4" spans="2:27" x14ac:dyDescent="0.35">
      <c r="C4" t="s">
        <v>46</v>
      </c>
      <c r="G4" s="5">
        <v>0.12</v>
      </c>
      <c r="R4" s="4"/>
      <c r="S4" s="4"/>
      <c r="T4" s="4"/>
    </row>
    <row r="5" spans="2:27" x14ac:dyDescent="0.35">
      <c r="C5" t="s">
        <v>3</v>
      </c>
      <c r="G5" s="5">
        <v>0</v>
      </c>
      <c r="H5" s="2" t="s">
        <v>4</v>
      </c>
    </row>
    <row r="6" spans="2:27" x14ac:dyDescent="0.35">
      <c r="C6" t="s">
        <v>5</v>
      </c>
      <c r="G6" s="6">
        <v>0</v>
      </c>
      <c r="H6" s="2" t="s">
        <v>4</v>
      </c>
    </row>
    <row r="8" spans="2:27" x14ac:dyDescent="0.35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5"/>
      <c r="W8" s="45"/>
      <c r="X8" s="45"/>
      <c r="Y8" s="45"/>
      <c r="Z8" s="45"/>
    </row>
    <row r="9" spans="2:27" x14ac:dyDescent="0.35">
      <c r="H9" s="36" t="s">
        <v>41</v>
      </c>
      <c r="I9" s="36" t="s">
        <v>42</v>
      </c>
      <c r="J9" s="36" t="s">
        <v>43</v>
      </c>
      <c r="K9" s="36" t="s">
        <v>44</v>
      </c>
      <c r="L9" s="36" t="s">
        <v>45</v>
      </c>
      <c r="M9" s="36" t="s">
        <v>49</v>
      </c>
      <c r="N9" s="36" t="s">
        <v>50</v>
      </c>
      <c r="O9" s="36" t="s">
        <v>51</v>
      </c>
      <c r="P9" s="36" t="s">
        <v>52</v>
      </c>
      <c r="Q9" s="36" t="s">
        <v>53</v>
      </c>
      <c r="R9" s="27"/>
      <c r="S9" s="45"/>
      <c r="T9" s="45"/>
      <c r="U9" s="46"/>
      <c r="V9" s="45"/>
      <c r="W9" s="45"/>
      <c r="X9" s="45"/>
      <c r="Y9" s="45"/>
      <c r="Z9" s="45"/>
    </row>
    <row r="10" spans="2:27" x14ac:dyDescent="0.35">
      <c r="B10" s="1" t="s">
        <v>59</v>
      </c>
      <c r="H10"/>
      <c r="R10" s="27"/>
      <c r="S10" s="45"/>
      <c r="T10" s="45"/>
      <c r="U10" s="46"/>
      <c r="V10" s="45"/>
      <c r="W10" s="45"/>
      <c r="X10" s="45"/>
      <c r="Y10" s="45"/>
      <c r="Z10" s="45"/>
    </row>
    <row r="11" spans="2:27" x14ac:dyDescent="0.35">
      <c r="H11"/>
      <c r="R11" s="27"/>
      <c r="S11" s="45"/>
      <c r="T11" s="45"/>
      <c r="U11" s="46"/>
      <c r="V11" s="45"/>
      <c r="W11" s="45"/>
      <c r="X11" s="45"/>
      <c r="Y11" s="45"/>
      <c r="Z11" s="45"/>
    </row>
    <row r="12" spans="2:27" s="90" customFormat="1" ht="16" thickBot="1" x14ac:dyDescent="0.4">
      <c r="B12" s="98" t="s">
        <v>60</v>
      </c>
      <c r="G12" s="97"/>
      <c r="H12" s="91">
        <v>2100000000</v>
      </c>
      <c r="I12" s="91">
        <v>250000000</v>
      </c>
      <c r="J12" s="91">
        <v>0</v>
      </c>
      <c r="K12" s="91">
        <v>0</v>
      </c>
      <c r="L12" s="91"/>
      <c r="M12" s="91"/>
      <c r="N12" s="91"/>
      <c r="O12" s="91"/>
      <c r="P12" s="91"/>
      <c r="Q12" s="91"/>
      <c r="R12" s="95"/>
      <c r="S12" s="92"/>
      <c r="T12" s="92"/>
      <c r="U12" s="93"/>
      <c r="V12" s="92"/>
      <c r="W12" s="92"/>
      <c r="X12" s="92"/>
      <c r="Y12" s="92"/>
      <c r="Z12" s="92"/>
    </row>
    <row r="13" spans="2:27" ht="16" thickTop="1" x14ac:dyDescent="0.35">
      <c r="G13" s="45"/>
      <c r="H13" s="10"/>
      <c r="J13" s="45"/>
      <c r="K13" s="45"/>
      <c r="L13" s="45"/>
      <c r="M13" s="45"/>
      <c r="N13" s="45"/>
      <c r="O13" s="45"/>
      <c r="P13" s="45"/>
      <c r="Q13" s="45"/>
      <c r="R13" s="96"/>
      <c r="S13" s="45"/>
      <c r="T13" s="45"/>
      <c r="U13" s="46"/>
      <c r="V13" s="45"/>
      <c r="W13" s="45"/>
      <c r="X13" s="45"/>
      <c r="Y13" s="45"/>
      <c r="Z13" s="45"/>
    </row>
    <row r="14" spans="2:27" x14ac:dyDescent="0.35">
      <c r="G14" s="11"/>
      <c r="R14" s="27"/>
      <c r="U14" s="44"/>
      <c r="V14" s="44"/>
      <c r="W14" s="44"/>
      <c r="X14" s="44"/>
      <c r="Y14" s="44"/>
      <c r="Z14" s="44"/>
      <c r="AA14" s="44"/>
    </row>
    <row r="15" spans="2:27" ht="16" thickBot="1" x14ac:dyDescent="0.4">
      <c r="B15" s="12" t="s">
        <v>12</v>
      </c>
      <c r="C15" s="7"/>
      <c r="D15" s="7"/>
      <c r="E15" s="7"/>
      <c r="F15" s="7"/>
      <c r="G15" s="7"/>
      <c r="H15" s="8" t="s">
        <v>7</v>
      </c>
      <c r="I15" s="13" t="s">
        <v>8</v>
      </c>
      <c r="J15" s="8" t="s">
        <v>9</v>
      </c>
      <c r="K15" s="13" t="s">
        <v>10</v>
      </c>
      <c r="L15" s="8" t="s">
        <v>11</v>
      </c>
      <c r="M15" s="8" t="s">
        <v>54</v>
      </c>
      <c r="N15" s="8" t="s">
        <v>55</v>
      </c>
      <c r="O15" s="8" t="s">
        <v>56</v>
      </c>
      <c r="P15" s="8" t="s">
        <v>57</v>
      </c>
      <c r="Q15" s="8" t="s">
        <v>58</v>
      </c>
      <c r="R15" s="75" t="s">
        <v>13</v>
      </c>
      <c r="S15" s="59"/>
      <c r="T15" s="59"/>
      <c r="U15" s="59"/>
      <c r="V15" s="59"/>
      <c r="W15" s="59"/>
      <c r="X15" s="59"/>
      <c r="Y15" s="44"/>
      <c r="Z15" s="44"/>
      <c r="AA15" s="44"/>
    </row>
    <row r="16" spans="2:27" x14ac:dyDescent="0.35">
      <c r="B16" t="s">
        <v>14</v>
      </c>
      <c r="H16" s="9">
        <v>12</v>
      </c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9">
        <v>12</v>
      </c>
      <c r="O16" s="9">
        <v>12</v>
      </c>
      <c r="P16" s="9">
        <v>12</v>
      </c>
      <c r="Q16" s="9">
        <v>12</v>
      </c>
      <c r="R16" s="76"/>
    </row>
    <row r="17" spans="2:25" x14ac:dyDescent="0.35">
      <c r="N17" s="103">
        <v>0.15</v>
      </c>
      <c r="R17" s="76"/>
    </row>
    <row r="18" spans="2:25" x14ac:dyDescent="0.35">
      <c r="R18" s="76"/>
    </row>
    <row r="19" spans="2:25" x14ac:dyDescent="0.35">
      <c r="B19" s="1" t="s">
        <v>6</v>
      </c>
      <c r="E19" s="19"/>
      <c r="H19" s="20"/>
      <c r="I19" s="19"/>
      <c r="J19" s="21"/>
      <c r="K19" s="21"/>
      <c r="L19" s="21"/>
      <c r="M19" s="21"/>
      <c r="N19" s="21"/>
      <c r="O19" s="21"/>
      <c r="P19" s="21"/>
      <c r="Q19" s="21"/>
      <c r="R19" s="76"/>
    </row>
    <row r="20" spans="2:25" x14ac:dyDescent="0.35">
      <c r="C20" t="s">
        <v>37</v>
      </c>
      <c r="E20" s="16"/>
      <c r="H20" s="72"/>
      <c r="I20" s="72">
        <v>500000000</v>
      </c>
      <c r="J20" s="72">
        <v>500000000</v>
      </c>
      <c r="K20" s="72">
        <v>500000000</v>
      </c>
      <c r="L20" s="72">
        <v>500000000</v>
      </c>
      <c r="M20" s="72">
        <v>500000000</v>
      </c>
      <c r="N20" s="72">
        <f>M20*(1-$N$17)</f>
        <v>425000000</v>
      </c>
      <c r="O20" s="72">
        <f>N20</f>
        <v>425000000</v>
      </c>
      <c r="P20" s="72">
        <f t="shared" ref="P20:Q20" si="0">O20</f>
        <v>425000000</v>
      </c>
      <c r="Q20" s="72">
        <f t="shared" si="0"/>
        <v>425000000</v>
      </c>
      <c r="R20" s="77">
        <f>SUM(H20:Q20)</f>
        <v>4200000000</v>
      </c>
      <c r="S20" s="14"/>
      <c r="T20" s="14"/>
      <c r="U20" s="14"/>
      <c r="V20" s="14"/>
      <c r="W20" s="14"/>
      <c r="X20" s="15"/>
    </row>
    <row r="21" spans="2:25" x14ac:dyDescent="0.35">
      <c r="C21" t="s">
        <v>38</v>
      </c>
      <c r="H21" s="14"/>
      <c r="I21" s="14">
        <v>250000000</v>
      </c>
      <c r="J21" s="14">
        <v>250000000</v>
      </c>
      <c r="K21" s="14">
        <v>250000000</v>
      </c>
      <c r="L21" s="14">
        <v>250000000</v>
      </c>
      <c r="M21" s="14">
        <v>250000000</v>
      </c>
      <c r="N21" s="72">
        <f>M21*(1-$N$17)</f>
        <v>212500000</v>
      </c>
      <c r="O21" s="72">
        <f t="shared" ref="O21:Q22" si="1">N21</f>
        <v>212500000</v>
      </c>
      <c r="P21" s="72">
        <f t="shared" si="1"/>
        <v>212500000</v>
      </c>
      <c r="Q21" s="72">
        <f t="shared" si="1"/>
        <v>212500000</v>
      </c>
      <c r="R21" s="77">
        <f t="shared" ref="R21:R23" si="2">SUM(H21:Q21)</f>
        <v>2100000000</v>
      </c>
      <c r="S21" s="14"/>
      <c r="T21" s="14"/>
      <c r="U21" s="14"/>
      <c r="V21" s="14"/>
      <c r="W21" s="14"/>
      <c r="X21" s="15"/>
    </row>
    <row r="22" spans="2:25" x14ac:dyDescent="0.35">
      <c r="C22" t="s">
        <v>40</v>
      </c>
      <c r="H22" s="14"/>
      <c r="I22" s="14">
        <v>500000000</v>
      </c>
      <c r="J22" s="14">
        <v>500000000</v>
      </c>
      <c r="K22" s="14">
        <v>500000000</v>
      </c>
      <c r="L22" s="14">
        <v>500000000</v>
      </c>
      <c r="M22" s="14">
        <v>500000000</v>
      </c>
      <c r="N22" s="72">
        <f>M22*(1-$N$17)</f>
        <v>425000000</v>
      </c>
      <c r="O22" s="72">
        <f t="shared" si="1"/>
        <v>425000000</v>
      </c>
      <c r="P22" s="72">
        <f t="shared" si="1"/>
        <v>425000000</v>
      </c>
      <c r="Q22" s="72">
        <f t="shared" si="1"/>
        <v>425000000</v>
      </c>
      <c r="R22" s="77">
        <f t="shared" si="2"/>
        <v>4200000000</v>
      </c>
      <c r="S22" s="14"/>
      <c r="T22" s="14"/>
      <c r="U22" s="14"/>
      <c r="V22" s="14"/>
      <c r="W22" s="14"/>
      <c r="X22" s="15"/>
    </row>
    <row r="23" spans="2:25" x14ac:dyDescent="0.35">
      <c r="C23" t="s">
        <v>39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77">
        <f t="shared" si="2"/>
        <v>0</v>
      </c>
      <c r="S23" s="48"/>
      <c r="T23" s="48"/>
      <c r="U23" s="48"/>
      <c r="V23" s="48"/>
      <c r="W23" s="48"/>
      <c r="X23" s="49"/>
      <c r="Y23" s="50"/>
    </row>
    <row r="24" spans="2:25" x14ac:dyDescent="0.35">
      <c r="B24" s="69" t="s">
        <v>15</v>
      </c>
      <c r="C24" s="69"/>
      <c r="D24" s="69"/>
      <c r="E24" s="160">
        <f>SUM(H24:Q24)</f>
        <v>10500000000</v>
      </c>
      <c r="F24" s="161"/>
      <c r="G24" s="161"/>
      <c r="H24" s="70">
        <f>SUM(H20:H23)</f>
        <v>0</v>
      </c>
      <c r="I24" s="70">
        <f>SUM(I20:I23)</f>
        <v>1250000000</v>
      </c>
      <c r="J24" s="70">
        <f t="shared" ref="J24:M24" si="3">SUM(J20:J23)</f>
        <v>1250000000</v>
      </c>
      <c r="K24" s="70">
        <f t="shared" si="3"/>
        <v>1250000000</v>
      </c>
      <c r="L24" s="70">
        <f t="shared" si="3"/>
        <v>1250000000</v>
      </c>
      <c r="M24" s="70">
        <f t="shared" si="3"/>
        <v>1250000000</v>
      </c>
      <c r="N24" s="70">
        <f>SUM(N20:N23)</f>
        <v>1062500000</v>
      </c>
      <c r="O24" s="70">
        <f t="shared" ref="O24:Q24" si="4">SUM(O20:O23)</f>
        <v>1062500000</v>
      </c>
      <c r="P24" s="70">
        <f t="shared" si="4"/>
        <v>1062500000</v>
      </c>
      <c r="Q24" s="70">
        <f t="shared" si="4"/>
        <v>1062500000</v>
      </c>
      <c r="R24" s="78">
        <f>SUM(R20:R23)</f>
        <v>10500000000</v>
      </c>
      <c r="S24" s="48"/>
      <c r="T24" s="48"/>
      <c r="U24" s="48"/>
      <c r="V24" s="48"/>
      <c r="W24" s="48"/>
      <c r="X24" s="48"/>
      <c r="Y24" s="50"/>
    </row>
    <row r="25" spans="2:25" x14ac:dyDescent="0.35">
      <c r="R25" s="76"/>
      <c r="S25" s="50"/>
      <c r="T25" s="50"/>
      <c r="U25" s="50"/>
      <c r="V25" s="50"/>
      <c r="W25" s="50"/>
      <c r="X25" s="50"/>
      <c r="Y25" s="50"/>
    </row>
    <row r="26" spans="2:25" x14ac:dyDescent="0.35">
      <c r="B26" s="1" t="s">
        <v>16</v>
      </c>
      <c r="E26" s="19"/>
      <c r="F26" s="19"/>
      <c r="G26" s="19"/>
      <c r="H26" s="20"/>
      <c r="I26" s="19"/>
      <c r="J26" s="21"/>
      <c r="K26" s="21"/>
      <c r="L26" s="21"/>
      <c r="M26" s="21"/>
      <c r="N26" s="21"/>
      <c r="O26" s="21"/>
      <c r="P26" s="21"/>
      <c r="Q26" s="21"/>
      <c r="R26" s="79"/>
      <c r="S26" s="51"/>
      <c r="T26" s="51"/>
      <c r="U26" s="51"/>
      <c r="V26" s="51"/>
      <c r="W26" s="51"/>
      <c r="X26" s="50"/>
      <c r="Y26" s="50"/>
    </row>
    <row r="27" spans="2:25" x14ac:dyDescent="0.35">
      <c r="C27" t="s">
        <v>47</v>
      </c>
      <c r="H27" s="14"/>
      <c r="I27" s="14">
        <v>400000000</v>
      </c>
      <c r="J27" s="14">
        <v>400000000</v>
      </c>
      <c r="K27" s="14">
        <v>400000000</v>
      </c>
      <c r="L27" s="14">
        <v>400000000</v>
      </c>
      <c r="M27" s="14">
        <f>400000000*(1-N17)</f>
        <v>340000000</v>
      </c>
      <c r="N27" s="14">
        <f>M27</f>
        <v>340000000</v>
      </c>
      <c r="O27" s="14">
        <f t="shared" ref="O27:P27" si="5">N27</f>
        <v>340000000</v>
      </c>
      <c r="P27" s="14">
        <f t="shared" si="5"/>
        <v>340000000</v>
      </c>
      <c r="Q27" s="14">
        <v>0</v>
      </c>
      <c r="R27" s="80">
        <f>SUM(H27:Q27)</f>
        <v>2960000000</v>
      </c>
      <c r="S27" s="48"/>
      <c r="T27" s="48"/>
      <c r="U27" s="48"/>
      <c r="V27" s="48"/>
      <c r="W27" s="48"/>
      <c r="X27" s="49"/>
      <c r="Y27" s="50"/>
    </row>
    <row r="28" spans="2:25" x14ac:dyDescent="0.35">
      <c r="C28" t="s">
        <v>17</v>
      </c>
      <c r="H28" s="14"/>
      <c r="I28" s="14">
        <f>96000000*0.5</f>
        <v>48000000</v>
      </c>
      <c r="J28" s="14">
        <f>96000000*0.5</f>
        <v>48000000</v>
      </c>
      <c r="K28" s="14">
        <f>200000000*0.5</f>
        <v>100000000</v>
      </c>
      <c r="L28" s="14">
        <f t="shared" ref="L28:Q28" si="6">200000000*0.5</f>
        <v>100000000</v>
      </c>
      <c r="M28" s="14">
        <f t="shared" si="6"/>
        <v>100000000</v>
      </c>
      <c r="N28" s="14">
        <f t="shared" si="6"/>
        <v>100000000</v>
      </c>
      <c r="O28" s="14">
        <f t="shared" si="6"/>
        <v>100000000</v>
      </c>
      <c r="P28" s="14">
        <f t="shared" si="6"/>
        <v>100000000</v>
      </c>
      <c r="Q28" s="14">
        <f t="shared" si="6"/>
        <v>100000000</v>
      </c>
      <c r="R28" s="80">
        <f t="shared" ref="R28:R30" si="7">SUM(H28:Q28)</f>
        <v>796000000</v>
      </c>
      <c r="S28" s="48"/>
      <c r="T28" s="48"/>
      <c r="U28" s="48"/>
      <c r="V28" s="48"/>
      <c r="W28" s="48"/>
      <c r="X28" s="49"/>
      <c r="Y28" s="50"/>
    </row>
    <row r="29" spans="2:25" x14ac:dyDescent="0.35">
      <c r="C29" t="s">
        <v>48</v>
      </c>
      <c r="H29" s="14"/>
      <c r="I29" s="14">
        <v>21000000</v>
      </c>
      <c r="J29" s="14">
        <v>21000000</v>
      </c>
      <c r="K29" s="14">
        <v>21000000</v>
      </c>
      <c r="L29" s="14">
        <v>21000000</v>
      </c>
      <c r="M29" s="14">
        <v>21000000</v>
      </c>
      <c r="N29" s="14">
        <v>21000000</v>
      </c>
      <c r="O29" s="14">
        <v>21000000</v>
      </c>
      <c r="P29" s="14">
        <v>21000000</v>
      </c>
      <c r="Q29" s="14">
        <v>21000000</v>
      </c>
      <c r="R29" s="80">
        <f t="shared" si="7"/>
        <v>189000000</v>
      </c>
      <c r="S29" s="48"/>
      <c r="T29" s="48"/>
      <c r="U29" s="48"/>
      <c r="V29" s="48"/>
      <c r="W29" s="48"/>
      <c r="X29" s="49"/>
      <c r="Y29" s="50"/>
    </row>
    <row r="30" spans="2:25" x14ac:dyDescent="0.35">
      <c r="B30" s="17"/>
      <c r="C30" s="17" t="s">
        <v>3</v>
      </c>
      <c r="D30" s="17"/>
      <c r="E30" s="17"/>
      <c r="F30" s="17"/>
      <c r="G30" s="17"/>
      <c r="H30" s="22">
        <f t="shared" ref="H30:Q30" si="8">$G$5*H24</f>
        <v>0</v>
      </c>
      <c r="I30" s="22">
        <f t="shared" si="8"/>
        <v>0</v>
      </c>
      <c r="J30" s="22">
        <f t="shared" si="8"/>
        <v>0</v>
      </c>
      <c r="K30" s="22">
        <f t="shared" si="8"/>
        <v>0</v>
      </c>
      <c r="L30" s="22">
        <f t="shared" si="8"/>
        <v>0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80">
        <f t="shared" si="7"/>
        <v>0</v>
      </c>
      <c r="S30" s="52"/>
      <c r="T30" s="52"/>
      <c r="U30" s="52"/>
      <c r="V30" s="52"/>
      <c r="W30" s="52"/>
      <c r="X30" s="49"/>
      <c r="Y30" s="50"/>
    </row>
    <row r="31" spans="2:25" s="1" customFormat="1" x14ac:dyDescent="0.35">
      <c r="B31" s="69" t="s">
        <v>18</v>
      </c>
      <c r="C31" s="69"/>
      <c r="D31" s="69"/>
      <c r="E31" s="69"/>
      <c r="F31" s="69"/>
      <c r="G31" s="69"/>
      <c r="H31" s="70">
        <f>SUM(H27:H30)</f>
        <v>0</v>
      </c>
      <c r="I31" s="70">
        <f>SUM(I27:I30)</f>
        <v>469000000</v>
      </c>
      <c r="J31" s="70">
        <f t="shared" ref="J31:Q31" si="9">SUM(J27:J30)</f>
        <v>469000000</v>
      </c>
      <c r="K31" s="70">
        <f t="shared" si="9"/>
        <v>521000000</v>
      </c>
      <c r="L31" s="70">
        <f t="shared" si="9"/>
        <v>521000000</v>
      </c>
      <c r="M31" s="70">
        <f t="shared" si="9"/>
        <v>461000000</v>
      </c>
      <c r="N31" s="70">
        <f t="shared" si="9"/>
        <v>461000000</v>
      </c>
      <c r="O31" s="70">
        <f t="shared" si="9"/>
        <v>461000000</v>
      </c>
      <c r="P31" s="70">
        <f t="shared" si="9"/>
        <v>461000000</v>
      </c>
      <c r="Q31" s="70">
        <f t="shared" si="9"/>
        <v>121000000</v>
      </c>
      <c r="R31" s="94">
        <f>SUM(R27:R30)</f>
        <v>3945000000</v>
      </c>
      <c r="S31" s="53"/>
      <c r="T31" s="53"/>
      <c r="U31" s="53"/>
      <c r="V31" s="53"/>
      <c r="W31" s="53"/>
      <c r="X31" s="53"/>
      <c r="Y31" s="54"/>
    </row>
    <row r="32" spans="2:25" s="1" customFormat="1" x14ac:dyDescent="0.35">
      <c r="B32" s="1" t="s">
        <v>19</v>
      </c>
      <c r="H32" s="23">
        <f>H24-H31</f>
        <v>0</v>
      </c>
      <c r="I32" s="23">
        <f>I24-I31</f>
        <v>781000000</v>
      </c>
      <c r="J32" s="23">
        <f t="shared" ref="J32:Q32" si="10">J24-J31</f>
        <v>781000000</v>
      </c>
      <c r="K32" s="23">
        <f t="shared" si="10"/>
        <v>729000000</v>
      </c>
      <c r="L32" s="23">
        <f t="shared" si="10"/>
        <v>729000000</v>
      </c>
      <c r="M32" s="23">
        <f t="shared" si="10"/>
        <v>789000000</v>
      </c>
      <c r="N32" s="23">
        <f t="shared" si="10"/>
        <v>601500000</v>
      </c>
      <c r="O32" s="23">
        <f t="shared" si="10"/>
        <v>601500000</v>
      </c>
      <c r="P32" s="23">
        <f t="shared" si="10"/>
        <v>601500000</v>
      </c>
      <c r="Q32" s="23">
        <f t="shared" si="10"/>
        <v>941500000</v>
      </c>
      <c r="R32" s="81">
        <f>R24-R31</f>
        <v>6555000000</v>
      </c>
      <c r="S32" s="53"/>
      <c r="T32" s="53"/>
      <c r="U32" s="53"/>
      <c r="V32" s="53"/>
      <c r="W32" s="53"/>
      <c r="X32" s="53"/>
      <c r="Y32" s="54"/>
    </row>
    <row r="33" spans="2:25" s="1" customFormat="1" x14ac:dyDescent="0.35">
      <c r="B33" s="24" t="s">
        <v>20</v>
      </c>
      <c r="C33" s="25"/>
      <c r="D33" s="25"/>
      <c r="E33" s="25"/>
      <c r="F33" s="25"/>
      <c r="G33" s="25"/>
      <c r="H33" s="26" t="e">
        <f>H32/H24</f>
        <v>#DIV/0!</v>
      </c>
      <c r="I33" s="26">
        <f>I32/I24</f>
        <v>0.62480000000000002</v>
      </c>
      <c r="J33" s="26">
        <f t="shared" ref="J33:Q33" si="11">J32/J24</f>
        <v>0.62480000000000002</v>
      </c>
      <c r="K33" s="26">
        <f t="shared" si="11"/>
        <v>0.58320000000000005</v>
      </c>
      <c r="L33" s="26">
        <f t="shared" si="11"/>
        <v>0.58320000000000005</v>
      </c>
      <c r="M33" s="26">
        <f t="shared" si="11"/>
        <v>0.63119999999999998</v>
      </c>
      <c r="N33" s="26">
        <f t="shared" si="11"/>
        <v>0.5661176470588235</v>
      </c>
      <c r="O33" s="26">
        <f t="shared" si="11"/>
        <v>0.5661176470588235</v>
      </c>
      <c r="P33" s="26">
        <f t="shared" si="11"/>
        <v>0.5661176470588235</v>
      </c>
      <c r="Q33" s="26">
        <f t="shared" si="11"/>
        <v>0.88611764705882357</v>
      </c>
      <c r="R33" s="82">
        <f>R32/R24</f>
        <v>0.62428571428571433</v>
      </c>
      <c r="S33" s="55"/>
      <c r="T33" s="55"/>
      <c r="U33" s="55"/>
      <c r="V33" s="55"/>
      <c r="W33" s="55"/>
      <c r="X33" s="55"/>
      <c r="Y33" s="54"/>
    </row>
    <row r="34" spans="2:25" x14ac:dyDescent="0.35">
      <c r="R34" s="76"/>
      <c r="S34" s="50"/>
      <c r="T34" s="50"/>
      <c r="U34" s="50"/>
      <c r="V34" s="50"/>
      <c r="W34" s="50"/>
      <c r="X34" s="50"/>
      <c r="Y34" s="50"/>
    </row>
    <row r="35" spans="2:25" x14ac:dyDescent="0.35">
      <c r="B35" s="17" t="s">
        <v>21</v>
      </c>
      <c r="C35" s="17"/>
      <c r="D35" s="17"/>
      <c r="E35" s="17"/>
      <c r="F35" s="17"/>
      <c r="G35" s="17"/>
      <c r="H35" s="18">
        <f>H66</f>
        <v>210000000</v>
      </c>
      <c r="I35" s="18">
        <f t="shared" ref="I35:Q35" si="12">I66</f>
        <v>237777777.77777779</v>
      </c>
      <c r="J35" s="18">
        <f t="shared" si="12"/>
        <v>237777777.77777779</v>
      </c>
      <c r="K35" s="18">
        <f t="shared" si="12"/>
        <v>237777777.77777779</v>
      </c>
      <c r="L35" s="18">
        <f t="shared" si="12"/>
        <v>237777777.77777779</v>
      </c>
      <c r="M35" s="18">
        <f t="shared" si="12"/>
        <v>237777777.77777779</v>
      </c>
      <c r="N35" s="18">
        <f t="shared" si="12"/>
        <v>237777777.77777779</v>
      </c>
      <c r="O35" s="18">
        <f t="shared" si="12"/>
        <v>237777777.77777779</v>
      </c>
      <c r="P35" s="18">
        <f t="shared" si="12"/>
        <v>237777777.77777779</v>
      </c>
      <c r="Q35" s="18">
        <f t="shared" si="12"/>
        <v>0</v>
      </c>
      <c r="R35" s="83">
        <f>SUM(H35:Q35)</f>
        <v>2112222222.2222219</v>
      </c>
      <c r="S35" s="48"/>
      <c r="T35" s="48"/>
      <c r="U35" s="48"/>
      <c r="V35" s="48"/>
      <c r="W35" s="48"/>
      <c r="X35" s="48"/>
      <c r="Y35" s="50"/>
    </row>
    <row r="36" spans="2:25" x14ac:dyDescent="0.35">
      <c r="B36" s="27" t="s">
        <v>22</v>
      </c>
      <c r="H36" s="28">
        <f>H32-H35</f>
        <v>-210000000</v>
      </c>
      <c r="I36" s="28">
        <f t="shared" ref="I36:Q36" si="13">I32-I35</f>
        <v>543222222.22222221</v>
      </c>
      <c r="J36" s="28">
        <f t="shared" si="13"/>
        <v>543222222.22222221</v>
      </c>
      <c r="K36" s="28">
        <f t="shared" si="13"/>
        <v>491222222.22222221</v>
      </c>
      <c r="L36" s="28">
        <f t="shared" si="13"/>
        <v>491222222.22222221</v>
      </c>
      <c r="M36" s="28">
        <f t="shared" si="13"/>
        <v>551222222.22222221</v>
      </c>
      <c r="N36" s="28">
        <f t="shared" si="13"/>
        <v>363722222.22222221</v>
      </c>
      <c r="O36" s="28">
        <f t="shared" si="13"/>
        <v>363722222.22222221</v>
      </c>
      <c r="P36" s="28">
        <f t="shared" si="13"/>
        <v>363722222.22222221</v>
      </c>
      <c r="Q36" s="28">
        <f t="shared" si="13"/>
        <v>941500000</v>
      </c>
      <c r="R36" s="84">
        <f>R32-R35</f>
        <v>4442777777.7777786</v>
      </c>
      <c r="S36" s="56"/>
      <c r="T36" s="56"/>
      <c r="U36" s="56"/>
      <c r="V36" s="56"/>
      <c r="W36" s="56"/>
      <c r="X36" s="56"/>
      <c r="Y36" s="50"/>
    </row>
    <row r="37" spans="2:25" x14ac:dyDescent="0.35">
      <c r="B37" s="27"/>
      <c r="H37" s="28"/>
      <c r="I37" s="29"/>
      <c r="J37" s="29"/>
      <c r="K37" s="29"/>
      <c r="L37" s="29"/>
      <c r="M37" s="29"/>
      <c r="N37" s="29"/>
      <c r="O37" s="29"/>
      <c r="P37" s="29"/>
      <c r="Q37" s="29"/>
      <c r="R37" s="84"/>
      <c r="S37" s="56"/>
      <c r="T37" s="56"/>
      <c r="U37" s="56"/>
      <c r="V37" s="56"/>
      <c r="W37" s="56"/>
      <c r="X37" s="56"/>
      <c r="Y37" s="50"/>
    </row>
    <row r="38" spans="2:25" x14ac:dyDescent="0.35">
      <c r="B38" s="27" t="s">
        <v>35</v>
      </c>
      <c r="H38" s="73">
        <f>H85</f>
        <v>126000000</v>
      </c>
      <c r="I38" s="73">
        <f t="shared" ref="I38:Q38" si="14">I85</f>
        <v>241800000</v>
      </c>
      <c r="J38" s="73">
        <f t="shared" si="14"/>
        <v>203400000</v>
      </c>
      <c r="K38" s="73">
        <f t="shared" si="14"/>
        <v>147000000</v>
      </c>
      <c r="L38" s="73">
        <f t="shared" si="14"/>
        <v>90600000</v>
      </c>
      <c r="M38" s="73">
        <f t="shared" si="14"/>
        <v>34200000</v>
      </c>
      <c r="N38" s="73">
        <f t="shared" si="14"/>
        <v>3000000</v>
      </c>
      <c r="O38" s="73">
        <f t="shared" si="14"/>
        <v>0</v>
      </c>
      <c r="P38" s="73">
        <f t="shared" si="14"/>
        <v>0</v>
      </c>
      <c r="Q38" s="73">
        <f t="shared" si="14"/>
        <v>0</v>
      </c>
      <c r="R38" s="102">
        <f t="shared" ref="R38:R39" si="15">SUM(H38:Q38)</f>
        <v>846000000</v>
      </c>
      <c r="S38" s="56"/>
      <c r="T38" s="56"/>
      <c r="U38" s="56"/>
      <c r="V38" s="56"/>
      <c r="W38" s="56"/>
      <c r="X38" s="56"/>
      <c r="Y38" s="50"/>
    </row>
    <row r="39" spans="2:25" x14ac:dyDescent="0.35">
      <c r="B39" s="27" t="s">
        <v>36</v>
      </c>
      <c r="H39" s="73">
        <f>H36-H38</f>
        <v>-336000000</v>
      </c>
      <c r="I39" s="73">
        <f t="shared" ref="I39:Q39" si="16">I36-I38</f>
        <v>301422222.22222221</v>
      </c>
      <c r="J39" s="73">
        <f t="shared" si="16"/>
        <v>339822222.22222221</v>
      </c>
      <c r="K39" s="73">
        <f t="shared" si="16"/>
        <v>344222222.22222221</v>
      </c>
      <c r="L39" s="73">
        <f t="shared" si="16"/>
        <v>400622222.22222221</v>
      </c>
      <c r="M39" s="73">
        <f t="shared" si="16"/>
        <v>517022222.22222221</v>
      </c>
      <c r="N39" s="73">
        <f t="shared" si="16"/>
        <v>360722222.22222221</v>
      </c>
      <c r="O39" s="73">
        <f t="shared" si="16"/>
        <v>363722222.22222221</v>
      </c>
      <c r="P39" s="73">
        <f t="shared" si="16"/>
        <v>363722222.22222221</v>
      </c>
      <c r="Q39" s="73">
        <f t="shared" si="16"/>
        <v>941500000</v>
      </c>
      <c r="R39" s="102">
        <f t="shared" si="15"/>
        <v>3596777777.7777781</v>
      </c>
      <c r="S39" s="56"/>
      <c r="T39" s="56"/>
      <c r="U39" s="56"/>
      <c r="V39" s="56"/>
      <c r="W39" s="56"/>
      <c r="X39" s="56"/>
      <c r="Y39" s="50"/>
    </row>
    <row r="40" spans="2:25" x14ac:dyDescent="0.35">
      <c r="B40" s="17" t="s">
        <v>23</v>
      </c>
      <c r="C40" s="17"/>
      <c r="D40" s="17"/>
      <c r="E40" s="17"/>
      <c r="F40" s="17"/>
      <c r="G40" s="17"/>
      <c r="H40" s="71">
        <f>IF(H39&lt;0,0,H39*$G$3)</f>
        <v>0</v>
      </c>
      <c r="I40" s="71">
        <f t="shared" ref="I40:Q40" si="17">IF(I39&lt;0,0,I39*$G$3)</f>
        <v>75355555.555555552</v>
      </c>
      <c r="J40" s="71">
        <f t="shared" si="17"/>
        <v>84955555.555555552</v>
      </c>
      <c r="K40" s="71">
        <f t="shared" si="17"/>
        <v>86055555.555555552</v>
      </c>
      <c r="L40" s="71">
        <f t="shared" si="17"/>
        <v>100155555.55555555</v>
      </c>
      <c r="M40" s="71">
        <f t="shared" si="17"/>
        <v>129255555.55555555</v>
      </c>
      <c r="N40" s="71">
        <f t="shared" si="17"/>
        <v>90180555.555555552</v>
      </c>
      <c r="O40" s="71">
        <f t="shared" si="17"/>
        <v>90930555.555555552</v>
      </c>
      <c r="P40" s="71">
        <f t="shared" si="17"/>
        <v>90930555.555555552</v>
      </c>
      <c r="Q40" s="71">
        <f t="shared" si="17"/>
        <v>235375000</v>
      </c>
      <c r="R40" s="85">
        <f>SUM(H40:Q40)</f>
        <v>983194444.44444454</v>
      </c>
      <c r="S40" s="58"/>
      <c r="T40" s="58"/>
      <c r="U40" s="58"/>
      <c r="V40" s="58"/>
      <c r="W40" s="58"/>
      <c r="X40" s="57"/>
      <c r="Y40" s="50"/>
    </row>
    <row r="41" spans="2:25" ht="16" thickBot="1" x14ac:dyDescent="0.4">
      <c r="B41" s="31" t="s">
        <v>61</v>
      </c>
      <c r="C41" s="31"/>
      <c r="D41" s="31"/>
      <c r="E41" s="31"/>
      <c r="F41" s="31"/>
      <c r="G41" s="31"/>
      <c r="H41" s="32">
        <f>H39-H40</f>
        <v>-336000000</v>
      </c>
      <c r="I41" s="32">
        <f t="shared" ref="I41:Q41" si="18">I39-I40</f>
        <v>226066666.66666666</v>
      </c>
      <c r="J41" s="32">
        <f t="shared" si="18"/>
        <v>254866666.66666666</v>
      </c>
      <c r="K41" s="32">
        <f t="shared" si="18"/>
        <v>258166666.66666666</v>
      </c>
      <c r="L41" s="32">
        <f t="shared" si="18"/>
        <v>300466666.66666663</v>
      </c>
      <c r="M41" s="32">
        <f t="shared" si="18"/>
        <v>387766666.66666663</v>
      </c>
      <c r="N41" s="32">
        <f t="shared" si="18"/>
        <v>270541666.66666663</v>
      </c>
      <c r="O41" s="32">
        <f t="shared" si="18"/>
        <v>272791666.66666663</v>
      </c>
      <c r="P41" s="32">
        <f t="shared" si="18"/>
        <v>272791666.66666663</v>
      </c>
      <c r="Q41" s="32">
        <f t="shared" si="18"/>
        <v>706125000</v>
      </c>
      <c r="R41" s="86">
        <f>R36-R40</f>
        <v>3459583333.333334</v>
      </c>
      <c r="S41" s="56"/>
      <c r="T41" s="56"/>
      <c r="U41" s="56"/>
      <c r="V41" s="56"/>
      <c r="W41" s="56"/>
      <c r="X41" s="56"/>
      <c r="Y41" s="50"/>
    </row>
    <row r="42" spans="2:25" x14ac:dyDescent="0.35">
      <c r="R42" s="76"/>
      <c r="S42" s="50"/>
      <c r="T42" s="50"/>
      <c r="U42" s="50"/>
      <c r="V42" s="50"/>
      <c r="W42" s="50"/>
      <c r="X42" s="50"/>
      <c r="Y42" s="50"/>
    </row>
    <row r="43" spans="2:25" x14ac:dyDescent="0.35">
      <c r="B43" s="17" t="s">
        <v>24</v>
      </c>
      <c r="C43" s="17"/>
      <c r="D43" s="17"/>
      <c r="E43" s="17"/>
      <c r="F43" s="17"/>
      <c r="G43" s="33">
        <f>-H12</f>
        <v>-2100000000</v>
      </c>
      <c r="H43" s="33">
        <f t="shared" ref="H43:I43" si="19">-I12</f>
        <v>-250000000</v>
      </c>
      <c r="I43" s="33">
        <f t="shared" si="19"/>
        <v>0</v>
      </c>
      <c r="J43" s="33">
        <f>-K12</f>
        <v>0</v>
      </c>
      <c r="K43" s="33">
        <f t="shared" ref="K43:Q43" si="20">-L12</f>
        <v>0</v>
      </c>
      <c r="L43" s="33">
        <f t="shared" si="20"/>
        <v>0</v>
      </c>
      <c r="M43" s="33">
        <f t="shared" si="20"/>
        <v>0</v>
      </c>
      <c r="N43" s="33">
        <f t="shared" si="20"/>
        <v>0</v>
      </c>
      <c r="O43" s="33">
        <f t="shared" si="20"/>
        <v>0</v>
      </c>
      <c r="P43" s="33">
        <f t="shared" si="20"/>
        <v>0</v>
      </c>
      <c r="Q43" s="33">
        <f t="shared" si="20"/>
        <v>0</v>
      </c>
      <c r="R43" s="87"/>
      <c r="S43" s="57"/>
      <c r="T43" s="57"/>
      <c r="U43" s="57"/>
      <c r="V43" s="57"/>
      <c r="W43" s="57"/>
      <c r="X43" s="57"/>
      <c r="Y43" s="50"/>
    </row>
    <row r="44" spans="2:25" x14ac:dyDescent="0.35">
      <c r="B44" t="s">
        <v>25</v>
      </c>
      <c r="G44" s="30">
        <f>G43</f>
        <v>-2100000000</v>
      </c>
      <c r="H44" s="30">
        <f>H43+H41+H35</f>
        <v>-376000000</v>
      </c>
      <c r="I44" s="30">
        <f>I43+I41+I35</f>
        <v>463844444.44444442</v>
      </c>
      <c r="J44" s="30">
        <f t="shared" ref="J44:Q44" si="21">J43+J41+J35</f>
        <v>492644444.44444442</v>
      </c>
      <c r="K44" s="30">
        <f t="shared" si="21"/>
        <v>495944444.44444442</v>
      </c>
      <c r="L44" s="30">
        <f t="shared" si="21"/>
        <v>538244444.44444442</v>
      </c>
      <c r="M44" s="30">
        <f t="shared" si="21"/>
        <v>625544444.44444442</v>
      </c>
      <c r="N44" s="30">
        <f t="shared" si="21"/>
        <v>508319444.44444442</v>
      </c>
      <c r="O44" s="30">
        <f t="shared" si="21"/>
        <v>510569444.44444442</v>
      </c>
      <c r="P44" s="30">
        <f t="shared" si="21"/>
        <v>510569444.44444442</v>
      </c>
      <c r="Q44" s="30">
        <f t="shared" si="21"/>
        <v>706125000</v>
      </c>
      <c r="R44" s="88"/>
      <c r="S44" s="57"/>
      <c r="T44" s="57"/>
      <c r="U44" s="57"/>
      <c r="V44" s="57"/>
      <c r="W44" s="57"/>
      <c r="X44" s="57"/>
      <c r="Y44" s="50"/>
    </row>
    <row r="45" spans="2:25" x14ac:dyDescent="0.35">
      <c r="B45" t="s">
        <v>26</v>
      </c>
      <c r="G45" s="30">
        <f>G44</f>
        <v>-2100000000</v>
      </c>
      <c r="H45" s="30">
        <f>G45+H44</f>
        <v>-2476000000</v>
      </c>
      <c r="I45" s="30">
        <f>H45+I44</f>
        <v>-2012155555.5555556</v>
      </c>
      <c r="J45" s="30">
        <f t="shared" ref="J45:Q45" si="22">I45+J44</f>
        <v>-1519511111.1111112</v>
      </c>
      <c r="K45" s="30">
        <f t="shared" si="22"/>
        <v>-1023566666.6666667</v>
      </c>
      <c r="L45" s="30">
        <f t="shared" si="22"/>
        <v>-485322222.22222233</v>
      </c>
      <c r="M45" s="30">
        <f t="shared" si="22"/>
        <v>140222222.22222209</v>
      </c>
      <c r="N45" s="30">
        <f t="shared" si="22"/>
        <v>648541666.66666651</v>
      </c>
      <c r="O45" s="30">
        <f t="shared" si="22"/>
        <v>1159111111.1111109</v>
      </c>
      <c r="P45" s="30">
        <f t="shared" si="22"/>
        <v>1669680555.5555553</v>
      </c>
      <c r="Q45" s="30">
        <f t="shared" si="22"/>
        <v>2375805555.5555553</v>
      </c>
      <c r="R45" s="88"/>
      <c r="S45" s="57"/>
      <c r="T45" s="57"/>
      <c r="U45" s="57"/>
      <c r="V45" s="57"/>
      <c r="W45" s="57"/>
      <c r="X45" s="57"/>
      <c r="Y45" s="50"/>
    </row>
    <row r="46" spans="2:25" x14ac:dyDescent="0.35">
      <c r="B46" t="s">
        <v>27</v>
      </c>
      <c r="G46" s="30"/>
      <c r="H46" s="34">
        <f t="shared" ref="H46:Q46" si="23">IF(AND(G45&lt;0,H45&gt;0),H54-(H45/H44),0)</f>
        <v>0</v>
      </c>
      <c r="I46" s="34">
        <f t="shared" si="23"/>
        <v>0</v>
      </c>
      <c r="J46" s="34">
        <f t="shared" si="23"/>
        <v>0</v>
      </c>
      <c r="K46" s="34">
        <f t="shared" si="23"/>
        <v>0</v>
      </c>
      <c r="L46" s="100">
        <f t="shared" si="23"/>
        <v>0</v>
      </c>
      <c r="M46" s="100">
        <f t="shared" si="23"/>
        <v>5.7758397129611536</v>
      </c>
      <c r="N46" s="34">
        <f t="shared" si="23"/>
        <v>0</v>
      </c>
      <c r="O46" s="34">
        <f t="shared" si="23"/>
        <v>0</v>
      </c>
      <c r="P46" s="34">
        <f t="shared" si="23"/>
        <v>0</v>
      </c>
      <c r="Q46" s="34">
        <f t="shared" si="23"/>
        <v>0</v>
      </c>
      <c r="R46" s="89"/>
      <c r="S46" s="34"/>
      <c r="T46" s="34"/>
      <c r="U46" s="34"/>
      <c r="V46" s="34"/>
      <c r="W46" s="34"/>
      <c r="X46" s="34"/>
    </row>
    <row r="47" spans="2:25" x14ac:dyDescent="0.35">
      <c r="G47" s="30"/>
      <c r="H47" s="34"/>
      <c r="I47" s="34"/>
      <c r="J47" s="34"/>
      <c r="K47" s="34"/>
      <c r="L47" s="100"/>
      <c r="M47" s="34"/>
      <c r="N47" s="34"/>
      <c r="O47" s="34"/>
      <c r="P47" s="34"/>
      <c r="Q47" s="34"/>
      <c r="R47" s="89"/>
      <c r="S47" s="34"/>
      <c r="T47" s="34"/>
      <c r="U47" s="34"/>
      <c r="V47" s="34"/>
      <c r="W47" s="34"/>
      <c r="X47" s="34"/>
    </row>
    <row r="49" spans="2:24" x14ac:dyDescent="0.35">
      <c r="B49" s="60" t="s">
        <v>28</v>
      </c>
      <c r="C49" s="61"/>
      <c r="D49" s="61"/>
      <c r="E49" s="61"/>
      <c r="F49" s="61"/>
      <c r="G49" s="104">
        <f>IRR(G44:Q44)</f>
        <v>0.12598919882236115</v>
      </c>
    </row>
    <row r="50" spans="2:24" x14ac:dyDescent="0.35">
      <c r="B50" s="62" t="s">
        <v>29</v>
      </c>
      <c r="C50" s="63"/>
      <c r="D50" s="63"/>
      <c r="E50" s="63"/>
      <c r="F50" s="63"/>
      <c r="G50" s="64">
        <f>NPV(G4,H44:Q44)+G44</f>
        <v>69848695.534912586</v>
      </c>
      <c r="I50" s="99"/>
      <c r="J50" s="15"/>
    </row>
    <row r="51" spans="2:24" x14ac:dyDescent="0.35">
      <c r="B51" s="62" t="s">
        <v>30</v>
      </c>
      <c r="C51" s="63"/>
      <c r="D51" s="63"/>
      <c r="E51" s="63"/>
      <c r="F51" s="63"/>
      <c r="G51" s="65">
        <f>R33</f>
        <v>0.62428571428571433</v>
      </c>
      <c r="I51" s="72"/>
    </row>
    <row r="52" spans="2:24" x14ac:dyDescent="0.35">
      <c r="B52" s="66" t="s">
        <v>31</v>
      </c>
      <c r="C52" s="67"/>
      <c r="D52" s="67"/>
      <c r="E52" s="67"/>
      <c r="F52" s="67"/>
      <c r="G52" s="68">
        <f>SUM(G46:Q46)</f>
        <v>5.7758397129611536</v>
      </c>
    </row>
    <row r="53" spans="2:24" x14ac:dyDescent="0.35">
      <c r="G53" s="35"/>
    </row>
    <row r="54" spans="2:24" x14ac:dyDescent="0.35">
      <c r="H54" s="9">
        <v>1</v>
      </c>
      <c r="I54" s="36">
        <v>2</v>
      </c>
      <c r="J54" s="9">
        <v>3</v>
      </c>
      <c r="K54" s="36">
        <v>4</v>
      </c>
      <c r="L54" s="9">
        <v>5</v>
      </c>
      <c r="M54" s="9">
        <v>6</v>
      </c>
      <c r="N54" s="36">
        <v>7</v>
      </c>
      <c r="O54" s="9">
        <v>8</v>
      </c>
      <c r="P54" s="9">
        <v>9</v>
      </c>
      <c r="Q54" s="9"/>
      <c r="R54" s="36"/>
      <c r="S54" s="9"/>
      <c r="T54" s="36"/>
      <c r="U54" s="9"/>
      <c r="V54" s="36"/>
      <c r="W54" s="9"/>
    </row>
    <row r="55" spans="2:24" x14ac:dyDescent="0.35">
      <c r="B55" s="37" t="s">
        <v>32</v>
      </c>
      <c r="E55" s="38" t="s">
        <v>33</v>
      </c>
      <c r="H55" s="38" t="str">
        <f>H15</f>
        <v>Year 1</v>
      </c>
      <c r="I55" s="38" t="str">
        <f>I15</f>
        <v>Year 2</v>
      </c>
      <c r="J55" s="38" t="str">
        <f>J15</f>
        <v>Year 3</v>
      </c>
      <c r="K55" s="38" t="str">
        <f>K15</f>
        <v>Year 4</v>
      </c>
      <c r="L55" s="38" t="str">
        <f>L15</f>
        <v>Year 5</v>
      </c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</row>
    <row r="56" spans="2:24" x14ac:dyDescent="0.35">
      <c r="D56" t="s">
        <v>7</v>
      </c>
      <c r="E56">
        <v>10</v>
      </c>
      <c r="H56" s="74">
        <f>H$12/$E56</f>
        <v>210000000</v>
      </c>
      <c r="I56" s="39">
        <f>H56</f>
        <v>210000000</v>
      </c>
      <c r="J56" s="39">
        <f t="shared" ref="J56:P59" si="24">I56</f>
        <v>210000000</v>
      </c>
      <c r="K56" s="39">
        <f t="shared" si="24"/>
        <v>210000000</v>
      </c>
      <c r="L56" s="39">
        <f t="shared" si="24"/>
        <v>210000000</v>
      </c>
      <c r="M56" s="39">
        <f t="shared" si="24"/>
        <v>210000000</v>
      </c>
      <c r="N56" s="39">
        <f t="shared" si="24"/>
        <v>210000000</v>
      </c>
      <c r="O56" s="39">
        <f t="shared" si="24"/>
        <v>210000000</v>
      </c>
      <c r="P56" s="39">
        <f t="shared" si="24"/>
        <v>210000000</v>
      </c>
      <c r="Q56" s="39"/>
      <c r="R56" s="39"/>
      <c r="S56" s="39"/>
      <c r="T56" s="39"/>
      <c r="U56" s="39"/>
      <c r="V56" s="39"/>
      <c r="W56" s="39"/>
      <c r="X56" s="40"/>
    </row>
    <row r="57" spans="2:24" x14ac:dyDescent="0.35">
      <c r="D57" t="s">
        <v>8</v>
      </c>
      <c r="E57">
        <v>9</v>
      </c>
      <c r="I57" s="74">
        <f>I$12/$E57</f>
        <v>27777777.777777776</v>
      </c>
      <c r="J57" s="39">
        <f>I57</f>
        <v>27777777.777777776</v>
      </c>
      <c r="K57" s="39">
        <f t="shared" si="24"/>
        <v>27777777.777777776</v>
      </c>
      <c r="L57" s="39">
        <f t="shared" si="24"/>
        <v>27777777.777777776</v>
      </c>
      <c r="M57" s="39">
        <f t="shared" si="24"/>
        <v>27777777.777777776</v>
      </c>
      <c r="N57" s="39">
        <f t="shared" si="24"/>
        <v>27777777.777777776</v>
      </c>
      <c r="O57" s="39">
        <f t="shared" si="24"/>
        <v>27777777.777777776</v>
      </c>
      <c r="P57" s="39">
        <f t="shared" si="24"/>
        <v>27777777.777777776</v>
      </c>
      <c r="Q57" s="39"/>
      <c r="R57" s="39"/>
      <c r="S57" s="39"/>
      <c r="T57" s="39"/>
      <c r="U57" s="39"/>
      <c r="V57" s="39"/>
      <c r="W57" s="39"/>
      <c r="X57" s="40"/>
    </row>
    <row r="58" spans="2:24" x14ac:dyDescent="0.35">
      <c r="D58" t="s">
        <v>9</v>
      </c>
      <c r="E58">
        <v>8</v>
      </c>
      <c r="J58" s="74">
        <f>J$12/$E58</f>
        <v>0</v>
      </c>
      <c r="K58" s="39">
        <f>J58</f>
        <v>0</v>
      </c>
      <c r="L58" s="39">
        <f t="shared" si="24"/>
        <v>0</v>
      </c>
      <c r="M58" s="39">
        <f t="shared" si="24"/>
        <v>0</v>
      </c>
      <c r="N58" s="39">
        <f t="shared" si="24"/>
        <v>0</v>
      </c>
      <c r="O58" s="39">
        <f t="shared" si="24"/>
        <v>0</v>
      </c>
      <c r="P58" s="39">
        <f t="shared" si="24"/>
        <v>0</v>
      </c>
      <c r="Q58" s="39"/>
      <c r="R58" s="39"/>
      <c r="S58" s="39"/>
      <c r="T58" s="39"/>
      <c r="U58" s="39"/>
      <c r="V58" s="39"/>
      <c r="W58" s="39"/>
      <c r="X58" s="40"/>
    </row>
    <row r="59" spans="2:24" x14ac:dyDescent="0.35">
      <c r="D59" t="s">
        <v>10</v>
      </c>
      <c r="E59">
        <v>7</v>
      </c>
      <c r="K59" s="74">
        <f>K$12/$E59</f>
        <v>0</v>
      </c>
      <c r="L59" s="39">
        <f>K59</f>
        <v>0</v>
      </c>
      <c r="M59" s="39">
        <f t="shared" si="24"/>
        <v>0</v>
      </c>
      <c r="N59" s="39">
        <f t="shared" si="24"/>
        <v>0</v>
      </c>
      <c r="O59" s="39">
        <f t="shared" si="24"/>
        <v>0</v>
      </c>
      <c r="P59" s="39">
        <f t="shared" si="24"/>
        <v>0</v>
      </c>
      <c r="Q59" s="39"/>
      <c r="R59" s="39"/>
      <c r="S59" s="39"/>
      <c r="T59" s="39"/>
      <c r="U59" s="39"/>
      <c r="V59" s="39"/>
      <c r="W59" s="39"/>
      <c r="X59" s="40"/>
    </row>
    <row r="60" spans="2:24" x14ac:dyDescent="0.35">
      <c r="E60">
        <v>6</v>
      </c>
      <c r="L60" s="74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40"/>
    </row>
    <row r="61" spans="2:24" x14ac:dyDescent="0.35">
      <c r="E61">
        <v>5</v>
      </c>
      <c r="L61" s="39"/>
      <c r="M61" s="74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40"/>
    </row>
    <row r="62" spans="2:24" x14ac:dyDescent="0.35">
      <c r="E62">
        <v>4</v>
      </c>
      <c r="L62" s="39"/>
      <c r="M62" s="39"/>
      <c r="N62" s="74"/>
      <c r="O62" s="39"/>
      <c r="P62" s="39"/>
      <c r="Q62" s="39"/>
      <c r="R62" s="39"/>
      <c r="S62" s="39"/>
      <c r="T62" s="39"/>
      <c r="U62" s="39"/>
      <c r="V62" s="39"/>
      <c r="W62" s="39"/>
      <c r="X62" s="40"/>
    </row>
    <row r="63" spans="2:24" x14ac:dyDescent="0.35">
      <c r="E63">
        <v>3</v>
      </c>
      <c r="L63" s="39"/>
      <c r="M63" s="39"/>
      <c r="N63" s="39"/>
      <c r="O63" s="74"/>
      <c r="P63" s="39"/>
      <c r="Q63" s="39"/>
      <c r="R63" s="39"/>
      <c r="S63" s="39"/>
      <c r="T63" s="39"/>
      <c r="U63" s="39"/>
      <c r="V63" s="39"/>
      <c r="W63" s="39"/>
      <c r="X63" s="40"/>
    </row>
    <row r="64" spans="2:24" x14ac:dyDescent="0.35">
      <c r="E64">
        <v>2</v>
      </c>
      <c r="L64" s="39"/>
      <c r="M64" s="39"/>
      <c r="N64" s="39"/>
      <c r="O64" s="39"/>
      <c r="P64" s="74"/>
      <c r="Q64" s="39"/>
      <c r="R64" s="39"/>
      <c r="S64" s="39"/>
      <c r="T64" s="39"/>
      <c r="U64" s="39"/>
      <c r="V64" s="39"/>
      <c r="W64" s="39"/>
      <c r="X64" s="40"/>
    </row>
    <row r="65" spans="2:27" x14ac:dyDescent="0.35">
      <c r="D65" t="s">
        <v>11</v>
      </c>
      <c r="E65">
        <v>1</v>
      </c>
      <c r="K65" s="39"/>
      <c r="L65" s="101">
        <f>L$12/$E65</f>
        <v>0</v>
      </c>
      <c r="M65" s="101"/>
      <c r="N65" s="101"/>
      <c r="O65" s="101"/>
      <c r="P65" s="101"/>
      <c r="Q65" s="101"/>
      <c r="R65" s="39"/>
      <c r="S65" s="39"/>
      <c r="T65" s="39"/>
      <c r="U65" s="39"/>
      <c r="V65" s="39"/>
      <c r="W65" s="39"/>
      <c r="X65" s="40"/>
    </row>
    <row r="66" spans="2:27" ht="16" thickBot="1" x14ac:dyDescent="0.4">
      <c r="B66" s="41" t="s">
        <v>34</v>
      </c>
      <c r="C66" s="42"/>
      <c r="D66" s="42"/>
      <c r="E66" s="42"/>
      <c r="F66" s="42"/>
      <c r="G66" s="42"/>
      <c r="H66" s="43">
        <f>SUM(H56:H65)</f>
        <v>210000000</v>
      </c>
      <c r="I66" s="43">
        <f t="shared" ref="I66:P66" si="25">SUM(I56:I65)</f>
        <v>237777777.77777779</v>
      </c>
      <c r="J66" s="43">
        <f t="shared" si="25"/>
        <v>237777777.77777779</v>
      </c>
      <c r="K66" s="43">
        <f t="shared" si="25"/>
        <v>237777777.77777779</v>
      </c>
      <c r="L66" s="43">
        <f t="shared" si="25"/>
        <v>237777777.77777779</v>
      </c>
      <c r="M66" s="43">
        <f t="shared" si="25"/>
        <v>237777777.77777779</v>
      </c>
      <c r="N66" s="43">
        <f t="shared" si="25"/>
        <v>237777777.77777779</v>
      </c>
      <c r="O66" s="43">
        <f t="shared" si="25"/>
        <v>237777777.77777779</v>
      </c>
      <c r="P66" s="43">
        <f t="shared" si="25"/>
        <v>237777777.77777779</v>
      </c>
      <c r="Q66" s="47"/>
      <c r="R66" s="47"/>
      <c r="S66" s="47"/>
      <c r="T66" s="47"/>
      <c r="U66" s="47"/>
      <c r="V66" s="47"/>
      <c r="W66" s="47"/>
      <c r="X66" s="47"/>
      <c r="Y66" s="44"/>
      <c r="Z66" s="44"/>
      <c r="AA66" s="44"/>
    </row>
    <row r="67" spans="2:27" ht="16" thickTop="1" x14ac:dyDescent="0.35">
      <c r="M67" s="40"/>
      <c r="N67" s="40"/>
      <c r="O67" s="40"/>
      <c r="P67" s="40">
        <f>SUM(H66:P66)-R35</f>
        <v>0</v>
      </c>
      <c r="Q67" s="40"/>
      <c r="X67" s="15"/>
    </row>
    <row r="69" spans="2:27" x14ac:dyDescent="0.35">
      <c r="G69" t="s">
        <v>62</v>
      </c>
    </row>
    <row r="78" spans="2:27" x14ac:dyDescent="0.35">
      <c r="G78" t="s">
        <v>77</v>
      </c>
      <c r="H78" s="72">
        <f>H12</f>
        <v>2100000000</v>
      </c>
      <c r="I78" s="72">
        <f>I12</f>
        <v>250000000</v>
      </c>
    </row>
    <row r="79" spans="2:27" x14ac:dyDescent="0.35">
      <c r="G79" t="s">
        <v>65</v>
      </c>
      <c r="H79" s="2">
        <v>5</v>
      </c>
      <c r="I79" s="2">
        <v>5</v>
      </c>
    </row>
    <row r="80" spans="2:27" x14ac:dyDescent="0.35">
      <c r="G80" t="s">
        <v>66</v>
      </c>
      <c r="H80" s="14">
        <f>H78/H79</f>
        <v>420000000</v>
      </c>
      <c r="I80" s="14">
        <f>I78/I79</f>
        <v>50000000</v>
      </c>
    </row>
    <row r="81" spans="7:14" x14ac:dyDescent="0.35">
      <c r="G81" t="s">
        <v>72</v>
      </c>
      <c r="H81" s="14">
        <f>H78</f>
        <v>2100000000</v>
      </c>
      <c r="I81" s="15">
        <f>H81-$H$80</f>
        <v>1680000000</v>
      </c>
      <c r="J81" s="15">
        <f t="shared" ref="J81:M81" si="26">I81-$H$80</f>
        <v>1260000000</v>
      </c>
      <c r="K81" s="15">
        <f t="shared" si="26"/>
        <v>840000000</v>
      </c>
      <c r="L81" s="15">
        <f t="shared" si="26"/>
        <v>420000000</v>
      </c>
      <c r="M81" s="15">
        <f t="shared" si="26"/>
        <v>0</v>
      </c>
    </row>
    <row r="82" spans="7:14" x14ac:dyDescent="0.35">
      <c r="G82" t="s">
        <v>73</v>
      </c>
      <c r="I82" s="15">
        <f>I78</f>
        <v>250000000</v>
      </c>
      <c r="J82" s="15">
        <f>I82-$I$80</f>
        <v>200000000</v>
      </c>
      <c r="K82" s="15">
        <f t="shared" ref="K82:N82" si="27">J82-$I$80</f>
        <v>150000000</v>
      </c>
      <c r="L82" s="15">
        <f t="shared" si="27"/>
        <v>100000000</v>
      </c>
      <c r="M82" s="15">
        <f t="shared" si="27"/>
        <v>50000000</v>
      </c>
      <c r="N82" s="15">
        <f t="shared" si="27"/>
        <v>0</v>
      </c>
    </row>
    <row r="83" spans="7:14" x14ac:dyDescent="0.35">
      <c r="G83" t="s">
        <v>74</v>
      </c>
      <c r="H83" s="14">
        <f>H81*$G$4*6/12</f>
        <v>126000000</v>
      </c>
      <c r="I83" s="15">
        <f>AVERAGE(H81,I81)*$G$4</f>
        <v>226800000</v>
      </c>
      <c r="J83" s="15">
        <f>AVERAGE(I81,J81)*$G$4</f>
        <v>176400000</v>
      </c>
      <c r="K83" s="15">
        <f>AVERAGE(J81,K81)*$G$4</f>
        <v>126000000</v>
      </c>
      <c r="L83" s="15">
        <f>AVERAGE(K81,L81)*$G$4</f>
        <v>75600000</v>
      </c>
      <c r="M83" s="15">
        <f>AVERAGE(L81,M81)*$G$4</f>
        <v>25200000</v>
      </c>
    </row>
    <row r="84" spans="7:14" x14ac:dyDescent="0.35">
      <c r="G84" t="s">
        <v>75</v>
      </c>
      <c r="I84" s="14">
        <f>I82*$G$4*6/12</f>
        <v>15000000</v>
      </c>
      <c r="J84" s="15">
        <f>AVERAGE(I82,J82)*$G$4</f>
        <v>27000000</v>
      </c>
      <c r="K84" s="15">
        <f t="shared" ref="K84:N84" si="28">AVERAGE(J82,K82)*$G$4</f>
        <v>21000000</v>
      </c>
      <c r="L84" s="15">
        <f t="shared" si="28"/>
        <v>15000000</v>
      </c>
      <c r="M84" s="15">
        <f t="shared" si="28"/>
        <v>9000000</v>
      </c>
      <c r="N84" s="15">
        <f t="shared" si="28"/>
        <v>3000000</v>
      </c>
    </row>
    <row r="85" spans="7:14" x14ac:dyDescent="0.35">
      <c r="G85" s="1" t="s">
        <v>76</v>
      </c>
      <c r="H85" s="23">
        <f>H83+H84</f>
        <v>126000000</v>
      </c>
      <c r="I85" s="23">
        <f t="shared" ref="I85:N85" si="29">I83+I84</f>
        <v>241800000</v>
      </c>
      <c r="J85" s="23">
        <f t="shared" si="29"/>
        <v>203400000</v>
      </c>
      <c r="K85" s="23">
        <f t="shared" si="29"/>
        <v>147000000</v>
      </c>
      <c r="L85" s="23">
        <f t="shared" si="29"/>
        <v>90600000</v>
      </c>
      <c r="M85" s="23">
        <f t="shared" si="29"/>
        <v>34200000</v>
      </c>
      <c r="N85" s="23">
        <f t="shared" si="29"/>
        <v>3000000</v>
      </c>
    </row>
  </sheetData>
  <mergeCells count="1">
    <mergeCell ref="E24:G24"/>
  </mergeCells>
  <printOptions horizontalCentered="1" verticalCentered="1"/>
  <pageMargins left="0" right="0" top="0" bottom="0" header="0.31496062992125984" footer="0.31496062992125984"/>
  <pageSetup paperSize="9" scale="4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16BC0-075E-4FA9-926B-8A8AB86AD186}">
  <sheetPr codeName="Sheet3">
    <pageSetUpPr fitToPage="1"/>
  </sheetPr>
  <dimension ref="B1:R26"/>
  <sheetViews>
    <sheetView showGridLines="0" tabSelected="1" topLeftCell="A8" zoomScaleNormal="100" workbookViewId="0">
      <selection activeCell="M18" sqref="M18"/>
    </sheetView>
  </sheetViews>
  <sheetFormatPr defaultColWidth="8.6640625" defaultRowHeight="15.5" x14ac:dyDescent="0.35"/>
  <cols>
    <col min="1" max="1" width="4.1640625" style="117" customWidth="1"/>
    <col min="2" max="2" width="3" style="117" customWidth="1"/>
    <col min="3" max="3" width="17.4140625" style="117" customWidth="1"/>
    <col min="4" max="4" width="20.33203125" style="117" customWidth="1"/>
    <col min="5" max="5" width="4.1640625" style="117" customWidth="1"/>
    <col min="6" max="6" width="4.9140625" style="117" customWidth="1"/>
    <col min="7" max="7" width="17" style="117" bestFit="1" customWidth="1"/>
    <col min="8" max="8" width="8.4140625" style="117" customWidth="1"/>
    <col min="9" max="9" width="3.58203125" style="117" customWidth="1"/>
    <col min="10" max="10" width="2.08203125" style="117" customWidth="1"/>
    <col min="11" max="11" width="5.08203125" style="117" customWidth="1"/>
    <col min="12" max="12" width="18.4140625" style="117" bestFit="1" customWidth="1"/>
    <col min="13" max="13" width="16.5" style="117" customWidth="1"/>
    <col min="14" max="14" width="2.08203125" style="117" customWidth="1"/>
    <col min="15" max="15" width="3.6640625" style="117" customWidth="1"/>
    <col min="16" max="16384" width="8.6640625" style="117"/>
  </cols>
  <sheetData>
    <row r="1" spans="2:14" x14ac:dyDescent="0.35"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</row>
    <row r="2" spans="2:14" ht="18.5" x14ac:dyDescent="0.45">
      <c r="B2" s="119"/>
      <c r="C2" s="121" t="s">
        <v>101</v>
      </c>
      <c r="D2" s="118" t="s">
        <v>112</v>
      </c>
      <c r="E2" s="119"/>
      <c r="F2" s="119"/>
      <c r="G2" s="119"/>
      <c r="H2" s="119"/>
      <c r="J2" s="139" t="s">
        <v>108</v>
      </c>
      <c r="K2" s="139"/>
      <c r="L2" s="139"/>
      <c r="M2" s="152">
        <v>45538</v>
      </c>
      <c r="N2" s="119"/>
    </row>
    <row r="3" spans="2:14" ht="19" thickBot="1" x14ac:dyDescent="0.5">
      <c r="B3" s="119"/>
      <c r="C3" s="121" t="s">
        <v>102</v>
      </c>
      <c r="D3" s="118" t="s">
        <v>103</v>
      </c>
      <c r="E3" s="119"/>
      <c r="F3" s="119"/>
      <c r="G3" s="119"/>
      <c r="H3" s="119"/>
      <c r="M3" s="119"/>
      <c r="N3" s="119"/>
    </row>
    <row r="4" spans="2:14" ht="16" hidden="1" thickBot="1" x14ac:dyDescent="0.4">
      <c r="B4" s="119"/>
      <c r="C4" s="118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</row>
    <row r="5" spans="2:14" s="120" customFormat="1" ht="19" thickBot="1" x14ac:dyDescent="0.5">
      <c r="B5" s="168" t="s">
        <v>85</v>
      </c>
      <c r="C5" s="169"/>
      <c r="D5" s="170"/>
      <c r="E5" s="168" t="s">
        <v>91</v>
      </c>
      <c r="F5" s="169"/>
      <c r="G5" s="169"/>
      <c r="H5" s="169"/>
      <c r="I5" s="169"/>
      <c r="J5" s="168" t="s">
        <v>86</v>
      </c>
      <c r="K5" s="169"/>
      <c r="L5" s="169"/>
      <c r="M5" s="169"/>
      <c r="N5" s="170"/>
    </row>
    <row r="6" spans="2:14" x14ac:dyDescent="0.35">
      <c r="B6" s="171" t="s">
        <v>83</v>
      </c>
      <c r="C6" s="172"/>
      <c r="D6" s="141" t="str">
        <f>'IRR Approved'!S1</f>
        <v>House Of Sacrifice Medan</v>
      </c>
      <c r="E6" s="173" t="s">
        <v>93</v>
      </c>
      <c r="F6" s="173"/>
      <c r="G6" s="173"/>
      <c r="H6" s="173"/>
      <c r="I6" s="173"/>
      <c r="J6" s="134"/>
      <c r="K6" s="184" t="s">
        <v>124</v>
      </c>
      <c r="L6" s="184"/>
      <c r="M6" s="185">
        <f>'IRR Approved'!H11</f>
        <v>350000000</v>
      </c>
      <c r="N6" s="141"/>
    </row>
    <row r="7" spans="2:14" x14ac:dyDescent="0.35">
      <c r="B7" s="164" t="s">
        <v>84</v>
      </c>
      <c r="C7" s="165"/>
      <c r="D7" s="142"/>
      <c r="E7" s="166" t="s">
        <v>80</v>
      </c>
      <c r="F7" s="166"/>
      <c r="G7" s="166"/>
      <c r="H7" s="143">
        <v>50</v>
      </c>
      <c r="I7" s="119"/>
      <c r="J7" s="124"/>
      <c r="K7" s="166" t="s">
        <v>89</v>
      </c>
      <c r="L7" s="166"/>
      <c r="M7" s="140">
        <f>M6/H7</f>
        <v>7000000</v>
      </c>
      <c r="N7" s="122"/>
    </row>
    <row r="8" spans="2:14" x14ac:dyDescent="0.35">
      <c r="B8" s="164" t="s">
        <v>95</v>
      </c>
      <c r="C8" s="165"/>
      <c r="D8" s="122" t="s">
        <v>128</v>
      </c>
      <c r="E8" s="166" t="s">
        <v>81</v>
      </c>
      <c r="F8" s="166"/>
      <c r="G8" s="166"/>
      <c r="H8" s="143">
        <v>0</v>
      </c>
      <c r="I8" s="119"/>
      <c r="J8" s="124"/>
      <c r="K8" s="166" t="s">
        <v>88</v>
      </c>
      <c r="L8" s="166"/>
      <c r="M8" s="144">
        <v>5</v>
      </c>
      <c r="N8" s="122"/>
    </row>
    <row r="9" spans="2:14" x14ac:dyDescent="0.35">
      <c r="B9" s="176" t="s">
        <v>96</v>
      </c>
      <c r="C9" s="166"/>
      <c r="D9" s="122" t="s">
        <v>127</v>
      </c>
      <c r="E9" s="166" t="s">
        <v>82</v>
      </c>
      <c r="F9" s="166"/>
      <c r="G9" s="166"/>
      <c r="H9" s="146">
        <v>6</v>
      </c>
      <c r="I9" s="119"/>
      <c r="J9" s="124"/>
      <c r="K9" s="166" t="s">
        <v>106</v>
      </c>
      <c r="L9" s="166"/>
      <c r="M9" s="145">
        <f>'IRR Approved'!G4</f>
        <v>0.1</v>
      </c>
      <c r="N9" s="122"/>
    </row>
    <row r="10" spans="2:14" x14ac:dyDescent="0.35">
      <c r="B10" s="136" t="s">
        <v>79</v>
      </c>
      <c r="C10" s="137"/>
      <c r="D10" s="122" t="s">
        <v>103</v>
      </c>
      <c r="E10" s="178" t="s">
        <v>92</v>
      </c>
      <c r="F10" s="178"/>
      <c r="G10" s="178"/>
      <c r="H10" s="178"/>
      <c r="I10" s="178"/>
      <c r="J10" s="131"/>
      <c r="K10" s="166" t="s">
        <v>78</v>
      </c>
      <c r="L10" s="166"/>
      <c r="M10" s="140">
        <v>0</v>
      </c>
      <c r="N10" s="122"/>
    </row>
    <row r="11" spans="2:14" x14ac:dyDescent="0.35">
      <c r="B11" s="132" t="s">
        <v>97</v>
      </c>
      <c r="C11" s="138"/>
      <c r="D11" s="123">
        <v>3</v>
      </c>
      <c r="E11" s="177" t="s">
        <v>90</v>
      </c>
      <c r="F11" s="177"/>
      <c r="G11" s="177"/>
      <c r="H11" s="147">
        <v>0</v>
      </c>
      <c r="I11" s="119"/>
      <c r="J11" s="124"/>
      <c r="K11" s="167" t="s">
        <v>87</v>
      </c>
      <c r="L11" s="167"/>
      <c r="M11" s="140">
        <f>'IRR Approved'!S23</f>
        <v>1925000000</v>
      </c>
      <c r="N11" s="122"/>
    </row>
    <row r="12" spans="2:14" x14ac:dyDescent="0.35">
      <c r="B12" s="132" t="s">
        <v>98</v>
      </c>
      <c r="C12" s="138"/>
      <c r="D12" s="123">
        <v>1</v>
      </c>
      <c r="E12" s="177" t="s">
        <v>100</v>
      </c>
      <c r="F12" s="177"/>
      <c r="G12" s="177"/>
      <c r="H12" s="147">
        <v>0</v>
      </c>
      <c r="I12" s="119"/>
      <c r="J12" s="124"/>
      <c r="K12" s="167" t="s">
        <v>125</v>
      </c>
      <c r="L12" s="167"/>
      <c r="M12" s="116">
        <f>'IRR Approved'!J12+'IRR Approved'!K12+'IRR Approved'!L12</f>
        <v>0</v>
      </c>
      <c r="N12" s="122"/>
    </row>
    <row r="13" spans="2:14" x14ac:dyDescent="0.35">
      <c r="B13" s="132"/>
      <c r="C13" s="156"/>
      <c r="D13" s="123"/>
      <c r="E13" s="155"/>
      <c r="F13" s="155"/>
      <c r="G13" s="155"/>
      <c r="H13" s="147"/>
      <c r="I13" s="119"/>
      <c r="J13" s="124"/>
      <c r="K13" s="167" t="s">
        <v>122</v>
      </c>
      <c r="L13" s="167"/>
      <c r="M13" s="116">
        <f>'IRR Approved'!S26</f>
        <v>250000000</v>
      </c>
      <c r="N13" s="122"/>
    </row>
    <row r="14" spans="2:14" ht="16" thickBot="1" x14ac:dyDescent="0.4">
      <c r="B14" s="124"/>
      <c r="C14" s="119"/>
      <c r="D14" s="122"/>
      <c r="E14" s="177" t="s">
        <v>99</v>
      </c>
      <c r="F14" s="177"/>
      <c r="G14" s="177"/>
      <c r="H14" s="147">
        <v>0</v>
      </c>
      <c r="I14" s="119"/>
      <c r="J14" s="124"/>
      <c r="K14" s="167" t="s">
        <v>123</v>
      </c>
      <c r="L14" s="167"/>
      <c r="M14" s="140">
        <f>'IRR Approved'!S27+'IRR Approved'!S28+'IRR Approved'!S29</f>
        <v>810202008</v>
      </c>
      <c r="N14" s="122"/>
    </row>
    <row r="15" spans="2:14" x14ac:dyDescent="0.35">
      <c r="B15" s="124"/>
      <c r="C15" s="119"/>
      <c r="D15" s="122"/>
      <c r="E15" s="178" t="s">
        <v>94</v>
      </c>
      <c r="F15" s="178"/>
      <c r="G15" s="178"/>
      <c r="H15" s="178"/>
      <c r="I15" s="178"/>
      <c r="J15" s="148"/>
      <c r="K15" s="179" t="s">
        <v>28</v>
      </c>
      <c r="L15" s="180"/>
      <c r="M15" s="125">
        <f>'IRR Approved'!G48</f>
        <v>0.22376263129587515</v>
      </c>
      <c r="N15" s="122"/>
    </row>
    <row r="16" spans="2:14" x14ac:dyDescent="0.35">
      <c r="B16" s="124"/>
      <c r="C16" s="119"/>
      <c r="D16" s="122"/>
      <c r="E16" s="119"/>
      <c r="F16" s="119"/>
      <c r="G16" s="119"/>
      <c r="H16" s="119"/>
      <c r="I16" s="119"/>
      <c r="J16" s="149"/>
      <c r="K16" s="181" t="s">
        <v>29</v>
      </c>
      <c r="L16" s="182"/>
      <c r="M16" s="159">
        <f>'IRR Approved'!G49</f>
        <v>173043563.19426751</v>
      </c>
      <c r="N16" s="122"/>
    </row>
    <row r="17" spans="2:18" x14ac:dyDescent="0.35">
      <c r="B17" s="124"/>
      <c r="C17" s="119"/>
      <c r="D17" s="122"/>
      <c r="E17" s="119"/>
      <c r="F17" s="119"/>
      <c r="G17" s="119"/>
      <c r="H17" s="119"/>
      <c r="I17" s="119"/>
      <c r="J17" s="149"/>
      <c r="K17" s="181" t="s">
        <v>30</v>
      </c>
      <c r="L17" s="182"/>
      <c r="M17" s="126">
        <f>'IRR Approved'!G50</f>
        <v>0.44924571012987013</v>
      </c>
      <c r="N17" s="122"/>
      <c r="R17" s="117" t="s">
        <v>62</v>
      </c>
    </row>
    <row r="18" spans="2:18" ht="16" thickBot="1" x14ac:dyDescent="0.4">
      <c r="B18" s="124"/>
      <c r="C18" s="119"/>
      <c r="D18" s="122"/>
      <c r="E18" s="119"/>
      <c r="F18" s="119"/>
      <c r="G18" s="119"/>
      <c r="H18" s="119"/>
      <c r="I18" s="119"/>
      <c r="J18" s="149"/>
      <c r="K18" s="162" t="s">
        <v>107</v>
      </c>
      <c r="L18" s="163"/>
      <c r="M18" s="127">
        <f>'IRR Approved'!G51</f>
        <v>4.1399361593991379</v>
      </c>
      <c r="N18" s="122"/>
      <c r="Q18" s="117" t="s">
        <v>62</v>
      </c>
    </row>
    <row r="19" spans="2:18" ht="16" thickBot="1" x14ac:dyDescent="0.4">
      <c r="B19" s="128"/>
      <c r="C19" s="129"/>
      <c r="D19" s="130"/>
      <c r="E19" s="129"/>
      <c r="F19" s="129" t="s">
        <v>62</v>
      </c>
      <c r="G19" s="129"/>
      <c r="H19" s="129"/>
      <c r="I19" s="129"/>
      <c r="J19" s="124"/>
      <c r="K19" s="153"/>
      <c r="L19" s="133"/>
      <c r="M19" s="133"/>
      <c r="N19" s="122"/>
    </row>
    <row r="20" spans="2:18" x14ac:dyDescent="0.35">
      <c r="B20" s="150" t="s">
        <v>113</v>
      </c>
      <c r="C20" s="151"/>
      <c r="D20" s="151"/>
      <c r="E20" s="151"/>
      <c r="F20" s="151"/>
      <c r="G20" s="151"/>
      <c r="H20" s="151"/>
      <c r="I20" s="151"/>
      <c r="J20" s="151"/>
      <c r="K20" s="151"/>
      <c r="L20" s="183" t="s">
        <v>109</v>
      </c>
      <c r="M20" s="183"/>
      <c r="N20" s="141"/>
    </row>
    <row r="21" spans="2:18" x14ac:dyDescent="0.35">
      <c r="B21" s="124" t="s">
        <v>110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74" t="s">
        <v>119</v>
      </c>
      <c r="M21" s="175"/>
      <c r="N21" s="122"/>
    </row>
    <row r="22" spans="2:18" x14ac:dyDescent="0.35">
      <c r="B22" s="124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22"/>
    </row>
    <row r="23" spans="2:18" x14ac:dyDescent="0.35">
      <c r="B23" s="124"/>
      <c r="C23" s="119"/>
      <c r="D23" s="157"/>
      <c r="E23" s="119"/>
      <c r="F23" s="119"/>
      <c r="G23" s="119"/>
      <c r="H23" s="119"/>
      <c r="I23" s="119"/>
      <c r="J23" s="119"/>
      <c r="K23" s="119"/>
      <c r="L23" s="119"/>
      <c r="M23" s="119"/>
      <c r="N23" s="122"/>
    </row>
    <row r="24" spans="2:18" x14ac:dyDescent="0.35">
      <c r="B24" s="124"/>
      <c r="C24" s="119"/>
      <c r="D24" s="157"/>
      <c r="E24" s="119"/>
      <c r="F24" s="119"/>
      <c r="G24" s="119"/>
      <c r="H24" s="119"/>
      <c r="I24" s="119"/>
      <c r="J24" s="119"/>
      <c r="K24" s="119"/>
      <c r="L24" s="119"/>
      <c r="M24" s="119"/>
      <c r="N24" s="122"/>
    </row>
    <row r="25" spans="2:18" ht="16" thickBot="1" x14ac:dyDescent="0.4">
      <c r="B25" s="128"/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29"/>
      <c r="N25" s="130"/>
    </row>
    <row r="26" spans="2:18" x14ac:dyDescent="0.35">
      <c r="B26" s="1" t="s">
        <v>111</v>
      </c>
    </row>
  </sheetData>
  <mergeCells count="31">
    <mergeCell ref="L21:M21"/>
    <mergeCell ref="B9:C9"/>
    <mergeCell ref="E14:G14"/>
    <mergeCell ref="E15:I15"/>
    <mergeCell ref="K15:L15"/>
    <mergeCell ref="K16:L16"/>
    <mergeCell ref="K17:L17"/>
    <mergeCell ref="E9:G9"/>
    <mergeCell ref="K10:L10"/>
    <mergeCell ref="E10:I10"/>
    <mergeCell ref="K6:L6"/>
    <mergeCell ref="E11:G11"/>
    <mergeCell ref="K14:L14"/>
    <mergeCell ref="L20:M20"/>
    <mergeCell ref="E12:G12"/>
    <mergeCell ref="K11:L11"/>
    <mergeCell ref="B5:D5"/>
    <mergeCell ref="E5:I5"/>
    <mergeCell ref="J5:N5"/>
    <mergeCell ref="B6:C6"/>
    <mergeCell ref="E6:I6"/>
    <mergeCell ref="K7:L7"/>
    <mergeCell ref="K18:L18"/>
    <mergeCell ref="B7:C7"/>
    <mergeCell ref="E7:G7"/>
    <mergeCell ref="K8:L8"/>
    <mergeCell ref="E8:G8"/>
    <mergeCell ref="K9:L9"/>
    <mergeCell ref="B8:C8"/>
    <mergeCell ref="K13:L13"/>
    <mergeCell ref="K12:L12"/>
  </mergeCells>
  <pageMargins left="0.35" right="0.4" top="0.45" bottom="0.48" header="0.5" footer="0.22"/>
  <pageSetup paperSize="9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>
    <pageSetUpPr fitToPage="1"/>
  </sheetPr>
  <dimension ref="B1:AC86"/>
  <sheetViews>
    <sheetView showGridLines="0" topLeftCell="C10" zoomScale="90" zoomScaleNormal="90" workbookViewId="0">
      <selection activeCell="A60" sqref="A60:XFD64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28.5" customWidth="1"/>
    <col min="5" max="5" width="7.08203125" bestFit="1" customWidth="1"/>
    <col min="6" max="6" width="6.08203125" customWidth="1"/>
    <col min="7" max="7" width="16.83203125" customWidth="1"/>
    <col min="8" max="8" width="17.58203125" style="2" customWidth="1"/>
    <col min="9" max="9" width="17.83203125" customWidth="1"/>
    <col min="10" max="11" width="15.58203125" bestFit="1" customWidth="1"/>
    <col min="12" max="12" width="16" bestFit="1" customWidth="1"/>
    <col min="13" max="13" width="16" customWidth="1"/>
    <col min="14" max="18" width="16" hidden="1" customWidth="1"/>
    <col min="19" max="19" width="16.9140625" bestFit="1" customWidth="1"/>
    <col min="20" max="20" width="15.83203125" customWidth="1"/>
    <col min="21" max="24" width="15" bestFit="1" customWidth="1"/>
    <col min="25" max="25" width="15.58203125" bestFit="1" customWidth="1"/>
    <col min="26" max="26" width="11.58203125" bestFit="1" customWidth="1"/>
  </cols>
  <sheetData>
    <row r="1" spans="2:28" ht="26" x14ac:dyDescent="0.35">
      <c r="B1" s="1" t="s">
        <v>116</v>
      </c>
      <c r="C1" t="s">
        <v>117</v>
      </c>
      <c r="S1" s="105" t="s">
        <v>126</v>
      </c>
    </row>
    <row r="2" spans="2:28" x14ac:dyDescent="0.35">
      <c r="B2" s="3" t="s">
        <v>115</v>
      </c>
    </row>
    <row r="3" spans="2:28" x14ac:dyDescent="0.35">
      <c r="C3" t="s">
        <v>2</v>
      </c>
      <c r="G3" s="5">
        <v>0.02</v>
      </c>
      <c r="S3" s="4"/>
      <c r="T3" s="4"/>
      <c r="U3" s="4"/>
    </row>
    <row r="4" spans="2:28" x14ac:dyDescent="0.35">
      <c r="C4" t="s">
        <v>46</v>
      </c>
      <c r="G4" s="5">
        <v>0.1</v>
      </c>
      <c r="S4" s="4"/>
      <c r="T4" s="4"/>
      <c r="U4" s="4"/>
    </row>
    <row r="5" spans="2:28" x14ac:dyDescent="0.35">
      <c r="C5" t="s">
        <v>3</v>
      </c>
      <c r="G5" s="5">
        <v>0.02</v>
      </c>
      <c r="H5" s="2" t="s">
        <v>114</v>
      </c>
    </row>
    <row r="6" spans="2:28" x14ac:dyDescent="0.35">
      <c r="C6" t="s">
        <v>5</v>
      </c>
      <c r="G6" s="6">
        <v>0</v>
      </c>
      <c r="H6" s="2" t="s">
        <v>4</v>
      </c>
    </row>
    <row r="7" spans="2:28" x14ac:dyDescent="0.35">
      <c r="C7" t="s">
        <v>118</v>
      </c>
      <c r="G7" s="5">
        <v>0.15</v>
      </c>
    </row>
    <row r="8" spans="2:28" x14ac:dyDescent="0.35">
      <c r="G8" s="45"/>
      <c r="H8" s="10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6"/>
      <c r="W8" s="45"/>
      <c r="X8" s="45"/>
      <c r="Y8" s="45"/>
      <c r="Z8" s="45"/>
      <c r="AA8" s="45"/>
    </row>
    <row r="9" spans="2:28" x14ac:dyDescent="0.35">
      <c r="H9" s="36" t="s">
        <v>120</v>
      </c>
      <c r="I9" s="36" t="s">
        <v>41</v>
      </c>
      <c r="J9" s="36" t="s">
        <v>42</v>
      </c>
      <c r="K9" s="36" t="s">
        <v>43</v>
      </c>
      <c r="L9" s="36" t="s">
        <v>44</v>
      </c>
      <c r="M9" s="36" t="s">
        <v>45</v>
      </c>
      <c r="N9" s="36" t="s">
        <v>49</v>
      </c>
      <c r="O9" s="36" t="s">
        <v>50</v>
      </c>
      <c r="P9" s="36" t="s">
        <v>51</v>
      </c>
      <c r="Q9" s="36" t="s">
        <v>52</v>
      </c>
      <c r="R9" s="36" t="s">
        <v>53</v>
      </c>
      <c r="S9" s="27"/>
      <c r="T9" s="45"/>
      <c r="U9" s="45"/>
      <c r="V9" s="46"/>
      <c r="W9" s="45"/>
      <c r="X9" s="45"/>
      <c r="Y9" s="45"/>
      <c r="Z9" s="45"/>
      <c r="AA9" s="45"/>
    </row>
    <row r="10" spans="2:28" x14ac:dyDescent="0.35">
      <c r="B10" s="1" t="s">
        <v>59</v>
      </c>
      <c r="H10"/>
      <c r="S10" s="27"/>
      <c r="T10" s="45"/>
      <c r="U10" s="45"/>
      <c r="V10" s="46"/>
      <c r="W10" s="45"/>
      <c r="X10" s="45"/>
      <c r="Y10" s="45"/>
      <c r="Z10" s="45"/>
      <c r="AA10" s="45"/>
    </row>
    <row r="11" spans="2:28" s="90" customFormat="1" ht="16" thickBot="1" x14ac:dyDescent="0.4">
      <c r="B11" s="98" t="s">
        <v>60</v>
      </c>
      <c r="E11" s="90" t="s">
        <v>104</v>
      </c>
      <c r="G11" s="97"/>
      <c r="H11" s="91">
        <v>350000000</v>
      </c>
      <c r="I11" s="91">
        <v>0</v>
      </c>
      <c r="J11" s="91">
        <v>0</v>
      </c>
      <c r="K11" s="91">
        <v>0</v>
      </c>
      <c r="L11" s="91"/>
      <c r="M11" s="91"/>
      <c r="N11" s="91"/>
      <c r="O11" s="91"/>
      <c r="P11" s="91"/>
      <c r="Q11" s="91"/>
      <c r="R11" s="91"/>
      <c r="S11" s="95"/>
      <c r="T11" s="92"/>
      <c r="U11" s="92"/>
      <c r="V11" s="93"/>
      <c r="W11" s="92"/>
      <c r="X11" s="92"/>
      <c r="Y11" s="92"/>
      <c r="Z11" s="92"/>
      <c r="AA11" s="92"/>
    </row>
    <row r="12" spans="2:28" ht="16" thickTop="1" x14ac:dyDescent="0.35">
      <c r="E12" t="s">
        <v>105</v>
      </c>
      <c r="G12" s="45"/>
      <c r="H12" s="92"/>
      <c r="I12" s="116"/>
      <c r="J12" s="45"/>
      <c r="K12" s="45"/>
      <c r="L12" s="45"/>
      <c r="M12" s="45"/>
      <c r="N12" s="45"/>
      <c r="O12" s="45"/>
      <c r="P12" s="45"/>
      <c r="Q12" s="45"/>
      <c r="R12" s="45"/>
      <c r="S12" s="96"/>
      <c r="T12" s="45"/>
      <c r="U12" s="45"/>
      <c r="V12" s="46"/>
      <c r="W12" s="45"/>
      <c r="X12" s="45"/>
      <c r="Y12" s="45"/>
      <c r="Z12" s="45"/>
      <c r="AA12" s="45"/>
    </row>
    <row r="13" spans="2:28" x14ac:dyDescent="0.35">
      <c r="G13" s="11"/>
      <c r="S13" s="27"/>
      <c r="V13" s="44"/>
      <c r="W13" s="44"/>
      <c r="X13" s="44"/>
      <c r="Y13" s="44"/>
      <c r="Z13" s="44"/>
      <c r="AA13" s="44"/>
      <c r="AB13" s="44"/>
    </row>
    <row r="14" spans="2:28" ht="16" thickBot="1" x14ac:dyDescent="0.4">
      <c r="B14" s="12" t="s">
        <v>12</v>
      </c>
      <c r="C14" s="7"/>
      <c r="D14" s="7"/>
      <c r="E14" s="7"/>
      <c r="F14" s="7"/>
      <c r="G14" s="7"/>
      <c r="H14" s="8" t="s">
        <v>121</v>
      </c>
      <c r="I14" s="13">
        <v>2025</v>
      </c>
      <c r="J14" s="8">
        <f>I14+1</f>
        <v>2026</v>
      </c>
      <c r="K14" s="8">
        <f t="shared" ref="K14:R14" si="0">J14+1</f>
        <v>2027</v>
      </c>
      <c r="L14" s="8">
        <f t="shared" si="0"/>
        <v>2028</v>
      </c>
      <c r="M14" s="8">
        <f t="shared" si="0"/>
        <v>2029</v>
      </c>
      <c r="N14" s="8">
        <f t="shared" si="0"/>
        <v>2030</v>
      </c>
      <c r="O14" s="8">
        <f t="shared" si="0"/>
        <v>2031</v>
      </c>
      <c r="P14" s="8">
        <f t="shared" si="0"/>
        <v>2032</v>
      </c>
      <c r="Q14" s="8">
        <f t="shared" si="0"/>
        <v>2033</v>
      </c>
      <c r="R14" s="8">
        <f t="shared" si="0"/>
        <v>2034</v>
      </c>
      <c r="S14" s="75" t="s">
        <v>13</v>
      </c>
      <c r="T14" s="59"/>
      <c r="U14" s="59"/>
      <c r="V14" s="59"/>
      <c r="W14" s="59"/>
      <c r="X14" s="59"/>
      <c r="Y14" s="59"/>
      <c r="Z14" s="44"/>
      <c r="AA14" s="44"/>
      <c r="AB14" s="44"/>
    </row>
    <row r="15" spans="2:28" x14ac:dyDescent="0.35">
      <c r="B15" t="s">
        <v>14</v>
      </c>
      <c r="H15" s="9">
        <v>12</v>
      </c>
      <c r="I15" s="9">
        <v>12</v>
      </c>
      <c r="J15" s="9">
        <v>12</v>
      </c>
      <c r="K15" s="9">
        <v>12</v>
      </c>
      <c r="L15" s="9">
        <v>12</v>
      </c>
      <c r="M15" s="9">
        <v>12</v>
      </c>
      <c r="N15" s="9">
        <v>12</v>
      </c>
      <c r="O15" s="9">
        <v>12</v>
      </c>
      <c r="P15" s="9">
        <v>12</v>
      </c>
      <c r="Q15" s="9"/>
      <c r="R15" s="9">
        <v>12</v>
      </c>
      <c r="S15" s="76"/>
    </row>
    <row r="16" spans="2:28" x14ac:dyDescent="0.35">
      <c r="N16" s="103">
        <v>0.15</v>
      </c>
      <c r="S16" s="76"/>
    </row>
    <row r="17" spans="2:26" x14ac:dyDescent="0.35">
      <c r="S17" s="76"/>
    </row>
    <row r="18" spans="2:26" x14ac:dyDescent="0.35">
      <c r="B18" s="1" t="s">
        <v>6</v>
      </c>
      <c r="E18" s="19"/>
      <c r="H18" s="20"/>
      <c r="I18" s="19"/>
      <c r="J18" s="21"/>
      <c r="K18" s="21"/>
      <c r="L18" s="21"/>
      <c r="M18" s="21"/>
      <c r="N18" s="21"/>
      <c r="O18" s="21"/>
      <c r="P18" s="21"/>
      <c r="Q18" s="21"/>
      <c r="R18" s="21"/>
      <c r="S18" s="76"/>
    </row>
    <row r="19" spans="2:26" x14ac:dyDescent="0.35">
      <c r="C19" t="s">
        <v>37</v>
      </c>
      <c r="E19" s="16"/>
      <c r="H19" s="72"/>
      <c r="I19" s="72">
        <v>155000000</v>
      </c>
      <c r="J19" s="72">
        <v>155000000</v>
      </c>
      <c r="K19" s="72">
        <f t="shared" ref="K19:M20" si="1">J19</f>
        <v>155000000</v>
      </c>
      <c r="L19" s="72">
        <f t="shared" si="1"/>
        <v>155000000</v>
      </c>
      <c r="M19" s="72">
        <f t="shared" si="1"/>
        <v>155000000</v>
      </c>
      <c r="N19" s="72"/>
      <c r="O19" s="72"/>
      <c r="P19" s="72"/>
      <c r="Q19" s="72"/>
      <c r="R19" s="72"/>
      <c r="S19" s="77">
        <f>SUM(H19:R19)</f>
        <v>775000000</v>
      </c>
      <c r="T19" s="14"/>
      <c r="U19" s="14"/>
      <c r="V19" s="14"/>
      <c r="W19" s="14"/>
      <c r="X19" s="14"/>
      <c r="Y19" s="15"/>
    </row>
    <row r="20" spans="2:26" x14ac:dyDescent="0.35">
      <c r="C20" t="s">
        <v>38</v>
      </c>
      <c r="H20" s="14"/>
      <c r="I20" s="72">
        <v>150000000</v>
      </c>
      <c r="J20" s="72">
        <v>150000000</v>
      </c>
      <c r="K20" s="72">
        <f t="shared" si="1"/>
        <v>150000000</v>
      </c>
      <c r="L20" s="72">
        <f t="shared" si="1"/>
        <v>150000000</v>
      </c>
      <c r="M20" s="14">
        <f t="shared" si="1"/>
        <v>150000000</v>
      </c>
      <c r="N20" s="72"/>
      <c r="O20" s="72"/>
      <c r="P20" s="72"/>
      <c r="Q20" s="72"/>
      <c r="R20" s="72"/>
      <c r="S20" s="77">
        <f>SUM(H20:R20)</f>
        <v>750000000</v>
      </c>
      <c r="T20" s="14"/>
      <c r="U20" s="14"/>
      <c r="V20" s="14"/>
      <c r="W20" s="14"/>
      <c r="X20" s="14"/>
      <c r="Y20" s="15"/>
    </row>
    <row r="21" spans="2:26" x14ac:dyDescent="0.35">
      <c r="C21" t="s">
        <v>40</v>
      </c>
      <c r="H21" s="14"/>
      <c r="I21" s="14"/>
      <c r="J21" s="72">
        <v>100000000</v>
      </c>
      <c r="K21" s="72">
        <f>J21</f>
        <v>100000000</v>
      </c>
      <c r="L21" s="72">
        <f t="shared" ref="L21" si="2">K21</f>
        <v>100000000</v>
      </c>
      <c r="M21" s="14">
        <f>L21</f>
        <v>100000000</v>
      </c>
      <c r="N21" s="14"/>
      <c r="O21" s="116"/>
      <c r="P21" s="72"/>
      <c r="Q21" s="72"/>
      <c r="R21" s="72"/>
      <c r="S21" s="77">
        <f>SUM(H21:R21)</f>
        <v>400000000</v>
      </c>
      <c r="T21" s="14"/>
      <c r="U21" s="14"/>
      <c r="V21" s="14"/>
      <c r="W21" s="14"/>
      <c r="X21" s="14"/>
      <c r="Y21" s="15"/>
    </row>
    <row r="22" spans="2:26" x14ac:dyDescent="0.35">
      <c r="C22" t="s">
        <v>39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77">
        <f t="shared" ref="S22" si="3">SUM(H22:R22)</f>
        <v>0</v>
      </c>
      <c r="T22" s="48"/>
      <c r="U22" s="48"/>
      <c r="V22" s="48"/>
      <c r="W22" s="48"/>
      <c r="X22" s="48"/>
      <c r="Y22" s="49"/>
      <c r="Z22" s="50"/>
    </row>
    <row r="23" spans="2:26" x14ac:dyDescent="0.35">
      <c r="B23" s="69" t="s">
        <v>15</v>
      </c>
      <c r="C23" s="69"/>
      <c r="D23" s="69"/>
      <c r="E23" s="160"/>
      <c r="F23" s="161"/>
      <c r="G23" s="161"/>
      <c r="H23" s="70">
        <f>SUM(H19:H22)</f>
        <v>0</v>
      </c>
      <c r="I23" s="70">
        <f>SUM(I19:I22)</f>
        <v>305000000</v>
      </c>
      <c r="J23" s="70">
        <f t="shared" ref="J23:M23" si="4">SUM(J19:J22)</f>
        <v>405000000</v>
      </c>
      <c r="K23" s="70">
        <f t="shared" si="4"/>
        <v>405000000</v>
      </c>
      <c r="L23" s="70">
        <f t="shared" si="4"/>
        <v>405000000</v>
      </c>
      <c r="M23" s="70">
        <f t="shared" si="4"/>
        <v>405000000</v>
      </c>
      <c r="N23" s="70">
        <f>SUM(N19:N22)</f>
        <v>0</v>
      </c>
      <c r="O23" s="70">
        <f>SUM(O19:O22)</f>
        <v>0</v>
      </c>
      <c r="P23" s="70">
        <f t="shared" ref="P23:Q23" si="5">SUM(P19:P22)</f>
        <v>0</v>
      </c>
      <c r="Q23" s="70">
        <f t="shared" si="5"/>
        <v>0</v>
      </c>
      <c r="R23" s="70">
        <f t="shared" ref="R23" si="6">SUM(R19:R22)</f>
        <v>0</v>
      </c>
      <c r="S23" s="78">
        <f>SUM(S19:S22)</f>
        <v>1925000000</v>
      </c>
      <c r="T23" s="48"/>
      <c r="U23" s="48"/>
      <c r="V23" s="48"/>
      <c r="W23" s="48"/>
      <c r="X23" s="48"/>
      <c r="Y23" s="48"/>
      <c r="Z23" s="50"/>
    </row>
    <row r="24" spans="2:26" x14ac:dyDescent="0.35">
      <c r="S24" s="76"/>
      <c r="T24" s="50"/>
      <c r="U24" s="50"/>
      <c r="V24" s="50"/>
      <c r="W24" s="50"/>
      <c r="X24" s="50"/>
      <c r="Y24" s="50"/>
      <c r="Z24" s="50"/>
    </row>
    <row r="25" spans="2:26" x14ac:dyDescent="0.35">
      <c r="B25" s="1" t="s">
        <v>16</v>
      </c>
      <c r="E25" s="19"/>
      <c r="F25" s="19"/>
      <c r="G25" s="19"/>
      <c r="H25" s="20"/>
      <c r="I25" s="19"/>
      <c r="J25" s="21"/>
      <c r="K25" s="21"/>
      <c r="L25" s="21"/>
      <c r="M25" s="21"/>
      <c r="N25" s="21"/>
      <c r="O25" s="21"/>
      <c r="P25" s="21"/>
      <c r="Q25" s="21"/>
      <c r="R25" s="21"/>
      <c r="S25" s="79"/>
      <c r="T25" s="51"/>
      <c r="U25" s="51"/>
      <c r="V25" s="51"/>
      <c r="W25" s="51"/>
      <c r="X25" s="51"/>
      <c r="Y25" s="50"/>
      <c r="Z25" s="50"/>
    </row>
    <row r="26" spans="2:26" x14ac:dyDescent="0.35">
      <c r="C26" t="s">
        <v>47</v>
      </c>
      <c r="H26" s="14"/>
      <c r="I26" s="14">
        <v>250000000</v>
      </c>
      <c r="J26" s="14"/>
      <c r="K26" s="14"/>
      <c r="L26" s="14"/>
      <c r="M26" s="14"/>
      <c r="N26" s="14"/>
      <c r="O26" s="14"/>
      <c r="P26" s="14"/>
      <c r="Q26" s="14"/>
      <c r="R26" s="14"/>
      <c r="S26" s="80">
        <f>SUM(H26:R26)</f>
        <v>250000000</v>
      </c>
      <c r="T26" s="48"/>
      <c r="U26" s="48"/>
      <c r="V26" s="48"/>
      <c r="W26" s="48"/>
      <c r="X26" s="48"/>
      <c r="Y26" s="49"/>
      <c r="Z26" s="50"/>
    </row>
    <row r="27" spans="2:26" x14ac:dyDescent="0.35">
      <c r="C27" t="s">
        <v>17</v>
      </c>
      <c r="H27" s="14"/>
      <c r="I27" s="14">
        <v>36000000</v>
      </c>
      <c r="J27" s="14">
        <f>36000000*2</f>
        <v>72000000</v>
      </c>
      <c r="K27" s="14">
        <f>36000000*2</f>
        <v>72000000</v>
      </c>
      <c r="L27" s="14">
        <f>K27</f>
        <v>72000000</v>
      </c>
      <c r="M27" s="14">
        <f>L27</f>
        <v>72000000</v>
      </c>
      <c r="N27" s="14"/>
      <c r="O27" s="14"/>
      <c r="P27" s="14"/>
      <c r="Q27" s="14"/>
      <c r="R27" s="14"/>
      <c r="S27" s="80">
        <f t="shared" ref="S27:S29" si="7">SUM(H27:R27)</f>
        <v>324000000</v>
      </c>
      <c r="T27" s="48"/>
      <c r="U27" s="48"/>
      <c r="V27" s="48"/>
      <c r="W27" s="48"/>
      <c r="X27" s="48"/>
      <c r="Y27" s="49"/>
      <c r="Z27" s="50"/>
    </row>
    <row r="28" spans="2:26" x14ac:dyDescent="0.35">
      <c r="C28" t="s">
        <v>48</v>
      </c>
      <c r="H28" s="135">
        <f>IF(H19&gt;0,COUNTIF(H19:H22,"&gt;0")*7000000,
IF(H20&gt;0,COUNTIF(H19:H22,"&gt;0")*7000000,
IF(H21&gt;0,COUNTIF(H19:H22,"&gt;0")*7000000,
IF(H22&gt;0,COUNTIF(H19:H22,"&gt;0")*7000000,0))))</f>
        <v>0</v>
      </c>
      <c r="I28" s="135">
        <f>IF(I19&gt;0,COUNTIF(I19:I22,"&gt;0")*7000000,
IF(I20&gt;0,COUNTIF(I19:I22,"&gt;0")*7000000,
IF(I21&gt;0,COUNTIF(I19:I22,"&gt;0")*7000000,
IF(I22&gt;0,COUNTIF(I19:I22,"&gt;0")*7000000,0))))+[2]PARAMETER!$K$31</f>
        <v>39600000</v>
      </c>
      <c r="J28" s="135">
        <f>IF(J19&gt;0,COUNTIF(J19:J22,"&gt;0")*7000000,
IF(J20&gt;0,COUNTIF(J19:J22,"&gt;0")*7000000,
IF(J21&gt;0,COUNTIF(J19:J22,"&gt;0")*7000000,
IF(J22&gt;0,COUNTIF(J19:J22,"&gt;0")*7000000,0))))+[2]PARAMETER!$K$31</f>
        <v>46600000</v>
      </c>
      <c r="K28" s="135">
        <f>IF(K19&gt;0,COUNTIF(K19:K22,"&gt;0")*7000000,
IF(K20&gt;0,COUNTIF(K19:K22,"&gt;0")*7000000,
IF(K21&gt;0,COUNTIF(K19:K22,"&gt;0")*7000000,
IF(K22&gt;0,COUNTIF(K19:K22,"&gt;0")*7000000,0))))+[2]PARAMETER!$K$31</f>
        <v>46600000</v>
      </c>
      <c r="L28" s="135">
        <f>K28</f>
        <v>46600000</v>
      </c>
      <c r="M28" s="135">
        <f>L28</f>
        <v>46600000</v>
      </c>
      <c r="N28" s="135"/>
      <c r="O28" s="135"/>
      <c r="P28" s="135"/>
      <c r="Q28" s="135"/>
      <c r="R28" s="135"/>
      <c r="S28" s="80">
        <f t="shared" si="7"/>
        <v>226000000</v>
      </c>
      <c r="T28" s="48"/>
      <c r="U28" s="48"/>
      <c r="V28" s="48"/>
      <c r="W28" s="48"/>
      <c r="X28" s="48"/>
      <c r="Y28" s="49"/>
      <c r="Z28" s="50"/>
    </row>
    <row r="29" spans="2:26" x14ac:dyDescent="0.35">
      <c r="B29" s="17"/>
      <c r="C29" s="17" t="s">
        <v>3</v>
      </c>
      <c r="D29" s="17"/>
      <c r="E29" s="17"/>
      <c r="F29" s="17"/>
      <c r="G29" s="17"/>
      <c r="H29" s="22">
        <f t="shared" ref="H29" si="8">$G$5*H23</f>
        <v>0</v>
      </c>
      <c r="I29" s="22">
        <f>PARAMETER!B10</f>
        <v>50000000</v>
      </c>
      <c r="J29" s="22">
        <f>PARAMETER!C10</f>
        <v>51000000</v>
      </c>
      <c r="K29" s="22">
        <f>PARAMETER!D10</f>
        <v>52020000</v>
      </c>
      <c r="L29" s="22">
        <f>PARAMETER!E10</f>
        <v>53060400</v>
      </c>
      <c r="M29" s="22">
        <f>PARAMETER!F10</f>
        <v>54121608</v>
      </c>
      <c r="N29" s="22"/>
      <c r="O29" s="22"/>
      <c r="P29" s="22"/>
      <c r="Q29" s="22"/>
      <c r="R29" s="22"/>
      <c r="S29" s="80">
        <f t="shared" si="7"/>
        <v>260202008</v>
      </c>
      <c r="T29" s="52"/>
      <c r="U29" s="52"/>
      <c r="V29" s="52"/>
      <c r="W29" s="52"/>
      <c r="X29" s="52"/>
      <c r="Y29" s="49"/>
      <c r="Z29" s="50"/>
    </row>
    <row r="30" spans="2:26" s="1" customFormat="1" x14ac:dyDescent="0.35">
      <c r="B30" s="69" t="s">
        <v>18</v>
      </c>
      <c r="C30" s="69"/>
      <c r="D30" s="69"/>
      <c r="E30" s="69"/>
      <c r="F30" s="69"/>
      <c r="G30" s="69"/>
      <c r="H30" s="70">
        <f>SUM(H26:H29)</f>
        <v>0</v>
      </c>
      <c r="I30" s="70">
        <f>SUM(I26:I29)</f>
        <v>375600000</v>
      </c>
      <c r="J30" s="70">
        <f t="shared" ref="J30:R30" si="9">SUM(J26:J29)</f>
        <v>169600000</v>
      </c>
      <c r="K30" s="70">
        <f t="shared" si="9"/>
        <v>170620000</v>
      </c>
      <c r="L30" s="70">
        <f t="shared" si="9"/>
        <v>171660400</v>
      </c>
      <c r="M30" s="70">
        <f t="shared" si="9"/>
        <v>172721608</v>
      </c>
      <c r="N30" s="70">
        <f t="shared" si="9"/>
        <v>0</v>
      </c>
      <c r="O30" s="70">
        <f t="shared" si="9"/>
        <v>0</v>
      </c>
      <c r="P30" s="70">
        <f t="shared" si="9"/>
        <v>0</v>
      </c>
      <c r="Q30" s="70">
        <f t="shared" si="9"/>
        <v>0</v>
      </c>
      <c r="R30" s="70">
        <f t="shared" si="9"/>
        <v>0</v>
      </c>
      <c r="S30" s="94">
        <f>SUM(S26:S29)</f>
        <v>1060202008</v>
      </c>
      <c r="T30" s="53"/>
      <c r="U30" s="53"/>
      <c r="V30" s="53"/>
      <c r="W30" s="53"/>
      <c r="X30" s="53"/>
      <c r="Y30" s="53"/>
      <c r="Z30" s="54"/>
    </row>
    <row r="31" spans="2:26" s="1" customFormat="1" x14ac:dyDescent="0.35">
      <c r="B31" s="1" t="s">
        <v>19</v>
      </c>
      <c r="H31" s="23">
        <f>H23-H30</f>
        <v>0</v>
      </c>
      <c r="I31" s="23">
        <f>I23-I30</f>
        <v>-70600000</v>
      </c>
      <c r="J31" s="23">
        <f t="shared" ref="J31:R31" si="10">J23-J30</f>
        <v>235400000</v>
      </c>
      <c r="K31" s="23">
        <f t="shared" si="10"/>
        <v>234380000</v>
      </c>
      <c r="L31" s="23">
        <f t="shared" si="10"/>
        <v>233339600</v>
      </c>
      <c r="M31" s="23">
        <f t="shared" si="10"/>
        <v>232278392</v>
      </c>
      <c r="N31" s="23">
        <f>N23-N30</f>
        <v>0</v>
      </c>
      <c r="O31" s="23">
        <f t="shared" si="10"/>
        <v>0</v>
      </c>
      <c r="P31" s="23">
        <f t="shared" si="10"/>
        <v>0</v>
      </c>
      <c r="Q31" s="23">
        <f t="shared" si="10"/>
        <v>0</v>
      </c>
      <c r="R31" s="23">
        <f t="shared" si="10"/>
        <v>0</v>
      </c>
      <c r="S31" s="81">
        <f>S23-S30</f>
        <v>864797992</v>
      </c>
      <c r="T31" s="53"/>
      <c r="U31" s="53"/>
      <c r="V31" s="53"/>
      <c r="W31" s="53"/>
      <c r="X31" s="53"/>
      <c r="Y31" s="53"/>
      <c r="Z31" s="54"/>
    </row>
    <row r="32" spans="2:26" s="1" customFormat="1" x14ac:dyDescent="0.35">
      <c r="B32" s="24" t="s">
        <v>20</v>
      </c>
      <c r="C32" s="25"/>
      <c r="D32" s="25"/>
      <c r="E32" s="25"/>
      <c r="F32" s="25"/>
      <c r="G32" s="25"/>
      <c r="H32" s="26"/>
      <c r="I32" s="26">
        <f>I31/I23</f>
        <v>-0.23147540983606557</v>
      </c>
      <c r="J32" s="26">
        <f t="shared" ref="J32:R32" si="11">J31/J23</f>
        <v>0.58123456790123462</v>
      </c>
      <c r="K32" s="26">
        <f t="shared" si="11"/>
        <v>0.57871604938271604</v>
      </c>
      <c r="L32" s="26">
        <f t="shared" si="11"/>
        <v>0.57614716049382719</v>
      </c>
      <c r="M32" s="26">
        <f t="shared" si="11"/>
        <v>0.57352689382716049</v>
      </c>
      <c r="N32" s="26" t="e">
        <f t="shared" si="11"/>
        <v>#DIV/0!</v>
      </c>
      <c r="O32" s="26" t="e">
        <f t="shared" si="11"/>
        <v>#DIV/0!</v>
      </c>
      <c r="P32" s="26" t="e">
        <f t="shared" si="11"/>
        <v>#DIV/0!</v>
      </c>
      <c r="Q32" s="26" t="e">
        <f t="shared" si="11"/>
        <v>#DIV/0!</v>
      </c>
      <c r="R32" s="26" t="e">
        <f t="shared" si="11"/>
        <v>#DIV/0!</v>
      </c>
      <c r="S32" s="82">
        <f>S31/S23</f>
        <v>0.44924571012987013</v>
      </c>
      <c r="T32" s="55"/>
      <c r="U32" s="55"/>
      <c r="V32" s="55"/>
      <c r="W32" s="55"/>
      <c r="X32" s="55"/>
      <c r="Y32" s="55"/>
      <c r="Z32" s="54"/>
    </row>
    <row r="33" spans="2:26" x14ac:dyDescent="0.35">
      <c r="S33" s="76"/>
      <c r="T33" s="50"/>
      <c r="U33" s="50"/>
      <c r="V33" s="50"/>
      <c r="W33" s="50"/>
      <c r="X33" s="50"/>
      <c r="Y33" s="50"/>
      <c r="Z33" s="50"/>
    </row>
    <row r="34" spans="2:26" x14ac:dyDescent="0.35">
      <c r="B34" s="17" t="s">
        <v>21</v>
      </c>
      <c r="C34" s="17"/>
      <c r="D34" s="17"/>
      <c r="E34" s="17"/>
      <c r="F34" s="17"/>
      <c r="G34" s="17"/>
      <c r="H34" s="18"/>
      <c r="I34" s="18">
        <f>I65</f>
        <v>70000000</v>
      </c>
      <c r="J34" s="18">
        <f t="shared" ref="J34:M34" si="12">J65</f>
        <v>70000000</v>
      </c>
      <c r="K34" s="18">
        <f t="shared" si="12"/>
        <v>70000000</v>
      </c>
      <c r="L34" s="18">
        <f t="shared" si="12"/>
        <v>70000000</v>
      </c>
      <c r="M34" s="18">
        <f t="shared" si="12"/>
        <v>70000000</v>
      </c>
      <c r="N34" s="18"/>
      <c r="O34" s="18"/>
      <c r="P34" s="18"/>
      <c r="Q34" s="18"/>
      <c r="R34" s="18"/>
      <c r="S34" s="83">
        <f>SUM(H34:R34)</f>
        <v>350000000</v>
      </c>
      <c r="T34" s="48"/>
      <c r="U34" s="48"/>
      <c r="V34" s="48"/>
      <c r="W34" s="48"/>
      <c r="X34" s="48"/>
      <c r="Y34" s="48"/>
      <c r="Z34" s="50"/>
    </row>
    <row r="35" spans="2:26" x14ac:dyDescent="0.35">
      <c r="B35" s="27" t="s">
        <v>22</v>
      </c>
      <c r="H35" s="28">
        <f>H31-H34</f>
        <v>0</v>
      </c>
      <c r="I35" s="28">
        <f>I31-I34</f>
        <v>-140600000</v>
      </c>
      <c r="J35" s="28">
        <f t="shared" ref="J35:R35" si="13">J31-J34</f>
        <v>165400000</v>
      </c>
      <c r="K35" s="28">
        <f t="shared" si="13"/>
        <v>164380000</v>
      </c>
      <c r="L35" s="28">
        <f t="shared" si="13"/>
        <v>163339600</v>
      </c>
      <c r="M35" s="28">
        <f>M31-M34</f>
        <v>162278392</v>
      </c>
      <c r="N35" s="28">
        <f t="shared" si="13"/>
        <v>0</v>
      </c>
      <c r="O35" s="28">
        <f t="shared" si="13"/>
        <v>0</v>
      </c>
      <c r="P35" s="28">
        <f t="shared" si="13"/>
        <v>0</v>
      </c>
      <c r="Q35" s="28">
        <f t="shared" si="13"/>
        <v>0</v>
      </c>
      <c r="R35" s="28">
        <f t="shared" si="13"/>
        <v>0</v>
      </c>
      <c r="S35" s="84">
        <f>S31-S34</f>
        <v>514797992</v>
      </c>
      <c r="T35" s="56"/>
      <c r="U35" s="56"/>
      <c r="V35" s="56"/>
      <c r="W35" s="56"/>
      <c r="X35" s="56"/>
      <c r="Y35" s="56"/>
      <c r="Z35" s="50"/>
    </row>
    <row r="36" spans="2:26" x14ac:dyDescent="0.35">
      <c r="B36" s="27"/>
      <c r="H36" s="28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84"/>
      <c r="T36" s="56"/>
      <c r="U36" s="56"/>
      <c r="V36" s="56"/>
      <c r="W36" s="56"/>
      <c r="X36" s="56"/>
      <c r="Y36" s="56"/>
      <c r="Z36" s="50"/>
    </row>
    <row r="37" spans="2:26" x14ac:dyDescent="0.35">
      <c r="B37" s="27" t="s">
        <v>35</v>
      </c>
      <c r="H37" s="107"/>
      <c r="I37" s="107">
        <f>PARAMETER!B$5</f>
        <v>17500000</v>
      </c>
      <c r="J37" s="107">
        <f>PARAMETER!C$5</f>
        <v>31500000</v>
      </c>
      <c r="K37" s="107">
        <f>PARAMETER!D$5</f>
        <v>24500000</v>
      </c>
      <c r="L37" s="107">
        <f>PARAMETER!E$5</f>
        <v>17500000</v>
      </c>
      <c r="M37" s="107">
        <f>PARAMETER!F$5</f>
        <v>10500000</v>
      </c>
      <c r="N37" s="107"/>
      <c r="O37" s="107"/>
      <c r="P37" s="107"/>
      <c r="Q37" s="107"/>
      <c r="R37" s="107"/>
      <c r="S37" s="102">
        <f t="shared" ref="S37:S38" si="14">SUM(H37:R37)</f>
        <v>101500000</v>
      </c>
      <c r="T37" s="56"/>
      <c r="U37" s="56"/>
      <c r="V37" s="56"/>
      <c r="W37" s="56"/>
      <c r="X37" s="56"/>
      <c r="Y37" s="56"/>
      <c r="Z37" s="50"/>
    </row>
    <row r="38" spans="2:26" x14ac:dyDescent="0.35">
      <c r="B38" s="27" t="s">
        <v>36</v>
      </c>
      <c r="H38" s="73">
        <f>H35-H37</f>
        <v>0</v>
      </c>
      <c r="I38" s="73">
        <f>I35-I37</f>
        <v>-158100000</v>
      </c>
      <c r="J38" s="73">
        <f t="shared" ref="J38:R38" si="15">J35-J37</f>
        <v>133900000</v>
      </c>
      <c r="K38" s="73">
        <f t="shared" si="15"/>
        <v>139880000</v>
      </c>
      <c r="L38" s="73">
        <f t="shared" si="15"/>
        <v>145839600</v>
      </c>
      <c r="M38" s="73">
        <f t="shared" si="15"/>
        <v>151778392</v>
      </c>
      <c r="N38" s="73"/>
      <c r="O38" s="73">
        <f t="shared" si="15"/>
        <v>0</v>
      </c>
      <c r="P38" s="73">
        <f t="shared" si="15"/>
        <v>0</v>
      </c>
      <c r="Q38" s="73">
        <f t="shared" si="15"/>
        <v>0</v>
      </c>
      <c r="R38" s="73">
        <f t="shared" si="15"/>
        <v>0</v>
      </c>
      <c r="S38" s="102">
        <f t="shared" si="14"/>
        <v>413297992</v>
      </c>
      <c r="T38" s="56"/>
      <c r="U38" s="56"/>
      <c r="V38" s="56"/>
      <c r="W38" s="56"/>
      <c r="X38" s="56"/>
      <c r="Y38" s="56"/>
      <c r="Z38" s="50"/>
    </row>
    <row r="39" spans="2:26" x14ac:dyDescent="0.35">
      <c r="B39" s="17" t="s">
        <v>23</v>
      </c>
      <c r="C39" s="17"/>
      <c r="D39" s="17"/>
      <c r="E39" s="17"/>
      <c r="F39" s="17"/>
      <c r="G39" s="17"/>
      <c r="H39" s="71">
        <f>IF(H38&lt;0,0,H38*$G$3)</f>
        <v>0</v>
      </c>
      <c r="I39" s="71">
        <f t="shared" ref="I39:R39" si="16">IF(I38&lt;0,0,I38*$G$3)</f>
        <v>0</v>
      </c>
      <c r="J39" s="71">
        <f>IF(J38&lt;0,0,J38*$G$3)</f>
        <v>2678000</v>
      </c>
      <c r="K39" s="71">
        <f t="shared" si="16"/>
        <v>2797600</v>
      </c>
      <c r="L39" s="71">
        <f t="shared" si="16"/>
        <v>2916792</v>
      </c>
      <c r="M39" s="71">
        <f t="shared" si="16"/>
        <v>3035567.84</v>
      </c>
      <c r="N39" s="71"/>
      <c r="O39" s="71">
        <f t="shared" si="16"/>
        <v>0</v>
      </c>
      <c r="P39" s="71">
        <f t="shared" si="16"/>
        <v>0</v>
      </c>
      <c r="Q39" s="71">
        <f t="shared" si="16"/>
        <v>0</v>
      </c>
      <c r="R39" s="71">
        <f t="shared" si="16"/>
        <v>0</v>
      </c>
      <c r="S39" s="85">
        <f>SUM(H39:R39)</f>
        <v>11427959.84</v>
      </c>
      <c r="T39" s="58"/>
      <c r="U39" s="58"/>
      <c r="V39" s="58"/>
      <c r="W39" s="58"/>
      <c r="X39" s="58"/>
      <c r="Y39" s="57"/>
      <c r="Z39" s="50"/>
    </row>
    <row r="40" spans="2:26" ht="16" thickBot="1" x14ac:dyDescent="0.4">
      <c r="B40" s="31" t="s">
        <v>61</v>
      </c>
      <c r="C40" s="31"/>
      <c r="D40" s="31"/>
      <c r="E40" s="31"/>
      <c r="F40" s="31"/>
      <c r="G40" s="31"/>
      <c r="H40" s="32">
        <f>H38-H39</f>
        <v>0</v>
      </c>
      <c r="I40" s="32">
        <f>I38-I39</f>
        <v>-158100000</v>
      </c>
      <c r="J40" s="32">
        <f t="shared" ref="J40:R40" si="17">J38-J39</f>
        <v>131222000</v>
      </c>
      <c r="K40" s="32">
        <f t="shared" si="17"/>
        <v>137082400</v>
      </c>
      <c r="L40" s="32">
        <f t="shared" si="17"/>
        <v>142922808</v>
      </c>
      <c r="M40" s="32">
        <f t="shared" si="17"/>
        <v>148742824.16</v>
      </c>
      <c r="N40" s="32">
        <f t="shared" si="17"/>
        <v>0</v>
      </c>
      <c r="O40" s="32">
        <f t="shared" si="17"/>
        <v>0</v>
      </c>
      <c r="P40" s="32">
        <f t="shared" si="17"/>
        <v>0</v>
      </c>
      <c r="Q40" s="32">
        <f t="shared" si="17"/>
        <v>0</v>
      </c>
      <c r="R40" s="32">
        <f t="shared" si="17"/>
        <v>0</v>
      </c>
      <c r="S40" s="86">
        <f>S35-S39</f>
        <v>503370032.16000003</v>
      </c>
      <c r="T40" s="56"/>
      <c r="U40" s="56"/>
      <c r="V40" s="56"/>
      <c r="W40" s="56"/>
      <c r="X40" s="56"/>
      <c r="Y40" s="56"/>
      <c r="Z40" s="50"/>
    </row>
    <row r="41" spans="2:26" x14ac:dyDescent="0.35">
      <c r="S41" s="76"/>
      <c r="T41" s="50"/>
      <c r="U41" s="50"/>
      <c r="V41" s="50"/>
      <c r="W41" s="50"/>
      <c r="X41" s="50"/>
      <c r="Y41" s="50"/>
      <c r="Z41" s="50"/>
    </row>
    <row r="42" spans="2:26" x14ac:dyDescent="0.35">
      <c r="B42" s="17" t="s">
        <v>24</v>
      </c>
      <c r="C42" s="17"/>
      <c r="D42" s="17"/>
      <c r="E42" s="17"/>
      <c r="F42" s="17"/>
      <c r="G42" s="33"/>
      <c r="H42" s="33">
        <f>-H11+-H12</f>
        <v>-350000000</v>
      </c>
      <c r="I42" s="33">
        <f>-I12</f>
        <v>0</v>
      </c>
      <c r="J42" s="33">
        <f>-J12</f>
        <v>0</v>
      </c>
      <c r="K42" s="33">
        <f t="shared" ref="K42:M42" si="18">-K12</f>
        <v>0</v>
      </c>
      <c r="L42" s="33">
        <f t="shared" si="18"/>
        <v>0</v>
      </c>
      <c r="M42" s="33">
        <f t="shared" si="18"/>
        <v>0</v>
      </c>
      <c r="N42" s="33">
        <f t="shared" ref="N42:O42" si="19">-O11</f>
        <v>0</v>
      </c>
      <c r="O42" s="33">
        <f t="shared" si="19"/>
        <v>0</v>
      </c>
      <c r="P42" s="33">
        <f>-R11</f>
        <v>0</v>
      </c>
      <c r="Q42" s="33">
        <f t="shared" ref="Q42:R42" si="20">-S11</f>
        <v>0</v>
      </c>
      <c r="R42" s="33">
        <f t="shared" si="20"/>
        <v>0</v>
      </c>
      <c r="S42" s="154">
        <f>SUM(G42:R42)</f>
        <v>-350000000</v>
      </c>
      <c r="T42" s="57"/>
      <c r="U42" s="57"/>
      <c r="V42" s="57"/>
      <c r="W42" s="57"/>
      <c r="X42" s="57"/>
      <c r="Y42" s="57"/>
      <c r="Z42" s="50"/>
    </row>
    <row r="43" spans="2:26" x14ac:dyDescent="0.35">
      <c r="B43" t="s">
        <v>25</v>
      </c>
      <c r="G43" s="30"/>
      <c r="H43" s="30">
        <f>H42+H40+H34</f>
        <v>-350000000</v>
      </c>
      <c r="I43" s="30">
        <f>I42+I40+I34</f>
        <v>-88100000</v>
      </c>
      <c r="J43" s="30">
        <f t="shared" ref="J43:R43" si="21">J42+J40+J34</f>
        <v>201222000</v>
      </c>
      <c r="K43" s="30">
        <f t="shared" si="21"/>
        <v>207082400</v>
      </c>
      <c r="L43" s="30">
        <f t="shared" si="21"/>
        <v>212922808</v>
      </c>
      <c r="M43" s="30">
        <f t="shared" si="21"/>
        <v>218742824.16</v>
      </c>
      <c r="N43" s="30">
        <f t="shared" si="21"/>
        <v>0</v>
      </c>
      <c r="O43" s="30">
        <f t="shared" si="21"/>
        <v>0</v>
      </c>
      <c r="P43" s="30">
        <f t="shared" si="21"/>
        <v>0</v>
      </c>
      <c r="Q43" s="30">
        <f t="shared" si="21"/>
        <v>0</v>
      </c>
      <c r="R43" s="30">
        <f t="shared" si="21"/>
        <v>0</v>
      </c>
      <c r="S43" s="88">
        <f>SUM(G43:R43)</f>
        <v>401870032.15999997</v>
      </c>
      <c r="T43" s="57"/>
      <c r="U43" s="57"/>
      <c r="V43" s="57"/>
      <c r="W43" s="57"/>
      <c r="X43" s="57"/>
      <c r="Y43" s="57"/>
      <c r="Z43" s="50"/>
    </row>
    <row r="44" spans="2:26" x14ac:dyDescent="0.35">
      <c r="B44" t="s">
        <v>26</v>
      </c>
      <c r="G44" s="30"/>
      <c r="H44" s="30">
        <f>G44+H43</f>
        <v>-350000000</v>
      </c>
      <c r="I44" s="30">
        <f>H44+I43</f>
        <v>-438100000</v>
      </c>
      <c r="J44" s="30">
        <f t="shared" ref="J44:P44" si="22">I44+J43</f>
        <v>-236878000</v>
      </c>
      <c r="K44" s="30">
        <f t="shared" si="22"/>
        <v>-29795600</v>
      </c>
      <c r="L44" s="30">
        <f t="shared" si="22"/>
        <v>183127208</v>
      </c>
      <c r="M44" s="30">
        <f t="shared" si="22"/>
        <v>401870032.15999997</v>
      </c>
      <c r="N44" s="30">
        <f t="shared" si="22"/>
        <v>401870032.15999997</v>
      </c>
      <c r="O44" s="30">
        <f t="shared" si="22"/>
        <v>401870032.15999997</v>
      </c>
      <c r="P44" s="30">
        <f t="shared" si="22"/>
        <v>401870032.15999997</v>
      </c>
      <c r="Q44" s="30">
        <f t="shared" ref="Q44" si="23">P44+Q43</f>
        <v>401870032.15999997</v>
      </c>
      <c r="R44" s="30">
        <f t="shared" ref="R44" si="24">Q44+R43</f>
        <v>401870032.15999997</v>
      </c>
      <c r="S44" s="88"/>
      <c r="T44" s="57"/>
      <c r="U44" s="57"/>
      <c r="V44" s="57"/>
      <c r="W44" s="57"/>
      <c r="X44" s="57"/>
      <c r="Y44" s="57"/>
      <c r="Z44" s="50"/>
    </row>
    <row r="45" spans="2:26" x14ac:dyDescent="0.35">
      <c r="B45" t="s">
        <v>27</v>
      </c>
      <c r="G45" s="30"/>
      <c r="H45" s="34">
        <f t="shared" ref="H45:P45" si="25">IF(AND(G44&lt;0,H44&gt;0),I53-(H44/H43),0)</f>
        <v>0</v>
      </c>
      <c r="I45" s="34">
        <f t="shared" si="25"/>
        <v>0</v>
      </c>
      <c r="J45" s="34">
        <f t="shared" si="25"/>
        <v>0</v>
      </c>
      <c r="K45" s="34">
        <f t="shared" si="25"/>
        <v>0</v>
      </c>
      <c r="L45" s="100">
        <f t="shared" si="25"/>
        <v>4.1399361593991379</v>
      </c>
      <c r="M45" s="34">
        <f t="shared" si="25"/>
        <v>0</v>
      </c>
      <c r="N45" s="34">
        <f t="shared" si="25"/>
        <v>0</v>
      </c>
      <c r="O45" s="34">
        <f t="shared" si="25"/>
        <v>0</v>
      </c>
      <c r="P45" s="34">
        <f t="shared" si="25"/>
        <v>0</v>
      </c>
      <c r="Q45" s="34"/>
      <c r="R45" s="34">
        <f>IF(AND(P44&lt;0,R44&gt;0),S53-(R44/R43),0)</f>
        <v>0</v>
      </c>
      <c r="S45" s="89"/>
      <c r="T45" s="34"/>
      <c r="U45" s="34"/>
      <c r="V45" s="34"/>
      <c r="W45" s="34"/>
      <c r="X45" s="34"/>
      <c r="Y45" s="34"/>
    </row>
    <row r="46" spans="2:26" s="108" customFormat="1" x14ac:dyDescent="0.35">
      <c r="G46" s="109"/>
      <c r="H46" s="110"/>
      <c r="I46" s="110"/>
      <c r="J46" s="110"/>
      <c r="K46" s="110"/>
      <c r="L46" s="111"/>
      <c r="M46" s="110"/>
      <c r="N46" s="110"/>
      <c r="O46" s="110"/>
      <c r="P46" s="110"/>
      <c r="Q46" s="110"/>
      <c r="R46" s="110"/>
      <c r="S46" s="112"/>
      <c r="T46" s="110"/>
      <c r="U46" s="110"/>
      <c r="V46" s="110"/>
      <c r="W46" s="110"/>
      <c r="X46" s="110"/>
      <c r="Y46" s="110"/>
    </row>
    <row r="47" spans="2:26" s="108" customFormat="1" x14ac:dyDescent="0.35">
      <c r="H47" s="113"/>
    </row>
    <row r="48" spans="2:26" x14ac:dyDescent="0.35">
      <c r="B48" s="60" t="s">
        <v>28</v>
      </c>
      <c r="C48" s="61"/>
      <c r="D48" s="61"/>
      <c r="E48" s="61"/>
      <c r="F48" s="61"/>
      <c r="G48" s="104">
        <f>IRR(H43:R43)</f>
        <v>0.22376263129587515</v>
      </c>
    </row>
    <row r="49" spans="2:26" x14ac:dyDescent="0.35">
      <c r="B49" s="62" t="s">
        <v>29</v>
      </c>
      <c r="C49" s="63"/>
      <c r="D49" s="63"/>
      <c r="E49" s="63"/>
      <c r="F49" s="63"/>
      <c r="G49" s="158">
        <f>NPV(G4,I43:R43)+H43</f>
        <v>173043563.19426751</v>
      </c>
      <c r="I49" s="99"/>
      <c r="J49" s="15"/>
    </row>
    <row r="50" spans="2:26" x14ac:dyDescent="0.35">
      <c r="B50" s="62" t="s">
        <v>30</v>
      </c>
      <c r="C50" s="63"/>
      <c r="D50" s="63"/>
      <c r="E50" s="63"/>
      <c r="F50" s="63"/>
      <c r="G50" s="65">
        <f>S32</f>
        <v>0.44924571012987013</v>
      </c>
      <c r="I50" s="72"/>
    </row>
    <row r="51" spans="2:26" x14ac:dyDescent="0.35">
      <c r="B51" s="66" t="s">
        <v>31</v>
      </c>
      <c r="C51" s="67"/>
      <c r="D51" s="67"/>
      <c r="E51" s="67"/>
      <c r="F51" s="67"/>
      <c r="G51" s="68">
        <f>SUM(H45:R45)</f>
        <v>4.1399361593991379</v>
      </c>
    </row>
    <row r="52" spans="2:26" x14ac:dyDescent="0.35">
      <c r="G52" s="35"/>
      <c r="H52" s="35"/>
      <c r="I52" s="2"/>
    </row>
    <row r="53" spans="2:26" x14ac:dyDescent="0.35">
      <c r="H53"/>
      <c r="I53" s="9">
        <v>1</v>
      </c>
      <c r="J53" s="36">
        <v>2</v>
      </c>
      <c r="K53" s="9">
        <v>3</v>
      </c>
      <c r="L53" s="36">
        <v>4</v>
      </c>
      <c r="M53" s="9">
        <v>5</v>
      </c>
      <c r="N53" s="36">
        <v>6</v>
      </c>
      <c r="O53" s="9">
        <v>7</v>
      </c>
      <c r="P53" s="36">
        <v>8</v>
      </c>
      <c r="Q53" s="9">
        <v>9</v>
      </c>
      <c r="R53" s="9">
        <v>10</v>
      </c>
      <c r="T53" s="36"/>
      <c r="U53" s="9"/>
      <c r="V53" s="36"/>
      <c r="W53" s="9"/>
      <c r="X53" s="36"/>
      <c r="Y53" s="9"/>
    </row>
    <row r="54" spans="2:26" x14ac:dyDescent="0.35">
      <c r="B54" s="37" t="s">
        <v>32</v>
      </c>
      <c r="E54" s="38" t="s">
        <v>33</v>
      </c>
      <c r="H54"/>
      <c r="I54" s="38">
        <f>I14</f>
        <v>2025</v>
      </c>
      <c r="J54" s="38">
        <f t="shared" ref="J54:R54" si="26">J14</f>
        <v>2026</v>
      </c>
      <c r="K54" s="38">
        <f t="shared" si="26"/>
        <v>2027</v>
      </c>
      <c r="L54" s="38">
        <f t="shared" si="26"/>
        <v>2028</v>
      </c>
      <c r="M54" s="38">
        <f t="shared" si="26"/>
        <v>2029</v>
      </c>
      <c r="N54" s="38">
        <f t="shared" si="26"/>
        <v>2030</v>
      </c>
      <c r="O54" s="38">
        <f t="shared" si="26"/>
        <v>2031</v>
      </c>
      <c r="P54" s="38">
        <f t="shared" si="26"/>
        <v>2032</v>
      </c>
      <c r="Q54" s="38">
        <f t="shared" si="26"/>
        <v>2033</v>
      </c>
      <c r="R54" s="38">
        <f t="shared" si="26"/>
        <v>2034</v>
      </c>
      <c r="T54" s="38"/>
      <c r="U54" s="38"/>
      <c r="V54" s="38"/>
      <c r="W54" s="38"/>
      <c r="X54" s="38"/>
      <c r="Y54" s="38"/>
      <c r="Z54" s="38"/>
    </row>
    <row r="55" spans="2:26" x14ac:dyDescent="0.35">
      <c r="D55" t="s">
        <v>7</v>
      </c>
      <c r="E55">
        <v>5</v>
      </c>
      <c r="H55"/>
      <c r="I55" s="74">
        <f>(H$11+H12)/$E55</f>
        <v>70000000</v>
      </c>
      <c r="J55" s="39">
        <f>I55</f>
        <v>70000000</v>
      </c>
      <c r="K55" s="39">
        <f t="shared" ref="K55:R55" si="27">J55</f>
        <v>70000000</v>
      </c>
      <c r="L55" s="39">
        <f t="shared" si="27"/>
        <v>70000000</v>
      </c>
      <c r="M55" s="39">
        <f t="shared" si="27"/>
        <v>70000000</v>
      </c>
      <c r="N55" s="39">
        <f t="shared" si="27"/>
        <v>70000000</v>
      </c>
      <c r="O55" s="39">
        <f t="shared" si="27"/>
        <v>70000000</v>
      </c>
      <c r="P55" s="39">
        <f t="shared" si="27"/>
        <v>70000000</v>
      </c>
      <c r="Q55" s="39">
        <f t="shared" si="27"/>
        <v>70000000</v>
      </c>
      <c r="R55" s="39">
        <f t="shared" si="27"/>
        <v>70000000</v>
      </c>
      <c r="T55" s="39"/>
      <c r="U55" s="39"/>
      <c r="V55" s="39"/>
      <c r="W55" s="39"/>
      <c r="X55" s="39"/>
      <c r="Y55" s="39"/>
      <c r="Z55" s="40"/>
    </row>
    <row r="56" spans="2:26" x14ac:dyDescent="0.35">
      <c r="D56" t="s">
        <v>8</v>
      </c>
      <c r="E56">
        <v>9</v>
      </c>
      <c r="H56"/>
      <c r="I56" s="2"/>
      <c r="J56" s="74">
        <f>J12/E56</f>
        <v>0</v>
      </c>
      <c r="K56" s="39">
        <f>J56</f>
        <v>0</v>
      </c>
      <c r="L56" s="39">
        <f t="shared" ref="L56:R57" si="28">K56</f>
        <v>0</v>
      </c>
      <c r="M56" s="39">
        <f t="shared" si="28"/>
        <v>0</v>
      </c>
      <c r="N56" s="39">
        <f t="shared" si="28"/>
        <v>0</v>
      </c>
      <c r="O56" s="39">
        <f t="shared" si="28"/>
        <v>0</v>
      </c>
      <c r="P56" s="39">
        <f t="shared" si="28"/>
        <v>0</v>
      </c>
      <c r="Q56" s="39">
        <f t="shared" si="28"/>
        <v>0</v>
      </c>
      <c r="R56" s="39">
        <f t="shared" si="28"/>
        <v>0</v>
      </c>
      <c r="T56" s="39"/>
      <c r="U56" s="39"/>
      <c r="V56" s="39"/>
      <c r="W56" s="39"/>
      <c r="X56" s="39"/>
      <c r="Y56" s="39"/>
      <c r="Z56" s="40"/>
    </row>
    <row r="57" spans="2:26" x14ac:dyDescent="0.35">
      <c r="D57" t="s">
        <v>9</v>
      </c>
      <c r="E57">
        <v>8</v>
      </c>
      <c r="H57"/>
      <c r="I57" s="2"/>
      <c r="K57" s="74">
        <f>K12/$E57</f>
        <v>0</v>
      </c>
      <c r="L57" s="39">
        <f>K57</f>
        <v>0</v>
      </c>
      <c r="M57" s="39">
        <f t="shared" ref="M57:Q57" si="29">L57</f>
        <v>0</v>
      </c>
      <c r="N57" s="39">
        <f t="shared" si="29"/>
        <v>0</v>
      </c>
      <c r="O57" s="39">
        <f t="shared" si="29"/>
        <v>0</v>
      </c>
      <c r="P57" s="39">
        <f t="shared" si="29"/>
        <v>0</v>
      </c>
      <c r="Q57" s="39">
        <f t="shared" si="29"/>
        <v>0</v>
      </c>
      <c r="R57" s="39">
        <f t="shared" si="28"/>
        <v>0</v>
      </c>
      <c r="T57" s="39"/>
      <c r="U57" s="39"/>
      <c r="V57" s="39"/>
      <c r="W57" s="39"/>
      <c r="X57" s="39"/>
      <c r="Y57" s="39"/>
      <c r="Z57" s="40"/>
    </row>
    <row r="58" spans="2:26" x14ac:dyDescent="0.35">
      <c r="D58" t="s">
        <v>10</v>
      </c>
      <c r="E58">
        <v>7</v>
      </c>
      <c r="H58"/>
      <c r="I58" s="2"/>
      <c r="L58" s="74">
        <f>L12/$E58</f>
        <v>0</v>
      </c>
      <c r="M58" s="39">
        <f>L58</f>
        <v>0</v>
      </c>
      <c r="N58" s="39">
        <f t="shared" ref="N58:R61" si="30">M58</f>
        <v>0</v>
      </c>
      <c r="O58" s="39">
        <f t="shared" si="30"/>
        <v>0</v>
      </c>
      <c r="P58" s="39">
        <f t="shared" si="30"/>
        <v>0</v>
      </c>
      <c r="Q58" s="39">
        <f t="shared" si="30"/>
        <v>0</v>
      </c>
      <c r="R58" s="39">
        <f t="shared" si="30"/>
        <v>0</v>
      </c>
      <c r="T58" s="39"/>
      <c r="U58" s="39"/>
      <c r="V58" s="39"/>
      <c r="W58" s="39"/>
      <c r="X58" s="39"/>
      <c r="Y58" s="39"/>
      <c r="Z58" s="40"/>
    </row>
    <row r="59" spans="2:26" x14ac:dyDescent="0.35">
      <c r="D59" t="s">
        <v>11</v>
      </c>
      <c r="E59">
        <v>6</v>
      </c>
      <c r="H59"/>
      <c r="I59" s="2"/>
      <c r="M59" s="74">
        <f>L$11/$E59</f>
        <v>0</v>
      </c>
      <c r="N59" s="39">
        <f>M59</f>
        <v>0</v>
      </c>
      <c r="O59" s="39">
        <f t="shared" si="30"/>
        <v>0</v>
      </c>
      <c r="P59" s="39">
        <f t="shared" si="30"/>
        <v>0</v>
      </c>
      <c r="Q59" s="39">
        <f t="shared" si="30"/>
        <v>0</v>
      </c>
      <c r="R59" s="39"/>
      <c r="T59" s="39"/>
      <c r="U59" s="39"/>
      <c r="V59" s="39"/>
      <c r="W59" s="39"/>
      <c r="X59" s="39"/>
      <c r="Y59" s="39"/>
      <c r="Z59" s="40"/>
    </row>
    <row r="60" spans="2:26" hidden="1" x14ac:dyDescent="0.35">
      <c r="D60" t="s">
        <v>54</v>
      </c>
      <c r="E60">
        <v>5</v>
      </c>
      <c r="H60"/>
      <c r="I60" s="2"/>
      <c r="M60" s="39"/>
      <c r="N60" s="74">
        <f>M$11/$E60</f>
        <v>0</v>
      </c>
      <c r="O60" s="39">
        <f>N60</f>
        <v>0</v>
      </c>
      <c r="P60" s="39">
        <f t="shared" si="30"/>
        <v>0</v>
      </c>
      <c r="Q60" s="39">
        <f t="shared" si="30"/>
        <v>0</v>
      </c>
      <c r="R60" s="39"/>
      <c r="T60" s="39"/>
      <c r="U60" s="39"/>
      <c r="V60" s="39"/>
      <c r="W60" s="39"/>
      <c r="X60" s="39"/>
      <c r="Y60" s="39"/>
      <c r="Z60" s="40"/>
    </row>
    <row r="61" spans="2:26" hidden="1" x14ac:dyDescent="0.35">
      <c r="D61" t="s">
        <v>55</v>
      </c>
      <c r="E61">
        <v>4</v>
      </c>
      <c r="H61"/>
      <c r="I61" s="2"/>
      <c r="M61" s="39"/>
      <c r="N61" s="39"/>
      <c r="O61" s="74">
        <f>N$11/$E61</f>
        <v>0</v>
      </c>
      <c r="P61" s="39">
        <f>O61</f>
        <v>0</v>
      </c>
      <c r="Q61" s="39">
        <f t="shared" si="30"/>
        <v>0</v>
      </c>
      <c r="R61" s="39"/>
      <c r="T61" s="39"/>
      <c r="U61" s="39"/>
      <c r="V61" s="39"/>
      <c r="W61" s="39"/>
      <c r="X61" s="39"/>
      <c r="Y61" s="39"/>
      <c r="Z61" s="40"/>
    </row>
    <row r="62" spans="2:26" hidden="1" x14ac:dyDescent="0.35">
      <c r="D62" t="s">
        <v>56</v>
      </c>
      <c r="E62">
        <v>3</v>
      </c>
      <c r="H62"/>
      <c r="I62" s="2"/>
      <c r="M62" s="39"/>
      <c r="N62" s="39"/>
      <c r="O62" s="39"/>
      <c r="P62" s="74">
        <f>O$11/$E62</f>
        <v>0</v>
      </c>
      <c r="Q62" s="39">
        <f>P62</f>
        <v>0</v>
      </c>
      <c r="R62" s="39"/>
      <c r="T62" s="39"/>
      <c r="U62" s="39"/>
      <c r="V62" s="39"/>
      <c r="W62" s="39"/>
      <c r="X62" s="39"/>
      <c r="Y62" s="39"/>
      <c r="Z62" s="40"/>
    </row>
    <row r="63" spans="2:26" hidden="1" x14ac:dyDescent="0.35">
      <c r="D63" t="s">
        <v>57</v>
      </c>
      <c r="E63">
        <v>2</v>
      </c>
      <c r="H63"/>
      <c r="I63" s="2"/>
      <c r="M63" s="39"/>
      <c r="N63" s="39"/>
      <c r="O63" s="39"/>
      <c r="P63" s="39"/>
      <c r="Q63" s="74">
        <f>P$11/$E63</f>
        <v>0</v>
      </c>
      <c r="R63" s="74"/>
      <c r="T63" s="39"/>
      <c r="U63" s="39"/>
      <c r="V63" s="39"/>
      <c r="W63" s="39"/>
      <c r="X63" s="39"/>
      <c r="Y63" s="39"/>
      <c r="Z63" s="40"/>
    </row>
    <row r="64" spans="2:26" hidden="1" x14ac:dyDescent="0.35">
      <c r="D64" t="s">
        <v>58</v>
      </c>
      <c r="E64">
        <v>1</v>
      </c>
      <c r="H64"/>
      <c r="I64" s="2"/>
      <c r="L64" s="39"/>
      <c r="M64" s="101"/>
      <c r="N64" s="101"/>
      <c r="O64" s="101"/>
      <c r="P64" s="101"/>
      <c r="Q64" s="101"/>
      <c r="R64" s="101"/>
      <c r="T64" s="39"/>
      <c r="U64" s="39"/>
      <c r="V64" s="39"/>
      <c r="W64" s="39"/>
      <c r="X64" s="39"/>
      <c r="Y64" s="39"/>
      <c r="Z64" s="40"/>
    </row>
    <row r="65" spans="2:29" ht="16" thickBot="1" x14ac:dyDescent="0.4">
      <c r="B65" s="41" t="s">
        <v>34</v>
      </c>
      <c r="C65" s="42"/>
      <c r="D65" s="42"/>
      <c r="E65" s="42"/>
      <c r="F65" s="42"/>
      <c r="G65" s="42"/>
      <c r="H65" s="42"/>
      <c r="I65" s="43">
        <f>SUM(I55:I64)</f>
        <v>70000000</v>
      </c>
      <c r="J65" s="43">
        <f t="shared" ref="J65:R65" si="31">SUM(J55:J64)</f>
        <v>70000000</v>
      </c>
      <c r="K65" s="43">
        <f t="shared" si="31"/>
        <v>70000000</v>
      </c>
      <c r="L65" s="43">
        <f t="shared" si="31"/>
        <v>70000000</v>
      </c>
      <c r="M65" s="43">
        <f t="shared" si="31"/>
        <v>70000000</v>
      </c>
      <c r="N65" s="43">
        <f t="shared" si="31"/>
        <v>70000000</v>
      </c>
      <c r="O65" s="43">
        <f t="shared" si="31"/>
        <v>70000000</v>
      </c>
      <c r="P65" s="43">
        <f t="shared" si="31"/>
        <v>70000000</v>
      </c>
      <c r="Q65" s="43">
        <f t="shared" si="31"/>
        <v>70000000</v>
      </c>
      <c r="R65" s="43">
        <f t="shared" si="31"/>
        <v>70000000</v>
      </c>
      <c r="T65" s="47"/>
      <c r="U65" s="47"/>
      <c r="V65" s="47"/>
      <c r="W65" s="47"/>
      <c r="X65" s="47"/>
      <c r="Y65" s="47"/>
      <c r="Z65" s="47"/>
      <c r="AA65" s="44"/>
      <c r="AB65" s="44"/>
      <c r="AC65" s="44"/>
    </row>
    <row r="66" spans="2:29" ht="16" thickTop="1" x14ac:dyDescent="0.35">
      <c r="H66"/>
      <c r="I66" s="2"/>
      <c r="N66" s="40"/>
      <c r="O66" s="40"/>
      <c r="P66" s="40"/>
      <c r="Q66" s="40"/>
      <c r="R66" s="40"/>
      <c r="Z66" s="15"/>
    </row>
    <row r="68" spans="2:29" x14ac:dyDescent="0.35">
      <c r="G68" t="s">
        <v>62</v>
      </c>
    </row>
    <row r="77" spans="2:29" x14ac:dyDescent="0.35">
      <c r="H77" s="72"/>
      <c r="I77" s="15"/>
    </row>
    <row r="79" spans="2:29" x14ac:dyDescent="0.35">
      <c r="H79" s="14"/>
    </row>
    <row r="80" spans="2:29" x14ac:dyDescent="0.35">
      <c r="H80" s="14"/>
      <c r="I80" s="15"/>
      <c r="J80" s="15"/>
      <c r="K80" s="15"/>
      <c r="L80" s="15"/>
      <c r="M80" s="15"/>
    </row>
    <row r="81" spans="7:13" x14ac:dyDescent="0.35">
      <c r="G81" s="108"/>
      <c r="H81" s="114"/>
      <c r="I81" s="115"/>
      <c r="J81" s="115"/>
      <c r="K81" s="115"/>
      <c r="L81" s="115"/>
      <c r="M81" s="115"/>
    </row>
    <row r="84" spans="7:13" x14ac:dyDescent="0.35">
      <c r="H84" s="14"/>
      <c r="M84" s="15"/>
    </row>
    <row r="86" spans="7:13" x14ac:dyDescent="0.35">
      <c r="H86" s="72"/>
      <c r="I86" s="72"/>
      <c r="J86" s="72"/>
      <c r="K86" s="72"/>
      <c r="L86" s="72"/>
      <c r="M86" s="72"/>
    </row>
  </sheetData>
  <mergeCells count="1">
    <mergeCell ref="E23:G23"/>
  </mergeCells>
  <phoneticPr fontId="26" type="noConversion"/>
  <printOptions horizontalCentered="1" verticalCentered="1"/>
  <pageMargins left="0" right="0" top="0" bottom="0" header="0.31496062992125984" footer="0.31496062992125984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B4FFE-7905-4B9F-AFB9-F945C6BB2A3F}">
  <sheetPr codeName="Sheet6"/>
  <dimension ref="A1:K13"/>
  <sheetViews>
    <sheetView workbookViewId="0">
      <selection activeCell="B3" sqref="B3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6640625" bestFit="1" customWidth="1"/>
    <col min="5" max="9" width="12.08203125" bestFit="1" customWidth="1"/>
    <col min="10" max="11" width="13.6640625" bestFit="1" customWidth="1"/>
  </cols>
  <sheetData>
    <row r="1" spans="1:11" x14ac:dyDescent="0.35"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</row>
    <row r="2" spans="1:11" x14ac:dyDescent="0.35">
      <c r="A2" t="s">
        <v>64</v>
      </c>
      <c r="B2" s="116">
        <f>'IRR Approved'!$H$11+'IRR Approved'!I12+'IRR Approved'!J12</f>
        <v>350000000</v>
      </c>
      <c r="C2" s="15">
        <f>$B$2-$B$4</f>
        <v>280000000</v>
      </c>
      <c r="D2" s="15">
        <f>$C$2-$B$4</f>
        <v>210000000</v>
      </c>
      <c r="E2" s="15">
        <f>$D$2-$B$4</f>
        <v>140000000</v>
      </c>
      <c r="F2" s="15">
        <f>$E$2-$B$4</f>
        <v>70000000</v>
      </c>
      <c r="G2" s="15">
        <f>$F$2-$B$4</f>
        <v>0</v>
      </c>
      <c r="H2" s="15">
        <f>$G$2-$B$4</f>
        <v>-70000000</v>
      </c>
      <c r="I2" s="15">
        <f>$H$2-$B$4</f>
        <v>-140000000</v>
      </c>
      <c r="J2" s="15">
        <f>$I$2-$B$4</f>
        <v>-210000000</v>
      </c>
      <c r="K2" s="15">
        <f>$J$2-$B$4</f>
        <v>-280000000</v>
      </c>
    </row>
    <row r="3" spans="1:11" x14ac:dyDescent="0.35">
      <c r="A3" t="s">
        <v>65</v>
      </c>
      <c r="B3" s="116">
        <v>5</v>
      </c>
    </row>
    <row r="4" spans="1:11" x14ac:dyDescent="0.35">
      <c r="A4" t="s">
        <v>66</v>
      </c>
      <c r="B4" s="116">
        <f>$B$2/$B$3</f>
        <v>70000000</v>
      </c>
      <c r="C4" s="116"/>
      <c r="D4" s="116"/>
    </row>
    <row r="5" spans="1:11" x14ac:dyDescent="0.35">
      <c r="A5" t="s">
        <v>68</v>
      </c>
      <c r="B5" s="116">
        <f>(($B$2*'IRR Approved'!$G$4)*6)/12</f>
        <v>17500000</v>
      </c>
      <c r="C5" s="15">
        <f>AVERAGE($B$2:$C$2)*'IRR Approved'!$G$4</f>
        <v>31500000</v>
      </c>
      <c r="D5" s="15">
        <f>AVERAGE($C$2:$D$2)*'IRR Approved'!$G$4</f>
        <v>24500000</v>
      </c>
      <c r="E5" s="15">
        <f>AVERAGE($D$2:$E$2)*'IRR Approved'!$G$4</f>
        <v>17500000</v>
      </c>
      <c r="F5" s="15">
        <f>AVERAGE($E$2:$F$2)*'IRR Approved'!$G$4</f>
        <v>10500000</v>
      </c>
      <c r="G5" s="15">
        <f>AVERAGE($F$2:$G$2)*'IRR Approved'!$G$4</f>
        <v>3500000</v>
      </c>
      <c r="H5" s="15">
        <f>AVERAGE($G$2:$H$2)*'IRR Approved'!$G$4</f>
        <v>-3500000</v>
      </c>
      <c r="I5" s="15">
        <f>AVERAGE($H$2:$I$2)*'IRR Approved'!$G$4</f>
        <v>-10500000</v>
      </c>
      <c r="J5" s="15">
        <f>AVERAGE($I$2:$J$2)*'IRR Approved'!$G$4</f>
        <v>-17500000</v>
      </c>
      <c r="K5" s="15">
        <f>AVERAGE($J$2:$K$2)*'IRR Approved'!$G$4</f>
        <v>-24500000</v>
      </c>
    </row>
    <row r="10" spans="1:11" x14ac:dyDescent="0.35">
      <c r="A10" t="s">
        <v>3</v>
      </c>
      <c r="B10" s="116">
        <v>50000000</v>
      </c>
      <c r="C10" s="15">
        <f>B10+C11</f>
        <v>51000000</v>
      </c>
      <c r="D10" s="15">
        <f>C10+D12</f>
        <v>52020000</v>
      </c>
      <c r="E10" s="15">
        <f t="shared" ref="E10:K10" si="0">D10+E12</f>
        <v>53060400</v>
      </c>
      <c r="F10" s="15">
        <f t="shared" si="0"/>
        <v>54121608</v>
      </c>
      <c r="G10" s="15">
        <f t="shared" si="0"/>
        <v>55204040.159999996</v>
      </c>
      <c r="H10" s="15">
        <f t="shared" si="0"/>
        <v>56308120.963199995</v>
      </c>
      <c r="I10" s="15">
        <f t="shared" si="0"/>
        <v>57434283.382463992</v>
      </c>
      <c r="J10" s="15">
        <f t="shared" si="0"/>
        <v>58582969.050113268</v>
      </c>
      <c r="K10" s="15">
        <f t="shared" si="0"/>
        <v>59754628.43111553</v>
      </c>
    </row>
    <row r="11" spans="1:11" x14ac:dyDescent="0.35">
      <c r="A11" s="106">
        <v>0.02</v>
      </c>
      <c r="C11" s="15">
        <f>C12</f>
        <v>1000000</v>
      </c>
      <c r="D11" s="15">
        <f>C11+D12</f>
        <v>2020000</v>
      </c>
      <c r="E11" s="15">
        <f t="shared" ref="E11:K11" si="1">D11+E12</f>
        <v>3060400</v>
      </c>
      <c r="F11" s="15">
        <f t="shared" si="1"/>
        <v>4121608</v>
      </c>
      <c r="G11" s="15">
        <f t="shared" si="1"/>
        <v>5204040.16</v>
      </c>
      <c r="H11" s="15">
        <f t="shared" si="1"/>
        <v>6308120.9632000001</v>
      </c>
      <c r="I11" s="15">
        <f t="shared" si="1"/>
        <v>7434283.382464</v>
      </c>
      <c r="J11" s="15">
        <f t="shared" si="1"/>
        <v>8582969.0501132794</v>
      </c>
      <c r="K11" s="15">
        <f t="shared" si="1"/>
        <v>9754628.4311155453</v>
      </c>
    </row>
    <row r="12" spans="1:11" x14ac:dyDescent="0.35">
      <c r="C12" s="15">
        <f>B10*$A$11</f>
        <v>1000000</v>
      </c>
      <c r="D12" s="15">
        <f>C10*$A$11</f>
        <v>1020000</v>
      </c>
      <c r="E12" s="15">
        <f t="shared" ref="E12:K12" si="2">D10*$A$11</f>
        <v>1040400</v>
      </c>
      <c r="F12" s="15">
        <f t="shared" si="2"/>
        <v>1061208</v>
      </c>
      <c r="G12" s="15">
        <f t="shared" si="2"/>
        <v>1082432.1599999999</v>
      </c>
      <c r="H12" s="15">
        <f t="shared" si="2"/>
        <v>1104080.8032</v>
      </c>
      <c r="I12" s="15">
        <f t="shared" si="2"/>
        <v>1126162.4192639999</v>
      </c>
      <c r="J12" s="15">
        <f t="shared" si="2"/>
        <v>1148685.6676492798</v>
      </c>
      <c r="K12" s="15">
        <f t="shared" si="2"/>
        <v>1171659.3810022655</v>
      </c>
    </row>
    <row r="13" spans="1:11" x14ac:dyDescent="0.35">
      <c r="F13" s="116"/>
    </row>
  </sheetData>
  <phoneticPr fontId="26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IRR (3)</vt:lpstr>
      <vt:lpstr>IRR (2)</vt:lpstr>
      <vt:lpstr>Summary</vt:lpstr>
      <vt:lpstr>IRR Approved</vt:lpstr>
      <vt:lpstr>PARAMETER</vt:lpstr>
      <vt:lpstr>'IRR (2)'!Print_Area</vt:lpstr>
      <vt:lpstr>'IRR (3)'!Print_Area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2023-05-10T04:54:47Z</cp:lastPrinted>
  <dcterms:created xsi:type="dcterms:W3CDTF">2020-06-08T08:40:20Z</dcterms:created>
  <dcterms:modified xsi:type="dcterms:W3CDTF">2024-09-18T07:13:35Z</dcterms:modified>
</cp:coreProperties>
</file>