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/>
  <mc:AlternateContent xmlns:mc="http://schemas.openxmlformats.org/markup-compatibility/2006">
    <mc:Choice Requires="x15">
      <x15ac:absPath xmlns:x15ac="http://schemas.microsoft.com/office/spreadsheetml/2010/11/ac" url="D:\2020 strategic planning\PnL\OPENET\"/>
    </mc:Choice>
  </mc:AlternateContent>
  <xr:revisionPtr revIDLastSave="0" documentId="13_ncr:1_{F8114B55-AD92-48BF-8677-49D0291962FF}" xr6:coauthVersionLast="36" xr6:coauthVersionMax="36" xr10:uidLastSave="{00000000-0000-0000-0000-000000000000}"/>
  <bookViews>
    <workbookView xWindow="-110" yWindow="-110" windowWidth="19430" windowHeight="10430" xr2:uid="{00000000-000D-0000-FFFF-FFFF00000000}"/>
  </bookViews>
  <sheets>
    <sheet name="Summary" sheetId="6" r:id="rId1"/>
    <sheet name="IRR" sheetId="1" r:id="rId2"/>
    <sheet name="Rev" sheetId="11" r:id="rId3"/>
    <sheet name="Summary Review new" sheetId="12" r:id="rId4"/>
    <sheet name="PARAMETER" sheetId="2" r:id="rId5"/>
  </sheets>
  <externalReferences>
    <externalReference r:id="rId6"/>
    <externalReference r:id="rId7"/>
    <externalReference r:id="rId8"/>
  </externalReferences>
  <definedNames>
    <definedName name="jk" localSheetId="3">#REF!</definedName>
    <definedName name="jk">#REF!</definedName>
    <definedName name="_xlnm.Print_Area" localSheetId="1">IRR!$A$1:$L$46</definedName>
    <definedName name="_xlnm.Print_Area" localSheetId="0">Summary!$A$2:$N$27</definedName>
    <definedName name="_xlnm.Print_Area" localSheetId="3">'Summary Review new'!$A$1:$D$20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2" i="6" l="1"/>
  <c r="M11" i="6"/>
  <c r="K22" i="1"/>
  <c r="J22" i="1"/>
  <c r="I22" i="1"/>
  <c r="H22" i="1"/>
  <c r="G22" i="1"/>
  <c r="L22" i="1" s="1"/>
  <c r="L21" i="1"/>
  <c r="K23" i="1"/>
  <c r="J23" i="1"/>
  <c r="I23" i="1"/>
  <c r="H23" i="1"/>
  <c r="G23" i="1"/>
  <c r="L23" i="1" s="1"/>
  <c r="G35" i="1" l="1"/>
  <c r="L28" i="1"/>
  <c r="H28" i="1"/>
  <c r="I28" i="1"/>
  <c r="J28" i="1"/>
  <c r="K28" i="1"/>
  <c r="H46" i="1"/>
  <c r="L46" i="1" s="1"/>
  <c r="K46" i="1"/>
  <c r="J46" i="1"/>
  <c r="I46" i="1"/>
  <c r="I45" i="1"/>
  <c r="J45" i="1" s="1"/>
  <c r="K45" i="1" s="1"/>
  <c r="H45" i="1"/>
  <c r="K11" i="1"/>
  <c r="J11" i="1"/>
  <c r="I11" i="1"/>
  <c r="H11" i="1"/>
  <c r="G16" i="1"/>
  <c r="H16" i="1" s="1"/>
  <c r="I16" i="1" s="1"/>
  <c r="J16" i="1" s="1"/>
  <c r="K16" i="1" s="1"/>
  <c r="K17" i="1" s="1"/>
  <c r="D5" i="11"/>
  <c r="H6" i="2"/>
  <c r="I30" i="1" s="1"/>
  <c r="I6" i="2"/>
  <c r="J30" i="1" s="1"/>
  <c r="J6" i="2"/>
  <c r="K20" i="1" l="1"/>
  <c r="K24" i="1"/>
  <c r="J17" i="1"/>
  <c r="I17" i="1"/>
  <c r="H17" i="1"/>
  <c r="P13" i="1"/>
  <c r="H24" i="1" l="1"/>
  <c r="H20" i="1"/>
  <c r="H25" i="1" s="1"/>
  <c r="H26" i="1" s="1"/>
  <c r="I24" i="1"/>
  <c r="I20" i="1"/>
  <c r="I25" i="1" s="1"/>
  <c r="I26" i="1" s="1"/>
  <c r="J24" i="1"/>
  <c r="J20" i="1"/>
  <c r="J25" i="1" s="1"/>
  <c r="J26" i="1" s="1"/>
  <c r="K25" i="1"/>
  <c r="K26" i="1" s="1"/>
  <c r="P16" i="1"/>
  <c r="K27" i="1" l="1"/>
  <c r="K29" i="1"/>
  <c r="K31" i="1" s="1"/>
  <c r="K32" i="1" s="1"/>
  <c r="K33" i="1" s="1"/>
  <c r="K36" i="1" s="1"/>
  <c r="J29" i="1"/>
  <c r="J31" i="1" s="1"/>
  <c r="J32" i="1" s="1"/>
  <c r="J33" i="1" s="1"/>
  <c r="J36" i="1" s="1"/>
  <c r="J27" i="1"/>
  <c r="I29" i="1"/>
  <c r="I31" i="1" s="1"/>
  <c r="I32" i="1" s="1"/>
  <c r="I33" i="1" s="1"/>
  <c r="I36" i="1" s="1"/>
  <c r="I27" i="1"/>
  <c r="H29" i="1"/>
  <c r="H27" i="1"/>
  <c r="G17" i="1"/>
  <c r="I14" i="2"/>
  <c r="F13" i="2"/>
  <c r="G20" i="1" l="1"/>
  <c r="P14" i="1" s="1"/>
  <c r="L17" i="1"/>
  <c r="L20" i="1"/>
  <c r="G45" i="1"/>
  <c r="G46" i="1" l="1"/>
  <c r="G24" i="1"/>
  <c r="L24" i="1" s="1"/>
  <c r="L25" i="1" l="1"/>
  <c r="P15" i="1"/>
  <c r="G25" i="1"/>
  <c r="M10" i="6"/>
  <c r="I17" i="2"/>
  <c r="F17" i="2"/>
  <c r="I16" i="2"/>
  <c r="H16" i="2"/>
  <c r="F16" i="2"/>
  <c r="G15" i="2"/>
  <c r="J15" i="2" s="1"/>
  <c r="F14" i="2"/>
  <c r="J14" i="2" s="1"/>
  <c r="D13" i="2"/>
  <c r="J13" i="2" s="1"/>
  <c r="J16" i="2" l="1"/>
  <c r="J17" i="2"/>
  <c r="J18" i="2" s="1"/>
  <c r="K18" i="2" s="1"/>
  <c r="M8" i="6" l="1"/>
  <c r="B5" i="2" l="1"/>
  <c r="C3" i="2" s="1"/>
  <c r="B6" i="2"/>
  <c r="C6" i="2" l="1"/>
  <c r="D3" i="2"/>
  <c r="D6" i="2" l="1"/>
  <c r="E3" i="2"/>
  <c r="E6" i="2" l="1"/>
  <c r="F3" i="2"/>
  <c r="F6" i="2" l="1"/>
  <c r="G30" i="1" s="1"/>
  <c r="G3" i="2"/>
  <c r="G6" i="2" s="1"/>
  <c r="H30" i="1" s="1"/>
  <c r="H31" i="1" s="1"/>
  <c r="H32" i="1" s="1"/>
  <c r="H33" i="1" s="1"/>
  <c r="H36" i="1" s="1"/>
  <c r="K6" i="2" l="1"/>
  <c r="G28" i="1" l="1"/>
  <c r="M13" i="6" l="1"/>
  <c r="F36" i="1" l="1"/>
  <c r="F37" i="1" l="1"/>
  <c r="G26" i="1" l="1"/>
  <c r="G27" i="1" s="1"/>
  <c r="L26" i="1" l="1"/>
  <c r="G29" i="1"/>
  <c r="G31" i="1" s="1"/>
  <c r="L31" i="1" s="1"/>
  <c r="G44" i="1"/>
  <c r="L27" i="1" l="1"/>
  <c r="L29" i="1"/>
  <c r="G32" i="1"/>
  <c r="F41" i="1" l="1"/>
  <c r="M16" i="6" s="1"/>
  <c r="G33" i="1"/>
  <c r="G36" i="1" s="1"/>
  <c r="G37" i="1" s="1"/>
  <c r="L32" i="1"/>
  <c r="L33" i="1" s="1"/>
  <c r="H37" i="1" l="1"/>
  <c r="H38" i="1" s="1"/>
  <c r="G38" i="1"/>
  <c r="F42" i="1" s="1"/>
  <c r="L36" i="1"/>
  <c r="F39" i="1"/>
  <c r="F40" i="1"/>
  <c r="Q20" i="1"/>
  <c r="L30" i="1"/>
  <c r="I37" i="1" l="1"/>
  <c r="I38" i="1" s="1"/>
  <c r="M15" i="6"/>
  <c r="Q19" i="1"/>
  <c r="M14" i="6"/>
  <c r="Q18" i="1"/>
  <c r="Q21" i="1"/>
  <c r="J37" i="1" l="1"/>
  <c r="J38" i="1" s="1"/>
  <c r="M17" i="6"/>
  <c r="K37" i="1" l="1"/>
  <c r="K38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12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<sst xmlns="http://schemas.openxmlformats.org/spreadsheetml/2006/main" count="225" uniqueCount="184">
  <si>
    <t>General</t>
  </si>
  <si>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</si>
  <si>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</si>
  <si>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</si>
  <si>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</si>
  <si>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</si>
  <si>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</si>
  <si>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</si>
  <si>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</si>
  <si>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</si>
  <si>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</si>
  <si>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</si>
  <si>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</si>
  <si>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</si>
  <si>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</si>
  <si>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</si>
  <si>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</si>
  <si>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</si>
  <si>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</si>
  <si>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</si>
  <si>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</si>
  <si>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</si>
  <si>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</si>
  <si>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</si>
  <si>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</si>
  <si>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</si>
  <si>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</si>
  <si>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</si>
  <si>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</si>
  <si>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</si>
  <si>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</si>
  <si>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</si>
  <si>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</si>
  <si>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</si>
  <si>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</si>
  <si>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Y1</t>
  </si>
  <si>
    <t>Interest Rate</t>
  </si>
  <si>
    <t>Year 6</t>
  </si>
  <si>
    <t>Year 7</t>
  </si>
  <si>
    <t>Year 8</t>
  </si>
  <si>
    <t>Year 9</t>
  </si>
  <si>
    <t>Year 10</t>
  </si>
  <si>
    <t>Total CAPEX</t>
  </si>
  <si>
    <t>Net Income</t>
  </si>
  <si>
    <t xml:space="preserve"> </t>
  </si>
  <si>
    <t>loan</t>
  </si>
  <si>
    <t>Period  (thn)</t>
  </si>
  <si>
    <t>Installment/thn</t>
  </si>
  <si>
    <t>Interest</t>
  </si>
  <si>
    <t>Product :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</si>
  <si>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</si>
  <si>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</si>
  <si>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</si>
  <si>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</si>
  <si>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</si>
  <si>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</si>
  <si>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/antenna</t>
  </si>
  <si>
    <t>Address</t>
  </si>
  <si>
    <t>Antena PKS BM</t>
  </si>
  <si>
    <t>Contract Period (thn)</t>
  </si>
  <si>
    <t>Area building</t>
  </si>
  <si>
    <t>Antena Asset</t>
  </si>
  <si>
    <t>Type of building</t>
  </si>
  <si>
    <t>Jumlah Pole Makro</t>
  </si>
  <si>
    <t>Kurs 1USD</t>
  </si>
  <si>
    <t>Status</t>
  </si>
  <si>
    <t>OPENET</t>
  </si>
  <si>
    <t>Total floor</t>
  </si>
  <si>
    <t>Cable FO (Core)</t>
  </si>
  <si>
    <t>No of building tower</t>
  </si>
  <si>
    <t>Cable FO (meter)</t>
  </si>
  <si>
    <t>Total Revenue</t>
  </si>
  <si>
    <t>Drop Wire (meter)</t>
  </si>
  <si>
    <t>OTHERS</t>
  </si>
  <si>
    <t>Interest rate /year</t>
  </si>
  <si>
    <t>Payback (year)</t>
  </si>
  <si>
    <t>BTS</t>
  </si>
  <si>
    <t>Price Adjustment after 5 years</t>
  </si>
  <si>
    <t>Revenue</t>
  </si>
  <si>
    <t>Target Achieved by Commercial:</t>
  </si>
  <si>
    <t xml:space="preserve">Tanggal P&amp;L:  </t>
  </si>
  <si>
    <t>Prepared by</t>
  </si>
  <si>
    <t>Approved  by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</si>
  <si>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</si>
  <si>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</si>
  <si>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</si>
  <si>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</si>
  <si>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</si>
  <si>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</si>
  <si>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</si>
  <si>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</si>
  <si>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</si>
  <si>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</si>
  <si>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</si>
  <si>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</si>
  <si>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</si>
  <si>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</si>
  <si>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</si>
  <si>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</si>
  <si>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</si>
  <si>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</si>
  <si>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</si>
  <si>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</si>
  <si>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</si>
  <si>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</si>
  <si>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</si>
  <si>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</si>
  <si>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</si>
  <si>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</si>
  <si>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</si>
  <si>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</si>
  <si>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</si>
  <si>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</si>
  <si>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</si>
  <si>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</si>
  <si>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</si>
  <si>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</si>
  <si>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</si>
  <si>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</si>
  <si>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</si>
  <si>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</si>
  <si>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</si>
  <si>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 xml:space="preserve">: </t>
  </si>
  <si>
    <t>Monthly Charge</t>
  </si>
  <si>
    <t>Renewal</t>
  </si>
  <si>
    <t>renewal</t>
  </si>
  <si>
    <t>Total Revenues</t>
  </si>
  <si>
    <t>No</t>
  </si>
  <si>
    <t>Nama Bulan</t>
  </si>
  <si>
    <t xml:space="preserve">TOTAL </t>
  </si>
  <si>
    <t>Share to BM</t>
  </si>
  <si>
    <t>Jasa + ONT</t>
  </si>
  <si>
    <t>Opex</t>
  </si>
  <si>
    <t>Average price of subs</t>
  </si>
  <si>
    <t>Cash flow</t>
  </si>
  <si>
    <t>amount</t>
  </si>
  <si>
    <t>Desc</t>
  </si>
  <si>
    <t xml:space="preserve">Capex </t>
  </si>
  <si>
    <t>BV 28Feb 25</t>
  </si>
  <si>
    <t>Amount</t>
  </si>
  <si>
    <t>SUMMARY REVIEW</t>
  </si>
  <si>
    <t xml:space="preserve">Nama Site                          </t>
  </si>
  <si>
    <t>: Apartement Taman Melati Sinduadi</t>
  </si>
  <si>
    <t xml:space="preserve">Nama Pemilik      </t>
  </si>
  <si>
    <t>: PT. Adhi Persada Properti</t>
  </si>
  <si>
    <t xml:space="preserve">Alamat Pemilik      </t>
  </si>
  <si>
    <t>: Jl. Jembatan Baru UGM, Yogyakarta</t>
  </si>
  <si>
    <t xml:space="preserve">Telp                                            </t>
  </si>
  <si>
    <t xml:space="preserve">No. </t>
  </si>
  <si>
    <t>Keterangan</t>
  </si>
  <si>
    <t>Existing</t>
  </si>
  <si>
    <t>Scope Of Lease</t>
  </si>
  <si>
    <t>Opennet</t>
  </si>
  <si>
    <t>Periode Sewa</t>
  </si>
  <si>
    <t>1 Maret 2020 s/d 2 Maret 2025 (5 tahun)</t>
  </si>
  <si>
    <t>1 Maret 2025 s/d 2 Maret 2030 (5 tahun)</t>
  </si>
  <si>
    <t>Persentase Revshare IBS to BM</t>
  </si>
  <si>
    <t>Nama ISP Join</t>
  </si>
  <si>
    <t>SIMS</t>
  </si>
  <si>
    <t>Periode ISP Join</t>
  </si>
  <si>
    <t>10 Oktober 2019 s/d 9 Oktober 2024 (5 tahun)</t>
  </si>
  <si>
    <t>10 Oktober 2024 s/d 9 Oktober 2029 (5 tahun)</t>
  </si>
  <si>
    <t>Revenue ISP / tahun</t>
  </si>
  <si>
    <t>Jumlah Tenant ISP</t>
  </si>
  <si>
    <t>Persentase Revshare ISP</t>
  </si>
  <si>
    <t>IBS 40 % JMN 60 %</t>
  </si>
  <si>
    <t>OLT &amp; ONT</t>
  </si>
  <si>
    <t>OLT dari BM</t>
  </si>
  <si>
    <t>Year2</t>
  </si>
  <si>
    <t>Year3</t>
  </si>
  <si>
    <t>Year4</t>
  </si>
  <si>
    <t>60% Rev share to ITC</t>
  </si>
  <si>
    <t>Citra Kartika</t>
  </si>
  <si>
    <t>IBS / Openet</t>
  </si>
  <si>
    <t>Apartement Taman Melati Sinduadi</t>
  </si>
  <si>
    <t xml:space="preserve">Apartement </t>
  </si>
  <si>
    <t xml:space="preserve"> Jl. Jembatan Baru UGM</t>
  </si>
  <si>
    <t>Yogyakarta</t>
  </si>
  <si>
    <t>BHP</t>
  </si>
  <si>
    <t>from revenues</t>
  </si>
  <si>
    <t>Fixed operational cost</t>
  </si>
  <si>
    <t>Total BV 28Feb 25</t>
  </si>
  <si>
    <t>Total COGS Rent</t>
  </si>
  <si>
    <t>Total COGS 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</si>
</sst>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-* #,##0_-;\-* #,##0_-;_-* &quot;-&quot;_-;_-@_-"/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_(* #,##0_);_(* \(#,##0\);_(* &quot;-&quot;??_);_(@_)"/>
    <numFmt numFmtId="167" formatCode="_(* #,##0.0_);_(* \(#,##0.0\);_(* &quot;-&quot;??_);_(@_)"/>
    <numFmt numFmtId="168" formatCode="_-* #,##0.0_-;\-* #,##0.0_-;_-* &quot;-&quot;_-;_-@_-"/>
    <numFmt numFmtId="169" formatCode="_(&quot;Rp&quot;* #,##0_);_(&quot;Rp&quot;* \(#,##0\);_(&quot;Rp&quot;* &quot;-&quot;_);_(@_)"/>
    <numFmt numFmtId="170" formatCode="_(&quot;$&quot;* #,##0.00_);_(&quot;$&quot;* \(#,##0.00\);_(&quot;$&quot;* &quot;-&quot;??_);_(@_)"/>
    <numFmt numFmtId="171" formatCode="0.0%"/>
    <numFmt numFmtId="172" formatCode="&quot;Rp&quot;#,##0"/>
  </numFmts>
  <fonts count="3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sz val="12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8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00B0F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5">
    <xf numFmtId="0" fontId="0" fillId="0" borderId="0"/>
    <xf numFmtId="165" fontId="9" fillId="0" borderId="0" applyFont="0" applyFill="0" applyBorder="0" applyAlignment="0" applyProtection="0"/>
    <xf numFmtId="41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8" fillId="0" borderId="0"/>
    <xf numFmtId="0" fontId="24" fillId="0" borderId="0"/>
    <xf numFmtId="165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164" fontId="10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0" fillId="0" borderId="0"/>
    <xf numFmtId="165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30" fillId="0" borderId="0"/>
    <xf numFmtId="0" fontId="30" fillId="0" borderId="0"/>
    <xf numFmtId="165" fontId="30" fillId="0" borderId="0" applyFont="0" applyFill="0" applyBorder="0" applyAlignment="0" applyProtection="0"/>
    <xf numFmtId="169" fontId="4" fillId="0" borderId="0" applyFont="0" applyFill="0" applyBorder="0" applyAlignment="0" applyProtection="0"/>
    <xf numFmtId="0" fontId="4" fillId="0" borderId="0"/>
    <xf numFmtId="0" fontId="3" fillId="0" borderId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2" fillId="0" borderId="0" applyFont="0" applyFill="0" applyBorder="0" applyAlignment="0" applyProtection="0"/>
    <xf numFmtId="0" fontId="2" fillId="0" borderId="0"/>
    <xf numFmtId="16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4" fillId="0" borderId="0"/>
    <xf numFmtId="169" fontId="24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29">
    <xf numFmtId="0" fontId="0" fillId="0" borderId="0" xfId="0"/>
    <xf numFmtId="0" fontId="11" fillId="0" borderId="0" xfId="0" applyFont="1"/>
    <xf numFmtId="0" fontId="0" fillId="0" borderId="0" xfId="0" applyAlignment="1">
      <alignment vertical="center"/>
    </xf>
    <xf numFmtId="0" fontId="12" fillId="0" borderId="0" xfId="0" applyFont="1"/>
    <xf numFmtId="0" fontId="0" fillId="3" borderId="0" xfId="0" applyFill="1"/>
    <xf numFmtId="9" fontId="13" fillId="0" borderId="0" xfId="2" applyNumberFormat="1" applyFont="1"/>
    <xf numFmtId="10" fontId="13" fillId="0" borderId="0" xfId="2" applyNumberFormat="1" applyFont="1"/>
    <xf numFmtId="0" fontId="0" fillId="0" borderId="1" xfId="0" applyBorder="1"/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3" fillId="0" borderId="0" xfId="0" applyNumberFormat="1" applyFont="1" applyBorder="1"/>
    <xf numFmtId="0" fontId="11" fillId="0" borderId="1" xfId="0" applyFont="1" applyBorder="1"/>
    <xf numFmtId="41" fontId="0" fillId="0" borderId="0" xfId="0" applyNumberFormat="1" applyAlignment="1">
      <alignment vertical="center"/>
    </xf>
    <xf numFmtId="41" fontId="0" fillId="0" borderId="0" xfId="0" applyNumberForma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18" fillId="0" borderId="0" xfId="0" applyFont="1"/>
    <xf numFmtId="0" fontId="18" fillId="0" borderId="0" xfId="0" applyFont="1" applyAlignment="1">
      <alignment vertical="center"/>
    </xf>
    <xf numFmtId="41" fontId="0" fillId="0" borderId="2" xfId="2" applyFont="1" applyBorder="1" applyAlignment="1">
      <alignment vertical="center"/>
    </xf>
    <xf numFmtId="41" fontId="11" fillId="0" borderId="0" xfId="0" applyNumberFormat="1" applyFont="1" applyAlignment="1">
      <alignment vertical="center"/>
    </xf>
    <xf numFmtId="0" fontId="19" fillId="0" borderId="0" xfId="0" applyFont="1"/>
    <xf numFmtId="0" fontId="20" fillId="0" borderId="0" xfId="0" applyFont="1"/>
    <xf numFmtId="9" fontId="19" fillId="0" borderId="0" xfId="3" applyFont="1" applyAlignment="1">
      <alignment vertical="center"/>
    </xf>
    <xf numFmtId="0" fontId="0" fillId="0" borderId="0" xfId="0" applyFill="1" applyBorder="1"/>
    <xf numFmtId="38" fontId="14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6" fontId="17" fillId="0" borderId="0" xfId="1" applyNumberFormat="1" applyFont="1"/>
    <xf numFmtId="0" fontId="0" fillId="0" borderId="0" xfId="0" applyAlignment="1">
      <alignment horizontal="center"/>
    </xf>
    <xf numFmtId="0" fontId="21" fillId="0" borderId="0" xfId="0" applyFont="1"/>
    <xf numFmtId="0" fontId="21" fillId="0" borderId="0" xfId="0" applyFont="1" applyAlignment="1">
      <alignment horizontal="center" vertical="center"/>
    </xf>
    <xf numFmtId="166" fontId="0" fillId="0" borderId="0" xfId="0" applyNumberFormat="1" applyAlignment="1">
      <alignment vertical="center"/>
    </xf>
    <xf numFmtId="166" fontId="0" fillId="0" borderId="0" xfId="0" applyNumberFormat="1"/>
    <xf numFmtId="0" fontId="11" fillId="0" borderId="4" xfId="0" applyFont="1" applyBorder="1"/>
    <xf numFmtId="0" fontId="0" fillId="0" borderId="4" xfId="0" applyBorder="1"/>
    <xf numFmtId="166" fontId="11" fillId="0" borderId="4" xfId="0" applyNumberFormat="1" applyFont="1" applyBorder="1" applyAlignment="1">
      <alignment vertical="center"/>
    </xf>
    <xf numFmtId="0" fontId="0" fillId="0" borderId="0" xfId="0" applyBorder="1"/>
    <xf numFmtId="41" fontId="16" fillId="0" borderId="0" xfId="0" applyNumberFormat="1" applyFont="1" applyBorder="1"/>
    <xf numFmtId="41" fontId="15" fillId="0" borderId="0" xfId="0" applyNumberFormat="1" applyFont="1" applyBorder="1"/>
    <xf numFmtId="166" fontId="11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5" fontId="18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1" fillId="3" borderId="0" xfId="0" applyNumberFormat="1" applyFont="1" applyFill="1" applyBorder="1" applyAlignment="1">
      <alignment vertical="center"/>
    </xf>
    <xf numFmtId="0" fontId="11" fillId="3" borderId="0" xfId="0" applyFont="1" applyFill="1" applyBorder="1"/>
    <xf numFmtId="9" fontId="19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1" fillId="0" borderId="0" xfId="0" applyFont="1" applyBorder="1" applyAlignment="1">
      <alignment horizontal="center"/>
    </xf>
    <xf numFmtId="0" fontId="22" fillId="0" borderId="6" xfId="0" applyFont="1" applyBorder="1"/>
    <xf numFmtId="0" fontId="22" fillId="0" borderId="3" xfId="0" applyFont="1" applyBorder="1"/>
    <xf numFmtId="0" fontId="22" fillId="0" borderId="8" xfId="0" applyFont="1" applyBorder="1"/>
    <xf numFmtId="0" fontId="22" fillId="0" borderId="0" xfId="0" applyFont="1" applyBorder="1"/>
    <xf numFmtId="41" fontId="22" fillId="0" borderId="9" xfId="0" applyNumberFormat="1" applyFont="1" applyBorder="1"/>
    <xf numFmtId="9" fontId="22" fillId="0" borderId="9" xfId="3" applyFont="1" applyBorder="1"/>
    <xf numFmtId="0" fontId="22" fillId="0" borderId="10" xfId="0" applyFont="1" applyBorder="1"/>
    <xf numFmtId="0" fontId="22" fillId="0" borderId="2" xfId="0" applyFont="1" applyBorder="1"/>
    <xf numFmtId="167" fontId="22" fillId="0" borderId="11" xfId="1" applyNumberFormat="1" applyFont="1" applyBorder="1"/>
    <xf numFmtId="0" fontId="11" fillId="0" borderId="12" xfId="0" applyFont="1" applyBorder="1"/>
    <xf numFmtId="41" fontId="11" fillId="0" borderId="12" xfId="0" applyNumberFormat="1" applyFont="1" applyBorder="1" applyAlignment="1">
      <alignment vertical="center"/>
    </xf>
    <xf numFmtId="166" fontId="10" fillId="0" borderId="0" xfId="17" applyNumberFormat="1" applyFont="1"/>
    <xf numFmtId="41" fontId="10" fillId="0" borderId="0" xfId="2" applyFont="1" applyFill="1"/>
    <xf numFmtId="166" fontId="0" fillId="4" borderId="0" xfId="0" applyNumberFormat="1" applyFill="1" applyAlignment="1">
      <alignment vertical="center"/>
    </xf>
    <xf numFmtId="0" fontId="22" fillId="5" borderId="1" xfId="0" applyFont="1" applyFill="1" applyBorder="1" applyAlignment="1">
      <alignment horizontal="center"/>
    </xf>
    <xf numFmtId="0" fontId="14" fillId="5" borderId="0" xfId="0" applyFont="1" applyFill="1"/>
    <xf numFmtId="41" fontId="22" fillId="5" borderId="12" xfId="0" applyNumberFormat="1" applyFont="1" applyFill="1" applyBorder="1" applyAlignment="1">
      <alignment vertical="center"/>
    </xf>
    <xf numFmtId="165" fontId="23" fillId="5" borderId="0" xfId="1" applyFont="1" applyFill="1"/>
    <xf numFmtId="41" fontId="14" fillId="5" borderId="0" xfId="0" applyNumberFormat="1" applyFont="1" applyFill="1" applyBorder="1" applyAlignment="1">
      <alignment vertical="center"/>
    </xf>
    <xf numFmtId="41" fontId="11" fillId="5" borderId="0" xfId="0" applyNumberFormat="1" applyFont="1" applyFill="1" applyAlignment="1">
      <alignment vertical="center"/>
    </xf>
    <xf numFmtId="9" fontId="19" fillId="5" borderId="0" xfId="3" applyFont="1" applyFill="1" applyAlignment="1">
      <alignment vertical="center"/>
    </xf>
    <xf numFmtId="41" fontId="14" fillId="5" borderId="2" xfId="0" applyNumberFormat="1" applyFont="1" applyFill="1" applyBorder="1" applyAlignment="1">
      <alignment vertical="center"/>
    </xf>
    <xf numFmtId="38" fontId="0" fillId="5" borderId="0" xfId="0" applyNumberFormat="1" applyFill="1" applyAlignment="1">
      <alignment vertical="center"/>
    </xf>
    <xf numFmtId="41" fontId="0" fillId="5" borderId="2" xfId="2" applyFont="1" applyFill="1" applyBorder="1"/>
    <xf numFmtId="38" fontId="0" fillId="5" borderId="5" xfId="0" applyNumberFormat="1" applyFill="1" applyBorder="1" applyAlignment="1">
      <alignment vertical="center"/>
    </xf>
    <xf numFmtId="165" fontId="0" fillId="5" borderId="2" xfId="1" applyFont="1" applyFill="1" applyBorder="1"/>
    <xf numFmtId="38" fontId="0" fillId="5" borderId="0" xfId="0" applyNumberFormat="1" applyFill="1"/>
    <xf numFmtId="166" fontId="17" fillId="5" borderId="0" xfId="1" applyNumberFormat="1" applyFont="1" applyFill="1"/>
    <xf numFmtId="0" fontId="14" fillId="0" borderId="0" xfId="0" applyFont="1"/>
    <xf numFmtId="41" fontId="22" fillId="0" borderId="4" xfId="0" applyNumberFormat="1" applyFont="1" applyBorder="1"/>
    <xf numFmtId="41" fontId="22" fillId="0" borderId="0" xfId="0" applyNumberFormat="1" applyFont="1" applyBorder="1"/>
    <xf numFmtId="41" fontId="25" fillId="0" borderId="0" xfId="0" applyNumberFormat="1" applyFont="1" applyBorder="1"/>
    <xf numFmtId="41" fontId="11" fillId="5" borderId="12" xfId="0" applyNumberFormat="1" applyFont="1" applyFill="1" applyBorder="1" applyAlignment="1">
      <alignment vertical="center"/>
    </xf>
    <xf numFmtId="41" fontId="22" fillId="0" borderId="0" xfId="0" applyNumberFormat="1" applyFont="1" applyFill="1" applyBorder="1"/>
    <xf numFmtId="41" fontId="22" fillId="0" borderId="0" xfId="0" applyNumberFormat="1" applyFont="1"/>
    <xf numFmtId="0" fontId="22" fillId="0" borderId="0" xfId="0" applyFont="1"/>
    <xf numFmtId="41" fontId="0" fillId="5" borderId="0" xfId="2" applyFont="1" applyFill="1" applyBorder="1"/>
    <xf numFmtId="9" fontId="22" fillId="0" borderId="7" xfId="0" applyNumberFormat="1" applyFont="1" applyBorder="1"/>
    <xf numFmtId="41" fontId="0" fillId="0" borderId="0" xfId="2" applyFont="1"/>
    <xf numFmtId="0" fontId="0" fillId="0" borderId="0" xfId="0" applyFont="1"/>
    <xf numFmtId="0" fontId="11" fillId="0" borderId="0" xfId="0" applyFont="1" applyBorder="1"/>
    <xf numFmtId="0" fontId="27" fillId="0" borderId="0" xfId="0" applyFont="1"/>
    <xf numFmtId="0" fontId="0" fillId="0" borderId="0" xfId="0" applyFont="1" applyBorder="1"/>
    <xf numFmtId="0" fontId="26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1" fillId="0" borderId="19" xfId="2" applyNumberFormat="1" applyFont="1" applyBorder="1"/>
    <xf numFmtId="9" fontId="11" fillId="0" borderId="18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0" fillId="0" borderId="1" xfId="0" applyFont="1" applyBorder="1" applyAlignment="1">
      <alignment horizontal="left" indent="1"/>
    </xf>
    <xf numFmtId="41" fontId="0" fillId="0" borderId="0" xfId="0" quotePrefix="1" applyNumberFormat="1" applyAlignment="1">
      <alignment vertical="center"/>
    </xf>
    <xf numFmtId="0" fontId="11" fillId="0" borderId="16" xfId="0" applyFont="1" applyBorder="1"/>
    <xf numFmtId="0" fontId="0" fillId="0" borderId="17" xfId="0" applyFont="1" applyBorder="1"/>
    <xf numFmtId="0" fontId="0" fillId="0" borderId="19" xfId="0" applyFont="1" applyBorder="1"/>
    <xf numFmtId="43" fontId="0" fillId="0" borderId="0" xfId="0" applyNumberFormat="1"/>
    <xf numFmtId="0" fontId="11" fillId="0" borderId="16" xfId="0" applyFont="1" applyBorder="1" applyAlignment="1">
      <alignment horizontal="left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11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26" fillId="0" borderId="0" xfId="0" applyFont="1" applyBorder="1" applyAlignment="1"/>
    <xf numFmtId="14" fontId="26" fillId="0" borderId="0" xfId="0" applyNumberFormat="1" applyFont="1" applyBorder="1" applyAlignment="1"/>
    <xf numFmtId="41" fontId="0" fillId="0" borderId="0" xfId="2" applyFont="1" applyBorder="1"/>
    <xf numFmtId="0" fontId="0" fillId="0" borderId="18" xfId="0" applyFont="1" applyBorder="1" applyAlignment="1">
      <alignment horizontal="left" vertical="justify" wrapText="1"/>
    </xf>
    <xf numFmtId="166" fontId="0" fillId="0" borderId="0" xfId="19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6" fontId="0" fillId="0" borderId="0" xfId="19" applyNumberFormat="1" applyFont="1" applyFill="1" applyBorder="1" applyAlignment="1" applyProtection="1">
      <alignment horizontal="center"/>
      <protection locked="0"/>
    </xf>
    <xf numFmtId="166" fontId="0" fillId="0" borderId="0" xfId="19" applyNumberFormat="1" applyFont="1" applyBorder="1"/>
    <xf numFmtId="0" fontId="11" fillId="0" borderId="23" xfId="0" applyFont="1" applyBorder="1" applyAlignment="1">
      <alignment horizontal="left"/>
    </xf>
    <xf numFmtId="0" fontId="0" fillId="0" borderId="23" xfId="0" applyFont="1" applyBorder="1"/>
    <xf numFmtId="0" fontId="11" fillId="0" borderId="17" xfId="0" applyFont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6" fontId="0" fillId="7" borderId="24" xfId="0" applyNumberFormat="1" applyFill="1" applyBorder="1"/>
    <xf numFmtId="166" fontId="0" fillId="0" borderId="24" xfId="0" applyNumberFormat="1" applyBorder="1" applyAlignment="1">
      <alignment horizontal="center"/>
    </xf>
    <xf numFmtId="166" fontId="0" fillId="0" borderId="24" xfId="1" applyNumberFormat="1" applyFont="1" applyBorder="1"/>
    <xf numFmtId="166" fontId="0" fillId="0" borderId="24" xfId="0" applyNumberFormat="1" applyBorder="1"/>
    <xf numFmtId="166" fontId="0" fillId="8" borderId="24" xfId="1" applyNumberFormat="1" applyFont="1" applyFill="1" applyBorder="1"/>
    <xf numFmtId="41" fontId="11" fillId="0" borderId="18" xfId="2" applyFont="1" applyBorder="1"/>
    <xf numFmtId="168" fontId="11" fillId="0" borderId="22" xfId="2" applyNumberFormat="1" applyFont="1" applyBorder="1"/>
    <xf numFmtId="41" fontId="14" fillId="0" borderId="0" xfId="2" applyFont="1" applyAlignment="1">
      <alignment vertical="center"/>
    </xf>
    <xf numFmtId="41" fontId="13" fillId="0" borderId="0" xfId="2" applyFont="1"/>
    <xf numFmtId="0" fontId="32" fillId="0" borderId="31" xfId="0" applyFont="1" applyBorder="1" applyAlignment="1">
      <alignment vertical="center"/>
    </xf>
    <xf numFmtId="0" fontId="32" fillId="0" borderId="22" xfId="0" applyFont="1" applyBorder="1" applyAlignment="1">
      <alignment vertical="center"/>
    </xf>
    <xf numFmtId="0" fontId="32" fillId="0" borderId="31" xfId="0" applyFont="1" applyBorder="1" applyAlignment="1">
      <alignment horizontal="right" vertical="center"/>
    </xf>
    <xf numFmtId="17" fontId="32" fillId="0" borderId="22" xfId="0" applyNumberFormat="1" applyFont="1" applyBorder="1" applyAlignment="1">
      <alignment vertical="center"/>
    </xf>
    <xf numFmtId="0" fontId="0" fillId="0" borderId="20" xfId="0" applyBorder="1"/>
    <xf numFmtId="0" fontId="0" fillId="0" borderId="21" xfId="0" applyBorder="1"/>
    <xf numFmtId="0" fontId="11" fillId="0" borderId="13" xfId="0" applyFont="1" applyBorder="1" applyAlignment="1">
      <alignment horizontal="center"/>
    </xf>
    <xf numFmtId="0" fontId="11" fillId="0" borderId="15" xfId="0" applyFont="1" applyBorder="1" applyAlignment="1">
      <alignment horizontal="center"/>
    </xf>
    <xf numFmtId="41" fontId="0" fillId="0" borderId="29" xfId="2" applyFont="1" applyBorder="1"/>
    <xf numFmtId="41" fontId="0" fillId="0" borderId="23" xfId="2" applyFont="1" applyBorder="1"/>
    <xf numFmtId="41" fontId="0" fillId="0" borderId="31" xfId="0" applyNumberFormat="1" applyBorder="1"/>
    <xf numFmtId="0" fontId="0" fillId="0" borderId="18" xfId="0" applyBorder="1" applyAlignment="1">
      <alignment horizontal="center"/>
    </xf>
    <xf numFmtId="0" fontId="0" fillId="0" borderId="22" xfId="0" applyBorder="1" applyAlignment="1">
      <alignment horizontal="center"/>
    </xf>
    <xf numFmtId="0" fontId="11" fillId="0" borderId="33" xfId="0" applyFont="1" applyBorder="1" applyAlignment="1">
      <alignment horizontal="center"/>
    </xf>
    <xf numFmtId="171" fontId="0" fillId="3" borderId="19" xfId="3" applyNumberFormat="1" applyFont="1" applyFill="1" applyBorder="1"/>
    <xf numFmtId="41" fontId="0" fillId="3" borderId="18" xfId="2" applyFont="1" applyFill="1" applyBorder="1"/>
    <xf numFmtId="171" fontId="0" fillId="3" borderId="18" xfId="3" applyNumberFormat="1" applyFont="1" applyFill="1" applyBorder="1"/>
    <xf numFmtId="168" fontId="0" fillId="3" borderId="22" xfId="2" applyNumberFormat="1" applyFont="1" applyFill="1" applyBorder="1"/>
    <xf numFmtId="9" fontId="0" fillId="0" borderId="0" xfId="3" applyFont="1" applyAlignment="1">
      <alignment vertical="center"/>
    </xf>
    <xf numFmtId="0" fontId="31" fillId="9" borderId="1" xfId="0" applyFont="1" applyFill="1" applyBorder="1" applyAlignment="1">
      <alignment horizontal="center" vertical="center"/>
    </xf>
    <xf numFmtId="41" fontId="32" fillId="0" borderId="22" xfId="2" applyFont="1" applyBorder="1" applyAlignment="1">
      <alignment vertical="center"/>
    </xf>
    <xf numFmtId="9" fontId="0" fillId="0" borderId="0" xfId="3" applyFont="1"/>
    <xf numFmtId="41" fontId="18" fillId="0" borderId="0" xfId="0" applyNumberFormat="1" applyFont="1" applyAlignment="1">
      <alignment vertical="center"/>
    </xf>
    <xf numFmtId="0" fontId="24" fillId="0" borderId="0" xfId="32" applyFont="1"/>
    <xf numFmtId="0" fontId="33" fillId="0" borderId="0" xfId="32" applyFont="1" applyAlignment="1">
      <alignment horizontal="center"/>
    </xf>
    <xf numFmtId="0" fontId="34" fillId="0" borderId="0" xfId="32" applyFont="1" applyAlignment="1">
      <alignment horizontal="left" vertical="top"/>
    </xf>
    <xf numFmtId="0" fontId="34" fillId="0" borderId="0" xfId="32" applyFont="1"/>
    <xf numFmtId="0" fontId="24" fillId="0" borderId="24" xfId="32" applyFont="1" applyBorder="1" applyAlignment="1">
      <alignment horizontal="center" vertical="center"/>
    </xf>
    <xf numFmtId="0" fontId="24" fillId="0" borderId="24" xfId="32" applyFont="1" applyBorder="1"/>
    <xf numFmtId="0" fontId="0" fillId="0" borderId="24" xfId="32" applyFont="1" applyBorder="1"/>
    <xf numFmtId="9" fontId="0" fillId="0" borderId="24" xfId="33" applyNumberFormat="1" applyFont="1" applyBorder="1" applyAlignment="1">
      <alignment horizontal="left"/>
    </xf>
    <xf numFmtId="169" fontId="0" fillId="0" borderId="24" xfId="33" applyFont="1" applyBorder="1" applyAlignment="1">
      <alignment horizontal="left"/>
    </xf>
    <xf numFmtId="172" fontId="0" fillId="0" borderId="24" xfId="34" applyNumberFormat="1" applyFont="1" applyBorder="1" applyAlignment="1">
      <alignment horizontal="left"/>
    </xf>
    <xf numFmtId="0" fontId="24" fillId="0" borderId="24" xfId="32" applyFont="1" applyFill="1" applyBorder="1"/>
    <xf numFmtId="0" fontId="0" fillId="0" borderId="24" xfId="32" applyFont="1" applyBorder="1" applyAlignment="1">
      <alignment horizontal="left"/>
    </xf>
    <xf numFmtId="0" fontId="11" fillId="0" borderId="20" xfId="0" applyFont="1" applyFill="1" applyBorder="1" applyAlignment="1" applyProtection="1">
      <alignment horizontal="left" indent="1"/>
    </xf>
    <xf numFmtId="0" fontId="11" fillId="0" borderId="0" xfId="0" applyFont="1" applyFill="1" applyBorder="1" applyAlignment="1" applyProtection="1">
      <alignment horizontal="left" indent="1"/>
    </xf>
    <xf numFmtId="0" fontId="11" fillId="0" borderId="21" xfId="0" applyFont="1" applyFill="1" applyBorder="1" applyAlignment="1" applyProtection="1">
      <alignment horizontal="left" indent="1"/>
    </xf>
    <xf numFmtId="0" fontId="11" fillId="0" borderId="1" xfId="0" applyFont="1" applyFill="1" applyBorder="1" applyAlignment="1" applyProtection="1">
      <alignment horizontal="left" indent="1"/>
    </xf>
    <xf numFmtId="0" fontId="11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11" fillId="0" borderId="0" xfId="0" applyFont="1" applyBorder="1" applyAlignment="1">
      <alignment horizontal="left"/>
    </xf>
    <xf numFmtId="0" fontId="11" fillId="0" borderId="16" xfId="0" applyFont="1" applyFill="1" applyBorder="1" applyAlignment="1" applyProtection="1">
      <alignment horizontal="left" indent="1"/>
    </xf>
    <xf numFmtId="0" fontId="11" fillId="0" borderId="17" xfId="0" applyFont="1" applyFill="1" applyBorder="1" applyAlignment="1" applyProtection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26" fillId="0" borderId="13" xfId="0" applyFont="1" applyBorder="1" applyAlignment="1">
      <alignment horizontal="center"/>
    </xf>
    <xf numFmtId="0" fontId="26" fillId="0" borderId="14" xfId="0" applyFont="1" applyBorder="1" applyAlignment="1">
      <alignment horizontal="center"/>
    </xf>
    <xf numFmtId="0" fontId="26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1" fillId="0" borderId="17" xfId="0" applyFont="1" applyBorder="1" applyAlignment="1">
      <alignment horizontal="left"/>
    </xf>
    <xf numFmtId="0" fontId="0" fillId="3" borderId="20" xfId="0" applyFont="1" applyFill="1" applyBorder="1" applyAlignment="1">
      <alignment horizontal="center"/>
    </xf>
    <xf numFmtId="0" fontId="0" fillId="3" borderId="0" xfId="0" applyFont="1" applyFill="1" applyBorder="1" applyAlignment="1">
      <alignment horizontal="center"/>
    </xf>
    <xf numFmtId="0" fontId="0" fillId="3" borderId="2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41" fontId="11" fillId="0" borderId="12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0" fillId="0" borderId="20" xfId="0" applyBorder="1" applyAlignment="1">
      <alignment horizontal="left" vertical="center"/>
    </xf>
    <xf numFmtId="0" fontId="0" fillId="3" borderId="16" xfId="0" applyFont="1" applyFill="1" applyBorder="1" applyAlignment="1">
      <alignment horizontal="center"/>
    </xf>
    <xf numFmtId="0" fontId="0" fillId="3" borderId="17" xfId="0" applyFont="1" applyFill="1" applyBorder="1" applyAlignment="1">
      <alignment horizontal="center"/>
    </xf>
    <xf numFmtId="0" fontId="31" fillId="9" borderId="29" xfId="0" applyFont="1" applyFill="1" applyBorder="1" applyAlignment="1">
      <alignment horizontal="center" vertical="center"/>
    </xf>
    <xf numFmtId="0" fontId="31" fillId="9" borderId="30" xfId="0" applyFont="1" applyFill="1" applyBorder="1" applyAlignment="1">
      <alignment horizontal="center" vertical="center"/>
    </xf>
    <xf numFmtId="0" fontId="31" fillId="9" borderId="13" xfId="0" applyFont="1" applyFill="1" applyBorder="1" applyAlignment="1">
      <alignment horizontal="center" vertical="center"/>
    </xf>
    <xf numFmtId="0" fontId="31" fillId="9" borderId="32" xfId="0" applyFont="1" applyFill="1" applyBorder="1" applyAlignment="1">
      <alignment horizontal="center" vertical="center"/>
    </xf>
    <xf numFmtId="0" fontId="35" fillId="10" borderId="24" xfId="32" applyFont="1" applyFill="1" applyBorder="1" applyAlignment="1">
      <alignment horizontal="center" vertical="center"/>
    </xf>
    <xf numFmtId="0" fontId="36" fillId="10" borderId="26" xfId="32" applyFont="1" applyFill="1" applyBorder="1" applyAlignment="1">
      <alignment horizontal="center" vertical="center"/>
    </xf>
    <xf numFmtId="0" fontId="36" fillId="10" borderId="28" xfId="32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7" fillId="0" borderId="0" xfId="13"/>
    <xf numFmtId="0" fontId="11" fillId="0" borderId="0" xfId="13" applyFont="1"/>
    <xf numFmtId="0" fontId="10" fillId="0" borderId="0" xfId="17"/>
    <xf numFmtId="9" fontId="0" fillId="0" borderId="0" xfId="0" applyNumberFormat="1"/>
    <xf numFmtId="10" fontId="0" fillId="0" borderId="0" xfId="0" applyNumberFormat="1"/>
    <xf numFmtId="41" fontId="0" fillId="0" borderId="0" xfId="0" applyNumberFormat="1" applyFont="1"/>
  </cellXfs>
  <cellStyles count="35">
    <cellStyle name="Comma" xfId="1" builtinId="3"/>
    <cellStyle name="Comma [0]" xfId="2" builtinId="6"/>
    <cellStyle name="Comma [0] 2" xfId="9" xr:uid="{00000000-0005-0000-0000-000002000000}"/>
    <cellStyle name="Comma [0] 3" xfId="31" xr:uid="{00000000-0005-0000-0000-000003000000}"/>
    <cellStyle name="Comma [0] 4" xfId="34" xr:uid="{3040434A-A10E-4154-ACFA-8D21DC82CDAA}"/>
    <cellStyle name="Comma 2" xfId="7" xr:uid="{00000000-0005-0000-0000-000004000000}"/>
    <cellStyle name="Comma 2 3" xfId="22" xr:uid="{00000000-0005-0000-0000-000005000000}"/>
    <cellStyle name="Comma 3" xfId="10" xr:uid="{00000000-0005-0000-0000-000006000000}"/>
    <cellStyle name="Comma 3 2" xfId="11" xr:uid="{00000000-0005-0000-0000-000007000000}"/>
    <cellStyle name="Comma 4" xfId="12" xr:uid="{00000000-0005-0000-0000-000008000000}"/>
    <cellStyle name="Comma 5" xfId="18" xr:uid="{00000000-0005-0000-0000-000009000000}"/>
    <cellStyle name="Comma 5 2" xfId="19" xr:uid="{00000000-0005-0000-0000-00000A000000}"/>
    <cellStyle name="Currency [0] 2" xfId="23" xr:uid="{00000000-0005-0000-0000-00000B000000}"/>
    <cellStyle name="Currency [0] 2 2" xfId="33" xr:uid="{43817D0E-3C73-45FA-A8FD-9451697B7D94}"/>
    <cellStyle name="Currency [0] 3" xfId="27" xr:uid="{00000000-0005-0000-0000-00000C000000}"/>
    <cellStyle name="Currency [0] 4" xfId="30" xr:uid="{00000000-0005-0000-0000-00000D000000}"/>
    <cellStyle name="Currency 2" xfId="26" xr:uid="{00000000-0005-0000-0000-00000E000000}"/>
    <cellStyle name="Currency 3" xfId="28" xr:uid="{00000000-0005-0000-0000-00000F000000}"/>
    <cellStyle name="Normal" xfId="0" builtinId="0"/>
    <cellStyle name="Normal 2" xfId="5" xr:uid="{00000000-0005-0000-0000-000011000000}"/>
    <cellStyle name="Normal 2 2" xfId="6" xr:uid="{00000000-0005-0000-0000-000012000000}"/>
    <cellStyle name="Normal 2 2 2 2 3" xfId="17" xr:uid="{00000000-0005-0000-0000-000013000000}"/>
    <cellStyle name="Normal 2 7" xfId="20" xr:uid="{00000000-0005-0000-0000-000014000000}"/>
    <cellStyle name="Normal 3" xfId="13" xr:uid="{00000000-0005-0000-0000-000015000000}"/>
    <cellStyle name="Normal 3 2" xfId="14" xr:uid="{00000000-0005-0000-0000-000016000000}"/>
    <cellStyle name="Normal 3 3" xfId="21" xr:uid="{00000000-0005-0000-0000-000017000000}"/>
    <cellStyle name="Normal 4" xfId="24" xr:uid="{00000000-0005-0000-0000-000018000000}"/>
    <cellStyle name="Normal 5" xfId="25" xr:uid="{00000000-0005-0000-0000-000019000000}"/>
    <cellStyle name="Normal 6" xfId="29" xr:uid="{00000000-0005-0000-0000-00001A000000}"/>
    <cellStyle name="Normal 7" xfId="32" xr:uid="{921BC7D5-6068-4B2B-B126-A6FE82464466}"/>
    <cellStyle name="Percent" xfId="3" builtinId="5"/>
    <cellStyle name="Percent 2" xfId="8" xr:uid="{00000000-0005-0000-0000-00001C000000}"/>
    <cellStyle name="Percent 2 2" xfId="4" xr:uid="{00000000-0005-0000-0000-00001D000000}"/>
    <cellStyle name="Percent 3" xfId="15" xr:uid="{00000000-0005-0000-0000-00001E000000}"/>
    <cellStyle name="Percent 3 2" xfId="16" xr:uid="{00000000-0005-0000-0000-00001F000000}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23</xdr:row>
      <xdr:rowOff>79365</xdr:rowOff>
    </xdr:from>
    <xdr:to>
      <xdr:col>12</xdr:col>
      <xdr:colOff>791094</xdr:colOff>
      <xdr:row>23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2F0916B7-1815-47AF-8F4E-CF6613B02838}"/>
            </a:ext>
          </a:extLst>
        </xdr:cNvPr>
        <xdr:cNvCxnSpPr/>
      </xdr:nvCxnSpPr>
      <xdr:spPr>
        <a:xfrm flipV="1">
          <a:off x="6924686" y="467041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26</xdr:row>
      <xdr:rowOff>20069</xdr:rowOff>
    </xdr:from>
    <xdr:to>
      <xdr:col>12</xdr:col>
      <xdr:colOff>1208314</xdr:colOff>
      <xdr:row>26</xdr:row>
      <xdr:rowOff>185057</xdr:rowOff>
    </xdr:to>
    <xdr:grpSp>
      <xdr:nvGrpSpPr>
        <xdr:cNvPr id="17" name="Group 16">
          <a:extLst>
            <a:ext uri="{FF2B5EF4-FFF2-40B4-BE49-F238E27FC236}">
              <a16:creationId xmlns:a16="http://schemas.microsoft.com/office/drawing/2014/main" id="{A0E06204-05F9-4AC5-BCA6-153C2B4F1A63}"/>
            </a:ext>
          </a:extLst>
        </xdr:cNvPr>
        <xdr:cNvGrpSpPr/>
      </xdr:nvGrpSpPr>
      <xdr:grpSpPr>
        <a:xfrm>
          <a:off x="611415" y="5045640"/>
          <a:ext cx="8833756" cy="164988"/>
          <a:chOff x="570986" y="5042917"/>
          <a:chExt cx="14774690" cy="343744"/>
        </a:xfrm>
      </xdr:grpSpPr>
      <xdr:sp macro="" textlink="">
        <xdr:nvSpPr>
          <xdr:cNvPr id="18" name="TextBox 17">
            <a:extLst>
              <a:ext uri="{FF2B5EF4-FFF2-40B4-BE49-F238E27FC236}">
                <a16:creationId xmlns:a16="http://schemas.microsoft.com/office/drawing/2014/main" id="{F15AEF08-226E-464A-A744-3BFC7F7BE8BD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19" name="TextBox 18">
            <a:extLst>
              <a:ext uri="{FF2B5EF4-FFF2-40B4-BE49-F238E27FC236}">
                <a16:creationId xmlns:a16="http://schemas.microsoft.com/office/drawing/2014/main" id="{C830347B-0308-4B35-B56A-1031BD5CA092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20" name="TextBox 19">
            <a:extLst>
              <a:ext uri="{FF2B5EF4-FFF2-40B4-BE49-F238E27FC236}">
                <a16:creationId xmlns:a16="http://schemas.microsoft.com/office/drawing/2014/main" id="{3A2635AE-9E87-42D0-9ADA-5E612F151E72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21" name="TextBox 20">
            <a:extLst>
              <a:ext uri="{FF2B5EF4-FFF2-40B4-BE49-F238E27FC236}">
                <a16:creationId xmlns:a16="http://schemas.microsoft.com/office/drawing/2014/main" id="{F2FD207E-0F76-4E67-97ED-58EDB2013FA0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22" name="TextBox 21">
            <a:extLst>
              <a:ext uri="{FF2B5EF4-FFF2-40B4-BE49-F238E27FC236}">
                <a16:creationId xmlns:a16="http://schemas.microsoft.com/office/drawing/2014/main" id="{F98C6B37-E1E9-447D-9C4B-AD6507D1102B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23" name="TextBox 22">
            <a:extLst>
              <a:ext uri="{FF2B5EF4-FFF2-40B4-BE49-F238E27FC236}">
                <a16:creationId xmlns:a16="http://schemas.microsoft.com/office/drawing/2014/main" id="{DA76572D-F76A-4DDA-AAD5-2FE8B36AA340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76201</xdr:colOff>
      <xdr:row>26</xdr:row>
      <xdr:rowOff>20069</xdr:rowOff>
    </xdr:from>
    <xdr:to>
      <xdr:col>12</xdr:col>
      <xdr:colOff>1208314</xdr:colOff>
      <xdr:row>26</xdr:row>
      <xdr:rowOff>185057</xdr:rowOff>
    </xdr:to>
    <xdr:grpSp>
      <xdr:nvGrpSpPr>
        <xdr:cNvPr id="31" name="Group 30">
          <a:extLst>
            <a:ext uri="{FF2B5EF4-FFF2-40B4-BE49-F238E27FC236}">
              <a16:creationId xmlns:a16="http://schemas.microsoft.com/office/drawing/2014/main" id="{7923E6C7-DBEC-4362-8E94-5BFB7B8DEAC3}"/>
            </a:ext>
          </a:extLst>
        </xdr:cNvPr>
        <xdr:cNvGrpSpPr/>
      </xdr:nvGrpSpPr>
      <xdr:grpSpPr>
        <a:xfrm>
          <a:off x="611415" y="5045640"/>
          <a:ext cx="8833756" cy="164988"/>
          <a:chOff x="570986" y="5042917"/>
          <a:chExt cx="14774690" cy="343744"/>
        </a:xfrm>
      </xdr:grpSpPr>
      <xdr:sp macro="" textlink="">
        <xdr:nvSpPr>
          <xdr:cNvPr id="32" name="TextBox 31">
            <a:extLst>
              <a:ext uri="{FF2B5EF4-FFF2-40B4-BE49-F238E27FC236}">
                <a16:creationId xmlns:a16="http://schemas.microsoft.com/office/drawing/2014/main" id="{AC2646C7-F1C5-40A1-B14B-F42831637987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33" name="TextBox 32">
            <a:extLst>
              <a:ext uri="{FF2B5EF4-FFF2-40B4-BE49-F238E27FC236}">
                <a16:creationId xmlns:a16="http://schemas.microsoft.com/office/drawing/2014/main" id="{C9717D48-C6D0-4915-8FED-87BFCB41FBB5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34" name="TextBox 33">
            <a:extLst>
              <a:ext uri="{FF2B5EF4-FFF2-40B4-BE49-F238E27FC236}">
                <a16:creationId xmlns:a16="http://schemas.microsoft.com/office/drawing/2014/main" id="{B9DDAC15-80C6-40E8-B278-2A0614DD937C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35" name="TextBox 34">
            <a:extLst>
              <a:ext uri="{FF2B5EF4-FFF2-40B4-BE49-F238E27FC236}">
                <a16:creationId xmlns:a16="http://schemas.microsoft.com/office/drawing/2014/main" id="{8B28EB1E-FE87-4526-B28F-ABD8193E4E22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36" name="TextBox 35">
            <a:extLst>
              <a:ext uri="{FF2B5EF4-FFF2-40B4-BE49-F238E27FC236}">
                <a16:creationId xmlns:a16="http://schemas.microsoft.com/office/drawing/2014/main" id="{DB99C3B9-7199-4AB3-BE7C-11ED54E33F91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37" name="TextBox 36">
            <a:extLst>
              <a:ext uri="{FF2B5EF4-FFF2-40B4-BE49-F238E27FC236}">
                <a16:creationId xmlns:a16="http://schemas.microsoft.com/office/drawing/2014/main" id="{D217C271-3AF5-4C54-8E14-85F75B3B9D3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32</xdr:row>
      <xdr:rowOff>104251</xdr:rowOff>
    </xdr:from>
    <xdr:to>
      <xdr:col>13</xdr:col>
      <xdr:colOff>156845</xdr:colOff>
      <xdr:row>33</xdr:row>
      <xdr:rowOff>79374</xdr:rowOff>
    </xdr:to>
    <xdr:grpSp>
      <xdr:nvGrpSpPr>
        <xdr:cNvPr id="38" name="Group 37">
          <a:extLst>
            <a:ext uri="{FF2B5EF4-FFF2-40B4-BE49-F238E27FC236}">
              <a16:creationId xmlns:a16="http://schemas.microsoft.com/office/drawing/2014/main" id="{CBED36BA-B673-47FB-8496-7DF56C29EEC3}"/>
            </a:ext>
          </a:extLst>
        </xdr:cNvPr>
        <xdr:cNvGrpSpPr/>
      </xdr:nvGrpSpPr>
      <xdr:grpSpPr>
        <a:xfrm>
          <a:off x="623161" y="6327251"/>
          <a:ext cx="9031470" cy="174694"/>
          <a:chOff x="722947" y="7327377"/>
          <a:chExt cx="10285884" cy="0"/>
        </a:xfrm>
      </xdr:grpSpPr>
      <xdr:cxnSp macro="">
        <xdr:nvCxnSpPr>
          <xdr:cNvPr id="39" name="Straight Connector 38">
            <a:extLst>
              <a:ext uri="{FF2B5EF4-FFF2-40B4-BE49-F238E27FC236}">
                <a16:creationId xmlns:a16="http://schemas.microsoft.com/office/drawing/2014/main" id="{82FFAE22-5EB8-4CD5-8434-BB05E0B438AF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0" name="Straight Connector 39">
            <a:extLst>
              <a:ext uri="{FF2B5EF4-FFF2-40B4-BE49-F238E27FC236}">
                <a16:creationId xmlns:a16="http://schemas.microsoft.com/office/drawing/2014/main" id="{46461347-19DD-45F7-A227-78B34A58710E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1" name="Straight Connector 40">
            <a:extLst>
              <a:ext uri="{FF2B5EF4-FFF2-40B4-BE49-F238E27FC236}">
                <a16:creationId xmlns:a16="http://schemas.microsoft.com/office/drawing/2014/main" id="{495BCF46-04A4-440E-AE02-C925EA34F7C5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2" name="Straight Connector 41">
            <a:extLst>
              <a:ext uri="{FF2B5EF4-FFF2-40B4-BE49-F238E27FC236}">
                <a16:creationId xmlns:a16="http://schemas.microsoft.com/office/drawing/2014/main" id="{70182A0A-0E03-49ED-8F18-94543239CCC8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3" name="Straight Connector 42">
            <a:extLst>
              <a:ext uri="{FF2B5EF4-FFF2-40B4-BE49-F238E27FC236}">
                <a16:creationId xmlns:a16="http://schemas.microsoft.com/office/drawing/2014/main" id="{507B1064-C574-402D-BF1B-470D6D76D2D7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4" name="Straight Connector 43">
            <a:extLst>
              <a:ext uri="{FF2B5EF4-FFF2-40B4-BE49-F238E27FC236}">
                <a16:creationId xmlns:a16="http://schemas.microsoft.com/office/drawing/2014/main" id="{3311252E-DCB6-427C-A19B-05A78BC79115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33"/>
  <sheetViews>
    <sheetView showGridLines="0" tabSelected="1" zoomScale="70" zoomScaleNormal="70" workbookViewId="0">
      <selection activeCell="M13" sqref="M13"/>
    </sheetView>
  </sheetViews>
  <sheetFormatPr defaultColWidth="8.58203125" defaultRowHeight="15.5" x14ac:dyDescent="0.35"/>
  <cols>
    <col min="1" max="1" width="4.08203125" style="93" customWidth="1"/>
    <col min="2" max="2" width="3" style="93" customWidth="1"/>
    <col min="3" max="3" width="16.58203125" style="93" customWidth="1"/>
    <col min="4" max="4" width="25.5" style="93" customWidth="1"/>
    <col min="5" max="5" width="4.25" style="93" customWidth="1"/>
    <col min="6" max="6" width="4.83203125" style="93" customWidth="1"/>
    <col min="7" max="7" width="10.58203125" style="93" customWidth="1"/>
    <col min="8" max="8" width="8.33203125" style="93" customWidth="1"/>
    <col min="9" max="9" width="5.33203125" style="93" customWidth="1"/>
    <col min="10" max="10" width="2.08203125" style="93" customWidth="1"/>
    <col min="11" max="11" width="5.08203125" style="93" customWidth="1"/>
    <col min="12" max="12" width="18.33203125" style="93" bestFit="1" customWidth="1"/>
    <col min="13" max="13" width="16.5" style="93" customWidth="1"/>
    <col min="14" max="14" width="2.08203125" style="93" customWidth="1"/>
    <col min="15" max="15" width="3.58203125" style="93" customWidth="1"/>
    <col min="16" max="16384" width="8.58203125" style="93"/>
  </cols>
  <sheetData>
    <row r="1" spans="2:18" ht="8.5" customHeight="1" x14ac:dyDescent="0.35"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</row>
    <row r="2" spans="2:18" ht="18.5" x14ac:dyDescent="0.45">
      <c r="B2" s="96"/>
      <c r="C2" s="97" t="s">
        <v>49</v>
      </c>
      <c r="D2" s="94" t="s">
        <v>173</v>
      </c>
      <c r="E2" s="96"/>
      <c r="F2" s="96"/>
      <c r="G2" s="96"/>
      <c r="H2" s="96"/>
      <c r="J2" s="120" t="s">
        <v>80</v>
      </c>
      <c r="K2" s="120"/>
      <c r="L2" s="120"/>
      <c r="M2" s="121">
        <v>45131</v>
      </c>
      <c r="N2" s="96"/>
    </row>
    <row r="3" spans="2:18" ht="18.5" x14ac:dyDescent="0.45">
      <c r="B3" s="96"/>
      <c r="C3" s="97" t="s">
        <v>50</v>
      </c>
      <c r="D3" s="94" t="s">
        <v>124</v>
      </c>
      <c r="E3" s="96"/>
      <c r="F3" s="96"/>
      <c r="G3" s="96"/>
      <c r="H3" s="96"/>
      <c r="M3" s="96"/>
      <c r="N3" s="96"/>
    </row>
    <row r="4" spans="2:18" ht="1" customHeight="1" thickBot="1" x14ac:dyDescent="0.4">
      <c r="B4" s="96"/>
      <c r="C4" s="94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</row>
    <row r="5" spans="2:18" s="95" customFormat="1" ht="19" thickBot="1" x14ac:dyDescent="0.5">
      <c r="B5" s="197" t="s">
        <v>51</v>
      </c>
      <c r="C5" s="198"/>
      <c r="D5" s="199"/>
      <c r="E5" s="197" t="s">
        <v>52</v>
      </c>
      <c r="F5" s="198"/>
      <c r="G5" s="198"/>
      <c r="H5" s="198"/>
      <c r="I5" s="198"/>
      <c r="J5" s="197" t="s">
        <v>53</v>
      </c>
      <c r="K5" s="198"/>
      <c r="L5" s="198"/>
      <c r="M5" s="198"/>
      <c r="N5" s="199"/>
    </row>
    <row r="6" spans="2:18" x14ac:dyDescent="0.35">
      <c r="B6" s="200" t="s">
        <v>54</v>
      </c>
      <c r="C6" s="201"/>
      <c r="D6" s="110" t="s">
        <v>174</v>
      </c>
      <c r="E6" s="202" t="s">
        <v>55</v>
      </c>
      <c r="F6" s="202"/>
      <c r="G6" s="202"/>
      <c r="H6" s="202"/>
      <c r="I6" s="202"/>
      <c r="J6" s="112"/>
      <c r="K6" s="201" t="s">
        <v>56</v>
      </c>
      <c r="L6" s="201"/>
      <c r="M6" s="122">
        <v>0</v>
      </c>
      <c r="N6" s="110"/>
    </row>
    <row r="7" spans="2:18" x14ac:dyDescent="0.35">
      <c r="B7" s="195" t="s">
        <v>57</v>
      </c>
      <c r="C7" s="196"/>
      <c r="D7" s="123" t="s">
        <v>176</v>
      </c>
      <c r="E7" s="194" t="s">
        <v>58</v>
      </c>
      <c r="F7" s="194"/>
      <c r="G7" s="194"/>
      <c r="H7" s="124"/>
      <c r="I7" s="96"/>
      <c r="J7" s="100"/>
      <c r="K7" s="194" t="s">
        <v>59</v>
      </c>
      <c r="L7" s="194"/>
      <c r="M7" s="125">
        <v>5</v>
      </c>
      <c r="N7" s="98"/>
    </row>
    <row r="8" spans="2:18" x14ac:dyDescent="0.35">
      <c r="B8" s="195"/>
      <c r="C8" s="196"/>
      <c r="D8" s="98"/>
      <c r="E8" s="194" t="s">
        <v>61</v>
      </c>
      <c r="F8" s="194"/>
      <c r="G8" s="194"/>
      <c r="H8" s="124">
        <v>0</v>
      </c>
      <c r="I8" s="96"/>
      <c r="J8" s="100"/>
      <c r="K8" s="194" t="s">
        <v>74</v>
      </c>
      <c r="L8" s="194"/>
      <c r="M8" s="126">
        <f>[2]IRR!F3</f>
        <v>0.1</v>
      </c>
      <c r="N8" s="98"/>
    </row>
    <row r="9" spans="2:18" x14ac:dyDescent="0.35">
      <c r="B9" s="113" t="s">
        <v>60</v>
      </c>
      <c r="C9" s="114"/>
      <c r="D9" s="98" t="s">
        <v>177</v>
      </c>
      <c r="E9" s="194" t="s">
        <v>63</v>
      </c>
      <c r="F9" s="194"/>
      <c r="G9" s="194"/>
      <c r="H9" s="127"/>
      <c r="I9" s="96"/>
      <c r="J9" s="100"/>
      <c r="K9" s="194" t="s">
        <v>64</v>
      </c>
      <c r="L9" s="194"/>
      <c r="M9" s="122">
        <v>0</v>
      </c>
      <c r="N9" s="98"/>
    </row>
    <row r="10" spans="2:18" x14ac:dyDescent="0.35">
      <c r="B10" s="115" t="s">
        <v>62</v>
      </c>
      <c r="C10" s="116"/>
      <c r="D10" s="98" t="s">
        <v>175</v>
      </c>
      <c r="E10" s="191" t="s">
        <v>66</v>
      </c>
      <c r="F10" s="191"/>
      <c r="G10" s="191"/>
      <c r="H10" s="191"/>
      <c r="I10" s="191"/>
      <c r="J10" s="117"/>
      <c r="K10" s="190" t="s">
        <v>181</v>
      </c>
      <c r="L10" s="190"/>
      <c r="M10" s="122">
        <f>SUM(IRR!G9:G10)</f>
        <v>3112159</v>
      </c>
      <c r="N10" s="98"/>
    </row>
    <row r="11" spans="2:18" x14ac:dyDescent="0.35">
      <c r="B11" s="115" t="s">
        <v>65</v>
      </c>
      <c r="C11" s="116"/>
      <c r="D11" s="98" t="s">
        <v>125</v>
      </c>
      <c r="E11" s="189" t="s">
        <v>68</v>
      </c>
      <c r="F11" s="189"/>
      <c r="G11" s="189"/>
      <c r="H11" s="128">
        <v>0</v>
      </c>
      <c r="I11" s="96"/>
      <c r="J11" s="100"/>
      <c r="K11" s="190" t="s">
        <v>182</v>
      </c>
      <c r="L11" s="190"/>
      <c r="M11" s="122">
        <f>IRR!L20</f>
        <v>530785920</v>
      </c>
      <c r="N11" s="98"/>
    </row>
    <row r="12" spans="2:18" x14ac:dyDescent="0.35">
      <c r="B12" s="118" t="s">
        <v>67</v>
      </c>
      <c r="C12" s="119"/>
      <c r="D12" s="99"/>
      <c r="E12" s="189" t="s">
        <v>70</v>
      </c>
      <c r="F12" s="189"/>
      <c r="G12" s="189"/>
      <c r="H12" s="128">
        <v>0</v>
      </c>
      <c r="I12" s="96"/>
      <c r="J12" s="100"/>
      <c r="K12" s="190" t="s">
        <v>183</v>
      </c>
      <c r="L12" s="190"/>
      <c r="M12" s="228">
        <f>SUM(IRR!L22:L24)</f>
        <v>296355472</v>
      </c>
      <c r="N12" s="98"/>
    </row>
    <row r="13" spans="2:18" ht="16" thickBot="1" x14ac:dyDescent="0.4">
      <c r="B13" s="118" t="s">
        <v>69</v>
      </c>
      <c r="C13" s="119"/>
      <c r="D13" s="99"/>
      <c r="E13" s="189" t="s">
        <v>72</v>
      </c>
      <c r="F13" s="189"/>
      <c r="G13" s="189"/>
      <c r="H13" s="128">
        <v>0</v>
      </c>
      <c r="I13" s="96"/>
      <c r="J13" s="100"/>
      <c r="K13" s="190" t="s">
        <v>71</v>
      </c>
      <c r="L13" s="190"/>
      <c r="M13" s="122">
        <f>IRR!L17</f>
        <v>1769286400</v>
      </c>
      <c r="N13" s="98"/>
    </row>
    <row r="14" spans="2:18" x14ac:dyDescent="0.35">
      <c r="B14" s="100"/>
      <c r="C14" s="96"/>
      <c r="D14" s="98"/>
      <c r="E14" s="191" t="s">
        <v>73</v>
      </c>
      <c r="F14" s="191"/>
      <c r="G14" s="191"/>
      <c r="H14" s="191"/>
      <c r="I14" s="191"/>
      <c r="J14" s="129"/>
      <c r="K14" s="192" t="s">
        <v>26</v>
      </c>
      <c r="L14" s="193"/>
      <c r="M14" s="101" t="e">
        <f>IRR!F39</f>
        <v>#NUM!</v>
      </c>
      <c r="N14" s="98"/>
    </row>
    <row r="15" spans="2:18" x14ac:dyDescent="0.35">
      <c r="B15" s="100"/>
      <c r="C15" s="96"/>
      <c r="D15" s="98"/>
      <c r="E15" s="96"/>
      <c r="F15" s="96"/>
      <c r="G15" s="96"/>
      <c r="H15" s="96"/>
      <c r="I15" s="96"/>
      <c r="J15" s="130"/>
      <c r="K15" s="183" t="s">
        <v>27</v>
      </c>
      <c r="L15" s="184"/>
      <c r="M15" s="144">
        <f>IRR!F40</f>
        <v>760950981.70851493</v>
      </c>
      <c r="N15" s="98"/>
    </row>
    <row r="16" spans="2:18" x14ac:dyDescent="0.35">
      <c r="B16" s="100"/>
      <c r="C16" s="96"/>
      <c r="D16" s="98"/>
      <c r="E16" s="96"/>
      <c r="F16" s="96"/>
      <c r="G16" s="96"/>
      <c r="H16" s="96"/>
      <c r="I16" s="96"/>
      <c r="J16" s="130"/>
      <c r="K16" s="183" t="s">
        <v>28</v>
      </c>
      <c r="L16" s="184"/>
      <c r="M16" s="102">
        <f>IRR!F41</f>
        <v>0.53249999999999997</v>
      </c>
      <c r="N16" s="98"/>
      <c r="R16" s="93" t="s">
        <v>44</v>
      </c>
    </row>
    <row r="17" spans="2:17" ht="16" thickBot="1" x14ac:dyDescent="0.4">
      <c r="B17" s="100"/>
      <c r="C17" s="96"/>
      <c r="D17" s="98"/>
      <c r="E17" s="96"/>
      <c r="F17" s="96"/>
      <c r="G17" s="96"/>
      <c r="H17" s="96"/>
      <c r="I17" s="96"/>
      <c r="J17" s="130"/>
      <c r="K17" s="185" t="s">
        <v>75</v>
      </c>
      <c r="L17" s="186"/>
      <c r="M17" s="145">
        <f>IRR!F42</f>
        <v>0</v>
      </c>
      <c r="N17" s="98"/>
      <c r="Q17" s="93" t="s">
        <v>44</v>
      </c>
    </row>
    <row r="18" spans="2:17" ht="16" thickBot="1" x14ac:dyDescent="0.4">
      <c r="B18" s="103"/>
      <c r="C18" s="104"/>
      <c r="D18" s="105"/>
      <c r="E18" s="104"/>
      <c r="F18" s="104" t="s">
        <v>44</v>
      </c>
      <c r="G18" s="104"/>
      <c r="H18" s="104"/>
      <c r="I18" s="104"/>
      <c r="J18" s="100"/>
      <c r="K18" s="106"/>
      <c r="L18" s="116"/>
      <c r="M18" s="116"/>
      <c r="N18" s="98"/>
    </row>
    <row r="19" spans="2:17" x14ac:dyDescent="0.35">
      <c r="B19" s="108" t="s">
        <v>79</v>
      </c>
      <c r="C19" s="109"/>
      <c r="D19" s="109"/>
      <c r="E19" s="109"/>
      <c r="F19" s="109"/>
      <c r="G19" s="109"/>
      <c r="H19" s="109"/>
      <c r="I19" s="109"/>
      <c r="J19" s="109"/>
      <c r="L19" s="131" t="s">
        <v>81</v>
      </c>
      <c r="M19" s="109"/>
      <c r="N19" s="110"/>
    </row>
    <row r="20" spans="2:17" x14ac:dyDescent="0.35">
      <c r="B20" s="100" t="s">
        <v>78</v>
      </c>
      <c r="C20" s="96"/>
      <c r="D20" s="96"/>
      <c r="E20" s="96"/>
      <c r="F20" s="96"/>
      <c r="G20" s="96"/>
      <c r="H20" s="96"/>
      <c r="I20" s="96"/>
      <c r="J20" s="96"/>
      <c r="K20" s="96"/>
      <c r="L20" s="187" t="s">
        <v>172</v>
      </c>
      <c r="M20" s="188"/>
      <c r="N20" s="98"/>
    </row>
    <row r="21" spans="2:17" x14ac:dyDescent="0.35">
      <c r="B21" s="100"/>
      <c r="C21" s="96"/>
      <c r="D21" s="96"/>
      <c r="E21" s="96"/>
      <c r="F21" s="96"/>
      <c r="G21" s="96"/>
      <c r="H21" s="96"/>
      <c r="I21" s="96"/>
      <c r="J21" s="96"/>
      <c r="K21" s="96"/>
      <c r="L21" s="96"/>
      <c r="M21" s="96"/>
      <c r="N21" s="98"/>
    </row>
    <row r="22" spans="2:17" x14ac:dyDescent="0.35">
      <c r="B22" s="100"/>
      <c r="C22" s="96"/>
      <c r="D22" s="96" t="s">
        <v>122</v>
      </c>
      <c r="E22" s="96"/>
      <c r="F22" s="96"/>
      <c r="G22" s="96"/>
      <c r="H22" s="96"/>
      <c r="I22" s="96"/>
      <c r="J22" s="96"/>
      <c r="K22" s="96"/>
      <c r="L22" s="96"/>
      <c r="M22" s="96"/>
      <c r="N22" s="98"/>
    </row>
    <row r="23" spans="2:17" x14ac:dyDescent="0.35">
      <c r="B23" s="100"/>
      <c r="C23" s="96"/>
      <c r="E23" s="96"/>
      <c r="F23" s="96"/>
      <c r="G23" s="96"/>
      <c r="H23" s="96"/>
      <c r="I23" s="96"/>
      <c r="J23" s="96"/>
      <c r="K23" s="96"/>
      <c r="L23" s="96"/>
      <c r="M23" s="96"/>
      <c r="N23" s="98"/>
    </row>
    <row r="24" spans="2:17" ht="16" thickBot="1" x14ac:dyDescent="0.4">
      <c r="B24" s="103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5"/>
    </row>
    <row r="26" spans="2:17" s="223" customFormat="1" x14ac:dyDescent="0.35">
      <c r="B26" s="224" t="s">
        <v>82</v>
      </c>
    </row>
    <row r="27" spans="2:17" s="223" customFormat="1" x14ac:dyDescent="0.35">
      <c r="B27" s="225"/>
      <c r="C27" s="225"/>
      <c r="D27" s="225"/>
      <c r="E27" s="225"/>
      <c r="F27" s="225"/>
      <c r="G27" s="225"/>
      <c r="H27" s="225"/>
      <c r="I27" s="225"/>
      <c r="J27" s="225"/>
      <c r="K27" s="225"/>
      <c r="L27" s="225"/>
      <c r="M27" s="225"/>
      <c r="N27" s="225"/>
      <c r="O27" s="225"/>
    </row>
    <row r="28" spans="2:17" s="223" customFormat="1" x14ac:dyDescent="0.35">
      <c r="B28" s="225"/>
      <c r="C28" s="225"/>
      <c r="D28" s="225"/>
      <c r="E28" s="225"/>
      <c r="F28" s="225"/>
      <c r="G28" s="225"/>
      <c r="H28" s="225"/>
      <c r="I28" s="225"/>
      <c r="J28" s="225"/>
      <c r="K28" s="225"/>
      <c r="L28" s="225"/>
      <c r="M28" s="225"/>
      <c r="N28" s="225"/>
      <c r="O28" s="225"/>
    </row>
    <row r="29" spans="2:17" s="223" customFormat="1" x14ac:dyDescent="0.35">
      <c r="B29" s="225"/>
      <c r="C29" s="225"/>
      <c r="D29" s="225"/>
      <c r="E29" s="225"/>
      <c r="F29" s="225"/>
      <c r="G29" s="225"/>
      <c r="H29" s="225"/>
      <c r="I29" s="225"/>
      <c r="J29" s="225"/>
      <c r="K29" s="225"/>
      <c r="L29" s="225"/>
      <c r="M29" s="225"/>
      <c r="N29" s="225"/>
      <c r="O29" s="225"/>
    </row>
    <row r="30" spans="2:17" s="223" customFormat="1" x14ac:dyDescent="0.35">
      <c r="B30" s="225"/>
      <c r="C30" s="225"/>
      <c r="D30" s="225"/>
      <c r="E30" s="225"/>
      <c r="F30" s="225"/>
      <c r="G30" s="225"/>
      <c r="H30" s="225"/>
      <c r="I30" s="225"/>
      <c r="J30" s="225"/>
      <c r="K30" s="225"/>
      <c r="L30" s="225"/>
      <c r="M30" s="225"/>
      <c r="N30" s="225"/>
      <c r="O30" s="225"/>
    </row>
    <row r="31" spans="2:17" s="223" customFormat="1" x14ac:dyDescent="0.35">
      <c r="B31" s="225"/>
      <c r="C31" s="225"/>
      <c r="D31" s="225"/>
      <c r="E31" s="225"/>
      <c r="F31" s="225"/>
      <c r="G31" s="225"/>
      <c r="H31" s="225"/>
      <c r="I31" s="225"/>
      <c r="J31" s="225"/>
      <c r="K31" s="225"/>
      <c r="L31" s="225"/>
      <c r="M31" s="225"/>
      <c r="N31" s="225"/>
      <c r="O31" s="225"/>
    </row>
    <row r="32" spans="2:17" s="223" customFormat="1" x14ac:dyDescent="0.35">
      <c r="B32" s="225"/>
      <c r="C32" s="225"/>
      <c r="D32" s="225"/>
      <c r="E32" s="225"/>
      <c r="F32" s="225"/>
      <c r="G32" s="225"/>
      <c r="H32" s="225"/>
      <c r="I32" s="225"/>
      <c r="J32" s="225"/>
      <c r="K32" s="225"/>
      <c r="L32" s="225"/>
      <c r="M32" s="225"/>
      <c r="N32" s="225"/>
      <c r="O32" s="225"/>
    </row>
    <row r="33" spans="2:15" s="223" customFormat="1" x14ac:dyDescent="0.35">
      <c r="B33" s="225"/>
      <c r="C33" s="225"/>
      <c r="D33" s="225"/>
      <c r="E33" s="225"/>
      <c r="F33" s="225"/>
      <c r="G33" s="225"/>
      <c r="H33" s="225"/>
      <c r="I33" s="225"/>
      <c r="J33" s="225"/>
      <c r="K33" s="225"/>
      <c r="L33" s="225"/>
      <c r="M33" s="225"/>
      <c r="N33" s="225"/>
      <c r="O33" s="225"/>
    </row>
  </sheetData>
  <mergeCells count="28">
    <mergeCell ref="B5:D5"/>
    <mergeCell ref="E5:I5"/>
    <mergeCell ref="J5:N5"/>
    <mergeCell ref="B6:C6"/>
    <mergeCell ref="E6:I6"/>
    <mergeCell ref="K6:L6"/>
    <mergeCell ref="B7:C7"/>
    <mergeCell ref="E7:G7"/>
    <mergeCell ref="K7:L7"/>
    <mergeCell ref="B8:C8"/>
    <mergeCell ref="E8:G8"/>
    <mergeCell ref="K8:L8"/>
    <mergeCell ref="E9:G9"/>
    <mergeCell ref="K9:L9"/>
    <mergeCell ref="E10:I10"/>
    <mergeCell ref="K10:L10"/>
    <mergeCell ref="E11:G11"/>
    <mergeCell ref="K11:L11"/>
    <mergeCell ref="K16:L16"/>
    <mergeCell ref="K17:L17"/>
    <mergeCell ref="L20:M20"/>
    <mergeCell ref="E12:G12"/>
    <mergeCell ref="K13:L13"/>
    <mergeCell ref="E13:G13"/>
    <mergeCell ref="E14:I14"/>
    <mergeCell ref="K14:L14"/>
    <mergeCell ref="K15:L15"/>
    <mergeCell ref="K12:L12"/>
  </mergeCells>
  <pageMargins left="0.7" right="0.7" top="0.75" bottom="0.75" header="0.3" footer="0.3"/>
  <pageSetup paperSize="9" scale="92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U49"/>
  <sheetViews>
    <sheetView showGridLines="0" topLeftCell="A11" zoomScale="90" zoomScaleNormal="90" workbookViewId="0">
      <selection activeCell="E9" sqref="E9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8.83203125" customWidth="1"/>
    <col min="5" max="5" width="7.25" bestFit="1" customWidth="1"/>
    <col min="6" max="6" width="16.83203125" customWidth="1"/>
    <col min="7" max="11" width="17.58203125" style="2" customWidth="1"/>
    <col min="12" max="12" width="16.58203125" bestFit="1" customWidth="1"/>
    <col min="13" max="13" width="15.83203125" customWidth="1"/>
    <col min="14" max="15" width="15" bestFit="1" customWidth="1"/>
    <col min="16" max="16" width="18.25" customWidth="1"/>
    <col min="17" max="17" width="25" customWidth="1"/>
    <col min="18" max="18" width="15.58203125" bestFit="1" customWidth="1"/>
    <col min="19" max="19" width="11.75" bestFit="1" customWidth="1"/>
  </cols>
  <sheetData>
    <row r="1" spans="2:21" x14ac:dyDescent="0.35">
      <c r="B1" s="3" t="s">
        <v>0</v>
      </c>
    </row>
    <row r="2" spans="2:21" x14ac:dyDescent="0.35">
      <c r="C2" t="s">
        <v>1</v>
      </c>
      <c r="F2" s="5">
        <v>0.02</v>
      </c>
      <c r="L2" s="4"/>
      <c r="M2" s="4"/>
      <c r="N2" s="4"/>
    </row>
    <row r="3" spans="2:21" x14ac:dyDescent="0.35">
      <c r="C3" t="s">
        <v>36</v>
      </c>
      <c r="F3" s="5">
        <v>0.1</v>
      </c>
      <c r="L3" s="4"/>
      <c r="M3" s="4"/>
      <c r="N3" s="4"/>
    </row>
    <row r="4" spans="2:21" x14ac:dyDescent="0.35">
      <c r="C4" t="s">
        <v>2</v>
      </c>
      <c r="F4" s="5">
        <v>0.05</v>
      </c>
      <c r="G4" s="2" t="s">
        <v>3</v>
      </c>
    </row>
    <row r="5" spans="2:21" x14ac:dyDescent="0.35">
      <c r="C5" t="s">
        <v>4</v>
      </c>
      <c r="F5" s="6">
        <v>0</v>
      </c>
      <c r="G5" s="2" t="s">
        <v>3</v>
      </c>
    </row>
    <row r="6" spans="2:21" x14ac:dyDescent="0.35">
      <c r="C6" t="s">
        <v>77</v>
      </c>
      <c r="F6" s="5">
        <v>0.15</v>
      </c>
    </row>
    <row r="7" spans="2:21" x14ac:dyDescent="0.35">
      <c r="C7" t="s">
        <v>123</v>
      </c>
      <c r="F7" s="147"/>
    </row>
    <row r="8" spans="2:21" x14ac:dyDescent="0.35">
      <c r="B8" s="1"/>
      <c r="G8" s="30" t="s">
        <v>35</v>
      </c>
      <c r="H8" s="30"/>
      <c r="I8" s="30"/>
      <c r="J8" s="30"/>
      <c r="K8" s="30"/>
      <c r="L8" s="23"/>
      <c r="M8" s="39"/>
      <c r="N8" s="39"/>
      <c r="O8" s="40"/>
      <c r="P8" s="39"/>
      <c r="Q8" s="39"/>
      <c r="R8" s="39"/>
      <c r="S8" s="39"/>
      <c r="T8" s="39"/>
    </row>
    <row r="9" spans="2:21" s="82" customFormat="1" ht="16" thickBot="1" x14ac:dyDescent="0.4">
      <c r="B9" s="89" t="s">
        <v>42</v>
      </c>
      <c r="E9" s="82" t="s">
        <v>138</v>
      </c>
      <c r="F9" s="88"/>
      <c r="G9" s="83">
        <v>3112159</v>
      </c>
      <c r="H9" s="84"/>
      <c r="I9" s="84"/>
      <c r="J9" s="84"/>
      <c r="K9" s="84"/>
      <c r="L9" s="87"/>
      <c r="M9" s="84"/>
      <c r="N9" s="84"/>
      <c r="O9" s="85"/>
      <c r="P9" s="84"/>
      <c r="Q9" s="84"/>
      <c r="R9" s="84"/>
      <c r="S9" s="84"/>
      <c r="T9" s="84"/>
    </row>
    <row r="10" spans="2:21" s="82" customFormat="1" ht="16" thickTop="1" x14ac:dyDescent="0.35">
      <c r="B10" s="89"/>
      <c r="E10" s="82" t="s">
        <v>76</v>
      </c>
      <c r="F10" s="88"/>
      <c r="G10" s="84"/>
      <c r="H10" s="84"/>
      <c r="I10" s="84"/>
      <c r="J10" s="84"/>
      <c r="K10" s="84"/>
      <c r="L10" s="87"/>
      <c r="M10" s="84"/>
      <c r="N10" s="84"/>
      <c r="O10" s="85"/>
      <c r="P10" s="84"/>
      <c r="Q10" s="84"/>
      <c r="R10" s="84"/>
      <c r="S10" s="84"/>
      <c r="T10" s="84"/>
    </row>
    <row r="11" spans="2:21" ht="16" thickBot="1" x14ac:dyDescent="0.4">
      <c r="F11" s="10"/>
      <c r="G11" s="9">
        <v>2025</v>
      </c>
      <c r="H11" s="9">
        <f>G11+1</f>
        <v>2026</v>
      </c>
      <c r="I11" s="9">
        <f>H11+1</f>
        <v>2027</v>
      </c>
      <c r="J11" s="9">
        <f>I11+1</f>
        <v>2028</v>
      </c>
      <c r="K11" s="9">
        <f>J11+1</f>
        <v>2029</v>
      </c>
      <c r="L11" s="23"/>
      <c r="O11" s="38"/>
      <c r="P11" s="38"/>
      <c r="Q11" s="38"/>
      <c r="R11" s="38"/>
      <c r="S11" s="38"/>
      <c r="T11" s="38"/>
      <c r="U11" s="38"/>
    </row>
    <row r="12" spans="2:21" ht="16" thickBot="1" x14ac:dyDescent="0.4">
      <c r="B12" s="11" t="s">
        <v>11</v>
      </c>
      <c r="C12" s="7"/>
      <c r="D12" s="7"/>
      <c r="E12" s="7"/>
      <c r="F12" s="7"/>
      <c r="G12" s="8" t="s">
        <v>6</v>
      </c>
      <c r="H12" s="8"/>
      <c r="I12" s="8"/>
      <c r="J12" s="8"/>
      <c r="K12" s="8"/>
      <c r="L12" s="68" t="s">
        <v>12</v>
      </c>
      <c r="M12" s="53"/>
      <c r="N12" s="53"/>
      <c r="O12" s="154" t="s">
        <v>134</v>
      </c>
      <c r="P12" s="161" t="s">
        <v>135</v>
      </c>
      <c r="Q12" s="155" t="s">
        <v>136</v>
      </c>
      <c r="R12" s="53"/>
      <c r="S12" s="38"/>
      <c r="T12" s="38"/>
      <c r="U12" s="38"/>
    </row>
    <row r="13" spans="2:21" x14ac:dyDescent="0.35">
      <c r="B13" t="s">
        <v>13</v>
      </c>
      <c r="G13" s="9">
        <v>12</v>
      </c>
      <c r="H13" s="9"/>
      <c r="I13" s="9"/>
      <c r="J13" s="9"/>
      <c r="K13" s="9"/>
      <c r="L13" s="69"/>
      <c r="O13" s="152" t="s">
        <v>137</v>
      </c>
      <c r="P13" s="156">
        <f>G9</f>
        <v>3112159</v>
      </c>
      <c r="Q13" s="159" t="s">
        <v>131</v>
      </c>
    </row>
    <row r="14" spans="2:21" x14ac:dyDescent="0.35">
      <c r="L14" s="69"/>
      <c r="O14" s="209" t="s">
        <v>132</v>
      </c>
      <c r="P14" s="157">
        <f>G20</f>
        <v>94783200</v>
      </c>
      <c r="Q14" s="159" t="s">
        <v>171</v>
      </c>
    </row>
    <row r="15" spans="2:21" x14ac:dyDescent="0.35">
      <c r="B15" s="1" t="s">
        <v>5</v>
      </c>
      <c r="E15" s="16"/>
      <c r="G15" s="170"/>
      <c r="H15" s="17"/>
      <c r="I15" s="17"/>
      <c r="J15" s="17"/>
      <c r="K15" s="17"/>
      <c r="L15" s="69"/>
      <c r="O15" s="209"/>
      <c r="P15" s="157">
        <f>G24</f>
        <v>15797200</v>
      </c>
      <c r="Q15" s="159" t="s">
        <v>2</v>
      </c>
    </row>
    <row r="16" spans="2:21" ht="16" thickBot="1" x14ac:dyDescent="0.4">
      <c r="B16" s="1"/>
      <c r="E16" s="16"/>
      <c r="G16" s="146">
        <f>Rev!C5</f>
        <v>315944000</v>
      </c>
      <c r="H16" s="146">
        <f>G16*115%</f>
        <v>363335600</v>
      </c>
      <c r="I16" s="146">
        <f>H16</f>
        <v>363335600</v>
      </c>
      <c r="J16" s="146">
        <f>I16</f>
        <v>363335600</v>
      </c>
      <c r="K16" s="146">
        <f>J16</f>
        <v>363335600</v>
      </c>
      <c r="L16" s="69"/>
      <c r="O16" s="153" t="s">
        <v>78</v>
      </c>
      <c r="P16" s="158">
        <f>G16</f>
        <v>315944000</v>
      </c>
      <c r="Q16" s="160" t="s">
        <v>133</v>
      </c>
    </row>
    <row r="17" spans="2:19" ht="16" thickBot="1" x14ac:dyDescent="0.4">
      <c r="B17" s="63" t="s">
        <v>126</v>
      </c>
      <c r="C17" s="63"/>
      <c r="D17" s="63"/>
      <c r="E17" s="207"/>
      <c r="F17" s="208"/>
      <c r="G17" s="64">
        <f>SUM(G16:G16)</f>
        <v>315944000</v>
      </c>
      <c r="H17" s="64">
        <f t="shared" ref="H17:K17" si="0">SUM(H16:H16)</f>
        <v>363335600</v>
      </c>
      <c r="I17" s="64">
        <f t="shared" si="0"/>
        <v>363335600</v>
      </c>
      <c r="J17" s="64">
        <f t="shared" si="0"/>
        <v>363335600</v>
      </c>
      <c r="K17" s="64">
        <f t="shared" si="0"/>
        <v>363335600</v>
      </c>
      <c r="L17" s="70">
        <f>SUM(G17:K17)</f>
        <v>1769286400</v>
      </c>
      <c r="M17" s="42"/>
      <c r="N17" s="42"/>
      <c r="O17" s="42"/>
      <c r="P17" s="42"/>
      <c r="Q17" s="42"/>
      <c r="R17" s="42"/>
      <c r="S17" s="44"/>
    </row>
    <row r="18" spans="2:19" x14ac:dyDescent="0.35">
      <c r="L18" s="69"/>
      <c r="M18" s="44"/>
      <c r="N18" s="44"/>
      <c r="O18" s="210" t="s">
        <v>26</v>
      </c>
      <c r="P18" s="211"/>
      <c r="Q18" s="162" t="e">
        <f>F39</f>
        <v>#NUM!</v>
      </c>
      <c r="R18" s="44"/>
    </row>
    <row r="19" spans="2:19" x14ac:dyDescent="0.35">
      <c r="B19" s="1" t="s">
        <v>14</v>
      </c>
      <c r="E19" s="16"/>
      <c r="F19" s="16"/>
      <c r="G19" s="17"/>
      <c r="H19" s="17"/>
      <c r="I19" s="17"/>
      <c r="J19" s="17"/>
      <c r="K19" s="17"/>
      <c r="L19" s="71"/>
      <c r="M19" s="45"/>
      <c r="N19" s="45"/>
      <c r="O19" s="203" t="s">
        <v>27</v>
      </c>
      <c r="P19" s="204"/>
      <c r="Q19" s="163">
        <f>F40</f>
        <v>760950981.70851493</v>
      </c>
      <c r="R19" s="44"/>
    </row>
    <row r="20" spans="2:19" x14ac:dyDescent="0.35">
      <c r="B20" s="1"/>
      <c r="C20" t="s">
        <v>130</v>
      </c>
      <c r="E20" s="166">
        <v>0.3</v>
      </c>
      <c r="F20" s="16" t="s">
        <v>179</v>
      </c>
      <c r="G20" s="12">
        <f>$E$20*G17</f>
        <v>94783200</v>
      </c>
      <c r="H20" s="12">
        <f t="shared" ref="H20:K20" si="1">$E$20*H17</f>
        <v>109000680</v>
      </c>
      <c r="I20" s="12">
        <f t="shared" si="1"/>
        <v>109000680</v>
      </c>
      <c r="J20" s="12">
        <f t="shared" si="1"/>
        <v>109000680</v>
      </c>
      <c r="K20" s="12">
        <f t="shared" si="1"/>
        <v>109000680</v>
      </c>
      <c r="L20" s="72">
        <f>SUM(G20:K20)</f>
        <v>530785920</v>
      </c>
      <c r="M20" s="45"/>
      <c r="N20" s="45"/>
      <c r="O20" s="203" t="s">
        <v>28</v>
      </c>
      <c r="P20" s="204"/>
      <c r="Q20" s="164">
        <f>F41</f>
        <v>0.53249999999999997</v>
      </c>
      <c r="R20" s="44"/>
    </row>
    <row r="21" spans="2:19" ht="16" thickBot="1" x14ac:dyDescent="0.4">
      <c r="C21" t="s">
        <v>15</v>
      </c>
      <c r="F21" s="111"/>
      <c r="G21" s="12">
        <v>0</v>
      </c>
      <c r="H21" s="12"/>
      <c r="I21" s="12"/>
      <c r="J21" s="12"/>
      <c r="K21" s="12"/>
      <c r="L21" s="72">
        <f t="shared" ref="L21:L23" si="2">SUM(G21:K21)</f>
        <v>0</v>
      </c>
      <c r="M21" s="42"/>
      <c r="N21" s="42"/>
      <c r="O21" s="205" t="s">
        <v>29</v>
      </c>
      <c r="P21" s="206"/>
      <c r="Q21" s="165">
        <f>F42</f>
        <v>0</v>
      </c>
      <c r="R21" s="43"/>
    </row>
    <row r="22" spans="2:19" x14ac:dyDescent="0.35">
      <c r="C22" t="s">
        <v>180</v>
      </c>
      <c r="E22" s="226">
        <v>0.1</v>
      </c>
      <c r="F22" s="16" t="s">
        <v>179</v>
      </c>
      <c r="G22" s="107">
        <f>G17*$E$22</f>
        <v>31594400</v>
      </c>
      <c r="H22" s="107">
        <f t="shared" ref="H22:K22" si="3">H17*$E$22</f>
        <v>36333560</v>
      </c>
      <c r="I22" s="107">
        <f t="shared" si="3"/>
        <v>36333560</v>
      </c>
      <c r="J22" s="107">
        <f t="shared" si="3"/>
        <v>36333560</v>
      </c>
      <c r="K22" s="107">
        <f t="shared" si="3"/>
        <v>36333560</v>
      </c>
      <c r="L22" s="72">
        <f t="shared" si="2"/>
        <v>176928640</v>
      </c>
      <c r="M22" s="42"/>
      <c r="N22" s="42"/>
      <c r="O22" s="42"/>
      <c r="P22" s="42"/>
      <c r="Q22" s="42"/>
      <c r="R22" s="43"/>
      <c r="S22" s="44"/>
    </row>
    <row r="23" spans="2:19" x14ac:dyDescent="0.35">
      <c r="C23" t="s">
        <v>178</v>
      </c>
      <c r="E23" s="227">
        <v>1.7500000000000002E-2</v>
      </c>
      <c r="F23" s="16" t="s">
        <v>179</v>
      </c>
      <c r="G23" s="107">
        <f>G17*$E$23</f>
        <v>5529020.0000000009</v>
      </c>
      <c r="H23" s="107">
        <f t="shared" ref="H23:K23" si="4">H17*$E$23</f>
        <v>6358373.0000000009</v>
      </c>
      <c r="I23" s="107">
        <f t="shared" si="4"/>
        <v>6358373.0000000009</v>
      </c>
      <c r="J23" s="107">
        <f t="shared" si="4"/>
        <v>6358373.0000000009</v>
      </c>
      <c r="K23" s="107">
        <f t="shared" si="4"/>
        <v>6358373.0000000009</v>
      </c>
      <c r="L23" s="72">
        <f t="shared" si="2"/>
        <v>30962512.000000004</v>
      </c>
      <c r="M23" s="42"/>
      <c r="N23" s="42"/>
      <c r="O23" s="42"/>
      <c r="P23" s="42"/>
      <c r="Q23" s="42"/>
      <c r="R23" s="43"/>
      <c r="S23" s="44"/>
    </row>
    <row r="24" spans="2:19" x14ac:dyDescent="0.35">
      <c r="B24" s="14"/>
      <c r="C24" s="14" t="s">
        <v>2</v>
      </c>
      <c r="D24" s="14"/>
      <c r="E24" s="14"/>
      <c r="F24" s="14"/>
      <c r="G24" s="18">
        <f>G17*$F$4</f>
        <v>15797200</v>
      </c>
      <c r="H24" s="18">
        <f t="shared" ref="H24:K24" si="5">H17*$F$4</f>
        <v>18166780</v>
      </c>
      <c r="I24" s="18">
        <f t="shared" si="5"/>
        <v>18166780</v>
      </c>
      <c r="J24" s="18">
        <f t="shared" si="5"/>
        <v>18166780</v>
      </c>
      <c r="K24" s="18">
        <f t="shared" si="5"/>
        <v>18166780</v>
      </c>
      <c r="L24" s="72">
        <f>SUM(G24:K24)</f>
        <v>88464320</v>
      </c>
      <c r="M24" s="46"/>
      <c r="N24" s="46"/>
      <c r="O24" s="46"/>
      <c r="P24" s="46"/>
      <c r="Q24" s="46"/>
      <c r="R24" s="43"/>
      <c r="S24" s="44"/>
    </row>
    <row r="25" spans="2:19" s="1" customFormat="1" x14ac:dyDescent="0.35">
      <c r="B25" s="63" t="s">
        <v>16</v>
      </c>
      <c r="C25" s="63"/>
      <c r="D25" s="63"/>
      <c r="E25" s="63"/>
      <c r="F25" s="63"/>
      <c r="G25" s="64">
        <f>SUM(G20:G24)</f>
        <v>147703820</v>
      </c>
      <c r="H25" s="64">
        <f t="shared" ref="H25:K25" si="6">SUM(H20:H24)</f>
        <v>169859393</v>
      </c>
      <c r="I25" s="64">
        <f t="shared" si="6"/>
        <v>169859393</v>
      </c>
      <c r="J25" s="64">
        <f t="shared" si="6"/>
        <v>169859393</v>
      </c>
      <c r="K25" s="64">
        <f t="shared" si="6"/>
        <v>169859393</v>
      </c>
      <c r="L25" s="86">
        <f>SUM(L20:L24)</f>
        <v>827141392</v>
      </c>
      <c r="M25" s="47"/>
      <c r="N25" s="47"/>
      <c r="O25" s="47"/>
      <c r="P25" s="47"/>
      <c r="Q25" s="47"/>
      <c r="R25" s="47"/>
      <c r="S25" s="48"/>
    </row>
    <row r="26" spans="2:19" s="1" customFormat="1" x14ac:dyDescent="0.35">
      <c r="B26" s="1" t="s">
        <v>17</v>
      </c>
      <c r="G26" s="19">
        <f t="shared" ref="G26:L26" si="7">G17-G25</f>
        <v>168240180</v>
      </c>
      <c r="H26" s="19">
        <f t="shared" si="7"/>
        <v>193476207</v>
      </c>
      <c r="I26" s="19">
        <f t="shared" si="7"/>
        <v>193476207</v>
      </c>
      <c r="J26" s="19">
        <f t="shared" si="7"/>
        <v>193476207</v>
      </c>
      <c r="K26" s="19">
        <f t="shared" si="7"/>
        <v>193476207</v>
      </c>
      <c r="L26" s="73">
        <f t="shared" si="7"/>
        <v>942145008</v>
      </c>
      <c r="M26" s="47"/>
      <c r="N26" s="47"/>
      <c r="O26" s="47"/>
      <c r="P26" s="47"/>
      <c r="Q26" s="47"/>
      <c r="R26" s="47"/>
      <c r="S26" s="48"/>
    </row>
    <row r="27" spans="2:19" s="1" customFormat="1" x14ac:dyDescent="0.35">
      <c r="B27" s="20" t="s">
        <v>18</v>
      </c>
      <c r="C27" s="21"/>
      <c r="D27" s="21"/>
      <c r="E27" s="21"/>
      <c r="F27" s="21"/>
      <c r="G27" s="22">
        <f t="shared" ref="G27:K27" si="8">G26/G17</f>
        <v>0.53249999999999997</v>
      </c>
      <c r="H27" s="22">
        <f t="shared" si="8"/>
        <v>0.53249999999999997</v>
      </c>
      <c r="I27" s="22">
        <f t="shared" si="8"/>
        <v>0.53249999999999997</v>
      </c>
      <c r="J27" s="22">
        <f t="shared" si="8"/>
        <v>0.53249999999999997</v>
      </c>
      <c r="K27" s="22">
        <f t="shared" si="8"/>
        <v>0.53249999999999997</v>
      </c>
      <c r="L27" s="74">
        <f>L26/L17</f>
        <v>0.53249999999999997</v>
      </c>
      <c r="M27" s="49"/>
      <c r="N27" s="49"/>
      <c r="O27" s="49"/>
      <c r="P27" s="49"/>
      <c r="Q27" s="49"/>
      <c r="R27" s="49"/>
      <c r="S27" s="48"/>
    </row>
    <row r="28" spans="2:19" x14ac:dyDescent="0.35">
      <c r="B28" s="14" t="s">
        <v>19</v>
      </c>
      <c r="C28" s="14"/>
      <c r="D28" s="14"/>
      <c r="E28" s="14"/>
      <c r="F28" s="14"/>
      <c r="G28" s="15">
        <f>G46</f>
        <v>622431.80000000005</v>
      </c>
      <c r="H28" s="15">
        <f t="shared" ref="H28:K28" si="9">H46</f>
        <v>622431.80000000005</v>
      </c>
      <c r="I28" s="15">
        <f t="shared" si="9"/>
        <v>622431.80000000005</v>
      </c>
      <c r="J28" s="15">
        <f t="shared" si="9"/>
        <v>622431.80000000005</v>
      </c>
      <c r="K28" s="15">
        <f t="shared" si="9"/>
        <v>622431.80000000005</v>
      </c>
      <c r="L28" s="75">
        <f>SUM(G28:K28)</f>
        <v>3112159</v>
      </c>
      <c r="M28" s="42"/>
      <c r="N28" s="42"/>
      <c r="O28" s="42"/>
      <c r="P28" s="42"/>
      <c r="Q28" s="42"/>
      <c r="R28" s="42"/>
      <c r="S28" s="44"/>
    </row>
    <row r="29" spans="2:19" x14ac:dyDescent="0.35">
      <c r="B29" s="23" t="s">
        <v>20</v>
      </c>
      <c r="G29" s="24">
        <f t="shared" ref="G29:K29" si="10">G26-G28</f>
        <v>167617748.19999999</v>
      </c>
      <c r="H29" s="24">
        <f t="shared" si="10"/>
        <v>192853775.19999999</v>
      </c>
      <c r="I29" s="24">
        <f t="shared" si="10"/>
        <v>192853775.19999999</v>
      </c>
      <c r="J29" s="24">
        <f t="shared" si="10"/>
        <v>192853775.19999999</v>
      </c>
      <c r="K29" s="24">
        <f t="shared" si="10"/>
        <v>192853775.19999999</v>
      </c>
      <c r="L29" s="76">
        <f>L26-L28</f>
        <v>939032849</v>
      </c>
      <c r="M29" s="50"/>
      <c r="N29" s="50"/>
      <c r="O29" s="50"/>
      <c r="P29" s="50"/>
      <c r="Q29" s="50"/>
      <c r="R29" s="50"/>
      <c r="S29" s="44"/>
    </row>
    <row r="30" spans="2:19" x14ac:dyDescent="0.35">
      <c r="B30" s="23" t="s">
        <v>33</v>
      </c>
      <c r="G30" s="66">
        <f>PARAMETER!F6</f>
        <v>1481489.5200000003</v>
      </c>
      <c r="H30" s="66">
        <f>PARAMETER!G6</f>
        <v>493829.84000000008</v>
      </c>
      <c r="I30" s="66">
        <f>PARAMETER!H6</f>
        <v>0</v>
      </c>
      <c r="J30" s="66">
        <f>PARAMETER!I6</f>
        <v>0</v>
      </c>
      <c r="K30" s="66">
        <v>0</v>
      </c>
      <c r="L30" s="90">
        <f>SUM(G30:G30)</f>
        <v>1481489.5200000003</v>
      </c>
      <c r="M30" s="50"/>
      <c r="N30" s="50"/>
      <c r="O30" s="50"/>
      <c r="P30" s="50"/>
      <c r="Q30" s="50"/>
      <c r="R30" s="50"/>
      <c r="S30" s="44"/>
    </row>
    <row r="31" spans="2:19" x14ac:dyDescent="0.35">
      <c r="B31" s="23" t="s">
        <v>34</v>
      </c>
      <c r="G31" s="66">
        <f t="shared" ref="G31:K31" si="11">G29-G30</f>
        <v>166136258.67999998</v>
      </c>
      <c r="H31" s="66">
        <f t="shared" si="11"/>
        <v>192359945.35999998</v>
      </c>
      <c r="I31" s="66">
        <f t="shared" si="11"/>
        <v>192853775.19999999</v>
      </c>
      <c r="J31" s="66">
        <f t="shared" si="11"/>
        <v>192853775.19999999</v>
      </c>
      <c r="K31" s="66">
        <f t="shared" si="11"/>
        <v>192853775.19999999</v>
      </c>
      <c r="L31" s="90">
        <f>SUM(G31:K31)</f>
        <v>937057529.6400001</v>
      </c>
      <c r="M31" s="50"/>
      <c r="N31" s="50"/>
      <c r="O31" s="50"/>
      <c r="P31" s="50"/>
      <c r="Q31" s="50"/>
      <c r="R31" s="50"/>
      <c r="S31" s="44"/>
    </row>
    <row r="32" spans="2:19" x14ac:dyDescent="0.35">
      <c r="B32" s="14" t="s">
        <v>21</v>
      </c>
      <c r="C32" s="14"/>
      <c r="D32" s="14"/>
      <c r="E32" s="14"/>
      <c r="F32" s="14"/>
      <c r="G32" s="65">
        <f>IF(G31&lt;0,0,G31*$F$2)</f>
        <v>3322725.1735999994</v>
      </c>
      <c r="H32" s="65">
        <f t="shared" ref="H32:K32" si="12">IF(H31&lt;0,0,H31*$F$2)</f>
        <v>3847198.9071999998</v>
      </c>
      <c r="I32" s="65">
        <f t="shared" si="12"/>
        <v>3857075.5039999997</v>
      </c>
      <c r="J32" s="65">
        <f t="shared" si="12"/>
        <v>3857075.5039999997</v>
      </c>
      <c r="K32" s="65">
        <f t="shared" si="12"/>
        <v>3857075.5039999997</v>
      </c>
      <c r="L32" s="77">
        <f>SUM(G32:K32)</f>
        <v>18741150.592799999</v>
      </c>
      <c r="M32" s="52"/>
      <c r="N32" s="52"/>
      <c r="O32" s="52"/>
      <c r="P32" s="52"/>
      <c r="Q32" s="52"/>
      <c r="R32" s="51"/>
      <c r="S32" s="44"/>
    </row>
    <row r="33" spans="2:21" ht="16" thickBot="1" x14ac:dyDescent="0.4">
      <c r="B33" s="26" t="s">
        <v>43</v>
      </c>
      <c r="C33" s="26"/>
      <c r="D33" s="26"/>
      <c r="E33" s="26"/>
      <c r="F33" s="26"/>
      <c r="G33" s="27">
        <f>G31-G32</f>
        <v>162813533.50639999</v>
      </c>
      <c r="H33" s="27">
        <f t="shared" ref="H33:J33" si="13">H31-H32</f>
        <v>188512746.45279998</v>
      </c>
      <c r="I33" s="27">
        <f t="shared" si="13"/>
        <v>188996699.69599998</v>
      </c>
      <c r="J33" s="27">
        <f t="shared" si="13"/>
        <v>188996699.69599998</v>
      </c>
      <c r="K33" s="27">
        <f>K31-K32</f>
        <v>188996699.69599998</v>
      </c>
      <c r="L33" s="78">
        <f>L31-L32</f>
        <v>918316379.04720008</v>
      </c>
      <c r="M33" s="50"/>
      <c r="N33" s="50"/>
      <c r="O33" s="50"/>
      <c r="P33" s="50"/>
      <c r="Q33" s="50"/>
      <c r="R33" s="50"/>
      <c r="S33" s="44"/>
    </row>
    <row r="34" spans="2:21" x14ac:dyDescent="0.35">
      <c r="L34" s="69"/>
      <c r="M34" s="44"/>
      <c r="N34" s="44"/>
      <c r="O34" s="44"/>
      <c r="P34" s="44"/>
      <c r="Q34" s="44"/>
      <c r="R34" s="44"/>
      <c r="S34" s="44"/>
    </row>
    <row r="35" spans="2:21" x14ac:dyDescent="0.35">
      <c r="B35" s="14" t="s">
        <v>22</v>
      </c>
      <c r="C35" s="14"/>
      <c r="D35" s="14"/>
      <c r="E35" s="14"/>
      <c r="F35" s="28"/>
      <c r="G35" s="28">
        <f>-G9+-G10</f>
        <v>-3112159</v>
      </c>
      <c r="H35" s="28"/>
      <c r="I35" s="28"/>
      <c r="J35" s="28"/>
      <c r="K35" s="28"/>
      <c r="L35" s="79"/>
      <c r="M35" s="51"/>
      <c r="N35" s="51"/>
      <c r="O35" s="51"/>
      <c r="P35" s="51"/>
      <c r="Q35" s="51"/>
      <c r="R35" s="51"/>
      <c r="S35" s="44"/>
    </row>
    <row r="36" spans="2:21" x14ac:dyDescent="0.35">
      <c r="B36" t="s">
        <v>23</v>
      </c>
      <c r="F36" s="25">
        <f>F35</f>
        <v>0</v>
      </c>
      <c r="G36" s="25">
        <f t="shared" ref="G36:K36" si="14">G35+G33+G28</f>
        <v>160323806.3064</v>
      </c>
      <c r="H36" s="25">
        <f t="shared" si="14"/>
        <v>189135178.25279999</v>
      </c>
      <c r="I36" s="25">
        <f t="shared" si="14"/>
        <v>189619131.49599999</v>
      </c>
      <c r="J36" s="25">
        <f t="shared" si="14"/>
        <v>189619131.49599999</v>
      </c>
      <c r="K36" s="25">
        <f t="shared" si="14"/>
        <v>189619131.49599999</v>
      </c>
      <c r="L36" s="80">
        <f>SUM(G36:K36)</f>
        <v>918316379.04719996</v>
      </c>
      <c r="M36" s="51"/>
      <c r="N36" s="51"/>
      <c r="O36" s="51"/>
      <c r="P36" s="51"/>
      <c r="Q36" s="51"/>
      <c r="R36" s="51"/>
      <c r="S36" s="44"/>
    </row>
    <row r="37" spans="2:21" x14ac:dyDescent="0.35">
      <c r="B37" t="s">
        <v>24</v>
      </c>
      <c r="F37" s="25">
        <f>F36</f>
        <v>0</v>
      </c>
      <c r="G37" s="25">
        <f>F37+G36</f>
        <v>160323806.3064</v>
      </c>
      <c r="H37" s="25">
        <f t="shared" ref="H37:K37" si="15">G37+H36</f>
        <v>349458984.55919999</v>
      </c>
      <c r="I37" s="25">
        <f t="shared" si="15"/>
        <v>539078116.05519998</v>
      </c>
      <c r="J37" s="25">
        <f t="shared" si="15"/>
        <v>728697247.55119991</v>
      </c>
      <c r="K37" s="25">
        <f t="shared" si="15"/>
        <v>918316379.04719996</v>
      </c>
      <c r="L37" s="80"/>
      <c r="M37" s="51"/>
      <c r="N37" s="51"/>
      <c r="O37" s="51"/>
      <c r="P37" s="51"/>
      <c r="Q37" s="51"/>
      <c r="R37" s="51"/>
      <c r="S37" s="44"/>
    </row>
    <row r="38" spans="2:21" x14ac:dyDescent="0.35">
      <c r="B38" t="s">
        <v>25</v>
      </c>
      <c r="F38" s="25"/>
      <c r="G38" s="29">
        <f>IF(AND(F37&lt;0,G37&gt;0),G43-(G37/G36),0)</f>
        <v>0</v>
      </c>
      <c r="H38" s="29">
        <f>IF(AND(G37&lt;0,H37&gt;0),H43-(H37/H36),0)</f>
        <v>0</v>
      </c>
      <c r="I38" s="29">
        <f>IF(AND(H37&lt;0,I37&gt;0),I43-(I37/I36),0)</f>
        <v>0</v>
      </c>
      <c r="J38" s="29">
        <f t="shared" ref="J38:K38" si="16">IF(AND(I37&lt;0,J37&gt;0),J43-(J37/J36),0)</f>
        <v>0</v>
      </c>
      <c r="K38" s="29">
        <f t="shared" si="16"/>
        <v>0</v>
      </c>
      <c r="L38" s="81"/>
      <c r="M38" s="29"/>
      <c r="N38" s="29"/>
      <c r="O38" s="29"/>
      <c r="P38" s="29"/>
      <c r="Q38" s="29"/>
      <c r="R38" s="29"/>
    </row>
    <row r="39" spans="2:21" x14ac:dyDescent="0.35">
      <c r="B39" s="54" t="s">
        <v>26</v>
      </c>
      <c r="C39" s="55"/>
      <c r="D39" s="55"/>
      <c r="E39" s="55"/>
      <c r="F39" s="91" t="e">
        <f>IRR(G36:K36)</f>
        <v>#NUM!</v>
      </c>
    </row>
    <row r="40" spans="2:21" x14ac:dyDescent="0.35">
      <c r="B40" s="56" t="s">
        <v>27</v>
      </c>
      <c r="C40" s="57"/>
      <c r="D40" s="57"/>
      <c r="E40" s="57"/>
      <c r="F40" s="58">
        <f>NPV(F3,H36:K36)+G36</f>
        <v>760950981.70851493</v>
      </c>
    </row>
    <row r="41" spans="2:21" x14ac:dyDescent="0.35">
      <c r="B41" s="56" t="s">
        <v>28</v>
      </c>
      <c r="C41" s="57"/>
      <c r="D41" s="57"/>
      <c r="E41" s="57"/>
      <c r="F41" s="59">
        <f>L27</f>
        <v>0.53249999999999997</v>
      </c>
    </row>
    <row r="42" spans="2:21" x14ac:dyDescent="0.35">
      <c r="B42" s="60" t="s">
        <v>29</v>
      </c>
      <c r="C42" s="61"/>
      <c r="D42" s="61"/>
      <c r="E42" s="61"/>
      <c r="F42" s="62">
        <f>SUM(F38:G38)</f>
        <v>0</v>
      </c>
    </row>
    <row r="43" spans="2:21" x14ac:dyDescent="0.35">
      <c r="G43" s="9">
        <v>1</v>
      </c>
      <c r="H43" s="9">
        <v>2</v>
      </c>
      <c r="I43" s="9">
        <v>3</v>
      </c>
      <c r="J43" s="9">
        <v>4</v>
      </c>
      <c r="K43" s="9">
        <v>5</v>
      </c>
      <c r="L43" s="30"/>
      <c r="M43" s="9"/>
      <c r="N43" s="30"/>
      <c r="O43" s="9"/>
      <c r="P43" s="30"/>
      <c r="Q43" s="9"/>
    </row>
    <row r="44" spans="2:21" x14ac:dyDescent="0.35">
      <c r="B44" s="31" t="s">
        <v>30</v>
      </c>
      <c r="E44" s="32" t="s">
        <v>31</v>
      </c>
      <c r="G44" s="32" t="str">
        <f>G12</f>
        <v>Year 1</v>
      </c>
      <c r="H44" s="32" t="s">
        <v>168</v>
      </c>
      <c r="I44" s="32" t="s">
        <v>169</v>
      </c>
      <c r="J44" s="32" t="s">
        <v>170</v>
      </c>
      <c r="K44" s="32" t="s">
        <v>10</v>
      </c>
      <c r="L44" s="32"/>
      <c r="M44" s="32"/>
      <c r="N44" s="32"/>
      <c r="O44" s="32"/>
      <c r="P44" s="32"/>
      <c r="Q44" s="32"/>
      <c r="R44" s="32"/>
    </row>
    <row r="45" spans="2:21" x14ac:dyDescent="0.35">
      <c r="D45" t="s">
        <v>6</v>
      </c>
      <c r="E45">
        <v>5</v>
      </c>
      <c r="G45" s="67">
        <f>SUM(G9:G10)/$E45</f>
        <v>622431.80000000005</v>
      </c>
      <c r="H45" s="67">
        <f>G45</f>
        <v>622431.80000000005</v>
      </c>
      <c r="I45" s="67">
        <f t="shared" ref="I45:K45" si="17">H45</f>
        <v>622431.80000000005</v>
      </c>
      <c r="J45" s="67">
        <f t="shared" si="17"/>
        <v>622431.80000000005</v>
      </c>
      <c r="K45" s="67">
        <f t="shared" si="17"/>
        <v>622431.80000000005</v>
      </c>
      <c r="L45" s="33"/>
      <c r="M45" s="33"/>
      <c r="N45" s="33"/>
      <c r="O45" s="33"/>
      <c r="P45" s="33"/>
      <c r="Q45" s="33"/>
      <c r="R45" s="34"/>
    </row>
    <row r="46" spans="2:21" ht="16" thickBot="1" x14ac:dyDescent="0.4">
      <c r="B46" s="35" t="s">
        <v>32</v>
      </c>
      <c r="C46" s="36"/>
      <c r="D46" s="36"/>
      <c r="E46" s="36"/>
      <c r="F46" s="36"/>
      <c r="G46" s="37">
        <f>SUM(G45:G45)</f>
        <v>622431.80000000005</v>
      </c>
      <c r="H46" s="37">
        <f t="shared" ref="H46:K46" si="18">SUM(H45:H45)</f>
        <v>622431.80000000005</v>
      </c>
      <c r="I46" s="37">
        <f t="shared" si="18"/>
        <v>622431.80000000005</v>
      </c>
      <c r="J46" s="37">
        <f t="shared" si="18"/>
        <v>622431.80000000005</v>
      </c>
      <c r="K46" s="37">
        <f t="shared" si="18"/>
        <v>622431.80000000005</v>
      </c>
      <c r="L46" s="41">
        <f>SUM(G46:K46)</f>
        <v>3112159</v>
      </c>
      <c r="M46" s="41"/>
      <c r="N46" s="41"/>
      <c r="O46" s="41"/>
      <c r="P46" s="41"/>
      <c r="Q46" s="41"/>
      <c r="R46" s="41"/>
      <c r="S46" s="38"/>
      <c r="T46" s="38"/>
      <c r="U46" s="38"/>
    </row>
    <row r="47" spans="2:21" ht="16" thickTop="1" x14ac:dyDescent="0.35">
      <c r="R47" s="13"/>
    </row>
    <row r="49" spans="6:6" x14ac:dyDescent="0.35">
      <c r="F49" t="s">
        <v>44</v>
      </c>
    </row>
  </sheetData>
  <mergeCells count="6">
    <mergeCell ref="O20:P20"/>
    <mergeCell ref="O21:P21"/>
    <mergeCell ref="E17:F17"/>
    <mergeCell ref="O14:O15"/>
    <mergeCell ref="O18:P18"/>
    <mergeCell ref="O19:P19"/>
  </mergeCells>
  <pageMargins left="0.25" right="0.25" top="0.75" bottom="0.75" header="0.3" footer="0.3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3"/>
  <sheetViews>
    <sheetView workbookViewId="0">
      <selection activeCell="C6" sqref="C6"/>
    </sheetView>
  </sheetViews>
  <sheetFormatPr defaultRowHeight="15.5" x14ac:dyDescent="0.35"/>
  <cols>
    <col min="1" max="1" width="3.08203125" bestFit="1" customWidth="1"/>
    <col min="2" max="2" width="10.08203125" bestFit="1" customWidth="1"/>
    <col min="3" max="3" width="11.1640625" bestFit="1" customWidth="1"/>
    <col min="4" max="4" width="14.5" bestFit="1" customWidth="1"/>
  </cols>
  <sheetData>
    <row r="1" spans="1:4" x14ac:dyDescent="0.35">
      <c r="A1" s="212" t="s">
        <v>127</v>
      </c>
      <c r="B1" s="212" t="s">
        <v>128</v>
      </c>
      <c r="C1" s="212" t="s">
        <v>139</v>
      </c>
    </row>
    <row r="2" spans="1:4" ht="16" thickBot="1" x14ac:dyDescent="0.4">
      <c r="A2" s="213"/>
      <c r="B2" s="213"/>
      <c r="C2" s="213"/>
    </row>
    <row r="3" spans="1:4" ht="16" thickBot="1" x14ac:dyDescent="0.4">
      <c r="A3" s="148"/>
      <c r="B3" s="149"/>
      <c r="C3" s="149"/>
    </row>
    <row r="4" spans="1:4" ht="16" thickBot="1" x14ac:dyDescent="0.4">
      <c r="A4" s="148"/>
      <c r="B4" s="149">
        <v>2022</v>
      </c>
      <c r="C4" s="168">
        <v>252368000</v>
      </c>
    </row>
    <row r="5" spans="1:4" ht="16" thickBot="1" x14ac:dyDescent="0.4">
      <c r="A5" s="148"/>
      <c r="B5" s="149">
        <v>2023</v>
      </c>
      <c r="C5" s="168">
        <v>315944000</v>
      </c>
      <c r="D5" s="169">
        <f>(C5-C4)/C4</f>
        <v>0.25191783427375897</v>
      </c>
    </row>
    <row r="6" spans="1:4" ht="16" thickBot="1" x14ac:dyDescent="0.4">
      <c r="A6" s="150">
        <v>1</v>
      </c>
      <c r="B6" s="151">
        <v>45292</v>
      </c>
      <c r="C6" s="168">
        <v>24922000</v>
      </c>
    </row>
    <row r="7" spans="1:4" ht="16" thickBot="1" x14ac:dyDescent="0.4">
      <c r="A7" s="150">
        <v>2</v>
      </c>
      <c r="B7" s="151">
        <v>45323</v>
      </c>
      <c r="C7" s="168">
        <v>19586000</v>
      </c>
    </row>
    <row r="8" spans="1:4" ht="16" thickBot="1" x14ac:dyDescent="0.4">
      <c r="A8" s="150">
        <v>3</v>
      </c>
      <c r="B8" s="151">
        <v>45352</v>
      </c>
      <c r="C8" s="168">
        <v>20630000</v>
      </c>
    </row>
    <row r="9" spans="1:4" ht="16" thickBot="1" x14ac:dyDescent="0.4">
      <c r="A9" s="150">
        <v>4</v>
      </c>
      <c r="B9" s="151">
        <v>45383</v>
      </c>
      <c r="C9" s="168">
        <v>31266000</v>
      </c>
    </row>
    <row r="10" spans="1:4" ht="16" thickBot="1" x14ac:dyDescent="0.4">
      <c r="A10" s="150">
        <v>5</v>
      </c>
      <c r="B10" s="151">
        <v>45413</v>
      </c>
      <c r="C10" s="168">
        <v>22510000</v>
      </c>
    </row>
    <row r="11" spans="1:4" ht="16" thickBot="1" x14ac:dyDescent="0.4">
      <c r="A11" s="150">
        <v>6</v>
      </c>
      <c r="B11" s="151">
        <v>45444</v>
      </c>
      <c r="C11" s="168">
        <v>25104000</v>
      </c>
    </row>
    <row r="12" spans="1:4" ht="16" thickBot="1" x14ac:dyDescent="0.4">
      <c r="A12" s="148">
        <v>7</v>
      </c>
      <c r="B12" s="151">
        <v>45474</v>
      </c>
      <c r="C12" s="168">
        <v>27488000</v>
      </c>
    </row>
    <row r="13" spans="1:4" ht="16" thickBot="1" x14ac:dyDescent="0.4">
      <c r="A13" s="214" t="s">
        <v>129</v>
      </c>
      <c r="B13" s="215"/>
      <c r="C13" s="167"/>
    </row>
  </sheetData>
  <mergeCells count="4">
    <mergeCell ref="C1:C2"/>
    <mergeCell ref="A13:B13"/>
    <mergeCell ref="A1:A2"/>
    <mergeCell ref="B1:B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11E66-FD9F-4F95-A51B-FB87FA90E173}">
  <dimension ref="A1:D19"/>
  <sheetViews>
    <sheetView zoomScale="82" zoomScaleNormal="82" workbookViewId="0">
      <selection activeCell="F11" sqref="F11"/>
    </sheetView>
  </sheetViews>
  <sheetFormatPr defaultColWidth="8.4140625" defaultRowHeight="14.5" x14ac:dyDescent="0.35"/>
  <cols>
    <col min="1" max="1" width="5.08203125" style="171" customWidth="1"/>
    <col min="2" max="2" width="30" style="171" customWidth="1"/>
    <col min="3" max="3" width="39.4140625" style="171" customWidth="1"/>
    <col min="4" max="4" width="45.33203125" style="171" customWidth="1"/>
    <col min="5" max="16384" width="8.4140625" style="171"/>
  </cols>
  <sheetData>
    <row r="1" spans="1:4" ht="21" x14ac:dyDescent="0.5">
      <c r="C1" s="172" t="s">
        <v>140</v>
      </c>
    </row>
    <row r="3" spans="1:4" x14ac:dyDescent="0.35">
      <c r="A3" s="173" t="s">
        <v>141</v>
      </c>
      <c r="B3" s="173"/>
      <c r="C3" s="174" t="s">
        <v>142</v>
      </c>
    </row>
    <row r="4" spans="1:4" x14ac:dyDescent="0.35">
      <c r="A4" s="173" t="s">
        <v>143</v>
      </c>
      <c r="B4" s="173"/>
      <c r="C4" s="174" t="s">
        <v>144</v>
      </c>
    </row>
    <row r="5" spans="1:4" x14ac:dyDescent="0.35">
      <c r="A5" s="173" t="s">
        <v>145</v>
      </c>
      <c r="B5" s="173"/>
      <c r="C5" s="174" t="s">
        <v>146</v>
      </c>
    </row>
    <row r="6" spans="1:4" x14ac:dyDescent="0.35">
      <c r="A6" s="173" t="s">
        <v>147</v>
      </c>
      <c r="B6" s="173"/>
      <c r="C6" s="174" t="s">
        <v>122</v>
      </c>
    </row>
    <row r="8" spans="1:4" ht="15" customHeight="1" x14ac:dyDescent="0.35">
      <c r="A8" s="216" t="s">
        <v>148</v>
      </c>
      <c r="B8" s="217" t="s">
        <v>149</v>
      </c>
      <c r="C8" s="217" t="s">
        <v>150</v>
      </c>
      <c r="D8" s="217" t="s">
        <v>124</v>
      </c>
    </row>
    <row r="9" spans="1:4" ht="15" customHeight="1" x14ac:dyDescent="0.35">
      <c r="A9" s="216"/>
      <c r="B9" s="218"/>
      <c r="C9" s="218"/>
      <c r="D9" s="218"/>
    </row>
    <row r="10" spans="1:4" x14ac:dyDescent="0.35">
      <c r="A10" s="175">
        <v>1</v>
      </c>
      <c r="B10" s="176" t="s">
        <v>151</v>
      </c>
      <c r="C10" s="176" t="s">
        <v>152</v>
      </c>
      <c r="D10" s="176" t="s">
        <v>152</v>
      </c>
    </row>
    <row r="11" spans="1:4" ht="15.5" x14ac:dyDescent="0.35">
      <c r="A11" s="175">
        <v>2</v>
      </c>
      <c r="B11" s="176" t="s">
        <v>153</v>
      </c>
      <c r="C11" s="177" t="s">
        <v>154</v>
      </c>
      <c r="D11" s="177" t="s">
        <v>155</v>
      </c>
    </row>
    <row r="12" spans="1:4" ht="15.5" x14ac:dyDescent="0.35">
      <c r="A12" s="175">
        <v>3</v>
      </c>
      <c r="B12" s="177" t="s">
        <v>156</v>
      </c>
      <c r="C12" s="178">
        <v>0.3</v>
      </c>
      <c r="D12" s="178">
        <v>0.3</v>
      </c>
    </row>
    <row r="13" spans="1:4" ht="15.5" x14ac:dyDescent="0.35">
      <c r="A13" s="175">
        <v>4</v>
      </c>
      <c r="B13" s="176" t="s">
        <v>157</v>
      </c>
      <c r="C13" s="179" t="s">
        <v>158</v>
      </c>
      <c r="D13" s="179" t="s">
        <v>158</v>
      </c>
    </row>
    <row r="14" spans="1:4" ht="15.5" x14ac:dyDescent="0.35">
      <c r="A14" s="175">
        <v>5</v>
      </c>
      <c r="B14" s="176" t="s">
        <v>159</v>
      </c>
      <c r="C14" s="177" t="s">
        <v>160</v>
      </c>
      <c r="D14" s="177" t="s">
        <v>161</v>
      </c>
    </row>
    <row r="15" spans="1:4" ht="15.5" x14ac:dyDescent="0.35">
      <c r="A15" s="175">
        <v>6</v>
      </c>
      <c r="B15" s="176" t="s">
        <v>162</v>
      </c>
      <c r="C15" s="180">
        <v>172484000</v>
      </c>
      <c r="D15" s="180">
        <v>172484000</v>
      </c>
    </row>
    <row r="16" spans="1:4" ht="15.5" x14ac:dyDescent="0.35">
      <c r="A16" s="175">
        <v>7</v>
      </c>
      <c r="B16" s="181" t="s">
        <v>163</v>
      </c>
      <c r="C16" s="182">
        <v>412</v>
      </c>
      <c r="D16" s="182">
        <v>412</v>
      </c>
    </row>
    <row r="17" spans="1:4" ht="15.5" x14ac:dyDescent="0.35">
      <c r="A17" s="175">
        <v>8</v>
      </c>
      <c r="B17" s="177" t="s">
        <v>164</v>
      </c>
      <c r="C17" s="179" t="s">
        <v>165</v>
      </c>
      <c r="D17" s="179" t="s">
        <v>165</v>
      </c>
    </row>
    <row r="18" spans="1:4" ht="15.5" x14ac:dyDescent="0.35">
      <c r="A18" s="175"/>
      <c r="B18" s="181" t="s">
        <v>166</v>
      </c>
      <c r="C18" s="177" t="s">
        <v>167</v>
      </c>
      <c r="D18" s="177" t="s">
        <v>167</v>
      </c>
    </row>
    <row r="19" spans="1:4" ht="15.5" x14ac:dyDescent="0.35">
      <c r="A19" s="175"/>
      <c r="B19" s="176"/>
      <c r="C19" s="179"/>
      <c r="D19" s="179"/>
    </row>
  </sheetData>
  <mergeCells count="4">
    <mergeCell ref="A8:A9"/>
    <mergeCell ref="B8:B9"/>
    <mergeCell ref="C8:C9"/>
    <mergeCell ref="D8:D9"/>
  </mergeCells>
  <pageMargins left="0.70866141732283472" right="0.70866141732283472" top="0.74803149606299213" bottom="0.74803149606299213" header="0.31496062992125984" footer="0.31496062992125984"/>
  <pageSetup paperSize="9" scale="8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45"/>
  <sheetViews>
    <sheetView zoomScale="70" zoomScaleNormal="70" workbookViewId="0">
      <selection activeCell="H4" sqref="H4"/>
    </sheetView>
  </sheetViews>
  <sheetFormatPr defaultRowHeight="15.5" x14ac:dyDescent="0.35"/>
  <cols>
    <col min="1" max="1" width="13.5" bestFit="1" customWidth="1"/>
    <col min="2" max="2" width="15.83203125" bestFit="1" customWidth="1"/>
    <col min="3" max="4" width="13.75" bestFit="1" customWidth="1"/>
    <col min="5" max="5" width="14.83203125" customWidth="1"/>
    <col min="6" max="6" width="14" customWidth="1"/>
    <col min="7" max="7" width="12.08203125" bestFit="1" customWidth="1"/>
    <col min="8" max="8" width="16.75" customWidth="1"/>
    <col min="9" max="9" width="15.33203125" customWidth="1"/>
    <col min="10" max="11" width="13.75" bestFit="1" customWidth="1"/>
  </cols>
  <sheetData>
    <row r="1" spans="1:11" x14ac:dyDescent="0.35">
      <c r="B1">
        <v>2021</v>
      </c>
      <c r="C1">
        <v>2022</v>
      </c>
      <c r="D1">
        <v>2023</v>
      </c>
      <c r="E1">
        <v>2024</v>
      </c>
      <c r="F1">
        <v>2025</v>
      </c>
      <c r="G1">
        <v>2026</v>
      </c>
    </row>
    <row r="2" spans="1:11" x14ac:dyDescent="0.35">
      <c r="B2" t="s">
        <v>6</v>
      </c>
      <c r="C2" t="s">
        <v>7</v>
      </c>
      <c r="D2" t="s">
        <v>8</v>
      </c>
      <c r="E2" t="s">
        <v>9</v>
      </c>
      <c r="F2" t="s">
        <v>10</v>
      </c>
      <c r="G2" t="s">
        <v>37</v>
      </c>
      <c r="H2" t="s">
        <v>38</v>
      </c>
      <c r="I2" t="s">
        <v>39</v>
      </c>
      <c r="J2" t="s">
        <v>40</v>
      </c>
      <c r="K2" t="s">
        <v>41</v>
      </c>
    </row>
    <row r="3" spans="1:11" x14ac:dyDescent="0.35">
      <c r="A3" t="s">
        <v>45</v>
      </c>
      <c r="B3" s="92">
        <v>49382984</v>
      </c>
      <c r="C3" s="13">
        <f>$B$3-$B$5</f>
        <v>39506387.200000003</v>
      </c>
      <c r="D3" s="13">
        <f>$C$3-$B$5</f>
        <v>29629790.400000002</v>
      </c>
      <c r="E3" s="13">
        <f>$D$3-$B$5</f>
        <v>19753193.600000001</v>
      </c>
      <c r="F3" s="13">
        <f>$E$3-$B$5</f>
        <v>9876596.8000000007</v>
      </c>
      <c r="G3" s="13">
        <f>$F$3-$B$5</f>
        <v>0</v>
      </c>
      <c r="H3" s="13">
        <v>0</v>
      </c>
      <c r="I3" s="13"/>
      <c r="J3" s="13"/>
      <c r="K3" s="13"/>
    </row>
    <row r="4" spans="1:11" x14ac:dyDescent="0.35">
      <c r="A4" t="s">
        <v>46</v>
      </c>
      <c r="B4" s="92">
        <v>5</v>
      </c>
    </row>
    <row r="5" spans="1:11" x14ac:dyDescent="0.35">
      <c r="A5" t="s">
        <v>47</v>
      </c>
      <c r="B5" s="92">
        <f>$B$3/$B$4</f>
        <v>9876596.8000000007</v>
      </c>
    </row>
    <row r="6" spans="1:11" x14ac:dyDescent="0.35">
      <c r="A6" t="s">
        <v>48</v>
      </c>
      <c r="B6" s="92">
        <f>(($B$3*IRR!$F$3)*6)/12</f>
        <v>2469149.2000000002</v>
      </c>
      <c r="C6" s="13">
        <f>AVERAGE(B3:C3)*IRR!$F$3</f>
        <v>4444468.5600000005</v>
      </c>
      <c r="D6" s="13">
        <f>AVERAGE(C3:D3)*IRR!$F$3</f>
        <v>3456808.8800000008</v>
      </c>
      <c r="E6" s="13">
        <f>AVERAGE(D3:E3)*IRR!$F$3</f>
        <v>2469149.2000000002</v>
      </c>
      <c r="F6" s="13">
        <f>AVERAGE(E3:F3)*IRR!$F$3</f>
        <v>1481489.5200000003</v>
      </c>
      <c r="G6" s="13">
        <f>AVERAGE(F3:G3)*IRR!$F$3</f>
        <v>493829.84000000008</v>
      </c>
      <c r="H6" s="13">
        <f>AVERAGE(G3:H3)*IRR!$F$3</f>
        <v>0</v>
      </c>
      <c r="I6" s="13">
        <f>AVERAGE(H3:I3)*IRR!$F$3</f>
        <v>0</v>
      </c>
      <c r="J6" s="13" t="e">
        <f>AVERAGE(I3:J3)*IRR!$F$3</f>
        <v>#DIV/0!</v>
      </c>
      <c r="K6" s="13" t="e">
        <f>AVERAGE($J$3:$K$3)*[3]IRR!$G$4</f>
        <v>#DIV/0!</v>
      </c>
    </row>
    <row r="11" spans="1:11" x14ac:dyDescent="0.35">
      <c r="F11" s="132" t="s">
        <v>83</v>
      </c>
      <c r="G11" s="132" t="s">
        <v>84</v>
      </c>
      <c r="H11" s="132" t="s">
        <v>85</v>
      </c>
      <c r="I11" s="133" t="s">
        <v>86</v>
      </c>
      <c r="J11" s="219" t="s">
        <v>87</v>
      </c>
      <c r="K11" s="219" t="s">
        <v>88</v>
      </c>
    </row>
    <row r="12" spans="1:11" x14ac:dyDescent="0.35">
      <c r="E12" s="134" t="s">
        <v>89</v>
      </c>
      <c r="F12" s="135">
        <v>2</v>
      </c>
      <c r="G12" s="136">
        <v>1</v>
      </c>
      <c r="H12" s="136">
        <v>1</v>
      </c>
      <c r="I12" s="137">
        <v>186</v>
      </c>
      <c r="J12" s="219"/>
      <c r="K12" s="219"/>
    </row>
    <row r="13" spans="1:11" x14ac:dyDescent="0.35">
      <c r="B13" s="220" t="s">
        <v>90</v>
      </c>
      <c r="C13" s="138" t="s">
        <v>91</v>
      </c>
      <c r="D13" s="139">
        <f>C24</f>
        <v>3000000</v>
      </c>
      <c r="E13" s="138" t="s">
        <v>83</v>
      </c>
      <c r="F13" s="132">
        <f>F12</f>
        <v>2</v>
      </c>
      <c r="G13" s="132"/>
      <c r="H13" s="132"/>
      <c r="I13" s="133"/>
      <c r="J13" s="140">
        <f>F13*D13</f>
        <v>6000000</v>
      </c>
    </row>
    <row r="14" spans="1:11" x14ac:dyDescent="0.35">
      <c r="B14" s="221"/>
      <c r="C14" s="138" t="s">
        <v>92</v>
      </c>
      <c r="D14" s="141">
        <v>600000</v>
      </c>
      <c r="E14" s="138" t="s">
        <v>83</v>
      </c>
      <c r="F14" s="132">
        <f>F12</f>
        <v>2</v>
      </c>
      <c r="G14" s="132"/>
      <c r="H14" s="132"/>
      <c r="I14" s="133">
        <f>IF($I$11&lt;=120,2,IF($I$11&gt;220,4,3))</f>
        <v>4</v>
      </c>
      <c r="J14" s="141">
        <f>D14*F14</f>
        <v>1200000</v>
      </c>
    </row>
    <row r="15" spans="1:11" x14ac:dyDescent="0.35">
      <c r="B15" s="222"/>
      <c r="C15" s="138" t="s">
        <v>90</v>
      </c>
      <c r="D15" s="141">
        <v>200000</v>
      </c>
      <c r="E15" s="138" t="s">
        <v>93</v>
      </c>
      <c r="F15" s="132"/>
      <c r="G15" s="132">
        <f>G12</f>
        <v>1</v>
      </c>
      <c r="H15" s="132"/>
      <c r="I15" s="133"/>
      <c r="J15" s="141">
        <f>G15*D15</f>
        <v>200000</v>
      </c>
    </row>
    <row r="16" spans="1:11" x14ac:dyDescent="0.35">
      <c r="B16" s="138" t="s">
        <v>94</v>
      </c>
      <c r="C16" s="138" t="s">
        <v>94</v>
      </c>
      <c r="D16" s="141">
        <v>450000</v>
      </c>
      <c r="E16" s="138" t="s">
        <v>85</v>
      </c>
      <c r="F16" s="132">
        <f>F12</f>
        <v>2</v>
      </c>
      <c r="G16" s="132"/>
      <c r="H16" s="132">
        <f>H12</f>
        <v>1</v>
      </c>
      <c r="I16" s="133">
        <f t="shared" ref="I16:I17" si="0">IF($I$11&lt;=120,2,IF($I$11&gt;220,4,3))</f>
        <v>4</v>
      </c>
      <c r="J16" s="141">
        <f>H16*D16*I16</f>
        <v>1800000</v>
      </c>
    </row>
    <row r="17" spans="1:11" x14ac:dyDescent="0.35">
      <c r="B17" s="138" t="s">
        <v>95</v>
      </c>
      <c r="C17" s="138" t="s">
        <v>95</v>
      </c>
      <c r="D17" s="141">
        <v>120000</v>
      </c>
      <c r="E17" s="138" t="s">
        <v>83</v>
      </c>
      <c r="F17" s="132">
        <f>F12</f>
        <v>2</v>
      </c>
      <c r="G17" s="132"/>
      <c r="H17" s="132"/>
      <c r="I17" s="133">
        <f t="shared" si="0"/>
        <v>4</v>
      </c>
      <c r="J17" s="141">
        <f>I17*D17*F17</f>
        <v>960000</v>
      </c>
    </row>
    <row r="18" spans="1:11" x14ac:dyDescent="0.35">
      <c r="J18" s="142">
        <f>SUM(J13:J17)</f>
        <v>10160000</v>
      </c>
      <c r="K18" s="143">
        <f>J18*2</f>
        <v>20320000</v>
      </c>
    </row>
    <row r="21" spans="1:11" x14ac:dyDescent="0.35">
      <c r="K21" s="13"/>
    </row>
    <row r="22" spans="1:11" x14ac:dyDescent="0.35">
      <c r="B22" s="132" t="s">
        <v>96</v>
      </c>
      <c r="C22" s="132" t="s">
        <v>91</v>
      </c>
      <c r="E22" s="138" t="s">
        <v>97</v>
      </c>
      <c r="K22" s="34"/>
    </row>
    <row r="23" spans="1:11" x14ac:dyDescent="0.35">
      <c r="A23" t="s">
        <v>98</v>
      </c>
      <c r="B23" s="92">
        <v>16800000</v>
      </c>
      <c r="C23" s="92">
        <v>4000000</v>
      </c>
      <c r="E23" t="s">
        <v>99</v>
      </c>
      <c r="K23" s="13"/>
    </row>
    <row r="24" spans="1:11" x14ac:dyDescent="0.35">
      <c r="A24" t="s">
        <v>100</v>
      </c>
      <c r="B24" s="92"/>
      <c r="C24" s="92">
        <v>3000000</v>
      </c>
      <c r="E24" t="s">
        <v>101</v>
      </c>
      <c r="I24" s="92">
        <v>10000000</v>
      </c>
    </row>
    <row r="25" spans="1:11" x14ac:dyDescent="0.35">
      <c r="A25" t="s">
        <v>102</v>
      </c>
      <c r="B25" s="92">
        <v>15600000</v>
      </c>
      <c r="C25" s="92">
        <v>2500000</v>
      </c>
      <c r="E25" t="s">
        <v>101</v>
      </c>
      <c r="H25" t="s">
        <v>103</v>
      </c>
      <c r="I25" s="92">
        <v>12000000</v>
      </c>
    </row>
    <row r="26" spans="1:11" x14ac:dyDescent="0.35">
      <c r="A26" t="s">
        <v>104</v>
      </c>
      <c r="B26" s="92">
        <v>15000000</v>
      </c>
      <c r="C26" s="92">
        <v>2000000</v>
      </c>
      <c r="E26" t="s">
        <v>101</v>
      </c>
      <c r="H26" t="s">
        <v>105</v>
      </c>
      <c r="I26" s="92">
        <v>14000000</v>
      </c>
    </row>
    <row r="27" spans="1:11" x14ac:dyDescent="0.35">
      <c r="A27" t="s">
        <v>106</v>
      </c>
      <c r="B27" s="92">
        <v>15000000</v>
      </c>
      <c r="C27" s="92">
        <v>1850000</v>
      </c>
      <c r="E27" t="s">
        <v>101</v>
      </c>
      <c r="H27" t="s">
        <v>107</v>
      </c>
      <c r="I27" s="92">
        <v>14000000</v>
      </c>
    </row>
    <row r="28" spans="1:11" x14ac:dyDescent="0.35">
      <c r="A28" t="s">
        <v>108</v>
      </c>
      <c r="B28" s="92">
        <v>12000000</v>
      </c>
      <c r="C28" s="92">
        <v>1200000</v>
      </c>
      <c r="E28" t="s">
        <v>101</v>
      </c>
      <c r="H28" t="s">
        <v>98</v>
      </c>
      <c r="I28" s="92">
        <v>17000000</v>
      </c>
    </row>
    <row r="29" spans="1:11" x14ac:dyDescent="0.35">
      <c r="A29" t="s">
        <v>109</v>
      </c>
      <c r="B29" s="92">
        <v>16800000</v>
      </c>
      <c r="C29" s="92">
        <v>2000000</v>
      </c>
      <c r="E29" t="s">
        <v>101</v>
      </c>
      <c r="H29" t="s">
        <v>109</v>
      </c>
      <c r="I29" s="92">
        <v>14000000</v>
      </c>
    </row>
    <row r="30" spans="1:11" x14ac:dyDescent="0.35">
      <c r="A30" t="s">
        <v>110</v>
      </c>
      <c r="B30" s="92">
        <v>15720000</v>
      </c>
      <c r="C30" s="92">
        <v>3500000</v>
      </c>
    </row>
    <row r="31" spans="1:11" x14ac:dyDescent="0.35">
      <c r="A31" t="s">
        <v>111</v>
      </c>
      <c r="C31" s="92">
        <v>2800000</v>
      </c>
    </row>
    <row r="32" spans="1:11" x14ac:dyDescent="0.35">
      <c r="A32" t="s">
        <v>112</v>
      </c>
      <c r="B32">
        <v>0</v>
      </c>
      <c r="C32" s="92">
        <v>0</v>
      </c>
      <c r="D32" t="s">
        <v>113</v>
      </c>
    </row>
    <row r="34" spans="1:3" x14ac:dyDescent="0.35">
      <c r="B34" s="132" t="s">
        <v>114</v>
      </c>
      <c r="C34" s="132"/>
    </row>
    <row r="35" spans="1:3" x14ac:dyDescent="0.35">
      <c r="B35" s="92">
        <v>7000000</v>
      </c>
    </row>
    <row r="37" spans="1:3" x14ac:dyDescent="0.35">
      <c r="A37" s="138" t="s">
        <v>115</v>
      </c>
      <c r="B37" s="13"/>
    </row>
    <row r="38" spans="1:3" x14ac:dyDescent="0.35">
      <c r="A38" t="s">
        <v>116</v>
      </c>
    </row>
    <row r="39" spans="1:3" x14ac:dyDescent="0.35">
      <c r="A39" t="s">
        <v>117</v>
      </c>
      <c r="B39" s="92">
        <v>36000000</v>
      </c>
    </row>
    <row r="40" spans="1:3" x14ac:dyDescent="0.35">
      <c r="A40" t="s">
        <v>118</v>
      </c>
      <c r="B40" s="92">
        <v>42000000</v>
      </c>
    </row>
    <row r="41" spans="1:3" x14ac:dyDescent="0.35">
      <c r="A41" t="s">
        <v>119</v>
      </c>
      <c r="B41" s="92">
        <v>48000000</v>
      </c>
    </row>
    <row r="43" spans="1:3" x14ac:dyDescent="0.35">
      <c r="A43" t="s">
        <v>120</v>
      </c>
    </row>
    <row r="44" spans="1:3" x14ac:dyDescent="0.35">
      <c r="A44" t="s">
        <v>121</v>
      </c>
      <c r="B44" s="92">
        <v>75000000</v>
      </c>
    </row>
    <row r="45" spans="1:3" x14ac:dyDescent="0.35">
      <c r="A45" t="s">
        <v>119</v>
      </c>
      <c r="B45" s="92">
        <v>95000000</v>
      </c>
    </row>
  </sheetData>
  <mergeCells count="3">
    <mergeCell ref="J11:J12"/>
    <mergeCell ref="K11:K12"/>
    <mergeCell ref="B13:B15"/>
  </mergeCells>
  <conditionalFormatting sqref="B6:K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Summary</vt:lpstr>
      <vt:lpstr>IRR</vt:lpstr>
      <vt:lpstr>Rev</vt:lpstr>
      <vt:lpstr>Summary Review new</vt:lpstr>
      <vt:lpstr>PARAMETER</vt:lpstr>
      <vt:lpstr>IRR!Print_Area</vt:lpstr>
      <vt:lpstr>Summary!Print_Area</vt:lpstr>
      <vt:lpstr>'Summary Review new'!Print_Area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2023-07-06T04:20:42Z</cp:lastPrinted>
  <dcterms:created xsi:type="dcterms:W3CDTF">2020-06-08T08:40:20Z</dcterms:created>
  <dcterms:modified xsi:type="dcterms:W3CDTF">2024-09-26T09:40:31Z</dcterms:modified>
</cp:coreProperties>
</file>