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Mansion Pasar Baru\"/>
    </mc:Choice>
  </mc:AlternateContent>
  <xr:revisionPtr revIDLastSave="0" documentId="8_{95C7115E-73FC-427D-A9D3-EB03A2B2FBA7}" xr6:coauthVersionLast="36" xr6:coauthVersionMax="36" xr10:uidLastSave="{00000000-0000-0000-0000-000000000000}"/>
  <bookViews>
    <workbookView xWindow="0" yWindow="0" windowWidth="19200" windowHeight="6230" activeTab="1" xr2:uid="{00000000-000D-0000-FFFF-FFFF00000000}"/>
  </bookViews>
  <sheets>
    <sheet name="Summary" sheetId="8" r:id="rId1"/>
    <sheet name="IRR Approved (2)" sheetId="11" r:id="rId2"/>
    <sheet name="PARAMETER" sheetId="5" r:id="rId3"/>
    <sheet name="Summary Review" sheetId="12" r:id="rId4"/>
    <sheet name="Analisa" sheetId="10" r:id="rId5"/>
    <sheet name="BoQ MANSION" sheetId="13" r:id="rId6"/>
  </sheets>
  <externalReferences>
    <externalReference r:id="rId7"/>
  </externalReferences>
  <definedNames>
    <definedName name="jk" localSheetId="4">#REF!</definedName>
    <definedName name="jk" localSheetId="1">#REF!</definedName>
    <definedName name="jk" localSheetId="3">#REF!</definedName>
    <definedName name="jk">#REF!</definedName>
    <definedName name="_xlnm.Print_Area" localSheetId="4">Analisa!$A$2:$F$22</definedName>
    <definedName name="_xlnm.Print_Area" localSheetId="5">'BoQ MANSION'!$B$1:$J$58</definedName>
    <definedName name="_xlnm.Print_Area" localSheetId="1">'IRR Approved (2)'!$B$1:$Q$66</definedName>
    <definedName name="_xlnm.Print_Area" localSheetId="0">Summary!$B$1:$N$34</definedName>
    <definedName name="_xlnm.Print_Area" localSheetId="3">'Summary Review'!$A$1:$D$23</definedName>
    <definedName name="_xlnm.Print_Titles" localSheetId="5">'BoQ MANSION'!$1:$5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0" l="1"/>
  <c r="F21" i="10"/>
  <c r="E21" i="10"/>
  <c r="F20" i="10"/>
  <c r="D20" i="10"/>
  <c r="D17" i="10"/>
  <c r="F17" i="10" s="1"/>
  <c r="Q12" i="11"/>
  <c r="G11" i="11"/>
  <c r="G55" i="11" s="1"/>
  <c r="H56" i="13"/>
  <c r="I56" i="13" s="1"/>
  <c r="H55" i="13"/>
  <c r="I55" i="13" s="1"/>
  <c r="H54" i="13"/>
  <c r="I54" i="13" s="1"/>
  <c r="H53" i="13"/>
  <c r="I53" i="13" s="1"/>
  <c r="H52" i="13"/>
  <c r="E52" i="13"/>
  <c r="I52" i="13" s="1"/>
  <c r="H50" i="13"/>
  <c r="I50" i="13" s="1"/>
  <c r="H49" i="13"/>
  <c r="I49" i="13" s="1"/>
  <c r="I48" i="13"/>
  <c r="H48" i="13"/>
  <c r="I47" i="13"/>
  <c r="H47" i="13"/>
  <c r="H46" i="13"/>
  <c r="I46" i="13" s="1"/>
  <c r="I39" i="13"/>
  <c r="H39" i="13"/>
  <c r="H38" i="13"/>
  <c r="E38" i="13"/>
  <c r="I38" i="13" s="1"/>
  <c r="H37" i="13"/>
  <c r="E37" i="13"/>
  <c r="I37" i="13" s="1"/>
  <c r="H36" i="13"/>
  <c r="I36" i="13" s="1"/>
  <c r="E36" i="13"/>
  <c r="H35" i="13"/>
  <c r="E35" i="13"/>
  <c r="I35" i="13" s="1"/>
  <c r="H33" i="13"/>
  <c r="E33" i="13"/>
  <c r="I33" i="13" s="1"/>
  <c r="H32" i="13"/>
  <c r="E32" i="13"/>
  <c r="I32" i="13" s="1"/>
  <c r="I31" i="13"/>
  <c r="H31" i="13"/>
  <c r="H29" i="13"/>
  <c r="I29" i="13" s="1"/>
  <c r="H28" i="13"/>
  <c r="I28" i="13" s="1"/>
  <c r="I27" i="13"/>
  <c r="H27" i="13"/>
  <c r="I25" i="13"/>
  <c r="H25" i="13"/>
  <c r="H20" i="13"/>
  <c r="E20" i="13"/>
  <c r="I20" i="13" s="1"/>
  <c r="H18" i="13"/>
  <c r="I18" i="13" s="1"/>
  <c r="H17" i="13"/>
  <c r="I17" i="13" s="1"/>
  <c r="H16" i="13"/>
  <c r="I16" i="13" s="1"/>
  <c r="H15" i="13"/>
  <c r="I15" i="13" s="1"/>
  <c r="I14" i="13"/>
  <c r="H14" i="13"/>
  <c r="E14" i="13"/>
  <c r="I13" i="13"/>
  <c r="H13" i="13"/>
  <c r="H12" i="13"/>
  <c r="E12" i="13"/>
  <c r="I12" i="13" s="1"/>
  <c r="H11" i="13"/>
  <c r="E11" i="13"/>
  <c r="I11" i="13" s="1"/>
  <c r="H9" i="13"/>
  <c r="I9" i="13" s="1"/>
  <c r="H8" i="13"/>
  <c r="E8" i="13"/>
  <c r="I8" i="13" s="1"/>
  <c r="H20" i="11"/>
  <c r="J26" i="5"/>
  <c r="J25" i="5"/>
  <c r="K24" i="5" s="1"/>
  <c r="H18" i="5"/>
  <c r="L30" i="5"/>
  <c r="G31" i="11"/>
  <c r="G28" i="11"/>
  <c r="G21" i="11"/>
  <c r="G29" i="11" s="1"/>
  <c r="H26" i="11"/>
  <c r="I26" i="11" s="1"/>
  <c r="G14" i="11" l="1"/>
  <c r="G43" i="11"/>
  <c r="L24" i="5"/>
  <c r="K26" i="5"/>
  <c r="H21" i="11"/>
  <c r="I21" i="11" s="1"/>
  <c r="I57" i="13"/>
  <c r="L26" i="5"/>
  <c r="M24" i="5"/>
  <c r="J26" i="11"/>
  <c r="G27" i="11"/>
  <c r="I23" i="5"/>
  <c r="I22" i="5"/>
  <c r="J21" i="5" s="1"/>
  <c r="H29" i="11" l="1"/>
  <c r="H31" i="11"/>
  <c r="K26" i="11"/>
  <c r="N24" i="5"/>
  <c r="M26" i="5"/>
  <c r="I29" i="11"/>
  <c r="J21" i="11"/>
  <c r="I31" i="11"/>
  <c r="J23" i="5"/>
  <c r="K21" i="5"/>
  <c r="Q26" i="11"/>
  <c r="J29" i="11" l="1"/>
  <c r="K21" i="11"/>
  <c r="J31" i="11"/>
  <c r="O24" i="5"/>
  <c r="P26" i="5" s="1"/>
  <c r="N26" i="5"/>
  <c r="L21" i="5"/>
  <c r="K23" i="5"/>
  <c r="O26" i="5" l="1"/>
  <c r="K29" i="11"/>
  <c r="Q29" i="11" s="1"/>
  <c r="K31" i="11"/>
  <c r="Q31" i="11" s="1"/>
  <c r="M21" i="5"/>
  <c r="M23" i="5" s="1"/>
  <c r="L23" i="5"/>
  <c r="G22" i="11"/>
  <c r="K29" i="5"/>
  <c r="L31" i="5"/>
  <c r="M30" i="5" s="1"/>
  <c r="N30" i="5" s="1"/>
  <c r="K28" i="5"/>
  <c r="L27" i="5" s="1"/>
  <c r="L32" i="5"/>
  <c r="P14" i="11"/>
  <c r="O14" i="11"/>
  <c r="N14" i="11"/>
  <c r="M14" i="11"/>
  <c r="L14" i="11"/>
  <c r="K14" i="11"/>
  <c r="J14" i="11"/>
  <c r="I14" i="11"/>
  <c r="H14" i="11"/>
  <c r="H28" i="11"/>
  <c r="H27" i="11"/>
  <c r="F12" i="11"/>
  <c r="I27" i="11" l="1"/>
  <c r="N21" i="5"/>
  <c r="O23" i="5" s="1"/>
  <c r="L29" i="5"/>
  <c r="M27" i="5"/>
  <c r="O30" i="5"/>
  <c r="O32" i="5" s="1"/>
  <c r="M32" i="5"/>
  <c r="N32" i="5"/>
  <c r="J27" i="11" l="1"/>
  <c r="N23" i="5"/>
  <c r="N27" i="5"/>
  <c r="N29" i="5" s="1"/>
  <c r="M29" i="5"/>
  <c r="Q21" i="11"/>
  <c r="P30" i="5"/>
  <c r="P32" i="5" s="1"/>
  <c r="K27" i="11" l="1"/>
  <c r="O27" i="5"/>
  <c r="O29" i="5" s="1"/>
  <c r="O34" i="5" s="1"/>
  <c r="I38" i="11" s="1"/>
  <c r="Q30" i="5"/>
  <c r="R32" i="5" s="1"/>
  <c r="P27" i="5" l="1"/>
  <c r="Q29" i="5" s="1"/>
  <c r="P29" i="5"/>
  <c r="P34" i="5" s="1"/>
  <c r="Q32" i="5"/>
  <c r="K38" i="11" l="1"/>
  <c r="J38" i="11"/>
  <c r="Q34" i="5"/>
  <c r="S34" i="5"/>
  <c r="R34" i="5"/>
  <c r="H20" i="5"/>
  <c r="H19" i="5"/>
  <c r="I18" i="5" s="1"/>
  <c r="F14" i="5"/>
  <c r="E11" i="5"/>
  <c r="F13" i="5"/>
  <c r="G12" i="5" s="1"/>
  <c r="E10" i="5"/>
  <c r="F9" i="5" s="1"/>
  <c r="D8" i="5"/>
  <c r="D7" i="5"/>
  <c r="E6" i="5" s="1"/>
  <c r="H12" i="5" l="1"/>
  <c r="H14" i="5" s="1"/>
  <c r="G14" i="5"/>
  <c r="E8" i="5"/>
  <c r="F6" i="5"/>
  <c r="J18" i="5"/>
  <c r="J20" i="5" s="1"/>
  <c r="I20" i="5"/>
  <c r="F11" i="5"/>
  <c r="G9" i="5"/>
  <c r="H9" i="5" s="1"/>
  <c r="I9" i="5" s="1"/>
  <c r="J9" i="5" s="1"/>
  <c r="K11" i="5" s="1"/>
  <c r="M12" i="8"/>
  <c r="M11" i="8"/>
  <c r="M9" i="8"/>
  <c r="I12" i="5" l="1"/>
  <c r="I14" i="5" s="1"/>
  <c r="G11" i="5"/>
  <c r="K18" i="5"/>
  <c r="K20" i="5"/>
  <c r="J12" i="5"/>
  <c r="J14" i="5"/>
  <c r="G6" i="5"/>
  <c r="G8" i="5" s="1"/>
  <c r="H11" i="5"/>
  <c r="C5" i="5"/>
  <c r="C34" i="5" s="1"/>
  <c r="I20" i="11"/>
  <c r="J20" i="11" s="1"/>
  <c r="J90" i="11"/>
  <c r="J91" i="11" s="1"/>
  <c r="J86" i="11"/>
  <c r="J84" i="11"/>
  <c r="I75" i="11"/>
  <c r="I74" i="11"/>
  <c r="J73" i="11" s="1"/>
  <c r="G72" i="11"/>
  <c r="G71" i="11"/>
  <c r="H70" i="11" s="1"/>
  <c r="R70" i="11"/>
  <c r="Q70" i="11"/>
  <c r="R72" i="11" s="1"/>
  <c r="P65" i="11"/>
  <c r="O65" i="11"/>
  <c r="N65" i="11"/>
  <c r="M65" i="11"/>
  <c r="Q64" i="11"/>
  <c r="Q63" i="11"/>
  <c r="Q62" i="11"/>
  <c r="Q61" i="11"/>
  <c r="Q60" i="11"/>
  <c r="Q59" i="11"/>
  <c r="Q58" i="11"/>
  <c r="Q57" i="11"/>
  <c r="Q56" i="11"/>
  <c r="H55" i="11"/>
  <c r="G54" i="11"/>
  <c r="P38" i="11"/>
  <c r="O38" i="11"/>
  <c r="N38" i="11"/>
  <c r="M38" i="11"/>
  <c r="P22" i="11"/>
  <c r="P30" i="11" s="1"/>
  <c r="P32" i="11" s="1"/>
  <c r="P33" i="11" s="1"/>
  <c r="O22" i="11"/>
  <c r="O30" i="11" s="1"/>
  <c r="O32" i="11" s="1"/>
  <c r="N22" i="11"/>
  <c r="N30" i="11" s="1"/>
  <c r="N32" i="11" s="1"/>
  <c r="M22" i="11"/>
  <c r="M30" i="11" s="1"/>
  <c r="M32" i="11" s="1"/>
  <c r="G30" i="11"/>
  <c r="G32" i="11" s="1"/>
  <c r="H15" i="11"/>
  <c r="I15" i="11" s="1"/>
  <c r="Q13" i="11"/>
  <c r="Q11" i="11"/>
  <c r="Q1" i="11"/>
  <c r="Q14" i="11" l="1"/>
  <c r="Q43" i="11"/>
  <c r="H54" i="11"/>
  <c r="H22" i="11"/>
  <c r="H30" i="11" s="1"/>
  <c r="H6" i="5"/>
  <c r="H8" i="5" s="1"/>
  <c r="K12" i="5"/>
  <c r="L14" i="5" s="1"/>
  <c r="K14" i="5"/>
  <c r="K34" i="5" s="1"/>
  <c r="L18" i="5"/>
  <c r="I11" i="5"/>
  <c r="K20" i="11"/>
  <c r="H65" i="11"/>
  <c r="H36" i="11" s="1"/>
  <c r="I55" i="11"/>
  <c r="I70" i="11"/>
  <c r="H72" i="11"/>
  <c r="I54" i="11"/>
  <c r="J15" i="11"/>
  <c r="P34" i="11"/>
  <c r="P37" i="11"/>
  <c r="P39" i="11" s="1"/>
  <c r="P41" i="11" s="1"/>
  <c r="P44" i="11" s="1"/>
  <c r="O33" i="11"/>
  <c r="J75" i="11"/>
  <c r="K73" i="11"/>
  <c r="G65" i="11"/>
  <c r="G33" i="11"/>
  <c r="M33" i="11"/>
  <c r="G36" i="11"/>
  <c r="Q25" i="11"/>
  <c r="N33" i="11"/>
  <c r="I28" i="11"/>
  <c r="D19" i="10"/>
  <c r="F19" i="10" s="1"/>
  <c r="D18" i="10"/>
  <c r="F18" i="10" s="1"/>
  <c r="D16" i="10"/>
  <c r="F16" i="10" s="1"/>
  <c r="D9" i="10"/>
  <c r="F9" i="10" s="1"/>
  <c r="D11" i="10"/>
  <c r="F11" i="10" s="1"/>
  <c r="E10" i="10"/>
  <c r="D10" i="10"/>
  <c r="J28" i="11" l="1"/>
  <c r="H32" i="11"/>
  <c r="H33" i="11" s="1"/>
  <c r="M13" i="8"/>
  <c r="J22" i="11"/>
  <c r="I22" i="11"/>
  <c r="I30" i="11" s="1"/>
  <c r="I32" i="11" s="1"/>
  <c r="I6" i="5"/>
  <c r="J8" i="5" s="1"/>
  <c r="M18" i="5"/>
  <c r="N20" i="5" s="1"/>
  <c r="N34" i="5" s="1"/>
  <c r="H38" i="11" s="1"/>
  <c r="L20" i="5"/>
  <c r="L34" i="5" s="1"/>
  <c r="J11" i="5"/>
  <c r="Q20" i="11"/>
  <c r="G37" i="11"/>
  <c r="M37" i="11"/>
  <c r="M39" i="11" s="1"/>
  <c r="M41" i="11" s="1"/>
  <c r="M44" i="11" s="1"/>
  <c r="M34" i="11"/>
  <c r="K15" i="11"/>
  <c r="J54" i="11"/>
  <c r="Q73" i="11"/>
  <c r="J70" i="11"/>
  <c r="J72" i="11" s="1"/>
  <c r="N34" i="11"/>
  <c r="N37" i="11"/>
  <c r="N39" i="11" s="1"/>
  <c r="N41" i="11" s="1"/>
  <c r="N44" i="11" s="1"/>
  <c r="K22" i="11"/>
  <c r="I72" i="11"/>
  <c r="K75" i="11"/>
  <c r="J55" i="11"/>
  <c r="I65" i="11"/>
  <c r="I36" i="11" s="1"/>
  <c r="O37" i="11"/>
  <c r="O39" i="11" s="1"/>
  <c r="O41" i="11" s="1"/>
  <c r="O44" i="11" s="1"/>
  <c r="O34" i="11"/>
  <c r="F10" i="10"/>
  <c r="F13" i="10" s="1"/>
  <c r="H37" i="11" l="1"/>
  <c r="H34" i="11"/>
  <c r="I33" i="11"/>
  <c r="K28" i="11"/>
  <c r="I8" i="5"/>
  <c r="J34" i="5"/>
  <c r="M20" i="5"/>
  <c r="M34" i="5" s="1"/>
  <c r="G38" i="11" s="1"/>
  <c r="I37" i="11"/>
  <c r="I34" i="11"/>
  <c r="R73" i="11"/>
  <c r="R75" i="11"/>
  <c r="R76" i="11" s="1"/>
  <c r="Q27" i="11"/>
  <c r="K54" i="11"/>
  <c r="K70" i="11"/>
  <c r="Q72" i="11" s="1"/>
  <c r="J30" i="11"/>
  <c r="K55" i="11"/>
  <c r="J65" i="11"/>
  <c r="J36" i="11" s="1"/>
  <c r="Q75" i="11"/>
  <c r="M7" i="8"/>
  <c r="J32" i="11" l="1"/>
  <c r="J33" i="11" s="1"/>
  <c r="Q28" i="11"/>
  <c r="Q76" i="11"/>
  <c r="M15" i="11"/>
  <c r="K65" i="11"/>
  <c r="K36" i="11" s="1"/>
  <c r="S73" i="11"/>
  <c r="T75" i="11" s="1"/>
  <c r="T76" i="11" s="1"/>
  <c r="S75" i="11"/>
  <c r="S76" i="11" s="1"/>
  <c r="K72" i="11"/>
  <c r="K30" i="11"/>
  <c r="J37" i="11" l="1"/>
  <c r="J34" i="11"/>
  <c r="K32" i="11"/>
  <c r="K33" i="11" s="1"/>
  <c r="Q22" i="11"/>
  <c r="M10" i="8" s="1"/>
  <c r="Q30" i="11"/>
  <c r="Q32" i="11" s="1"/>
  <c r="N15" i="11"/>
  <c r="M54" i="11"/>
  <c r="L65" i="11"/>
  <c r="Q36" i="11" s="1"/>
  <c r="Q55" i="11"/>
  <c r="Q65" i="11" s="1"/>
  <c r="C4" i="5"/>
  <c r="D3" i="5" s="1"/>
  <c r="D2" i="5"/>
  <c r="E2" i="5" s="1"/>
  <c r="F2" i="5" s="1"/>
  <c r="G2" i="5" s="1"/>
  <c r="H2" i="5" s="1"/>
  <c r="I2" i="5" s="1"/>
  <c r="J2" i="5" s="1"/>
  <c r="K2" i="5" s="1"/>
  <c r="L2" i="5" s="1"/>
  <c r="M2" i="5" s="1"/>
  <c r="N2" i="5" s="1"/>
  <c r="O2" i="5" s="1"/>
  <c r="P2" i="5" s="1"/>
  <c r="Q2" i="5" s="1"/>
  <c r="K34" i="11" l="1"/>
  <c r="K37" i="11"/>
  <c r="K39" i="11" s="1"/>
  <c r="M14" i="8"/>
  <c r="R22" i="11"/>
  <c r="Q33" i="11"/>
  <c r="Q37" i="11" s="1"/>
  <c r="D5" i="5"/>
  <c r="D34" i="5" s="1"/>
  <c r="F8" i="5"/>
  <c r="K40" i="11"/>
  <c r="N54" i="11"/>
  <c r="O15" i="11"/>
  <c r="E3" i="5"/>
  <c r="Q34" i="11" l="1"/>
  <c r="F50" i="11" s="1"/>
  <c r="M18" i="8" s="1"/>
  <c r="R33" i="11"/>
  <c r="R32" i="11"/>
  <c r="F3" i="5"/>
  <c r="F5" i="5" s="1"/>
  <c r="F34" i="5" s="1"/>
  <c r="E5" i="5"/>
  <c r="E34" i="5" s="1"/>
  <c r="R37" i="11"/>
  <c r="P15" i="11"/>
  <c r="P54" i="11" s="1"/>
  <c r="O54" i="11"/>
  <c r="K41" i="11"/>
  <c r="K44" i="11" s="1"/>
  <c r="G3" i="5" l="1"/>
  <c r="G5" i="5"/>
  <c r="G34" i="5" s="1"/>
  <c r="H3" i="5" l="1"/>
  <c r="I5" i="5" s="1"/>
  <c r="I34" i="5" s="1"/>
  <c r="J39" i="11"/>
  <c r="J40" i="11" s="1"/>
  <c r="J41" i="11" s="1"/>
  <c r="J44" i="11" s="1"/>
  <c r="I39" i="11" l="1"/>
  <c r="I40" i="11" s="1"/>
  <c r="I41" i="11" s="1"/>
  <c r="I44" i="11" s="1"/>
  <c r="H39" i="11"/>
  <c r="H40" i="11" s="1"/>
  <c r="H41" i="11" s="1"/>
  <c r="H44" i="11" s="1"/>
  <c r="H5" i="5"/>
  <c r="H34" i="5" s="1"/>
  <c r="C80" i="5" l="1"/>
  <c r="D71" i="5"/>
  <c r="F53" i="5"/>
  <c r="H52" i="5"/>
  <c r="F52" i="5"/>
  <c r="G51" i="5"/>
  <c r="J51" i="5" s="1"/>
  <c r="F50" i="5"/>
  <c r="J50" i="5" s="1"/>
  <c r="F49" i="5"/>
  <c r="D49" i="5"/>
  <c r="G39" i="11" l="1"/>
  <c r="Q38" i="11"/>
  <c r="J49" i="5"/>
  <c r="G40" i="11" l="1"/>
  <c r="Q39" i="11"/>
  <c r="R39" i="11" s="1"/>
  <c r="G41" i="11" l="1"/>
  <c r="Q40" i="11"/>
  <c r="C42" i="5"/>
  <c r="C41" i="5" s="1"/>
  <c r="C40" i="5" s="1"/>
  <c r="G44" i="11" l="1"/>
  <c r="F48" i="11" s="1"/>
  <c r="M16" i="8" s="1"/>
  <c r="R40" i="11"/>
  <c r="Q41" i="11"/>
  <c r="R41" i="11" s="1"/>
  <c r="D42" i="5"/>
  <c r="D41" i="5" s="1"/>
  <c r="F49" i="11" l="1"/>
  <c r="M17" i="8" s="1"/>
  <c r="Q44" i="11"/>
  <c r="G45" i="11"/>
  <c r="G46" i="11" s="1"/>
  <c r="D40" i="5"/>
  <c r="H45" i="11" l="1"/>
  <c r="H46" i="11" s="1"/>
  <c r="E42" i="5"/>
  <c r="E40" i="5" s="1"/>
  <c r="I45" i="11" l="1"/>
  <c r="I46" i="11" s="1"/>
  <c r="F42" i="5"/>
  <c r="F40" i="5" s="1"/>
  <c r="E41" i="5"/>
  <c r="J45" i="11" l="1"/>
  <c r="J46" i="11"/>
  <c r="K45" i="11"/>
  <c r="G42" i="5"/>
  <c r="G40" i="5" s="1"/>
  <c r="F41" i="5"/>
  <c r="G41" i="5" s="1"/>
  <c r="K46" i="11" l="1"/>
  <c r="F51" i="11" s="1"/>
  <c r="M19" i="8" s="1"/>
  <c r="H42" i="5"/>
  <c r="H41" i="5" l="1"/>
  <c r="H40" i="5"/>
  <c r="I42" i="5" l="1"/>
  <c r="I41" i="5" s="1"/>
  <c r="I40" i="5" l="1"/>
  <c r="I53" i="5" l="1"/>
  <c r="J53" i="5" s="1"/>
  <c r="I52" i="5"/>
  <c r="J52" i="5" s="1"/>
  <c r="J54" i="5" s="1"/>
  <c r="K54" i="5" s="1"/>
  <c r="I50" i="5"/>
  <c r="J42" i="5"/>
  <c r="J41" i="5" s="1"/>
  <c r="J40" i="5" l="1"/>
  <c r="K42" i="5" l="1"/>
  <c r="K40" i="5" l="1"/>
  <c r="K41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48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<sst xmlns="http://schemas.openxmlformats.org/spreadsheetml/2006/main" count="416" uniqueCount="315">
  <si>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</si>
  <si>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</si>
  <si>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</si>
  <si>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</si>
  <si>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</si>
  <si>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</si>
  <si>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</si>
  <si>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</si>
  <si>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</si>
  <si>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</si>
  <si>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</si>
  <si>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</si>
  <si>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</si>
  <si>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</si>
  <si>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</si>
  <si>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</si>
  <si>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</si>
  <si>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</si>
  <si>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</si>
  <si>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</si>
  <si>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</si>
  <si>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</si>
  <si>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</si>
  <si>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</si>
  <si>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</si>
  <si>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</si>
  <si>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</si>
  <si>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</si>
  <si>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</si>
  <si>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</si>
  <si>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</si>
  <si>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</si>
  <si>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</si>
  <si>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</si>
  <si>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</si>
  <si>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</si>
  <si>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</si>
  <si>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</si>
  <si>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</si>
  <si>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Lease to BM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</si>
  <si>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</si>
  <si>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</si>
  <si>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</si>
  <si>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</si>
  <si>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</si>
  <si>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</si>
  <si>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</si>
  <si>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</si>
  <si>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</si>
  <si>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</si>
  <si>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Installment/thn</t>
  </si>
  <si>
    <t>Interest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</si>
  <si>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</si>
  <si>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</si>
  <si>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</si>
  <si>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</si>
  <si>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</si>
  <si>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</si>
  <si>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</si>
  <si>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</si>
  <si>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</si>
  <si>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</si>
  <si>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</si>
  <si>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</si>
  <si>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</si>
  <si>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</si>
  <si>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</si>
  <si>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</si>
  <si>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</si>
  <si>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</si>
  <si>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</si>
  <si>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Drop Wire (meter)</t>
  </si>
  <si>
    <t>Cable FO (meter)</t>
  </si>
  <si>
    <t>Product :</t>
  </si>
  <si>
    <t>Status P&amp;L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</si>
  <si>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</si>
  <si>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</si>
  <si>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</si>
  <si>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</si>
  <si>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</si>
  <si>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</si>
  <si>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</si>
  <si>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</si>
  <si>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</si>
  <si>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</si>
  <si>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</si>
  <si>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</si>
  <si>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</si>
  <si>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</si>
  <si>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</si>
  <si>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</si>
  <si>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</si>
  <si>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</si>
  <si>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</si>
  <si>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</si>
  <si>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</si>
  <si>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</si>
  <si>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</si>
  <si>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</si>
  <si>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</si>
  <si>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</si>
  <si>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</si>
  <si>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</si>
  <si>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</si>
  <si>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</si>
  <si>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</si>
  <si>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</si>
  <si>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</si>
  <si>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</si>
  <si>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</si>
  <si>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</si>
  <si>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</si>
  <si>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</si>
  <si>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</si>
  <si>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</si>
  <si>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</si>
  <si>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</si>
  <si>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</si>
  <si>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</si>
  <si>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</si>
  <si>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</si>
  <si>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</si>
  <si>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</si>
  <si>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</si>
  <si>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</si>
  <si>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</si>
  <si>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</si>
  <si>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</si>
  <si>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</si>
  <si>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% increase (decrease)</t>
  </si>
  <si>
    <t>Renewal</t>
  </si>
  <si>
    <t xml:space="preserve">NO : </t>
  </si>
  <si>
    <t>Apartmen</t>
  </si>
  <si>
    <t>TOTAL</t>
  </si>
  <si>
    <t>PERHITUNGAN INTEREST EXPENSE based CAPEX</t>
  </si>
  <si>
    <t>Capex tahun</t>
  </si>
  <si>
    <t>Y7</t>
  </si>
  <si>
    <t>Y8</t>
  </si>
  <si>
    <t>Y9</t>
  </si>
  <si>
    <t>Y10</t>
  </si>
  <si>
    <t>Capex DAS</t>
  </si>
  <si>
    <t>IRR 5 th</t>
  </si>
  <si>
    <t>NPV 5th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</si>
  <si>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</si>
  <si>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</si>
  <si>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</si>
  <si>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</si>
  <si>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</si>
  <si>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</si>
  <si>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</si>
  <si>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</si>
  <si>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</si>
  <si>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</si>
  <si>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</si>
  <si>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 xml:space="preserve">No of tower </t>
  </si>
  <si>
    <t>IRR 5th</t>
  </si>
  <si>
    <t>TSEL</t>
  </si>
  <si>
    <t>Mansion Pasar Baru</t>
  </si>
  <si>
    <t>Jakarta Pusat</t>
  </si>
  <si>
    <t>Renewal IBC - Openet</t>
  </si>
  <si>
    <t xml:space="preserve"> 8 Pole Antenna + RBS 40 m²</t>
  </si>
  <si>
    <t>Openet</t>
  </si>
  <si>
    <t>cost complement</t>
  </si>
  <si>
    <t>51 tenant</t>
  </si>
  <si>
    <t>Fixed Operational Cost</t>
  </si>
  <si>
    <t>BHP</t>
  </si>
  <si>
    <t>BV31Jan25DAS</t>
  </si>
  <si>
    <t>BV31Jan25Openet</t>
  </si>
  <si>
    <t>Total BV DAS31Jan25</t>
  </si>
  <si>
    <t>Total BV WIFI31Jan25</t>
  </si>
  <si>
    <t>SUMMARY REVIEW</t>
  </si>
  <si>
    <t xml:space="preserve">Nama Site                          </t>
  </si>
  <si>
    <t>: The Pasar Baru Mansion</t>
  </si>
  <si>
    <t xml:space="preserve">Nama Pemilik      </t>
  </si>
  <si>
    <t>: PT. Trikarya Idea Sakti</t>
  </si>
  <si>
    <t xml:space="preserve">Alamat Pemilik      </t>
  </si>
  <si>
    <t>: Jl. Pintu Air 5 No. 33</t>
  </si>
  <si>
    <t xml:space="preserve">Telp                                            </t>
  </si>
  <si>
    <t>: 021-3801756</t>
  </si>
  <si>
    <t xml:space="preserve">Obyek Sewa            </t>
  </si>
  <si>
    <t>:  301 Omni + 8 Pole Antenna + RBS 40 m²</t>
  </si>
  <si>
    <t xml:space="preserve">No. </t>
  </si>
  <si>
    <t>Keterangan</t>
  </si>
  <si>
    <t>Existing</t>
  </si>
  <si>
    <t>Scope Of Lease</t>
  </si>
  <si>
    <t>Obyek Sewa</t>
  </si>
  <si>
    <t>301 Omni + 8 Pole Antenna + RBS 40 m²</t>
  </si>
  <si>
    <t>Periode Sewa</t>
  </si>
  <si>
    <t>14 Februari 2025/d 13 Februari 2030</t>
  </si>
  <si>
    <t xml:space="preserve">Harga Sewa </t>
  </si>
  <si>
    <t>Rp. 360.000.000/5th Untuk Opt. Telkomsel</t>
  </si>
  <si>
    <t>Rp. 350.000.000/5th Untuk Opt. Telkomsel</t>
  </si>
  <si>
    <t>Harga Sewa Pertahun</t>
  </si>
  <si>
    <t>Rp. 72.000.000/th</t>
  </si>
  <si>
    <t xml:space="preserve">Rp. 70.000.000/th </t>
  </si>
  <si>
    <t>Harga Sewa Saat Opt XL Joint</t>
  </si>
  <si>
    <t>XL : Rp. 225.000.000/5 th @ 45.000.000/th</t>
  </si>
  <si>
    <t>Harga Sewa Saat Opt IOH Joint</t>
  </si>
  <si>
    <t>IOH: Rp. 275.000.000/5 th @ 55.000.000/th</t>
  </si>
  <si>
    <t>Term Pembayaran</t>
  </si>
  <si>
    <t>100% setelah BAK &amp; PKS ditandatangani Kedua Belah Pihak</t>
  </si>
  <si>
    <t>Operator Join</t>
  </si>
  <si>
    <t xml:space="preserve">1. Telkomsel ( 23 Jan 2016 s/d 22 Jan 2021 )
</t>
  </si>
  <si>
    <t xml:space="preserve">1. Telkomsel ( 23 Jan 2021 s/d 22 Jan 2026 )
</t>
  </si>
  <si>
    <t>complementary</t>
  </si>
  <si>
    <t>Kenaikan/ Penurunan Harga</t>
  </si>
  <si>
    <t>0002/IRR/IBC-Open/X/2024</t>
  </si>
  <si>
    <t>MANSION PASAR BARU</t>
  </si>
  <si>
    <t>1 Okt 2024</t>
  </si>
  <si>
    <t>BOQ - MANSION PASARBARU (RELOKASI MAKRO TELKOMSEL)</t>
  </si>
  <si>
    <t>Date: 12 September 2024</t>
  </si>
  <si>
    <t>PT. Infrastruktur Bisnis Sejahtera</t>
  </si>
  <si>
    <t>NO.</t>
  </si>
  <si>
    <t>ITEM WORK</t>
  </si>
  <si>
    <t>UoM</t>
  </si>
  <si>
    <t>Volume</t>
  </si>
  <si>
    <t>UNIT PRICE MATERIAL</t>
  </si>
  <si>
    <t>UNIT PRICE JASA</t>
  </si>
  <si>
    <t>UNIT PRICE MATERIAL+JASA</t>
  </si>
  <si>
    <t>TOTAL PRICE</t>
  </si>
  <si>
    <t>REMARKS</t>
  </si>
  <si>
    <t>B</t>
  </si>
  <si>
    <t>CME</t>
  </si>
  <si>
    <t>Supply &amp; Installation Power Cable NYY 3x10mm, 1 Phase (to Mini PDB)</t>
  </si>
  <si>
    <t>M</t>
  </si>
  <si>
    <t>MINI PDB 1 Phase Outdoor (BOX MCB TERMINAL)</t>
  </si>
  <si>
    <t>1 SET</t>
  </si>
  <si>
    <t>D</t>
  </si>
  <si>
    <t>POLE HD-Galvanized(Sesuai speck design IBS)</t>
  </si>
  <si>
    <t>New Pole 3 M HD-Galvanized dia. 4", include Installation &amp; Mounting Bracket, Anchor Bolt &amp; Bolt+Nut Stainless Steel  (*see design)</t>
  </si>
  <si>
    <t>KG</t>
  </si>
  <si>
    <t>* Pole 1 (L9)= 160 kg; Pole 2 (P5)= 120 kg</t>
  </si>
  <si>
    <r>
      <t xml:space="preserve">a. Concrete Foundation K-225 include </t>
    </r>
    <r>
      <rPr>
        <b/>
        <sz val="12"/>
        <rFont val="Arial Narrow"/>
        <family val="2"/>
      </rPr>
      <t>damdex 2%</t>
    </r>
    <r>
      <rPr>
        <sz val="12"/>
        <rFont val="Arial Narrow"/>
        <family val="2"/>
      </rPr>
      <t xml:space="preserve"> dari berat semen yang digunakan, Pondasi L Type</t>
    </r>
  </si>
  <si>
    <t>M3</t>
  </si>
  <si>
    <t>* Pondasi Pole 1= 0,04 M3; Pondasi Pole 2= 0,14 M3--&gt; Wajib Campur DAMDEX</t>
  </si>
  <si>
    <t>b. Ubolt D16, Nut  &amp; Washer M16; HD-Galvanized</t>
  </si>
  <si>
    <t>PCS</t>
  </si>
  <si>
    <t>* Pole 1= 2pcs &amp; Pole 2= 2pcs</t>
  </si>
  <si>
    <t>c. Anchor M16-250 mm HD-Galvanized + Nut (Double) + Washer</t>
  </si>
  <si>
    <t>* Pole 1= 4pcs+Pole 2= 8pcs</t>
  </si>
  <si>
    <t>d. Anchor M12-250 mm HD-Galvanized + Nut (Double) + Washer</t>
  </si>
  <si>
    <t>* Untuk Support Pole 1</t>
  </si>
  <si>
    <t>e. Chemical Hilti Re 500 D13 - 70 mm</t>
  </si>
  <si>
    <t>Tube</t>
  </si>
  <si>
    <t>* untuk 12 titik; estimasi pertitik @20ml= 200ml (1 tube=500ml)</t>
  </si>
  <si>
    <t>f. Chemical Hilti HVU  D12 - 70 mm</t>
  </si>
  <si>
    <t>* untuk 8 titik</t>
  </si>
  <si>
    <t>g. Waterproofing (Ex: Sika/Flinkote)</t>
  </si>
  <si>
    <t>LS</t>
  </si>
  <si>
    <t>* Overlap 40cm dari pondasi ( 2 pole)</t>
  </si>
  <si>
    <t>E</t>
  </si>
  <si>
    <t xml:space="preserve">ARM &amp; BOOM </t>
  </si>
  <si>
    <r>
      <t xml:space="preserve">ARM &amp; BOOM for Outdoor Antenna Sectoral, HD-Galvanized </t>
    </r>
    <r>
      <rPr>
        <b/>
        <sz val="12"/>
        <rFont val="Symbol"/>
        <family val="1"/>
        <charset val="2"/>
      </rPr>
      <t>Æ2</t>
    </r>
    <r>
      <rPr>
        <b/>
        <sz val="12"/>
        <rFont val="Arial Narrow"/>
        <family val="2"/>
      </rPr>
      <t xml:space="preserve"> "</t>
    </r>
    <r>
      <rPr>
        <sz val="12"/>
        <rFont val="Arial Narrow"/>
        <family val="2"/>
      </rPr>
      <t>, include Installation &amp; Mounting Bracket &amp; Bolt+Nut Stainless Steel (*See design IBS)</t>
    </r>
  </si>
  <si>
    <t>* Arm Boom 2 set = @42kg x 2pcs</t>
  </si>
  <si>
    <t>- L Profile 60x60x6 - 4 pcs</t>
  </si>
  <si>
    <t>- U Profile 80x80x8 - 4 pcs</t>
  </si>
  <si>
    <r>
      <t xml:space="preserve">- U Bolt </t>
    </r>
    <r>
      <rPr>
        <sz val="12"/>
        <rFont val="Symbol"/>
        <family val="1"/>
        <charset val="2"/>
      </rPr>
      <t>f</t>
    </r>
    <r>
      <rPr>
        <sz val="12"/>
        <rFont val="Arial Narrow"/>
        <family val="2"/>
      </rPr>
      <t>16 mm - 4 pcs</t>
    </r>
  </si>
  <si>
    <t>F</t>
  </si>
  <si>
    <t>CABLE TRAY, LADDER FOR CABLE LINE</t>
  </si>
  <si>
    <t>Cable Tray Hot Deep Galvanized  w=100mm h=50mm, include accessories (Bracket Mounting + Hangger + Joint Tray + Bolt &amp; nut)</t>
  </si>
  <si>
    <t>Cable Tray Hot Deep Galvanized Accessoris  for Cable Tray w=100mm h=50mm :</t>
  </si>
  <si>
    <t xml:space="preserve">     a) Horizontal Elbow </t>
  </si>
  <si>
    <t xml:space="preserve">     c) Outside Riser</t>
  </si>
  <si>
    <t xml:space="preserve">     d) Inside Riser</t>
  </si>
  <si>
    <t>G</t>
  </si>
  <si>
    <t>GROUNDING SYSTEMS ( &lt;1ohm )</t>
  </si>
  <si>
    <t>Lightning Protection (Spitzen) - Aluminium</t>
  </si>
  <si>
    <t>* tap to existing box control IBS</t>
  </si>
  <si>
    <t>Grounding Bar Aluminium 300x100x10 mm, 2 Rows</t>
  </si>
  <si>
    <t>Ceramic Isolator</t>
  </si>
  <si>
    <t>Stainless Shoe Cable (kabel skun)</t>
  </si>
  <si>
    <t>a. Stainless Shoe Cable (kabel skun) 50 mm</t>
  </si>
  <si>
    <t>b. Stainless Shoe Cable (kabel skun) 70 mm</t>
  </si>
  <si>
    <t>Kabel Grounding Aluminium 70 mm2 type AAAC-S  (dengan pembungkus kabel) untuk Grounding Penangkal Petir</t>
  </si>
  <si>
    <t>* tap to existing</t>
  </si>
  <si>
    <t>Kabel Grounding Aluminium 50 mm2 type AAAC-S (dengan pembungkus kabel) untuk Grounding Perangkat</t>
  </si>
  <si>
    <t>H</t>
  </si>
  <si>
    <t>MISCELLANEOUS MIGRASI</t>
  </si>
  <si>
    <t>a. Heatshrink</t>
  </si>
  <si>
    <t>b.Cable Ties</t>
  </si>
  <si>
    <t>c. Tapes</t>
  </si>
  <si>
    <t>d. Adhesive Sealer</t>
  </si>
  <si>
    <t>e. Marking Label (Label Antenna, Spliter &amp; Logo IBS for Antenna &amp; Feeder)</t>
  </si>
  <si>
    <t>I</t>
  </si>
  <si>
    <t>IMPLEMENTATION SERVICES</t>
  </si>
  <si>
    <t>Coordination Fee Migrasi</t>
  </si>
  <si>
    <t>As Built Drawing &amp; Reporting Migrasi</t>
  </si>
  <si>
    <t>Delivery Material Inbuilding (Loading &amp; Unloading)</t>
  </si>
  <si>
    <t>Ls</t>
  </si>
  <si>
    <t>Dismantle Pole (bawa ke kantor) &amp; Perapihan Existing Pondasi Pole</t>
  </si>
  <si>
    <t>Relokasi AC Outdoor (milik gedung akibat space pole)</t>
  </si>
  <si>
    <t>J</t>
  </si>
  <si>
    <t>CABLE FIBER OPTIC &amp; ACCESSORIES</t>
  </si>
  <si>
    <t>FO 48 core Duct Cable Singlemode (SM-D G652D 9/125um with wavelenght 1550nm)</t>
  </si>
  <si>
    <t>ODP Outdoor 24 core (include pigtail) - (LC TYPE/OUTDOOR) LC-UPC</t>
  </si>
  <si>
    <t>ODP Outdoor 48 core (include pigtail) - (LC TYPE/OUTDOOR) LC-UPC</t>
  </si>
  <si>
    <t>FO Termination/ Splicing</t>
  </si>
  <si>
    <t>FO Testing &amp; Commisioning + OTDR Report</t>
  </si>
  <si>
    <t>GRAND TOTAL</t>
  </si>
  <si>
    <t>Capex Pindahan Pole Tsel</t>
  </si>
  <si>
    <t>14 Februari 2020 /d 13 Februari 2025</t>
  </si>
  <si>
    <t>Operator join</t>
  </si>
  <si>
    <t>Rev.Change</t>
  </si>
  <si>
    <t>-</t>
  </si>
  <si>
    <t>2026 Tsel</t>
  </si>
  <si>
    <t>25 mbps + TV Basix Rp. 304.500,- 3 Paket</t>
  </si>
  <si>
    <t>25 mbps + TV Basix Rp.304.500,- 3 Paket</t>
  </si>
  <si>
    <t>50 mbps + TVBasic Rp.415.000,- 1 Paket</t>
  </si>
  <si>
    <t>50 mbps + TV Rp.493.000,-  1 Paket</t>
  </si>
  <si>
    <t>SITE MANSION PASAR BARU</t>
  </si>
  <si>
    <t>Rev Tsel</t>
  </si>
  <si>
    <t>Rev GPON</t>
  </si>
  <si>
    <t>Listrik Tsel</t>
  </si>
  <si>
    <t>Worse &gt;&gt; Jika Sewa BM diperpanjang 2 tahun dan Tsel sesuai Eksisting, maka:</t>
  </si>
  <si>
    <t>Mengalami Penurunan 2,77 %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</si>
</sst>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  <numFmt numFmtId="174" formatCode="#,###&quot;Mbps&quot;"/>
    <numFmt numFmtId="175" formatCode="_([$Rp-421]* #,##0_);_([$Rp-421]* \(#,##0\);_([$Rp-421]* &quot;-&quot;_);_(@_)"/>
    <numFmt numFmtId="176" formatCode="_-[$Rp-421]* #,##0_-;\-[$Rp-421]* #,##0_-;_-[$Rp-421]* &quot;-&quot;??_-;_-@_-"/>
    <numFmt numFmtId="177" formatCode="_([$IDR]\ * #,##0_);_([$IDR]\ * \(#,##0\);_([$IDR]\ * &quot;-&quot;_);_(@_)"/>
    <numFmt numFmtId="178" formatCode="0.000"/>
    <numFmt numFmtId="179" formatCode="_([$Rp-421]* #,##0.00_);_([$Rp-421]* \(#,##0.00\);_([$Rp-421]* &quot;-&quot;??_);_(@_)"/>
    <numFmt numFmtId="180" formatCode="_([$Rp-421]* #,##0_);_([$Rp-421]* \(#,##0\);_([$Rp-421]* &quot;-&quot;??_);_(@_)"/>
  </numFmts>
  <fonts count="6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20"/>
      <name val="Arial Narrow"/>
      <family val="2"/>
    </font>
    <font>
      <sz val="12"/>
      <name val="Arial Narrow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b/>
      <i/>
      <sz val="12"/>
      <color rgb="FFFF0000"/>
      <name val="Arial Narrow"/>
      <family val="2"/>
    </font>
    <font>
      <sz val="10"/>
      <name val="Arial Narrow"/>
      <family val="2"/>
    </font>
    <font>
      <b/>
      <i/>
      <sz val="12"/>
      <name val="Arial Narrow"/>
      <family val="2"/>
    </font>
    <font>
      <b/>
      <sz val="12"/>
      <name val="Arial Narrow"/>
      <family val="2"/>
    </font>
    <font>
      <sz val="11"/>
      <name val="Arial"/>
      <family val="2"/>
    </font>
    <font>
      <sz val="12"/>
      <name val="Times New Roman"/>
      <family val="1"/>
    </font>
    <font>
      <i/>
      <sz val="12"/>
      <name val="Arial Narrow"/>
      <family val="2"/>
    </font>
    <font>
      <sz val="12"/>
      <color theme="1"/>
      <name val="Arial Narrow"/>
      <family val="2"/>
    </font>
    <font>
      <sz val="10"/>
      <name val="Courier New"/>
      <family val="3"/>
    </font>
    <font>
      <b/>
      <sz val="12"/>
      <name val="Symbol"/>
      <family val="1"/>
      <charset val="2"/>
    </font>
    <font>
      <sz val="12"/>
      <name val="Symbol"/>
      <family val="1"/>
      <charset val="2"/>
    </font>
    <font>
      <b/>
      <sz val="12"/>
      <color rgb="FFFF0000"/>
      <name val="Arial Narrow"/>
      <family val="2"/>
    </font>
    <font>
      <sz val="12"/>
      <color rgb="FFFF0000"/>
      <name val="Arial Narrow"/>
      <family val="2"/>
    </font>
    <font>
      <b/>
      <sz val="12"/>
      <name val="Times New Roman"/>
      <family val="1"/>
    </font>
    <font>
      <sz val="12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166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3" fillId="0" borderId="0"/>
    <xf numFmtId="0" fontId="28" fillId="0" borderId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65" fontId="15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5" fillId="0" borderId="0"/>
    <xf numFmtId="166" fontId="11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34" fillId="0" borderId="0"/>
    <xf numFmtId="166" fontId="34" fillId="0" borderId="0" applyFont="0" applyFill="0" applyBorder="0" applyAlignment="0" applyProtection="0"/>
    <xf numFmtId="0" fontId="8" fillId="0" borderId="0"/>
    <xf numFmtId="170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4" fillId="0" borderId="0"/>
    <xf numFmtId="165" fontId="8" fillId="0" borderId="0" applyFont="0" applyFill="0" applyBorder="0" applyAlignment="0" applyProtection="0"/>
    <xf numFmtId="0" fontId="7" fillId="0" borderId="0"/>
    <xf numFmtId="170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" fillId="0" borderId="0"/>
    <xf numFmtId="41" fontId="5" fillId="0" borderId="0" applyFont="0" applyFill="0" applyBorder="0" applyAlignment="0" applyProtection="0"/>
    <xf numFmtId="0" fontId="28" fillId="0" borderId="0"/>
    <xf numFmtId="0" fontId="4" fillId="0" borderId="0"/>
    <xf numFmtId="164" fontId="28" fillId="0" borderId="0" applyFont="0" applyFill="0" applyBorder="0" applyAlignment="0" applyProtection="0"/>
    <xf numFmtId="0" fontId="3" fillId="0" borderId="0"/>
    <xf numFmtId="0" fontId="28" fillId="0" borderId="0"/>
    <xf numFmtId="16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8" fillId="0" borderId="0"/>
    <xf numFmtId="0" fontId="28" fillId="0" borderId="0"/>
    <xf numFmtId="0" fontId="2" fillId="0" borderId="0"/>
    <xf numFmtId="41" fontId="2" fillId="0" borderId="0" applyFont="0" applyFill="0" applyBorder="0" applyAlignment="0" applyProtection="0"/>
    <xf numFmtId="0" fontId="28" fillId="0" borderId="0"/>
    <xf numFmtId="0" fontId="56" fillId="0" borderId="0"/>
    <xf numFmtId="17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60" fillId="0" borderId="0"/>
    <xf numFmtId="0" fontId="34" fillId="0" borderId="0"/>
  </cellStyleXfs>
  <cellXfs count="368">
    <xf numFmtId="0" fontId="0" fillId="0" borderId="0" xfId="0"/>
    <xf numFmtId="0" fontId="16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7" fillId="0" borderId="0" xfId="2" applyNumberFormat="1" applyFont="1"/>
    <xf numFmtId="10" fontId="17" fillId="0" borderId="0" xfId="2" applyNumberFormat="1" applyFont="1"/>
    <xf numFmtId="0" fontId="0" fillId="0" borderId="1" xfId="0" applyBorder="1"/>
    <xf numFmtId="0" fontId="1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9" fillId="0" borderId="0" xfId="0" applyNumberFormat="1" applyFont="1" applyBorder="1"/>
    <xf numFmtId="41" fontId="17" fillId="0" borderId="0" xfId="0" applyNumberFormat="1" applyFont="1" applyBorder="1"/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3" fillId="0" borderId="0" xfId="0" applyFont="1"/>
    <xf numFmtId="0" fontId="23" fillId="0" borderId="0" xfId="0" applyFont="1" applyAlignment="1">
      <alignment vertical="center"/>
    </xf>
    <xf numFmtId="166" fontId="23" fillId="0" borderId="0" xfId="1" applyFont="1"/>
    <xf numFmtId="41" fontId="0" fillId="0" borderId="2" xfId="2" applyFont="1" applyBorder="1" applyAlignment="1">
      <alignment vertical="center"/>
    </xf>
    <xf numFmtId="41" fontId="16" fillId="0" borderId="0" xfId="0" applyNumberFormat="1" applyFont="1" applyAlignment="1">
      <alignment vertical="center"/>
    </xf>
    <xf numFmtId="0" fontId="24" fillId="0" borderId="0" xfId="0" applyFont="1"/>
    <xf numFmtId="0" fontId="25" fillId="0" borderId="0" xfId="0" applyFont="1"/>
    <xf numFmtId="9" fontId="24" fillId="0" borderId="0" xfId="3" applyFont="1" applyAlignment="1">
      <alignment vertical="center"/>
    </xf>
    <xf numFmtId="0" fontId="0" fillId="0" borderId="0" xfId="0" applyFill="1" applyBorder="1"/>
    <xf numFmtId="38" fontId="18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22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6" fillId="0" borderId="4" xfId="0" applyFont="1" applyBorder="1"/>
    <xf numFmtId="0" fontId="0" fillId="0" borderId="4" xfId="0" applyBorder="1"/>
    <xf numFmtId="167" fontId="16" fillId="0" borderId="4" xfId="0" applyNumberFormat="1" applyFont="1" applyBorder="1" applyAlignment="1">
      <alignment vertical="center"/>
    </xf>
    <xf numFmtId="0" fontId="0" fillId="0" borderId="0" xfId="0" applyBorder="1"/>
    <xf numFmtId="41" fontId="21" fillId="0" borderId="0" xfId="0" applyNumberFormat="1" applyFont="1" applyBorder="1"/>
    <xf numFmtId="41" fontId="20" fillId="0" borderId="0" xfId="0" applyNumberFormat="1" applyFont="1" applyBorder="1"/>
    <xf numFmtId="167" fontId="16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3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6" fillId="3" borderId="0" xfId="0" applyNumberFormat="1" applyFont="1" applyFill="1" applyBorder="1" applyAlignment="1">
      <alignment vertical="center"/>
    </xf>
    <xf numFmtId="0" fontId="16" fillId="3" borderId="0" xfId="0" applyFont="1" applyFill="1" applyBorder="1"/>
    <xf numFmtId="9" fontId="24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27" fillId="0" borderId="6" xfId="0" applyFont="1" applyBorder="1"/>
    <xf numFmtId="0" fontId="27" fillId="0" borderId="3" xfId="0" applyFont="1" applyBorder="1"/>
    <xf numFmtId="0" fontId="27" fillId="0" borderId="8" xfId="0" applyFont="1" applyBorder="1"/>
    <xf numFmtId="0" fontId="27" fillId="0" borderId="0" xfId="0" applyFont="1" applyBorder="1"/>
    <xf numFmtId="9" fontId="27" fillId="0" borderId="9" xfId="3" applyFont="1" applyBorder="1"/>
    <xf numFmtId="0" fontId="27" fillId="0" borderId="10" xfId="0" applyFont="1" applyBorder="1"/>
    <xf numFmtId="0" fontId="27" fillId="0" borderId="2" xfId="0" applyFont="1" applyBorder="1"/>
    <xf numFmtId="168" fontId="27" fillId="0" borderId="11" xfId="1" applyNumberFormat="1" applyFont="1" applyBorder="1"/>
    <xf numFmtId="0" fontId="16" fillId="0" borderId="12" xfId="0" applyFont="1" applyBorder="1"/>
    <xf numFmtId="41" fontId="16" fillId="0" borderId="12" xfId="0" applyNumberFormat="1" applyFont="1" applyBorder="1" applyAlignment="1">
      <alignment vertical="center"/>
    </xf>
    <xf numFmtId="167" fontId="15" fillId="0" borderId="0" xfId="17" applyNumberFormat="1" applyFont="1"/>
    <xf numFmtId="41" fontId="0" fillId="0" borderId="0" xfId="2" applyFont="1" applyAlignment="1">
      <alignment vertical="center"/>
    </xf>
    <xf numFmtId="167" fontId="0" fillId="4" borderId="0" xfId="0" applyNumberFormat="1" applyFill="1" applyAlignment="1">
      <alignment vertical="center"/>
    </xf>
    <xf numFmtId="0" fontId="18" fillId="0" borderId="0" xfId="0" applyFont="1"/>
    <xf numFmtId="41" fontId="27" fillId="0" borderId="0" xfId="0" applyNumberFormat="1" applyFont="1" applyBorder="1"/>
    <xf numFmtId="41" fontId="29" fillId="0" borderId="0" xfId="0" applyNumberFormat="1" applyFont="1" applyBorder="1"/>
    <xf numFmtId="0" fontId="27" fillId="0" borderId="0" xfId="0" applyFont="1"/>
    <xf numFmtId="41" fontId="0" fillId="0" borderId="0" xfId="0" applyNumberFormat="1" applyAlignment="1">
      <alignment horizontal="right" vertical="center"/>
    </xf>
    <xf numFmtId="168" fontId="22" fillId="0" borderId="0" xfId="1" applyNumberFormat="1" applyFont="1"/>
    <xf numFmtId="9" fontId="0" fillId="0" borderId="0" xfId="0" applyNumberFormat="1"/>
    <xf numFmtId="0" fontId="30" fillId="0" borderId="0" xfId="0" applyFont="1"/>
    <xf numFmtId="0" fontId="30" fillId="0" borderId="0" xfId="0" applyFont="1" applyAlignment="1">
      <alignment vertical="center"/>
    </xf>
    <xf numFmtId="41" fontId="30" fillId="0" borderId="0" xfId="0" applyNumberFormat="1" applyFont="1" applyAlignment="1">
      <alignment vertical="center"/>
    </xf>
    <xf numFmtId="41" fontId="30" fillId="0" borderId="0" xfId="0" applyNumberFormat="1" applyFont="1"/>
    <xf numFmtId="41" fontId="0" fillId="0" borderId="0" xfId="2" applyFont="1"/>
    <xf numFmtId="0" fontId="0" fillId="0" borderId="0" xfId="0" applyFont="1"/>
    <xf numFmtId="0" fontId="16" fillId="0" borderId="0" xfId="0" applyFont="1" applyBorder="1"/>
    <xf numFmtId="0" fontId="0" fillId="0" borderId="0" xfId="0" applyFont="1" applyBorder="1"/>
    <xf numFmtId="0" fontId="33" fillId="0" borderId="0" xfId="0" applyFont="1"/>
    <xf numFmtId="0" fontId="32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6" fillId="0" borderId="18" xfId="2" applyNumberFormat="1" applyFont="1" applyBorder="1"/>
    <xf numFmtId="169" fontId="16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6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6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2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6" fillId="0" borderId="23" xfId="0" applyFont="1" applyBorder="1" applyAlignment="1">
      <alignment horizontal="left"/>
    </xf>
    <xf numFmtId="0" fontId="0" fillId="0" borderId="23" xfId="0" applyFont="1" applyBorder="1"/>
    <xf numFmtId="0" fontId="16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7" fillId="0" borderId="9" xfId="0" applyNumberFormat="1" applyFont="1" applyBorder="1"/>
    <xf numFmtId="38" fontId="16" fillId="0" borderId="18" xfId="2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0" fontId="0" fillId="9" borderId="0" xfId="0" applyFill="1"/>
    <xf numFmtId="41" fontId="37" fillId="0" borderId="0" xfId="0" applyNumberFormat="1" applyFont="1" applyBorder="1"/>
    <xf numFmtId="0" fontId="0" fillId="0" borderId="0" xfId="0" quotePrefix="1"/>
    <xf numFmtId="0" fontId="26" fillId="0" borderId="0" xfId="0" applyFont="1" applyAlignment="1">
      <alignment horizontal="center"/>
    </xf>
    <xf numFmtId="167" fontId="16" fillId="0" borderId="32" xfId="0" applyNumberFormat="1" applyFont="1" applyBorder="1" applyAlignment="1">
      <alignment vertical="center"/>
    </xf>
    <xf numFmtId="0" fontId="27" fillId="0" borderId="29" xfId="0" applyFont="1" applyFill="1" applyBorder="1" applyAlignment="1">
      <alignment horizontal="center"/>
    </xf>
    <xf numFmtId="41" fontId="27" fillId="0" borderId="30" xfId="0" applyNumberFormat="1" applyFont="1" applyFill="1" applyBorder="1" applyAlignment="1">
      <alignment vertical="center"/>
    </xf>
    <xf numFmtId="41" fontId="16" fillId="0" borderId="30" xfId="0" applyNumberFormat="1" applyFont="1" applyFill="1" applyBorder="1" applyAlignment="1">
      <alignment vertical="center"/>
    </xf>
    <xf numFmtId="41" fontId="16" fillId="0" borderId="23" xfId="0" applyNumberFormat="1" applyFont="1" applyFill="1" applyBorder="1" applyAlignment="1">
      <alignment vertical="center"/>
    </xf>
    <xf numFmtId="9" fontId="24" fillId="0" borderId="23" xfId="3" applyFont="1" applyFill="1" applyBorder="1" applyAlignment="1">
      <alignment vertical="center"/>
    </xf>
    <xf numFmtId="0" fontId="27" fillId="0" borderId="33" xfId="0" applyFont="1" applyFill="1" applyBorder="1" applyAlignment="1">
      <alignment horizontal="center"/>
    </xf>
    <xf numFmtId="0" fontId="16" fillId="3" borderId="0" xfId="0" applyFont="1" applyFill="1"/>
    <xf numFmtId="0" fontId="16" fillId="0" borderId="23" xfId="0" applyFont="1" applyFill="1" applyBorder="1"/>
    <xf numFmtId="41" fontId="27" fillId="0" borderId="31" xfId="0" applyNumberFormat="1" applyFont="1" applyFill="1" applyBorder="1" applyAlignment="1">
      <alignment vertical="center"/>
    </xf>
    <xf numFmtId="0" fontId="27" fillId="0" borderId="23" xfId="0" applyFont="1" applyFill="1" applyBorder="1"/>
    <xf numFmtId="41" fontId="27" fillId="0" borderId="23" xfId="0" applyNumberFormat="1" applyFont="1" applyFill="1" applyBorder="1" applyAlignment="1">
      <alignment vertical="center"/>
    </xf>
    <xf numFmtId="166" fontId="38" fillId="0" borderId="23" xfId="1" applyFont="1" applyFill="1" applyBorder="1"/>
    <xf numFmtId="38" fontId="16" fillId="0" borderId="23" xfId="0" applyNumberFormat="1" applyFont="1" applyFill="1" applyBorder="1" applyAlignment="1">
      <alignment vertical="center"/>
    </xf>
    <xf numFmtId="38" fontId="16" fillId="0" borderId="23" xfId="0" applyNumberFormat="1" applyFont="1" applyFill="1" applyBorder="1"/>
    <xf numFmtId="167" fontId="39" fillId="0" borderId="23" xfId="1" applyNumberFormat="1" applyFont="1" applyFill="1" applyBorder="1"/>
    <xf numFmtId="0" fontId="40" fillId="0" borderId="23" xfId="0" applyFont="1" applyFill="1" applyBorder="1"/>
    <xf numFmtId="0" fontId="16" fillId="0" borderId="23" xfId="0" applyFont="1" applyBorder="1"/>
    <xf numFmtId="0" fontId="16" fillId="0" borderId="29" xfId="0" applyFont="1" applyBorder="1"/>
    <xf numFmtId="0" fontId="16" fillId="0" borderId="0" xfId="0" applyFont="1" applyAlignment="1">
      <alignment vertical="center"/>
    </xf>
    <xf numFmtId="14" fontId="16" fillId="9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16" fillId="0" borderId="0" xfId="0" applyFont="1" applyBorder="1" applyAlignment="1">
      <alignment horizontal="left"/>
    </xf>
    <xf numFmtId="38" fontId="16" fillId="2" borderId="5" xfId="0" applyNumberFormat="1" applyFont="1" applyFill="1" applyBorder="1" applyAlignment="1">
      <alignment vertical="center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6" fillId="0" borderId="0" xfId="0" applyFont="1" applyBorder="1" applyAlignment="1">
      <alignment horizontal="left"/>
    </xf>
    <xf numFmtId="0" fontId="0" fillId="0" borderId="0" xfId="0" quotePrefix="1" applyFont="1" applyBorder="1" applyAlignment="1">
      <alignment horizontal="left" indent="1"/>
    </xf>
    <xf numFmtId="0" fontId="12" fillId="0" borderId="0" xfId="13"/>
    <xf numFmtId="0" fontId="12" fillId="0" borderId="0" xfId="13" applyAlignment="1">
      <alignment horizontal="right"/>
    </xf>
    <xf numFmtId="41" fontId="0" fillId="0" borderId="0" xfId="0" applyNumberFormat="1" applyAlignment="1">
      <alignment horizontal="right"/>
    </xf>
    <xf numFmtId="165" fontId="0" fillId="0" borderId="0" xfId="31" applyFont="1" applyAlignment="1">
      <alignment horizontal="right"/>
    </xf>
    <xf numFmtId="0" fontId="0" fillId="0" borderId="0" xfId="0" applyAlignment="1">
      <alignment horizontal="right"/>
    </xf>
    <xf numFmtId="41" fontId="5" fillId="0" borderId="0" xfId="2" applyFont="1" applyAlignment="1">
      <alignment horizontal="right"/>
    </xf>
    <xf numFmtId="41" fontId="5" fillId="0" borderId="0" xfId="34" applyFont="1"/>
    <xf numFmtId="0" fontId="41" fillId="0" borderId="0" xfId="0" applyFont="1"/>
    <xf numFmtId="0" fontId="0" fillId="0" borderId="25" xfId="0" applyBorder="1"/>
    <xf numFmtId="0" fontId="0" fillId="0" borderId="24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165" fontId="0" fillId="0" borderId="0" xfId="31" applyFont="1"/>
    <xf numFmtId="165" fontId="0" fillId="0" borderId="24" xfId="31" applyFont="1" applyBorder="1"/>
    <xf numFmtId="0" fontId="28" fillId="0" borderId="0" xfId="35"/>
    <xf numFmtId="0" fontId="28" fillId="0" borderId="24" xfId="35" applyBorder="1"/>
    <xf numFmtId="9" fontId="0" fillId="0" borderId="0" xfId="3" applyFont="1" applyAlignment="1">
      <alignment vertical="center"/>
    </xf>
    <xf numFmtId="0" fontId="15" fillId="0" borderId="0" xfId="17"/>
    <xf numFmtId="0" fontId="42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 applyFill="1" applyBorder="1"/>
    <xf numFmtId="0" fontId="3" fillId="0" borderId="0" xfId="38"/>
    <xf numFmtId="0" fontId="28" fillId="0" borderId="24" xfId="35" applyBorder="1" applyAlignment="1">
      <alignment horizontal="center"/>
    </xf>
    <xf numFmtId="0" fontId="28" fillId="0" borderId="0" xfId="35" applyAlignment="1">
      <alignment horizontal="center"/>
    </xf>
    <xf numFmtId="171" fontId="28" fillId="0" borderId="24" xfId="35" applyNumberFormat="1" applyBorder="1" applyAlignment="1">
      <alignment horizontal="center"/>
    </xf>
    <xf numFmtId="171" fontId="28" fillId="0" borderId="0" xfId="35" applyNumberFormat="1"/>
    <xf numFmtId="0" fontId="41" fillId="0" borderId="0" xfId="39" applyFont="1" applyAlignment="1">
      <alignment horizontal="center"/>
    </xf>
    <xf numFmtId="171" fontId="28" fillId="0" borderId="0" xfId="35" applyNumberFormat="1" applyAlignment="1">
      <alignment horizontal="center"/>
    </xf>
    <xf numFmtId="165" fontId="28" fillId="0" borderId="0" xfId="40" applyFont="1" applyBorder="1"/>
    <xf numFmtId="172" fontId="28" fillId="0" borderId="0" xfId="41" applyNumberFormat="1" applyFont="1"/>
    <xf numFmtId="165" fontId="28" fillId="0" borderId="0" xfId="35" applyNumberFormat="1"/>
    <xf numFmtId="173" fontId="28" fillId="0" borderId="0" xfId="42" applyNumberFormat="1" applyFont="1"/>
    <xf numFmtId="41" fontId="28" fillId="0" borderId="2" xfId="41" applyFont="1" applyBorder="1"/>
    <xf numFmtId="38" fontId="30" fillId="0" borderId="0" xfId="2" applyNumberFormat="1" applyFont="1" applyFill="1"/>
    <xf numFmtId="0" fontId="0" fillId="0" borderId="19" xfId="0" applyFont="1" applyFill="1" applyBorder="1"/>
    <xf numFmtId="0" fontId="0" fillId="0" borderId="18" xfId="0" applyFont="1" applyFill="1" applyBorder="1" applyAlignment="1">
      <alignment horizontal="left" vertical="justify" wrapText="1"/>
    </xf>
    <xf numFmtId="0" fontId="0" fillId="0" borderId="18" xfId="0" applyFont="1" applyFill="1" applyBorder="1"/>
    <xf numFmtId="41" fontId="27" fillId="0" borderId="0" xfId="0" applyNumberFormat="1" applyFont="1" applyFill="1"/>
    <xf numFmtId="0" fontId="16" fillId="0" borderId="0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38" fontId="18" fillId="0" borderId="0" xfId="2" applyNumberFormat="1" applyFont="1" applyFill="1"/>
    <xf numFmtId="38" fontId="27" fillId="0" borderId="23" xfId="0" applyNumberFormat="1" applyFont="1" applyFill="1" applyBorder="1" applyAlignment="1">
      <alignment vertical="center"/>
    </xf>
    <xf numFmtId="165" fontId="40" fillId="0" borderId="31" xfId="1" applyNumberFormat="1" applyFont="1" applyFill="1" applyBorder="1"/>
    <xf numFmtId="9" fontId="27" fillId="5" borderId="7" xfId="0" applyNumberFormat="1" applyFont="1" applyFill="1" applyBorder="1"/>
    <xf numFmtId="9" fontId="27" fillId="0" borderId="19" xfId="2" applyNumberFormat="1" applyFont="1" applyBorder="1"/>
    <xf numFmtId="41" fontId="0" fillId="0" borderId="25" xfId="2" applyFont="1" applyBorder="1" applyAlignment="1">
      <alignment vertical="center"/>
    </xf>
    <xf numFmtId="41" fontId="0" fillId="0" borderId="12" xfId="2" applyFont="1" applyBorder="1" applyAlignment="1">
      <alignment vertical="center"/>
    </xf>
    <xf numFmtId="41" fontId="0" fillId="0" borderId="30" xfId="2" applyFont="1" applyBorder="1" applyAlignment="1">
      <alignment vertical="center"/>
    </xf>
    <xf numFmtId="174" fontId="43" fillId="0" borderId="0" xfId="0" applyNumberFormat="1" applyFont="1"/>
    <xf numFmtId="41" fontId="43" fillId="0" borderId="0" xfId="2" applyFont="1"/>
    <xf numFmtId="0" fontId="15" fillId="0" borderId="0" xfId="17" applyFont="1"/>
    <xf numFmtId="9" fontId="0" fillId="0" borderId="0" xfId="3" applyFont="1" applyBorder="1"/>
    <xf numFmtId="41" fontId="0" fillId="0" borderId="0" xfId="2" applyFont="1" applyBorder="1" applyAlignment="1">
      <alignment vertical="center"/>
    </xf>
    <xf numFmtId="10" fontId="0" fillId="0" borderId="2" xfId="3" applyNumberFormat="1" applyFont="1" applyBorder="1"/>
    <xf numFmtId="0" fontId="28" fillId="0" borderId="0" xfId="35" applyFont="1"/>
    <xf numFmtId="0" fontId="44" fillId="0" borderId="0" xfId="35" applyFont="1" applyAlignment="1">
      <alignment horizontal="center"/>
    </xf>
    <xf numFmtId="0" fontId="45" fillId="0" borderId="0" xfId="44" applyFont="1" applyAlignment="1">
      <alignment horizontal="left" vertical="top"/>
    </xf>
    <xf numFmtId="0" fontId="45" fillId="0" borderId="0" xfId="44" applyFont="1"/>
    <xf numFmtId="0" fontId="28" fillId="0" borderId="24" xfId="35" applyFont="1" applyBorder="1" applyAlignment="1">
      <alignment horizontal="center" vertical="center"/>
    </xf>
    <xf numFmtId="0" fontId="28" fillId="0" borderId="24" xfId="35" applyFont="1" applyBorder="1"/>
    <xf numFmtId="0" fontId="2" fillId="0" borderId="24" xfId="35" applyFont="1" applyBorder="1"/>
    <xf numFmtId="0" fontId="0" fillId="0" borderId="24" xfId="35" applyFont="1" applyBorder="1"/>
    <xf numFmtId="0" fontId="28" fillId="0" borderId="24" xfId="44" applyFont="1" applyBorder="1"/>
    <xf numFmtId="0" fontId="28" fillId="0" borderId="24" xfId="44" applyFont="1" applyBorder="1" applyAlignment="1">
      <alignment wrapText="1"/>
    </xf>
    <xf numFmtId="0" fontId="28" fillId="0" borderId="24" xfId="35" applyFont="1" applyBorder="1" applyAlignment="1">
      <alignment wrapText="1"/>
    </xf>
    <xf numFmtId="164" fontId="0" fillId="0" borderId="24" xfId="37" applyFont="1" applyBorder="1"/>
    <xf numFmtId="0" fontId="28" fillId="0" borderId="24" xfId="35" applyFont="1" applyBorder="1" applyAlignment="1">
      <alignment vertical="top" wrapText="1"/>
    </xf>
    <xf numFmtId="0" fontId="28" fillId="0" borderId="24" xfId="45" applyFont="1" applyBorder="1" applyAlignment="1">
      <alignment vertical="center"/>
    </xf>
    <xf numFmtId="164" fontId="0" fillId="0" borderId="24" xfId="37" applyFont="1" applyBorder="1" applyAlignment="1">
      <alignment vertical="center" wrapText="1"/>
    </xf>
    <xf numFmtId="0" fontId="28" fillId="0" borderId="24" xfId="35" applyFont="1" applyFill="1" applyBorder="1" applyAlignment="1">
      <alignment vertical="top"/>
    </xf>
    <xf numFmtId="0" fontId="28" fillId="0" borderId="25" xfId="35" applyFont="1" applyBorder="1" applyAlignment="1">
      <alignment vertical="top" wrapText="1"/>
    </xf>
    <xf numFmtId="0" fontId="28" fillId="0" borderId="24" xfId="35" applyFont="1" applyFill="1" applyBorder="1" applyAlignment="1">
      <alignment horizontal="center" vertical="center"/>
    </xf>
    <xf numFmtId="0" fontId="28" fillId="0" borderId="0" xfId="35" applyFont="1" applyFill="1" applyBorder="1" applyAlignment="1">
      <alignment horizontal="center" vertical="center"/>
    </xf>
    <xf numFmtId="0" fontId="28" fillId="0" borderId="0" xfId="35" applyFont="1" applyBorder="1"/>
    <xf numFmtId="0" fontId="28" fillId="0" borderId="0" xfId="35" applyFont="1" applyBorder="1" applyAlignment="1">
      <alignment horizontal="center" wrapText="1"/>
    </xf>
    <xf numFmtId="0" fontId="2" fillId="0" borderId="0" xfId="46"/>
    <xf numFmtId="49" fontId="2" fillId="0" borderId="0" xfId="46" applyNumberFormat="1" applyAlignment="1">
      <alignment horizontal="left"/>
    </xf>
    <xf numFmtId="0" fontId="16" fillId="0" borderId="0" xfId="48" applyFont="1"/>
    <xf numFmtId="41" fontId="16" fillId="0" borderId="0" xfId="48" applyNumberFormat="1" applyFont="1"/>
    <xf numFmtId="0" fontId="49" fillId="0" borderId="0" xfId="21" applyFont="1" applyAlignment="1">
      <alignment vertical="center"/>
    </xf>
    <xf numFmtId="0" fontId="50" fillId="0" borderId="0" xfId="21" applyFont="1" applyAlignment="1">
      <alignment horizontal="left" vertical="center"/>
    </xf>
    <xf numFmtId="0" fontId="51" fillId="0" borderId="0" xfId="21" applyFont="1" applyAlignment="1">
      <alignment vertical="center" wrapText="1"/>
    </xf>
    <xf numFmtId="175" fontId="52" fillId="0" borderId="0" xfId="22" applyNumberFormat="1" applyFont="1" applyFill="1" applyAlignment="1">
      <alignment horizontal="center" vertical="center"/>
    </xf>
    <xf numFmtId="176" fontId="53" fillId="0" borderId="0" xfId="21" applyNumberFormat="1" applyFont="1" applyAlignment="1">
      <alignment vertical="center"/>
    </xf>
    <xf numFmtId="0" fontId="54" fillId="0" borderId="0" xfId="21" applyFont="1" applyAlignment="1">
      <alignment horizontal="left" vertical="center"/>
    </xf>
    <xf numFmtId="0" fontId="55" fillId="0" borderId="0" xfId="21" applyFont="1" applyAlignment="1">
      <alignment vertical="center" wrapText="1"/>
    </xf>
    <xf numFmtId="175" fontId="54" fillId="0" borderId="0" xfId="22" applyNumberFormat="1" applyFont="1" applyFill="1" applyAlignment="1">
      <alignment horizontal="center" vertical="center"/>
    </xf>
    <xf numFmtId="0" fontId="55" fillId="8" borderId="24" xfId="49" applyFont="1" applyFill="1" applyBorder="1" applyAlignment="1">
      <alignment horizontal="center" vertical="center" wrapText="1"/>
    </xf>
    <xf numFmtId="176" fontId="55" fillId="8" borderId="24" xfId="49" applyNumberFormat="1" applyFont="1" applyFill="1" applyBorder="1" applyAlignment="1">
      <alignment horizontal="center" vertical="center" wrapText="1"/>
    </xf>
    <xf numFmtId="0" fontId="57" fillId="0" borderId="0" xfId="21" applyFont="1" applyAlignment="1">
      <alignment vertical="center"/>
    </xf>
    <xf numFmtId="0" fontId="55" fillId="0" borderId="24" xfId="49" applyFont="1" applyBorder="1" applyAlignment="1">
      <alignment horizontal="center" vertical="center"/>
    </xf>
    <xf numFmtId="0" fontId="55" fillId="0" borderId="24" xfId="49" applyFont="1" applyBorder="1" applyAlignment="1">
      <alignment horizontal="left" vertical="center" wrapText="1"/>
    </xf>
    <xf numFmtId="0" fontId="49" fillId="0" borderId="24" xfId="21" applyFont="1" applyBorder="1" applyAlignment="1">
      <alignment horizontal="center" vertical="center"/>
    </xf>
    <xf numFmtId="0" fontId="49" fillId="0" borderId="24" xfId="50" applyNumberFormat="1" applyFont="1" applyFill="1" applyBorder="1" applyAlignment="1">
      <alignment horizontal="center" vertical="center"/>
    </xf>
    <xf numFmtId="176" fontId="49" fillId="0" borderId="24" xfId="50" applyNumberFormat="1" applyFont="1" applyFill="1" applyBorder="1" applyAlignment="1">
      <alignment horizontal="center" vertical="center"/>
    </xf>
    <xf numFmtId="176" fontId="49" fillId="0" borderId="24" xfId="21" applyNumberFormat="1" applyFont="1" applyBorder="1" applyAlignment="1">
      <alignment horizontal="center" vertical="center"/>
    </xf>
    <xf numFmtId="177" fontId="58" fillId="0" borderId="24" xfId="21" applyNumberFormat="1" applyFont="1" applyBorder="1" applyAlignment="1">
      <alignment horizontal="center" vertical="center"/>
    </xf>
    <xf numFmtId="176" fontId="49" fillId="0" borderId="24" xfId="21" applyNumberFormat="1" applyFont="1" applyBorder="1" applyAlignment="1">
      <alignment vertical="center"/>
    </xf>
    <xf numFmtId="0" fontId="49" fillId="0" borderId="24" xfId="21" applyFont="1" applyBorder="1" applyAlignment="1">
      <alignment vertical="center"/>
    </xf>
    <xf numFmtId="49" fontId="55" fillId="2" borderId="24" xfId="49" applyNumberFormat="1" applyFont="1" applyFill="1" applyBorder="1" applyAlignment="1">
      <alignment horizontal="center" vertical="center"/>
    </xf>
    <xf numFmtId="0" fontId="55" fillId="2" borderId="24" xfId="49" quotePrefix="1" applyFont="1" applyFill="1" applyBorder="1" applyAlignment="1">
      <alignment horizontal="left" vertical="center" wrapText="1"/>
    </xf>
    <xf numFmtId="0" fontId="49" fillId="2" borderId="24" xfId="49" applyFont="1" applyFill="1" applyBorder="1" applyAlignment="1">
      <alignment horizontal="center" vertical="center"/>
    </xf>
    <xf numFmtId="176" fontId="49" fillId="2" borderId="24" xfId="51" applyNumberFormat="1" applyFont="1" applyFill="1" applyBorder="1" applyAlignment="1">
      <alignment horizontal="center" vertical="center"/>
    </xf>
    <xf numFmtId="176" fontId="49" fillId="2" borderId="24" xfId="21" applyNumberFormat="1" applyFont="1" applyFill="1" applyBorder="1" applyAlignment="1">
      <alignment vertical="center"/>
    </xf>
    <xf numFmtId="0" fontId="59" fillId="2" borderId="24" xfId="52" applyFont="1" applyFill="1" applyBorder="1" applyAlignment="1">
      <alignment vertical="center"/>
    </xf>
    <xf numFmtId="0" fontId="1" fillId="8" borderId="0" xfId="52" applyFill="1"/>
    <xf numFmtId="0" fontId="49" fillId="7" borderId="24" xfId="53" applyFont="1" applyFill="1" applyBorder="1" applyAlignment="1">
      <alignment horizontal="center" vertical="center" wrapText="1"/>
    </xf>
    <xf numFmtId="0" fontId="49" fillId="7" borderId="24" xfId="53" applyFont="1" applyFill="1" applyBorder="1" applyAlignment="1">
      <alignment vertical="center" wrapText="1"/>
    </xf>
    <xf numFmtId="0" fontId="49" fillId="7" borderId="24" xfId="49" applyFont="1" applyFill="1" applyBorder="1" applyAlignment="1">
      <alignment horizontal="center" vertical="center"/>
    </xf>
    <xf numFmtId="176" fontId="49" fillId="7" borderId="24" xfId="51" applyNumberFormat="1" applyFont="1" applyFill="1" applyBorder="1" applyAlignment="1">
      <alignment horizontal="center" vertical="center"/>
    </xf>
    <xf numFmtId="176" fontId="49" fillId="7" borderId="24" xfId="50" applyNumberFormat="1" applyFont="1" applyFill="1" applyBorder="1" applyAlignment="1">
      <alignment horizontal="center" vertical="center"/>
    </xf>
    <xf numFmtId="176" fontId="49" fillId="7" borderId="24" xfId="21" applyNumberFormat="1" applyFont="1" applyFill="1" applyBorder="1" applyAlignment="1">
      <alignment vertical="center"/>
    </xf>
    <xf numFmtId="0" fontId="59" fillId="7" borderId="24" xfId="52" applyFont="1" applyFill="1" applyBorder="1"/>
    <xf numFmtId="0" fontId="1" fillId="7" borderId="0" xfId="52" applyFill="1"/>
    <xf numFmtId="0" fontId="49" fillId="9" borderId="24" xfId="49" applyFont="1" applyFill="1" applyBorder="1" applyAlignment="1">
      <alignment horizontal="center" vertical="center" wrapText="1"/>
    </xf>
    <xf numFmtId="0" fontId="49" fillId="9" borderId="24" xfId="49" quotePrefix="1" applyFont="1" applyFill="1" applyBorder="1" applyAlignment="1">
      <alignment vertical="center" wrapText="1"/>
    </xf>
    <xf numFmtId="0" fontId="49" fillId="9" borderId="24" xfId="49" applyFont="1" applyFill="1" applyBorder="1" applyAlignment="1">
      <alignment horizontal="center" vertical="center"/>
    </xf>
    <xf numFmtId="176" fontId="49" fillId="9" borderId="24" xfId="51" applyNumberFormat="1" applyFont="1" applyFill="1" applyBorder="1" applyAlignment="1">
      <alignment horizontal="center" vertical="center"/>
    </xf>
    <xf numFmtId="176" fontId="49" fillId="9" borderId="24" xfId="21" applyNumberFormat="1" applyFont="1" applyFill="1" applyBorder="1" applyAlignment="1">
      <alignment vertical="center"/>
    </xf>
    <xf numFmtId="0" fontId="59" fillId="9" borderId="24" xfId="52" applyFont="1" applyFill="1" applyBorder="1" applyAlignment="1">
      <alignment vertical="center"/>
    </xf>
    <xf numFmtId="0" fontId="1" fillId="9" borderId="0" xfId="52" applyFill="1"/>
    <xf numFmtId="178" fontId="49" fillId="9" borderId="24" xfId="49" applyNumberFormat="1" applyFont="1" applyFill="1" applyBorder="1" applyAlignment="1">
      <alignment horizontal="center" vertical="center"/>
    </xf>
    <xf numFmtId="179" fontId="49" fillId="9" borderId="24" xfId="51" applyNumberFormat="1" applyFont="1" applyFill="1" applyBorder="1" applyAlignment="1">
      <alignment horizontal="center" vertical="center"/>
    </xf>
    <xf numFmtId="0" fontId="49" fillId="9" borderId="24" xfId="21" applyFont="1" applyFill="1" applyBorder="1" applyAlignment="1">
      <alignment horizontal="center" vertical="center"/>
    </xf>
    <xf numFmtId="177" fontId="49" fillId="9" borderId="24" xfId="51" applyNumberFormat="1" applyFont="1" applyFill="1" applyBorder="1" applyAlignment="1">
      <alignment horizontal="center" vertical="center"/>
    </xf>
    <xf numFmtId="167" fontId="49" fillId="9" borderId="24" xfId="49" applyNumberFormat="1" applyFont="1" applyFill="1" applyBorder="1" applyAlignment="1">
      <alignment horizontal="center" vertical="center" wrapText="1"/>
    </xf>
    <xf numFmtId="0" fontId="55" fillId="9" borderId="24" xfId="49" applyFont="1" applyFill="1" applyBorder="1" applyAlignment="1">
      <alignment horizontal="center" vertical="center" wrapText="1"/>
    </xf>
    <xf numFmtId="0" fontId="55" fillId="2" borderId="24" xfId="49" applyFont="1" applyFill="1" applyBorder="1" applyAlignment="1">
      <alignment horizontal="center" vertical="center" wrapText="1"/>
    </xf>
    <xf numFmtId="0" fontId="51" fillId="2" borderId="24" xfId="21" applyFont="1" applyFill="1" applyBorder="1" applyAlignment="1">
      <alignment horizontal="left" vertical="center" wrapText="1"/>
    </xf>
    <xf numFmtId="0" fontId="55" fillId="2" borderId="24" xfId="49" applyFont="1" applyFill="1" applyBorder="1" applyAlignment="1">
      <alignment horizontal="center" vertical="center"/>
    </xf>
    <xf numFmtId="0" fontId="63" fillId="2" borderId="24" xfId="49" applyFont="1" applyFill="1" applyBorder="1" applyAlignment="1">
      <alignment horizontal="center" vertical="center"/>
    </xf>
    <xf numFmtId="180" fontId="55" fillId="2" borderId="24" xfId="49" applyNumberFormat="1" applyFont="1" applyFill="1" applyBorder="1" applyAlignment="1">
      <alignment horizontal="center" vertical="center"/>
    </xf>
    <xf numFmtId="176" fontId="49" fillId="2" borderId="24" xfId="53" applyNumberFormat="1" applyFont="1" applyFill="1" applyBorder="1" applyAlignment="1">
      <alignment horizontal="center" vertical="center"/>
    </xf>
    <xf numFmtId="0" fontId="59" fillId="2" borderId="24" xfId="52" applyFont="1" applyFill="1" applyBorder="1"/>
    <xf numFmtId="176" fontId="59" fillId="2" borderId="24" xfId="52" applyNumberFormat="1" applyFont="1" applyFill="1" applyBorder="1"/>
    <xf numFmtId="0" fontId="1" fillId="0" borderId="0" xfId="52"/>
    <xf numFmtId="0" fontId="49" fillId="9" borderId="24" xfId="49" applyFont="1" applyFill="1" applyBorder="1" applyAlignment="1">
      <alignment horizontal="left" vertical="center" wrapText="1"/>
    </xf>
    <xf numFmtId="180" fontId="49" fillId="9" borderId="24" xfId="49" applyNumberFormat="1" applyFont="1" applyFill="1" applyBorder="1" applyAlignment="1">
      <alignment horizontal="center" vertical="center" wrapText="1"/>
    </xf>
    <xf numFmtId="176" fontId="49" fillId="9" borderId="24" xfId="53" applyNumberFormat="1" applyFont="1" applyFill="1" applyBorder="1" applyAlignment="1">
      <alignment horizontal="center" vertical="center"/>
    </xf>
    <xf numFmtId="0" fontId="49" fillId="9" borderId="24" xfId="54" applyFont="1" applyFill="1" applyBorder="1" applyAlignment="1">
      <alignment vertical="center" wrapText="1"/>
    </xf>
    <xf numFmtId="176" fontId="49" fillId="9" borderId="24" xfId="50" applyNumberFormat="1" applyFont="1" applyFill="1" applyBorder="1" applyAlignment="1">
      <alignment horizontal="center" vertical="center"/>
    </xf>
    <xf numFmtId="0" fontId="51" fillId="2" borderId="24" xfId="49" applyFont="1" applyFill="1" applyBorder="1" applyAlignment="1">
      <alignment horizontal="left" vertical="center" wrapText="1"/>
    </xf>
    <xf numFmtId="0" fontId="49" fillId="2" borderId="24" xfId="21" applyFont="1" applyFill="1" applyBorder="1" applyAlignment="1">
      <alignment horizontal="center" vertical="center"/>
    </xf>
    <xf numFmtId="0" fontId="1" fillId="11" borderId="0" xfId="52" applyFill="1"/>
    <xf numFmtId="0" fontId="55" fillId="9" borderId="24" xfId="49" applyFont="1" applyFill="1" applyBorder="1" applyAlignment="1">
      <alignment horizontal="center" vertical="center"/>
    </xf>
    <xf numFmtId="0" fontId="59" fillId="9" borderId="24" xfId="49" applyFont="1" applyFill="1" applyBorder="1" applyAlignment="1">
      <alignment horizontal="left" vertical="center" wrapText="1"/>
    </xf>
    <xf numFmtId="0" fontId="64" fillId="9" borderId="24" xfId="21" applyFont="1" applyFill="1" applyBorder="1" applyAlignment="1">
      <alignment horizontal="center" vertical="center"/>
    </xf>
    <xf numFmtId="0" fontId="59" fillId="9" borderId="24" xfId="52" applyFont="1" applyFill="1" applyBorder="1"/>
    <xf numFmtId="176" fontId="59" fillId="9" borderId="24" xfId="52" applyNumberFormat="1" applyFont="1" applyFill="1" applyBorder="1"/>
    <xf numFmtId="49" fontId="49" fillId="9" borderId="24" xfId="49" applyNumberFormat="1" applyFont="1" applyFill="1" applyBorder="1" applyAlignment="1">
      <alignment horizontal="center" vertical="center"/>
    </xf>
    <xf numFmtId="176" fontId="55" fillId="2" borderId="24" xfId="51" applyNumberFormat="1" applyFont="1" applyFill="1" applyBorder="1" applyAlignment="1">
      <alignment horizontal="center" vertical="center"/>
    </xf>
    <xf numFmtId="177" fontId="55" fillId="2" borderId="24" xfId="51" applyNumberFormat="1" applyFont="1" applyFill="1" applyBorder="1" applyAlignment="1">
      <alignment horizontal="center" vertical="center"/>
    </xf>
    <xf numFmtId="0" fontId="59" fillId="9" borderId="24" xfId="49" quotePrefix="1" applyFont="1" applyFill="1" applyBorder="1" applyAlignment="1">
      <alignment horizontal="left" vertical="center" wrapText="1"/>
    </xf>
    <xf numFmtId="0" fontId="59" fillId="7" borderId="24" xfId="49" applyFont="1" applyFill="1" applyBorder="1" applyAlignment="1">
      <alignment horizontal="left" vertical="center" wrapText="1"/>
    </xf>
    <xf numFmtId="0" fontId="59" fillId="7" borderId="24" xfId="52" applyFont="1" applyFill="1" applyBorder="1" applyAlignment="1">
      <alignment vertical="center"/>
    </xf>
    <xf numFmtId="0" fontId="59" fillId="7" borderId="24" xfId="49" quotePrefix="1" applyFont="1" applyFill="1" applyBorder="1" applyAlignment="1">
      <alignment horizontal="left" vertical="center" wrapText="1"/>
    </xf>
    <xf numFmtId="180" fontId="55" fillId="8" borderId="24" xfId="49" applyNumberFormat="1" applyFont="1" applyFill="1" applyBorder="1" applyAlignment="1">
      <alignment vertical="center" wrapText="1"/>
    </xf>
    <xf numFmtId="0" fontId="59" fillId="8" borderId="24" xfId="52" applyFont="1" applyFill="1" applyBorder="1" applyAlignment="1">
      <alignment vertical="center"/>
    </xf>
    <xf numFmtId="0" fontId="66" fillId="0" borderId="0" xfId="21" applyFont="1" applyAlignment="1">
      <alignment vertical="center" wrapText="1"/>
    </xf>
    <xf numFmtId="176" fontId="34" fillId="0" borderId="0" xfId="21" applyNumberFormat="1" applyAlignment="1">
      <alignment vertical="center"/>
    </xf>
    <xf numFmtId="41" fontId="18" fillId="0" borderId="0" xfId="2" applyFont="1"/>
    <xf numFmtId="0" fontId="31" fillId="0" borderId="0" xfId="0" applyFont="1" applyFill="1" applyBorder="1" applyAlignment="1">
      <alignment horizontal="right" vertical="top"/>
    </xf>
    <xf numFmtId="0" fontId="28" fillId="0" borderId="25" xfId="35" applyFont="1" applyBorder="1" applyAlignment="1">
      <alignment horizontal="left" vertical="center"/>
    </xf>
    <xf numFmtId="49" fontId="1" fillId="0" borderId="0" xfId="46" applyNumberFormat="1" applyFont="1" applyAlignment="1">
      <alignment horizontal="left"/>
    </xf>
    <xf numFmtId="0" fontId="28" fillId="0" borderId="24" xfId="35" applyFont="1" applyBorder="1" applyAlignment="1">
      <alignment horizontal="left" vertical="center"/>
    </xf>
    <xf numFmtId="0" fontId="28" fillId="0" borderId="25" xfId="35" applyFont="1" applyBorder="1" applyAlignment="1">
      <alignment vertical="center" wrapText="1"/>
    </xf>
    <xf numFmtId="0" fontId="28" fillId="0" borderId="24" xfId="35" applyFont="1" applyBorder="1" applyAlignment="1">
      <alignment vertical="center" wrapText="1"/>
    </xf>
    <xf numFmtId="10" fontId="28" fillId="0" borderId="0" xfId="3" applyNumberFormat="1" applyFont="1"/>
    <xf numFmtId="38" fontId="28" fillId="0" borderId="2" xfId="41" applyNumberFormat="1" applyFont="1" applyBorder="1"/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32" fillId="0" borderId="13" xfId="0" applyFont="1" applyBorder="1" applyAlignment="1">
      <alignment horizontal="center"/>
    </xf>
    <xf numFmtId="0" fontId="32" fillId="0" borderId="14" xfId="0" applyFont="1" applyBorder="1" applyAlignment="1">
      <alignment horizontal="center"/>
    </xf>
    <xf numFmtId="0" fontId="32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6" fillId="0" borderId="17" xfId="0" applyFont="1" applyBorder="1" applyAlignment="1">
      <alignment horizontal="left"/>
    </xf>
    <xf numFmtId="0" fontId="16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6" fillId="0" borderId="16" xfId="0" applyFont="1" applyFill="1" applyBorder="1" applyAlignment="1" applyProtection="1">
      <alignment horizontal="left" indent="1"/>
    </xf>
    <xf numFmtId="0" fontId="16" fillId="0" borderId="17" xfId="0" applyFont="1" applyFill="1" applyBorder="1" applyAlignment="1" applyProtection="1">
      <alignment horizontal="left" indent="1"/>
    </xf>
    <xf numFmtId="0" fontId="16" fillId="0" borderId="20" xfId="0" applyFont="1" applyFill="1" applyBorder="1" applyAlignment="1" applyProtection="1">
      <alignment horizontal="left" indent="1"/>
    </xf>
    <xf numFmtId="0" fontId="16" fillId="0" borderId="0" xfId="0" applyFont="1" applyFill="1" applyBorder="1" applyAlignment="1" applyProtection="1">
      <alignment horizontal="left" indent="1"/>
    </xf>
    <xf numFmtId="0" fontId="16" fillId="0" borderId="0" xfId="0" applyFont="1" applyBorder="1" applyAlignment="1">
      <alignment horizontal="left"/>
    </xf>
    <xf numFmtId="0" fontId="16" fillId="0" borderId="17" xfId="0" applyFont="1" applyBorder="1" applyAlignment="1">
      <alignment horizontal="center"/>
    </xf>
    <xf numFmtId="0" fontId="16" fillId="0" borderId="21" xfId="0" applyFont="1" applyFill="1" applyBorder="1" applyAlignment="1" applyProtection="1">
      <alignment horizontal="left" indent="1"/>
    </xf>
    <xf numFmtId="0" fontId="16" fillId="0" borderId="1" xfId="0" applyFont="1" applyFill="1" applyBorder="1" applyAlignment="1" applyProtection="1">
      <alignment horizontal="left" indent="1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  <xf numFmtId="41" fontId="16" fillId="0" borderId="12" xfId="0" applyNumberFormat="1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6" fillId="10" borderId="24" xfId="35" applyFont="1" applyFill="1" applyBorder="1" applyAlignment="1">
      <alignment horizontal="center" vertical="center"/>
    </xf>
    <xf numFmtId="0" fontId="47" fillId="10" borderId="26" xfId="35" applyFont="1" applyFill="1" applyBorder="1" applyAlignment="1">
      <alignment horizontal="center" vertical="center"/>
    </xf>
    <xf numFmtId="0" fontId="47" fillId="10" borderId="28" xfId="35" applyFont="1" applyFill="1" applyBorder="1" applyAlignment="1">
      <alignment horizontal="center" vertical="center"/>
    </xf>
    <xf numFmtId="0" fontId="28" fillId="0" borderId="25" xfId="35" applyFont="1" applyBorder="1" applyAlignment="1">
      <alignment horizontal="center" wrapText="1"/>
    </xf>
    <xf numFmtId="0" fontId="28" fillId="0" borderId="34" xfId="35" applyFont="1" applyBorder="1" applyAlignment="1">
      <alignment horizontal="center" wrapText="1"/>
    </xf>
    <xf numFmtId="0" fontId="28" fillId="0" borderId="24" xfId="35" applyBorder="1" applyAlignment="1">
      <alignment horizontal="center"/>
    </xf>
    <xf numFmtId="0" fontId="48" fillId="11" borderId="0" xfId="21" applyFont="1" applyFill="1" applyAlignment="1">
      <alignment horizontal="left" vertical="center"/>
    </xf>
    <xf numFmtId="0" fontId="65" fillId="8" borderId="3" xfId="21" applyFont="1" applyFill="1" applyBorder="1" applyAlignment="1">
      <alignment horizontal="center" vertical="center"/>
    </xf>
    <xf numFmtId="0" fontId="65" fillId="8" borderId="7" xfId="21" applyFont="1" applyFill="1" applyBorder="1" applyAlignment="1">
      <alignment horizontal="center" vertical="center"/>
    </xf>
  </cellXfs>
  <cellStyles count="55">
    <cellStyle name="=C:\WINNT35\SYSTEM32\COMMAND.COM" xfId="54" xr:uid="{D11D7D38-4AB1-4A43-AC02-E03DE89DB991}"/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3 2" xfId="41" xr:uid="{196225D8-0CEA-468A-B789-05FD935F1AAE}"/>
    <cellStyle name="Comma [0] 3 3" xfId="42" xr:uid="{24E55ED1-6ECF-43BE-B81C-AA2976614944}"/>
    <cellStyle name="Comma [0] 3 4" xfId="47" xr:uid="{636ADFD0-0B5D-4F7F-9EFC-B555D0BA9F2D}"/>
    <cellStyle name="Comma [0] 4" xfId="31" xr:uid="{00000000-0005-0000-0000-000004000000}"/>
    <cellStyle name="Comma [0] 5" xfId="34" xr:uid="{00000000-0005-0000-0000-00004C000000}"/>
    <cellStyle name="Comma [0] 6" xfId="40" xr:uid="{B67F9052-DBE9-4401-BCB0-27B04B6595F3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2 2" xfId="37" xr:uid="{BA51C772-C60A-4037-A2B5-277B8197E896}"/>
    <cellStyle name="Currency [0] 3" xfId="30" xr:uid="{00000000-0005-0000-0000-00000F000000}"/>
    <cellStyle name="Currency [0] 4" xfId="51" xr:uid="{294A5D77-078A-43A9-B1D6-BAF44512B7F7}"/>
    <cellStyle name="Currency 2" xfId="24" xr:uid="{00000000-0005-0000-0000-000010000000}"/>
    <cellStyle name="Currency 3" xfId="29" xr:uid="{00000000-0005-0000-0000-000011000000}"/>
    <cellStyle name="Currency 4" xfId="50" xr:uid="{A5F28811-E9C7-441B-A229-6CCD489EA171}"/>
    <cellStyle name="Normal" xfId="0" builtinId="0"/>
    <cellStyle name="Normal 10" xfId="46" xr:uid="{6A48A52B-D1D7-47AF-8E34-4BC322F55083}"/>
    <cellStyle name="Normal 11" xfId="52" xr:uid="{8E92499F-5F91-413A-A390-2EF7A9EF9ABA}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4 2" xfId="48" xr:uid="{322167F2-7930-4984-ABD6-5A0816E4B2C7}"/>
    <cellStyle name="Normal 5" xfId="28" xr:uid="{00000000-0005-0000-0000-00001B000000}"/>
    <cellStyle name="Normal 5 2" xfId="45" xr:uid="{1EA2C677-14FA-4932-9271-743C12215470}"/>
    <cellStyle name="Normal 6" xfId="33" xr:uid="{00000000-0005-0000-0000-00004D000000}"/>
    <cellStyle name="Normal 7" xfId="35" xr:uid="{3E399743-90A6-4EC7-85FB-A11415624228}"/>
    <cellStyle name="Normal 7 2" xfId="44" xr:uid="{BD482FC2-C0F3-4417-B702-1D3F069DDAC0}"/>
    <cellStyle name="Normal 7 3" xfId="39" xr:uid="{2DF1862C-3206-4D29-A2C4-F9AF1DDFF5A2}"/>
    <cellStyle name="Normal 8" xfId="36" xr:uid="{93DAC2DA-B8F3-4C45-A65D-43A5C10729F9}"/>
    <cellStyle name="Normal 9" xfId="38" xr:uid="{2455F285-E815-4E8D-830B-6EB39497E235}"/>
    <cellStyle name="Normal_BoQ Indoor INTI - Virtual" xfId="49" xr:uid="{9F2DEDCF-8B78-45DE-8D56-27E0E2D399BD}"/>
    <cellStyle name="Normal_BoQ_Sudirman Place" xfId="53" xr:uid="{555D1ADC-9C07-4396-BD7F-47FB292E26D0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  <cellStyle name="Percent 4" xfId="43" xr:uid="{421A9140-0426-42ED-BE09-1323D055C8E1}"/>
  </cellStyles>
  <dxfs count="7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F1A87ACD-72D4-44AB-83CD-DBA05FA313A6}"/>
            </a:ext>
          </a:extLst>
        </xdr:cNvPr>
        <xdr:cNvGrpSpPr/>
      </xdr:nvGrpSpPr>
      <xdr:grpSpPr>
        <a:xfrm>
          <a:off x="622078" y="5005376"/>
          <a:ext cx="8757683" cy="164988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CB6196-0650-4CD5-9428-B44F6C58D1A1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EFD91DE-8A03-4159-9DAE-6176F6C62990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BD897F5A-A50E-4058-8895-B03CC640D56E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84426472-AE60-45E8-B57B-EE367D1DF6E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0C85AD9D-2C43-415A-9C71-18CB5CD3E100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C2F8C3A0-6B73-4B9C-A5BF-1ECA548956B4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32</xdr:row>
      <xdr:rowOff>104251</xdr:rowOff>
    </xdr:from>
    <xdr:to>
      <xdr:col>13</xdr:col>
      <xdr:colOff>156845</xdr:colOff>
      <xdr:row>33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171275C4-FFC0-4835-8C9E-25C962482327}"/>
            </a:ext>
          </a:extLst>
        </xdr:cNvPr>
        <xdr:cNvGrpSpPr/>
      </xdr:nvGrpSpPr>
      <xdr:grpSpPr>
        <a:xfrm>
          <a:off x="633824" y="6064339"/>
          <a:ext cx="8953328" cy="170079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FDD61552-BB96-45A1-81E9-560F32EC1A98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9794F9C4-D5DB-4D03-B162-288C055F8F5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0052FCBA-E126-40D7-80FF-84C9CBFFB5CF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AB89CFE5-14FC-4D41-9CA4-525B5A397FF2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13CFF796-907C-4D66-8930-432705471D0E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6209045D-B646-485D-9699-BDA99EED512B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S33"/>
  <sheetViews>
    <sheetView showGridLines="0" topLeftCell="A3" zoomScale="114" zoomScaleNormal="114" workbookViewId="0">
      <selection activeCell="M10" sqref="M10"/>
    </sheetView>
  </sheetViews>
  <sheetFormatPr defaultColWidth="8.6640625" defaultRowHeight="15.5" x14ac:dyDescent="0.35"/>
  <cols>
    <col min="1" max="1" width="4.1640625" style="81" customWidth="1"/>
    <col min="2" max="2" width="3" style="81" customWidth="1"/>
    <col min="3" max="3" width="12.58203125" style="81" customWidth="1"/>
    <col min="4" max="4" width="20.1640625" style="81" customWidth="1"/>
    <col min="5" max="5" width="4.1640625" style="81" customWidth="1"/>
    <col min="6" max="6" width="4.83203125" style="81" customWidth="1"/>
    <col min="7" max="7" width="17" style="81" bestFit="1" customWidth="1"/>
    <col min="8" max="8" width="12.1640625" style="81" customWidth="1"/>
    <col min="9" max="9" width="3.58203125" style="81" customWidth="1"/>
    <col min="10" max="10" width="2.08203125" style="81" customWidth="1"/>
    <col min="11" max="11" width="5.08203125" style="81" customWidth="1"/>
    <col min="12" max="12" width="18.33203125" style="81" bestFit="1" customWidth="1"/>
    <col min="13" max="13" width="16.5" style="81" customWidth="1"/>
    <col min="14" max="14" width="2.08203125" style="81" customWidth="1"/>
    <col min="15" max="15" width="3.6640625" style="81" customWidth="1"/>
    <col min="16" max="16384" width="8.6640625" style="81"/>
  </cols>
  <sheetData>
    <row r="1" spans="2:19" x14ac:dyDescent="0.35">
      <c r="B1" s="83"/>
      <c r="C1" s="82" t="s">
        <v>206</v>
      </c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</row>
    <row r="2" spans="2:19" ht="21" x14ac:dyDescent="0.5">
      <c r="B2" s="83"/>
      <c r="C2" s="85" t="s">
        <v>73</v>
      </c>
      <c r="D2" s="82" t="s">
        <v>81</v>
      </c>
      <c r="E2" s="83"/>
      <c r="F2" s="83"/>
      <c r="G2" s="83"/>
      <c r="H2" s="83"/>
      <c r="M2" s="179" t="s">
        <v>207</v>
      </c>
      <c r="N2" s="83"/>
    </row>
    <row r="3" spans="2:19" ht="19" thickBot="1" x14ac:dyDescent="0.5">
      <c r="B3" s="83"/>
      <c r="C3" s="85" t="s">
        <v>74</v>
      </c>
      <c r="D3" s="82" t="s">
        <v>159</v>
      </c>
      <c r="E3" s="83"/>
      <c r="F3" s="83"/>
      <c r="G3" s="83"/>
      <c r="H3" s="83"/>
      <c r="J3" s="102" t="s">
        <v>77</v>
      </c>
      <c r="K3" s="102"/>
      <c r="L3" s="102"/>
      <c r="M3" s="154" t="s">
        <v>208</v>
      </c>
      <c r="N3" s="83"/>
    </row>
    <row r="4" spans="2:19" ht="16" hidden="1" thickBot="1" x14ac:dyDescent="0.4">
      <c r="B4" s="83"/>
      <c r="C4" s="82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</row>
    <row r="5" spans="2:19" s="84" customFormat="1" ht="19" thickBot="1" x14ac:dyDescent="0.5">
      <c r="B5" s="333" t="s">
        <v>58</v>
      </c>
      <c r="C5" s="334"/>
      <c r="D5" s="335"/>
      <c r="E5" s="333" t="s">
        <v>64</v>
      </c>
      <c r="F5" s="334"/>
      <c r="G5" s="334"/>
      <c r="H5" s="334"/>
      <c r="I5" s="334"/>
      <c r="J5" s="333" t="s">
        <v>59</v>
      </c>
      <c r="K5" s="334"/>
      <c r="L5" s="334"/>
      <c r="M5" s="334"/>
      <c r="N5" s="335"/>
    </row>
    <row r="6" spans="2:19" x14ac:dyDescent="0.35">
      <c r="B6" s="336" t="s">
        <v>56</v>
      </c>
      <c r="C6" s="337"/>
      <c r="D6" s="195" t="s">
        <v>157</v>
      </c>
      <c r="E6" s="338" t="s">
        <v>66</v>
      </c>
      <c r="F6" s="338"/>
      <c r="G6" s="338"/>
      <c r="H6" s="338"/>
      <c r="I6" s="338"/>
      <c r="J6" s="97"/>
      <c r="K6" s="337" t="s">
        <v>140</v>
      </c>
      <c r="L6" s="337"/>
      <c r="M6" s="103">
        <v>1111584346</v>
      </c>
      <c r="N6" s="104"/>
      <c r="O6" s="79"/>
    </row>
    <row r="7" spans="2:19" ht="19.25" customHeight="1" x14ac:dyDescent="0.35">
      <c r="B7" s="330" t="s">
        <v>57</v>
      </c>
      <c r="C7" s="331"/>
      <c r="D7" s="196"/>
      <c r="E7" s="332" t="s">
        <v>53</v>
      </c>
      <c r="F7" s="332"/>
      <c r="G7" s="332"/>
      <c r="I7" s="83"/>
      <c r="J7" s="88"/>
      <c r="K7" s="332" t="s">
        <v>62</v>
      </c>
      <c r="L7" s="332"/>
      <c r="M7" s="80">
        <f>M6/H8</f>
        <v>3692971.2491694354</v>
      </c>
      <c r="N7" s="86"/>
    </row>
    <row r="8" spans="2:19" x14ac:dyDescent="0.35">
      <c r="B8" s="330" t="s">
        <v>68</v>
      </c>
      <c r="C8" s="331"/>
      <c r="D8" s="197" t="s">
        <v>158</v>
      </c>
      <c r="E8" s="332" t="s">
        <v>54</v>
      </c>
      <c r="F8" s="332"/>
      <c r="G8" s="332"/>
      <c r="H8" s="105">
        <v>301</v>
      </c>
      <c r="I8" s="83"/>
      <c r="J8" s="88"/>
      <c r="K8" s="332" t="s">
        <v>61</v>
      </c>
      <c r="L8" s="332"/>
      <c r="M8" s="106">
        <v>5</v>
      </c>
      <c r="N8" s="86"/>
    </row>
    <row r="9" spans="2:19" ht="15.75" customHeight="1" x14ac:dyDescent="0.35">
      <c r="B9" s="341" t="s">
        <v>69</v>
      </c>
      <c r="C9" s="332"/>
      <c r="D9" s="197" t="s">
        <v>132</v>
      </c>
      <c r="E9" s="332" t="s">
        <v>55</v>
      </c>
      <c r="F9" s="332"/>
      <c r="G9" s="332"/>
      <c r="H9" s="351" t="s">
        <v>160</v>
      </c>
      <c r="I9" s="352"/>
      <c r="J9" s="88"/>
      <c r="K9" s="158" t="s">
        <v>75</v>
      </c>
      <c r="L9" s="158"/>
      <c r="M9" s="107">
        <f>'IRR Approved (2)'!F4</f>
        <v>0.1</v>
      </c>
      <c r="N9" s="86"/>
    </row>
    <row r="10" spans="2:19" x14ac:dyDescent="0.35">
      <c r="B10" s="99" t="s">
        <v>52</v>
      </c>
      <c r="C10" s="100"/>
      <c r="D10" s="197" t="s">
        <v>130</v>
      </c>
      <c r="H10" s="351"/>
      <c r="I10" s="352"/>
      <c r="J10" s="94"/>
      <c r="K10" s="159" t="s">
        <v>60</v>
      </c>
      <c r="L10" s="159"/>
      <c r="M10" s="103">
        <f>'IRR Approved (2)'!Q22</f>
        <v>1942560000</v>
      </c>
      <c r="N10" s="86"/>
    </row>
    <row r="11" spans="2:19" x14ac:dyDescent="0.35">
      <c r="B11" s="95" t="s">
        <v>70</v>
      </c>
      <c r="C11" s="101"/>
      <c r="D11" s="87"/>
      <c r="E11" s="156" t="s">
        <v>65</v>
      </c>
      <c r="F11" s="156"/>
      <c r="G11" s="156"/>
      <c r="H11" s="156"/>
      <c r="I11" s="156"/>
      <c r="J11" s="88"/>
      <c r="K11" s="159" t="s">
        <v>168</v>
      </c>
      <c r="L11" s="159"/>
      <c r="M11" s="103">
        <f>'IRR Approved (2)'!G12</f>
        <v>169005226</v>
      </c>
      <c r="N11" s="86"/>
      <c r="O11" s="347"/>
      <c r="P11" s="347"/>
      <c r="Q11" s="347"/>
      <c r="R11" s="347"/>
      <c r="S11" s="347"/>
    </row>
    <row r="12" spans="2:19" x14ac:dyDescent="0.35">
      <c r="B12" s="95" t="s">
        <v>154</v>
      </c>
      <c r="C12" s="101"/>
      <c r="D12" s="87"/>
      <c r="E12" s="155" t="s">
        <v>63</v>
      </c>
      <c r="F12" s="155"/>
      <c r="G12" s="155"/>
      <c r="H12" s="108">
        <v>0</v>
      </c>
      <c r="I12" s="83"/>
      <c r="J12" s="88"/>
      <c r="K12" s="159" t="s">
        <v>169</v>
      </c>
      <c r="L12" s="159"/>
      <c r="M12" s="80">
        <f>'IRR Approved (2)'!G13</f>
        <v>94885769</v>
      </c>
      <c r="N12" s="86"/>
      <c r="O12" s="342"/>
      <c r="P12" s="342"/>
      <c r="Q12" s="342"/>
      <c r="R12" s="108"/>
      <c r="S12" s="83"/>
    </row>
    <row r="13" spans="2:19" x14ac:dyDescent="0.35">
      <c r="B13" s="95"/>
      <c r="C13" s="115"/>
      <c r="D13" s="87"/>
      <c r="E13" s="155" t="s">
        <v>72</v>
      </c>
      <c r="F13" s="155"/>
      <c r="G13" s="155"/>
      <c r="H13" s="108">
        <v>0</v>
      </c>
      <c r="I13" s="83"/>
      <c r="J13" s="88"/>
      <c r="K13" s="159" t="s">
        <v>86</v>
      </c>
      <c r="L13" s="159"/>
      <c r="M13" s="80">
        <f>'IRR Approved (2)'!Q25</f>
        <v>350000000</v>
      </c>
      <c r="N13" s="86"/>
      <c r="O13" s="342"/>
      <c r="P13" s="342"/>
      <c r="Q13" s="342"/>
      <c r="R13" s="108"/>
      <c r="S13" s="83"/>
    </row>
    <row r="14" spans="2:19" x14ac:dyDescent="0.35">
      <c r="B14" s="88"/>
      <c r="C14" s="83"/>
      <c r="D14" s="86"/>
      <c r="E14" s="155" t="s">
        <v>71</v>
      </c>
      <c r="F14" s="155"/>
      <c r="G14" s="155"/>
      <c r="H14" s="108">
        <v>0</v>
      </c>
      <c r="I14" s="83"/>
      <c r="J14" s="88"/>
      <c r="K14" s="159" t="s">
        <v>87</v>
      </c>
      <c r="L14" s="159"/>
      <c r="M14" s="103">
        <f>SUM('IRR Approved (2)'!Q26:Q31)</f>
        <v>676225500</v>
      </c>
      <c r="N14" s="86"/>
      <c r="O14" s="114"/>
      <c r="P14" s="114"/>
      <c r="Q14" s="114"/>
      <c r="R14" s="108"/>
      <c r="S14" s="83"/>
    </row>
    <row r="15" spans="2:19" ht="4.25" customHeight="1" thickBot="1" x14ac:dyDescent="0.4">
      <c r="B15" s="88"/>
      <c r="C15" s="83"/>
      <c r="D15" s="86"/>
      <c r="J15" s="88"/>
      <c r="N15" s="86"/>
      <c r="O15" s="161"/>
      <c r="P15" s="161"/>
      <c r="Q15" s="161"/>
      <c r="R15" s="108"/>
      <c r="S15" s="83"/>
    </row>
    <row r="16" spans="2:19" x14ac:dyDescent="0.35">
      <c r="B16" s="88"/>
      <c r="C16" s="83"/>
      <c r="D16" s="86"/>
      <c r="E16" s="347" t="s">
        <v>67</v>
      </c>
      <c r="F16" s="347"/>
      <c r="G16" s="347"/>
      <c r="H16" s="347"/>
      <c r="I16" s="347"/>
      <c r="J16" s="109"/>
      <c r="K16" s="343" t="s">
        <v>141</v>
      </c>
      <c r="L16" s="344"/>
      <c r="M16" s="205">
        <f>'IRR Approved (2)'!F48</f>
        <v>0.37063687387586275</v>
      </c>
      <c r="N16" s="86"/>
      <c r="O16" s="342"/>
      <c r="P16" s="342"/>
      <c r="Q16" s="342"/>
      <c r="R16" s="108"/>
      <c r="S16" s="83"/>
    </row>
    <row r="17" spans="2:19" x14ac:dyDescent="0.35">
      <c r="B17" s="88"/>
      <c r="C17" s="83"/>
      <c r="D17" s="86"/>
      <c r="E17" s="161"/>
      <c r="F17" s="161"/>
      <c r="G17" s="161"/>
      <c r="H17" s="108"/>
      <c r="I17" s="83"/>
      <c r="J17" s="110"/>
      <c r="K17" s="345" t="s">
        <v>142</v>
      </c>
      <c r="L17" s="346"/>
      <c r="M17" s="117">
        <f>'IRR Approved (2)'!F49</f>
        <v>277006697.86737007</v>
      </c>
      <c r="N17" s="86"/>
      <c r="O17" s="160"/>
      <c r="P17" s="160"/>
      <c r="Q17" s="160"/>
      <c r="R17" s="160"/>
      <c r="S17" s="160"/>
    </row>
    <row r="18" spans="2:19" x14ac:dyDescent="0.35">
      <c r="B18" s="88"/>
      <c r="C18" s="83"/>
      <c r="D18" s="86"/>
      <c r="J18" s="110"/>
      <c r="K18" s="345" t="s">
        <v>26</v>
      </c>
      <c r="L18" s="346"/>
      <c r="M18" s="89">
        <f>'IRR Approved (2)'!F50</f>
        <v>0.47171490198500948</v>
      </c>
      <c r="N18" s="86"/>
      <c r="R18" s="81" t="s">
        <v>48</v>
      </c>
    </row>
    <row r="19" spans="2:19" ht="16" thickBot="1" x14ac:dyDescent="0.4">
      <c r="B19" s="88"/>
      <c r="C19" s="83"/>
      <c r="D19" s="86"/>
      <c r="J19" s="110"/>
      <c r="K19" s="349" t="s">
        <v>76</v>
      </c>
      <c r="L19" s="350"/>
      <c r="M19" s="90">
        <f>'IRR Approved (2)'!F51</f>
        <v>3.9365257026299516</v>
      </c>
      <c r="N19" s="86"/>
      <c r="Q19" s="81" t="s">
        <v>48</v>
      </c>
    </row>
    <row r="20" spans="2:19" ht="3" customHeight="1" thickBot="1" x14ac:dyDescent="0.4">
      <c r="B20" s="91"/>
      <c r="C20" s="92"/>
      <c r="D20" s="93"/>
      <c r="E20" s="92"/>
      <c r="F20" s="92" t="s">
        <v>48</v>
      </c>
      <c r="G20" s="92"/>
      <c r="H20" s="92"/>
      <c r="I20" s="92"/>
      <c r="J20" s="88"/>
      <c r="K20" s="113"/>
      <c r="L20" s="96"/>
      <c r="M20" s="96"/>
      <c r="N20" s="86"/>
    </row>
    <row r="21" spans="2:19" x14ac:dyDescent="0.35">
      <c r="B21" s="111" t="s">
        <v>82</v>
      </c>
      <c r="C21" s="112"/>
      <c r="D21" s="112"/>
      <c r="E21" s="112"/>
      <c r="F21" s="112"/>
      <c r="G21" s="112"/>
      <c r="H21" s="112"/>
      <c r="I21" s="112"/>
      <c r="J21" s="112"/>
      <c r="K21" s="112"/>
      <c r="L21" s="348" t="s">
        <v>78</v>
      </c>
      <c r="M21" s="348"/>
      <c r="N21" s="104"/>
    </row>
    <row r="22" spans="2:19" x14ac:dyDescent="0.35">
      <c r="B22" s="88" t="s">
        <v>79</v>
      </c>
      <c r="C22" s="83"/>
      <c r="D22" s="181"/>
      <c r="E22" s="181"/>
      <c r="F22" s="181"/>
      <c r="G22" s="181"/>
      <c r="H22" s="83"/>
      <c r="I22" s="83"/>
      <c r="J22" s="83"/>
      <c r="K22" s="83"/>
      <c r="L22" s="339" t="s">
        <v>85</v>
      </c>
      <c r="M22" s="340"/>
      <c r="N22" s="86"/>
    </row>
    <row r="23" spans="2:19" x14ac:dyDescent="0.35">
      <c r="B23" s="88"/>
      <c r="C23" s="83"/>
      <c r="E23" s="181"/>
      <c r="F23" s="181"/>
      <c r="G23" s="181"/>
      <c r="H23" s="83"/>
      <c r="I23" s="83"/>
      <c r="J23" s="83"/>
      <c r="K23" s="83"/>
      <c r="L23" s="83"/>
      <c r="M23" s="83"/>
      <c r="N23" s="86"/>
    </row>
    <row r="24" spans="2:19" x14ac:dyDescent="0.35">
      <c r="B24" s="88"/>
      <c r="C24" s="83"/>
      <c r="D24" s="181"/>
      <c r="E24" s="181"/>
      <c r="F24" s="181"/>
      <c r="G24" s="181"/>
      <c r="H24" s="83"/>
      <c r="I24" s="83"/>
      <c r="J24" s="83"/>
      <c r="K24" s="83"/>
      <c r="L24" s="83"/>
      <c r="M24" s="83"/>
      <c r="N24" s="86"/>
    </row>
    <row r="25" spans="2:19" x14ac:dyDescent="0.35">
      <c r="B25" s="88"/>
      <c r="C25" s="83"/>
      <c r="D25" s="181"/>
      <c r="E25" s="83"/>
      <c r="F25" s="83"/>
      <c r="G25" s="83"/>
      <c r="H25" s="83"/>
      <c r="I25" s="83"/>
      <c r="J25" s="83"/>
      <c r="K25" s="83"/>
      <c r="L25" s="83"/>
      <c r="M25" s="83"/>
      <c r="N25" s="86"/>
    </row>
    <row r="26" spans="2:19" ht="16" thickBot="1" x14ac:dyDescent="0.4">
      <c r="B26" s="91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3"/>
    </row>
    <row r="27" spans="2:19" x14ac:dyDescent="0.35">
      <c r="B27" s="1" t="s">
        <v>80</v>
      </c>
    </row>
    <row r="28" spans="2:19" x14ac:dyDescent="0.35">
      <c r="B28" s="178"/>
      <c r="C28" s="178"/>
      <c r="D28" s="178"/>
      <c r="E28" s="178"/>
      <c r="F28" s="178"/>
      <c r="G28" s="178"/>
      <c r="H28" s="178"/>
      <c r="I28" s="178"/>
      <c r="J28" s="178"/>
      <c r="K28" s="178"/>
      <c r="L28" s="178"/>
      <c r="M28" s="178"/>
      <c r="N28" s="178"/>
    </row>
    <row r="29" spans="2:19" x14ac:dyDescent="0.35">
      <c r="B29" s="178"/>
      <c r="C29" s="178"/>
      <c r="D29" s="178"/>
      <c r="E29" s="178"/>
      <c r="F29" s="178"/>
      <c r="G29" s="178"/>
      <c r="H29" s="178"/>
      <c r="I29" s="178"/>
      <c r="J29" s="178"/>
      <c r="K29" s="178"/>
      <c r="L29" s="178"/>
      <c r="M29" s="178"/>
      <c r="N29" s="178"/>
    </row>
    <row r="30" spans="2:19" x14ac:dyDescent="0.35">
      <c r="B30" s="178"/>
      <c r="C30" s="178"/>
      <c r="D30" s="178"/>
      <c r="E30" s="178"/>
      <c r="F30" s="178"/>
      <c r="G30" s="178"/>
      <c r="H30" s="178"/>
      <c r="I30" s="178"/>
      <c r="J30" s="178"/>
      <c r="K30" s="178"/>
      <c r="L30" s="178"/>
      <c r="M30" s="178"/>
      <c r="N30" s="178"/>
    </row>
    <row r="31" spans="2:19" x14ac:dyDescent="0.35">
      <c r="B31" s="178"/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</row>
    <row r="32" spans="2:19" x14ac:dyDescent="0.35">
      <c r="B32" s="178"/>
      <c r="C32" s="178"/>
      <c r="D32" s="178"/>
      <c r="E32" s="178"/>
      <c r="F32" s="178"/>
      <c r="G32" s="178"/>
      <c r="H32" s="178"/>
      <c r="I32" s="178"/>
      <c r="J32" s="178"/>
      <c r="K32" s="178"/>
      <c r="L32" s="178"/>
      <c r="M32" s="178"/>
      <c r="N32" s="178"/>
    </row>
    <row r="33" spans="2:14" x14ac:dyDescent="0.35">
      <c r="B33" s="178"/>
      <c r="C33" s="178"/>
      <c r="D33" s="178"/>
      <c r="E33" s="178"/>
      <c r="F33" s="178"/>
      <c r="G33" s="178"/>
      <c r="H33" s="178"/>
      <c r="I33" s="178"/>
      <c r="J33" s="178"/>
      <c r="K33" s="178"/>
      <c r="L33" s="178"/>
      <c r="M33" s="178"/>
      <c r="N33" s="178"/>
    </row>
  </sheetData>
  <mergeCells count="26">
    <mergeCell ref="L22:M22"/>
    <mergeCell ref="B9:C9"/>
    <mergeCell ref="O16:Q16"/>
    <mergeCell ref="K16:L16"/>
    <mergeCell ref="K18:L18"/>
    <mergeCell ref="E9:G9"/>
    <mergeCell ref="O11:S11"/>
    <mergeCell ref="O12:Q12"/>
    <mergeCell ref="L21:M21"/>
    <mergeCell ref="O13:Q13"/>
    <mergeCell ref="K19:L19"/>
    <mergeCell ref="E16:I16"/>
    <mergeCell ref="H9:I10"/>
    <mergeCell ref="K17:L17"/>
    <mergeCell ref="B5:D5"/>
    <mergeCell ref="E5:I5"/>
    <mergeCell ref="J5:N5"/>
    <mergeCell ref="B6:C6"/>
    <mergeCell ref="E6:I6"/>
    <mergeCell ref="K6:L6"/>
    <mergeCell ref="B7:C7"/>
    <mergeCell ref="E7:G7"/>
    <mergeCell ref="K8:L8"/>
    <mergeCell ref="E8:G8"/>
    <mergeCell ref="B8:C8"/>
    <mergeCell ref="K7:L7"/>
  </mergeCells>
  <pageMargins left="0.55000000000000004" right="0.4" top="0.38" bottom="0.48" header="0.39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5FD31-57A8-4D92-8DD4-1B625580EEDE}">
  <sheetPr>
    <pageSetUpPr fitToPage="1"/>
  </sheetPr>
  <dimension ref="B1:AA91"/>
  <sheetViews>
    <sheetView showGridLines="0" tabSelected="1" topLeftCell="A33" zoomScale="90" zoomScaleNormal="90" workbookViewId="0">
      <selection activeCell="G55" sqref="G5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2.33203125" customWidth="1"/>
    <col min="5" max="5" width="15.4140625" customWidth="1"/>
    <col min="6" max="6" width="11.66406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1" width="13.9140625" bestFit="1" customWidth="1"/>
    <col min="12" max="12" width="12.6640625" hidden="1" customWidth="1"/>
    <col min="13" max="16" width="6.83203125" hidden="1" customWidth="1"/>
    <col min="17" max="17" width="18.4140625" style="1" bestFit="1" customWidth="1"/>
    <col min="18" max="18" width="12.6640625" bestFit="1" customWidth="1"/>
    <col min="19" max="22" width="15" bestFit="1" customWidth="1"/>
    <col min="23" max="23" width="15.58203125" bestFit="1" customWidth="1"/>
    <col min="24" max="24" width="11.58203125" bestFit="1" customWidth="1"/>
  </cols>
  <sheetData>
    <row r="1" spans="2:26" s="1" customFormat="1" ht="26" x14ac:dyDescent="0.35">
      <c r="B1" s="1" t="s">
        <v>131</v>
      </c>
      <c r="C1" s="180" t="s">
        <v>206</v>
      </c>
      <c r="G1" s="153"/>
      <c r="J1" s="82"/>
      <c r="K1" s="82"/>
      <c r="L1" s="82"/>
      <c r="M1" s="82"/>
      <c r="N1" s="82"/>
      <c r="O1" s="82"/>
      <c r="P1" s="82"/>
      <c r="Q1" s="322" t="str">
        <f>Summary!$D$6</f>
        <v>Mansion Pasar Baru</v>
      </c>
    </row>
    <row r="2" spans="2:26" x14ac:dyDescent="0.35">
      <c r="B2" s="34" t="s">
        <v>83</v>
      </c>
      <c r="I2" s="133" t="s">
        <v>301</v>
      </c>
      <c r="J2" t="s">
        <v>302</v>
      </c>
    </row>
    <row r="3" spans="2:26" x14ac:dyDescent="0.35">
      <c r="C3" t="s">
        <v>0</v>
      </c>
      <c r="F3" s="4">
        <v>0.02</v>
      </c>
      <c r="I3" s="33" t="s">
        <v>304</v>
      </c>
      <c r="J3" s="75">
        <v>-0.05</v>
      </c>
      <c r="Q3" s="141"/>
      <c r="R3" s="3"/>
      <c r="S3" s="3"/>
    </row>
    <row r="4" spans="2:26" x14ac:dyDescent="0.35">
      <c r="C4" t="s">
        <v>38</v>
      </c>
      <c r="F4" s="4">
        <v>0.1</v>
      </c>
      <c r="I4" s="33"/>
      <c r="Q4" s="141"/>
      <c r="R4" s="3"/>
      <c r="S4" s="3"/>
    </row>
    <row r="5" spans="2:26" x14ac:dyDescent="0.35">
      <c r="C5" t="s">
        <v>1</v>
      </c>
      <c r="F5" s="4">
        <v>0.05</v>
      </c>
      <c r="G5" s="2" t="s">
        <v>2</v>
      </c>
      <c r="I5" s="33"/>
      <c r="J5" t="s">
        <v>303</v>
      </c>
    </row>
    <row r="6" spans="2:26" x14ac:dyDescent="0.35">
      <c r="C6" t="s">
        <v>3</v>
      </c>
      <c r="F6" s="5">
        <v>0</v>
      </c>
      <c r="G6" s="2" t="s">
        <v>2</v>
      </c>
      <c r="J6" t="s">
        <v>303</v>
      </c>
    </row>
    <row r="7" spans="2:26" x14ac:dyDescent="0.35">
      <c r="C7" t="s">
        <v>84</v>
      </c>
      <c r="F7" s="4">
        <v>0.1</v>
      </c>
    </row>
    <row r="8" spans="2:26" ht="4.25" customHeight="1" thickBot="1" x14ac:dyDescent="0.4"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3"/>
      <c r="U8" s="42"/>
      <c r="V8" s="42"/>
      <c r="W8" s="42"/>
      <c r="X8" s="42"/>
      <c r="Y8" s="42"/>
    </row>
    <row r="9" spans="2:26" s="1" customFormat="1" x14ac:dyDescent="0.35">
      <c r="G9" s="200" t="s">
        <v>33</v>
      </c>
      <c r="H9" s="200" t="s">
        <v>34</v>
      </c>
      <c r="I9" s="200" t="s">
        <v>35</v>
      </c>
      <c r="J9" s="200" t="s">
        <v>36</v>
      </c>
      <c r="K9" s="200" t="s">
        <v>37</v>
      </c>
      <c r="L9" s="200"/>
      <c r="M9" s="200" t="s">
        <v>136</v>
      </c>
      <c r="N9" s="200" t="s">
        <v>137</v>
      </c>
      <c r="O9" s="200" t="s">
        <v>138</v>
      </c>
      <c r="P9" s="200" t="s">
        <v>139</v>
      </c>
      <c r="Q9" s="140" t="s">
        <v>11</v>
      </c>
      <c r="R9" s="42"/>
      <c r="S9" s="42"/>
      <c r="T9" s="131"/>
      <c r="U9" s="42"/>
      <c r="V9" s="42"/>
      <c r="W9" s="42"/>
      <c r="X9" s="42"/>
      <c r="Y9" s="42"/>
    </row>
    <row r="10" spans="2:26" x14ac:dyDescent="0.35">
      <c r="B10" s="1" t="s">
        <v>45</v>
      </c>
      <c r="G10"/>
      <c r="Q10" s="142"/>
      <c r="R10" s="42"/>
      <c r="S10" s="42"/>
      <c r="T10" s="43"/>
      <c r="U10" s="42"/>
      <c r="V10" s="42"/>
      <c r="W10" s="42"/>
      <c r="X10" s="42"/>
      <c r="Y10" s="42"/>
    </row>
    <row r="11" spans="2:26" s="69" customFormat="1" x14ac:dyDescent="0.35">
      <c r="B11" s="72" t="s">
        <v>46</v>
      </c>
      <c r="E11" s="69" t="s">
        <v>299</v>
      </c>
      <c r="G11" s="321">
        <f>'BoQ MANSION'!I57</f>
        <v>116098500</v>
      </c>
      <c r="H11" s="70"/>
      <c r="I11" s="70"/>
      <c r="J11" s="70"/>
      <c r="K11" s="70"/>
      <c r="L11" s="70"/>
      <c r="M11" s="70"/>
      <c r="N11" s="70"/>
      <c r="O11" s="70"/>
      <c r="P11" s="70"/>
      <c r="Q11" s="145">
        <f>SUM(G11:K11)</f>
        <v>116098500</v>
      </c>
      <c r="R11" s="70"/>
      <c r="S11" s="70"/>
      <c r="T11" s="71"/>
      <c r="U11" s="70"/>
      <c r="V11" s="70"/>
      <c r="W11" s="70"/>
      <c r="X11" s="70"/>
      <c r="Y11" s="70"/>
    </row>
    <row r="12" spans="2:26" s="69" customFormat="1" x14ac:dyDescent="0.35">
      <c r="B12" s="72"/>
      <c r="E12" s="69" t="s">
        <v>166</v>
      </c>
      <c r="F12" s="198">
        <f>Summary!H8</f>
        <v>301</v>
      </c>
      <c r="G12" s="213">
        <v>169005226</v>
      </c>
      <c r="H12" s="70"/>
      <c r="I12" s="70"/>
      <c r="J12" s="70"/>
      <c r="K12" s="70"/>
      <c r="L12" s="70"/>
      <c r="M12" s="70"/>
      <c r="N12" s="70"/>
      <c r="O12" s="70"/>
      <c r="P12" s="70"/>
      <c r="Q12" s="145">
        <f>SUM(G12:K12)</f>
        <v>169005226</v>
      </c>
      <c r="R12" s="70"/>
      <c r="S12" s="70"/>
      <c r="T12" s="71"/>
      <c r="U12" s="70"/>
      <c r="V12" s="70"/>
      <c r="W12" s="70"/>
      <c r="X12" s="70"/>
      <c r="Y12" s="70"/>
    </row>
    <row r="13" spans="2:26" ht="13.25" customHeight="1" x14ac:dyDescent="0.35">
      <c r="E13" t="s">
        <v>167</v>
      </c>
      <c r="F13" s="10">
        <v>51</v>
      </c>
      <c r="G13" s="20">
        <v>94885769</v>
      </c>
      <c r="H13" s="15"/>
      <c r="I13" s="15"/>
      <c r="J13" s="15"/>
      <c r="K13" s="15"/>
      <c r="L13" s="15"/>
      <c r="M13" s="15"/>
      <c r="N13" s="15"/>
      <c r="O13" s="15"/>
      <c r="P13" s="15"/>
      <c r="Q13" s="143">
        <f>SUM(G13:K13)</f>
        <v>94885769</v>
      </c>
      <c r="T13" s="41"/>
      <c r="U13" s="41"/>
      <c r="V13" s="41"/>
      <c r="W13" s="41"/>
      <c r="X13" s="41"/>
      <c r="Y13" s="41"/>
      <c r="Z13" s="41"/>
    </row>
    <row r="14" spans="2:26" ht="23.5" customHeight="1" x14ac:dyDescent="0.35">
      <c r="F14" s="10"/>
      <c r="G14" s="206">
        <f>SUM(G11:G13)</f>
        <v>379989495</v>
      </c>
      <c r="H14" s="207">
        <f t="shared" ref="H14:Q14" si="0">SUM(H11:H13)</f>
        <v>0</v>
      </c>
      <c r="I14" s="207">
        <f t="shared" si="0"/>
        <v>0</v>
      </c>
      <c r="J14" s="207">
        <f t="shared" si="0"/>
        <v>0</v>
      </c>
      <c r="K14" s="207">
        <f t="shared" si="0"/>
        <v>0</v>
      </c>
      <c r="L14" s="207">
        <f t="shared" si="0"/>
        <v>0</v>
      </c>
      <c r="M14" s="207">
        <f t="shared" si="0"/>
        <v>0</v>
      </c>
      <c r="N14" s="207">
        <f t="shared" si="0"/>
        <v>0</v>
      </c>
      <c r="O14" s="207">
        <f t="shared" si="0"/>
        <v>0</v>
      </c>
      <c r="P14" s="207">
        <f t="shared" si="0"/>
        <v>0</v>
      </c>
      <c r="Q14" s="208">
        <f t="shared" si="0"/>
        <v>379989495</v>
      </c>
      <c r="T14" s="41"/>
      <c r="U14" s="41"/>
      <c r="V14" s="41"/>
      <c r="W14" s="41"/>
      <c r="X14" s="41"/>
      <c r="Y14" s="41"/>
      <c r="Z14" s="41"/>
    </row>
    <row r="15" spans="2:26" ht="16" thickBot="1" x14ac:dyDescent="0.4">
      <c r="B15" s="11" t="s">
        <v>10</v>
      </c>
      <c r="C15" s="6"/>
      <c r="D15" s="6"/>
      <c r="E15" s="6"/>
      <c r="F15" s="6"/>
      <c r="G15" s="12">
        <v>2025</v>
      </c>
      <c r="H15" s="7">
        <f>G15+1</f>
        <v>2026</v>
      </c>
      <c r="I15" s="7">
        <f t="shared" ref="I15:J15" si="1">H15+1</f>
        <v>2027</v>
      </c>
      <c r="J15" s="7">
        <f t="shared" si="1"/>
        <v>2028</v>
      </c>
      <c r="K15" s="7">
        <f>J15+1</f>
        <v>2029</v>
      </c>
      <c r="L15" s="7"/>
      <c r="M15" s="7">
        <f t="shared" ref="M15:P15" si="2">L15+1</f>
        <v>1</v>
      </c>
      <c r="N15" s="7">
        <f t="shared" si="2"/>
        <v>2</v>
      </c>
      <c r="O15" s="7">
        <f t="shared" si="2"/>
        <v>3</v>
      </c>
      <c r="P15" s="7">
        <f t="shared" si="2"/>
        <v>4</v>
      </c>
      <c r="Q15" s="135" t="s">
        <v>11</v>
      </c>
      <c r="R15" s="199"/>
      <c r="S15" s="199"/>
      <c r="T15" s="199"/>
      <c r="U15" s="199"/>
      <c r="V15" s="199"/>
      <c r="W15" s="199"/>
      <c r="X15" s="41"/>
      <c r="Y15" s="41"/>
      <c r="Z15" s="41"/>
    </row>
    <row r="16" spans="2:26" x14ac:dyDescent="0.35">
      <c r="B16" t="s">
        <v>12</v>
      </c>
      <c r="G16" s="8">
        <v>12</v>
      </c>
      <c r="H16" s="8">
        <v>12</v>
      </c>
      <c r="I16" s="8">
        <v>12</v>
      </c>
      <c r="J16" s="8">
        <v>12</v>
      </c>
      <c r="K16" s="8">
        <v>12</v>
      </c>
      <c r="L16" s="8"/>
      <c r="M16" s="8">
        <v>12</v>
      </c>
      <c r="N16" s="8">
        <v>12</v>
      </c>
      <c r="O16" s="8">
        <v>12</v>
      </c>
      <c r="P16" s="8">
        <v>12</v>
      </c>
      <c r="Q16" s="144"/>
    </row>
    <row r="17" spans="2:24" x14ac:dyDescent="0.35">
      <c r="B17" s="132" t="s">
        <v>129</v>
      </c>
      <c r="Q17" s="144"/>
    </row>
    <row r="18" spans="2:24" ht="2.4" customHeight="1" x14ac:dyDescent="0.35">
      <c r="Q18" s="144"/>
    </row>
    <row r="19" spans="2:24" ht="11.4" customHeight="1" x14ac:dyDescent="0.35">
      <c r="B19" s="1" t="s">
        <v>4</v>
      </c>
      <c r="E19" s="17"/>
      <c r="G19" s="18"/>
      <c r="H19" s="17"/>
      <c r="I19" s="19"/>
      <c r="J19" s="19"/>
      <c r="K19" s="19"/>
      <c r="L19" s="19"/>
      <c r="M19" s="19"/>
      <c r="N19" s="19"/>
      <c r="O19" s="19"/>
      <c r="P19" s="19"/>
      <c r="Q19" s="144"/>
    </row>
    <row r="20" spans="2:24" ht="15.65" customHeight="1" x14ac:dyDescent="0.35">
      <c r="C20" t="s">
        <v>156</v>
      </c>
      <c r="G20" s="13">
        <v>307200000</v>
      </c>
      <c r="H20" s="13">
        <f>G20*95%</f>
        <v>291840000</v>
      </c>
      <c r="I20" s="13">
        <f t="shared" ref="I20:K21" si="3">H20</f>
        <v>291840000</v>
      </c>
      <c r="J20" s="13">
        <f t="shared" si="3"/>
        <v>291840000</v>
      </c>
      <c r="K20" s="13">
        <f t="shared" si="3"/>
        <v>291840000</v>
      </c>
      <c r="L20" s="13"/>
      <c r="M20" s="13"/>
      <c r="N20" s="13"/>
      <c r="O20" s="13"/>
      <c r="P20" s="13"/>
      <c r="Q20" s="145">
        <f>SUM($G20:P20)</f>
        <v>1474560000</v>
      </c>
      <c r="R20" s="45"/>
      <c r="S20" s="45"/>
      <c r="T20" s="45"/>
      <c r="U20" s="45"/>
      <c r="V20" s="45"/>
      <c r="W20" s="46"/>
      <c r="X20" s="47"/>
    </row>
    <row r="21" spans="2:24" ht="13.75" customHeight="1" x14ac:dyDescent="0.35">
      <c r="C21" t="s">
        <v>161</v>
      </c>
      <c r="E21" t="s">
        <v>163</v>
      </c>
      <c r="G21" s="13">
        <f>7800000*12</f>
        <v>93600000</v>
      </c>
      <c r="H21" s="13">
        <f>G21</f>
        <v>93600000</v>
      </c>
      <c r="I21" s="13">
        <f t="shared" si="3"/>
        <v>93600000</v>
      </c>
      <c r="J21" s="13">
        <f t="shared" si="3"/>
        <v>93600000</v>
      </c>
      <c r="K21" s="13">
        <f t="shared" si="3"/>
        <v>93600000</v>
      </c>
      <c r="L21" s="13"/>
      <c r="M21" s="13"/>
      <c r="N21" s="13"/>
      <c r="O21" s="13"/>
      <c r="P21" s="13"/>
      <c r="Q21" s="145">
        <f>SUM($G21:P21)</f>
        <v>468000000</v>
      </c>
      <c r="R21" s="45"/>
      <c r="S21" s="45"/>
      <c r="T21" s="45"/>
      <c r="U21" s="45"/>
      <c r="V21" s="45"/>
      <c r="W21" s="46"/>
      <c r="X21" s="47"/>
    </row>
    <row r="22" spans="2:24" x14ac:dyDescent="0.35">
      <c r="B22" s="64" t="s">
        <v>13</v>
      </c>
      <c r="C22" s="64"/>
      <c r="D22" s="64"/>
      <c r="E22" s="353"/>
      <c r="F22" s="354"/>
      <c r="G22" s="65">
        <f>SUM(G20:G21)</f>
        <v>400800000</v>
      </c>
      <c r="H22" s="65">
        <f>SUM(H20:H21)</f>
        <v>385440000</v>
      </c>
      <c r="I22" s="65">
        <f>SUM(I20:I21)</f>
        <v>385440000</v>
      </c>
      <c r="J22" s="65">
        <f>SUM(J20:J21)</f>
        <v>385440000</v>
      </c>
      <c r="K22" s="65">
        <f>SUM(K20:K21)</f>
        <v>385440000</v>
      </c>
      <c r="L22" s="65"/>
      <c r="M22" s="65">
        <f>SUM(M20:M20)</f>
        <v>0</v>
      </c>
      <c r="N22" s="65">
        <f>SUM(N20:N20)</f>
        <v>0</v>
      </c>
      <c r="O22" s="65">
        <f>SUM(O20:O20)</f>
        <v>0</v>
      </c>
      <c r="P22" s="65">
        <f>SUM(P20:P20)</f>
        <v>0</v>
      </c>
      <c r="Q22" s="136">
        <f>SUM(Q20:Q21)</f>
        <v>1942560000</v>
      </c>
      <c r="R22" s="45">
        <f>SUM(G22:L22)-Q22</f>
        <v>0</v>
      </c>
      <c r="S22" s="45"/>
      <c r="T22" s="45"/>
      <c r="U22" s="45"/>
      <c r="V22" s="45"/>
      <c r="W22" s="45"/>
      <c r="X22" s="47"/>
    </row>
    <row r="23" spans="2:24" ht="4.25" customHeight="1" x14ac:dyDescent="0.35">
      <c r="Q23" s="144"/>
      <c r="R23" s="47"/>
      <c r="S23" s="47"/>
      <c r="T23" s="47"/>
      <c r="U23" s="47"/>
      <c r="V23" s="47"/>
      <c r="W23" s="47"/>
      <c r="X23" s="47"/>
    </row>
    <row r="24" spans="2:24" x14ac:dyDescent="0.35">
      <c r="B24" s="1" t="s">
        <v>14</v>
      </c>
      <c r="E24" s="17"/>
      <c r="F24" s="17"/>
      <c r="G24" s="18"/>
      <c r="H24" s="17"/>
      <c r="I24" s="19"/>
      <c r="J24" s="19"/>
      <c r="K24" s="19"/>
      <c r="L24" s="19"/>
      <c r="M24" s="19"/>
      <c r="N24" s="19"/>
      <c r="O24" s="19"/>
      <c r="P24" s="19"/>
      <c r="Q24" s="146"/>
      <c r="R24" s="48"/>
      <c r="S24" s="48"/>
      <c r="T24" s="48"/>
      <c r="U24" s="48"/>
      <c r="V24" s="48"/>
      <c r="W24" s="47"/>
      <c r="X24" s="47"/>
    </row>
    <row r="25" spans="2:24" x14ac:dyDescent="0.35">
      <c r="C25" t="s">
        <v>39</v>
      </c>
      <c r="F25" s="14"/>
      <c r="G25" s="13">
        <v>350000000</v>
      </c>
      <c r="H25" s="13"/>
      <c r="I25" s="13"/>
      <c r="J25" s="13"/>
      <c r="K25" s="13"/>
      <c r="L25" s="13"/>
      <c r="M25" s="13"/>
      <c r="N25" s="13"/>
      <c r="O25" s="13"/>
      <c r="P25" s="13"/>
      <c r="Q25" s="145">
        <f>SUM($G25:P25)</f>
        <v>350000000</v>
      </c>
      <c r="R25" s="45"/>
      <c r="S25" s="45"/>
      <c r="T25" s="45"/>
      <c r="U25" s="45"/>
      <c r="V25" s="45"/>
      <c r="W25" s="46"/>
      <c r="X25" s="47"/>
    </row>
    <row r="26" spans="2:24" x14ac:dyDescent="0.35">
      <c r="C26" t="s">
        <v>162</v>
      </c>
      <c r="E26" s="209"/>
      <c r="F26" s="210"/>
      <c r="G26" s="13">
        <v>1821500</v>
      </c>
      <c r="H26" s="13">
        <f t="shared" ref="H26:K27" si="4">G26</f>
        <v>1821500</v>
      </c>
      <c r="I26" s="13">
        <f t="shared" si="4"/>
        <v>1821500</v>
      </c>
      <c r="J26" s="13">
        <f t="shared" si="4"/>
        <v>1821500</v>
      </c>
      <c r="K26" s="13">
        <f t="shared" si="4"/>
        <v>1821500</v>
      </c>
      <c r="L26" s="13"/>
      <c r="M26" s="13"/>
      <c r="N26" s="13"/>
      <c r="O26" s="13"/>
      <c r="P26" s="13"/>
      <c r="Q26" s="145">
        <f>SUM($G26:P26)</f>
        <v>9107500</v>
      </c>
      <c r="R26" s="45"/>
      <c r="S26" s="45"/>
      <c r="T26" s="45"/>
      <c r="U26" s="45"/>
      <c r="V26" s="45"/>
      <c r="W26" s="46"/>
      <c r="X26" s="47"/>
    </row>
    <row r="27" spans="2:24" x14ac:dyDescent="0.35">
      <c r="C27" t="s">
        <v>15</v>
      </c>
      <c r="G27" s="13">
        <f>PARAMETER!B80*2</f>
        <v>96000000</v>
      </c>
      <c r="H27" s="13">
        <f t="shared" si="4"/>
        <v>96000000</v>
      </c>
      <c r="I27" s="13">
        <f t="shared" si="4"/>
        <v>96000000</v>
      </c>
      <c r="J27" s="13">
        <f t="shared" si="4"/>
        <v>96000000</v>
      </c>
      <c r="K27" s="13">
        <f t="shared" si="4"/>
        <v>96000000</v>
      </c>
      <c r="L27" s="13"/>
      <c r="M27" s="13"/>
      <c r="N27" s="13"/>
      <c r="O27" s="13"/>
      <c r="P27" s="13"/>
      <c r="Q27" s="145">
        <f>SUM($G27:P27)</f>
        <v>480000000</v>
      </c>
      <c r="R27" s="45"/>
      <c r="S27" s="45"/>
      <c r="T27" s="45"/>
      <c r="U27" s="45"/>
      <c r="V27" s="45"/>
      <c r="W27" s="46"/>
      <c r="X27" s="47"/>
    </row>
    <row r="28" spans="2:24" x14ac:dyDescent="0.35">
      <c r="C28" t="s">
        <v>127</v>
      </c>
      <c r="G28" s="98">
        <f>7000000</f>
        <v>7000000</v>
      </c>
      <c r="H28" s="98">
        <f>G28</f>
        <v>7000000</v>
      </c>
      <c r="I28" s="98">
        <f t="shared" ref="I28:K28" si="5">H28</f>
        <v>7000000</v>
      </c>
      <c r="J28" s="98">
        <f t="shared" si="5"/>
        <v>7000000</v>
      </c>
      <c r="K28" s="98">
        <f t="shared" si="5"/>
        <v>7000000</v>
      </c>
      <c r="L28" s="98"/>
      <c r="M28" s="98"/>
      <c r="N28" s="98"/>
      <c r="O28" s="98"/>
      <c r="P28" s="98"/>
      <c r="Q28" s="145">
        <f>SUM($G28:P28)</f>
        <v>35000000</v>
      </c>
      <c r="R28" s="45"/>
      <c r="S28" s="45"/>
      <c r="T28" s="45"/>
      <c r="U28" s="45"/>
      <c r="V28" s="45"/>
      <c r="W28" s="46"/>
      <c r="X28" s="47"/>
    </row>
    <row r="29" spans="2:24" x14ac:dyDescent="0.35">
      <c r="C29" s="211" t="s">
        <v>164</v>
      </c>
      <c r="F29" s="75">
        <v>0.1</v>
      </c>
      <c r="G29" s="98">
        <f>G21*10%</f>
        <v>9360000</v>
      </c>
      <c r="H29" s="98">
        <f>H21*10%</f>
        <v>9360000</v>
      </c>
      <c r="I29" s="98">
        <f>I21*10%</f>
        <v>9360000</v>
      </c>
      <c r="J29" s="98">
        <f>J21*10%</f>
        <v>9360000</v>
      </c>
      <c r="K29" s="98">
        <f>K21*10%</f>
        <v>9360000</v>
      </c>
      <c r="L29" s="98"/>
      <c r="M29" s="98"/>
      <c r="N29" s="98"/>
      <c r="O29" s="98"/>
      <c r="P29" s="98"/>
      <c r="Q29" s="145">
        <f>SUM($G29:P29)</f>
        <v>46800000</v>
      </c>
      <c r="R29" s="45"/>
      <c r="S29" s="45"/>
      <c r="T29" s="45"/>
      <c r="U29" s="45"/>
      <c r="V29" s="45"/>
      <c r="W29" s="46"/>
      <c r="X29" s="47"/>
    </row>
    <row r="30" spans="2:24" x14ac:dyDescent="0.35">
      <c r="B30" s="41"/>
      <c r="C30" s="41" t="s">
        <v>128</v>
      </c>
      <c r="D30" s="41"/>
      <c r="E30" s="41"/>
      <c r="F30" s="212"/>
      <c r="G30" s="213">
        <f>$F$5*G22</f>
        <v>20040000</v>
      </c>
      <c r="H30" s="213">
        <f>$F$5*H22</f>
        <v>19272000</v>
      </c>
      <c r="I30" s="213">
        <f>$F$5*I22</f>
        <v>19272000</v>
      </c>
      <c r="J30" s="213">
        <f>$F$5*J22</f>
        <v>19272000</v>
      </c>
      <c r="K30" s="213">
        <f>$F$5*K22</f>
        <v>19272000</v>
      </c>
      <c r="L30" s="213"/>
      <c r="M30" s="20">
        <f>$F$5*M22</f>
        <v>0</v>
      </c>
      <c r="N30" s="20">
        <f>$F$5*N22</f>
        <v>0</v>
      </c>
      <c r="O30" s="20">
        <f>$F$5*O22</f>
        <v>0</v>
      </c>
      <c r="P30" s="20">
        <f>$F$5*P22</f>
        <v>0</v>
      </c>
      <c r="Q30" s="145">
        <f>SUM($G30:P30)</f>
        <v>97128000</v>
      </c>
      <c r="R30" s="49"/>
      <c r="S30" s="49"/>
      <c r="T30" s="49"/>
      <c r="U30" s="49"/>
      <c r="V30" s="49"/>
      <c r="W30" s="46"/>
      <c r="X30" s="47"/>
    </row>
    <row r="31" spans="2:24" x14ac:dyDescent="0.35">
      <c r="B31" s="15"/>
      <c r="C31" s="15" t="s">
        <v>165</v>
      </c>
      <c r="D31" s="15"/>
      <c r="E31" s="15"/>
      <c r="F31" s="214">
        <v>1.7500000000000002E-2</v>
      </c>
      <c r="G31" s="20">
        <f>G21*$F$31</f>
        <v>1638000.0000000002</v>
      </c>
      <c r="H31" s="20">
        <f>H21*$F$31</f>
        <v>1638000.0000000002</v>
      </c>
      <c r="I31" s="20">
        <f>I21*$F$31</f>
        <v>1638000.0000000002</v>
      </c>
      <c r="J31" s="20">
        <f>J21*$F$31</f>
        <v>1638000.0000000002</v>
      </c>
      <c r="K31" s="20">
        <f>K21*$F$31</f>
        <v>1638000.0000000002</v>
      </c>
      <c r="L31" s="20"/>
      <c r="M31" s="20"/>
      <c r="N31" s="20"/>
      <c r="O31" s="20"/>
      <c r="P31" s="20"/>
      <c r="Q31" s="145">
        <f>SUM($G31:P31)</f>
        <v>8190000.0000000009</v>
      </c>
      <c r="R31" s="49"/>
      <c r="S31" s="49"/>
      <c r="T31" s="49"/>
      <c r="U31" s="49"/>
      <c r="V31" s="49"/>
      <c r="W31" s="46"/>
      <c r="X31" s="47"/>
    </row>
    <row r="32" spans="2:24" s="1" customFormat="1" x14ac:dyDescent="0.35">
      <c r="B32" s="64" t="s">
        <v>16</v>
      </c>
      <c r="C32" s="64"/>
      <c r="D32" s="64"/>
      <c r="E32" s="64"/>
      <c r="F32" s="64"/>
      <c r="G32" s="65">
        <f t="shared" ref="G32:J32" si="6">SUM(G25:G31)</f>
        <v>485859500</v>
      </c>
      <c r="H32" s="65">
        <f t="shared" si="6"/>
        <v>135091500</v>
      </c>
      <c r="I32" s="65">
        <f t="shared" si="6"/>
        <v>135091500</v>
      </c>
      <c r="J32" s="65">
        <f t="shared" si="6"/>
        <v>135091500</v>
      </c>
      <c r="K32" s="65">
        <f>SUM(K25:K31)</f>
        <v>135091500</v>
      </c>
      <c r="L32" s="65"/>
      <c r="M32" s="65">
        <f>SUM(M25:M30)</f>
        <v>0</v>
      </c>
      <c r="N32" s="65">
        <f>SUM(N25:N30)</f>
        <v>0</v>
      </c>
      <c r="O32" s="65">
        <f>SUM(O25:O30)</f>
        <v>0</v>
      </c>
      <c r="P32" s="65">
        <f>SUM(P25:P30)</f>
        <v>0</v>
      </c>
      <c r="Q32" s="137">
        <f>SUM(Q25:Q31)</f>
        <v>1026225500</v>
      </c>
      <c r="R32" s="45">
        <f>SUM(G32:L32)-Q32</f>
        <v>0</v>
      </c>
      <c r="S32" s="50"/>
      <c r="T32" s="50"/>
      <c r="U32" s="50"/>
      <c r="V32" s="50"/>
      <c r="W32" s="50"/>
      <c r="X32" s="51"/>
    </row>
    <row r="33" spans="2:24" s="1" customFormat="1" x14ac:dyDescent="0.35">
      <c r="B33" s="1" t="s">
        <v>17</v>
      </c>
      <c r="G33" s="21">
        <f>G22-G32</f>
        <v>-85059500</v>
      </c>
      <c r="H33" s="21">
        <f>H22-H32</f>
        <v>250348500</v>
      </c>
      <c r="I33" s="21">
        <f>I22-I32</f>
        <v>250348500</v>
      </c>
      <c r="J33" s="21">
        <f>J22-J32</f>
        <v>250348500</v>
      </c>
      <c r="K33" s="21">
        <f>K22-K32</f>
        <v>250348500</v>
      </c>
      <c r="L33" s="21"/>
      <c r="M33" s="21">
        <f>M22-M32</f>
        <v>0</v>
      </c>
      <c r="N33" s="21">
        <f>N22-N32</f>
        <v>0</v>
      </c>
      <c r="O33" s="21">
        <f>O22-O32</f>
        <v>0</v>
      </c>
      <c r="P33" s="21">
        <f>P22-P32</f>
        <v>0</v>
      </c>
      <c r="Q33" s="138">
        <f>Q22-Q32</f>
        <v>916334500</v>
      </c>
      <c r="R33" s="45">
        <f>SUM(G33:L33)-Q33</f>
        <v>0</v>
      </c>
      <c r="S33" s="50"/>
      <c r="T33" s="50"/>
      <c r="U33" s="50"/>
      <c r="V33" s="50"/>
      <c r="W33" s="50"/>
      <c r="X33" s="51"/>
    </row>
    <row r="34" spans="2:24" s="1" customFormat="1" x14ac:dyDescent="0.35">
      <c r="B34" s="22" t="s">
        <v>18</v>
      </c>
      <c r="C34" s="23"/>
      <c r="D34" s="23"/>
      <c r="E34" s="23"/>
      <c r="F34" s="23"/>
      <c r="G34" s="24"/>
      <c r="H34" s="24">
        <f>H33/H22</f>
        <v>0.64951354296388542</v>
      </c>
      <c r="I34" s="24">
        <f>I33/I22</f>
        <v>0.64951354296388542</v>
      </c>
      <c r="J34" s="24">
        <f>J33/J22</f>
        <v>0.64951354296388542</v>
      </c>
      <c r="K34" s="24">
        <f>K33/K22</f>
        <v>0.64951354296388542</v>
      </c>
      <c r="L34" s="24"/>
      <c r="M34" s="24" t="e">
        <f>M33/M22</f>
        <v>#DIV/0!</v>
      </c>
      <c r="N34" s="24" t="e">
        <f>N33/N22</f>
        <v>#DIV/0!</v>
      </c>
      <c r="O34" s="24" t="e">
        <f>O33/O22</f>
        <v>#DIV/0!</v>
      </c>
      <c r="P34" s="24" t="e">
        <f>P33/P22</f>
        <v>#DIV/0!</v>
      </c>
      <c r="Q34" s="139">
        <f>Q33/Q22</f>
        <v>0.47171490198500948</v>
      </c>
      <c r="R34" s="52"/>
      <c r="S34" s="52"/>
      <c r="T34" s="52"/>
      <c r="U34" s="52"/>
      <c r="V34" s="52"/>
      <c r="W34" s="52"/>
      <c r="X34" s="51"/>
    </row>
    <row r="35" spans="2:24" ht="3" customHeight="1" x14ac:dyDescent="0.35">
      <c r="Q35" s="144"/>
      <c r="R35" s="47"/>
      <c r="S35" s="47"/>
      <c r="T35" s="47"/>
      <c r="U35" s="47"/>
      <c r="V35" s="47"/>
      <c r="W35" s="47"/>
      <c r="X35" s="47"/>
    </row>
    <row r="36" spans="2:24" x14ac:dyDescent="0.35">
      <c r="B36" s="15" t="s">
        <v>19</v>
      </c>
      <c r="C36" s="15"/>
      <c r="D36" s="15"/>
      <c r="E36" s="15"/>
      <c r="F36" s="15"/>
      <c r="G36" s="16">
        <f>G55</f>
        <v>75997899</v>
      </c>
      <c r="H36" s="16">
        <f>H65</f>
        <v>75997899</v>
      </c>
      <c r="I36" s="16">
        <f>I65</f>
        <v>75997899</v>
      </c>
      <c r="J36" s="16">
        <f>J65</f>
        <v>75997899</v>
      </c>
      <c r="K36" s="16">
        <f>K65</f>
        <v>75997899</v>
      </c>
      <c r="L36" s="16"/>
      <c r="M36" s="16"/>
      <c r="N36" s="16"/>
      <c r="O36" s="16"/>
      <c r="P36" s="16"/>
      <c r="Q36" s="143">
        <f>SUM($G36:P36)</f>
        <v>379989495</v>
      </c>
      <c r="R36" s="45"/>
      <c r="S36" s="45"/>
      <c r="T36" s="45"/>
      <c r="U36" s="45"/>
      <c r="V36" s="45"/>
      <c r="W36" s="45"/>
      <c r="X36" s="47"/>
    </row>
    <row r="37" spans="2:24" x14ac:dyDescent="0.35">
      <c r="B37" s="25" t="s">
        <v>20</v>
      </c>
      <c r="G37" s="26">
        <f>G33-G36</f>
        <v>-161057399</v>
      </c>
      <c r="H37" s="26">
        <f>H33-H36</f>
        <v>174350601</v>
      </c>
      <c r="I37" s="26">
        <f t="shared" ref="I37:P37" si="7">I33-I36</f>
        <v>174350601</v>
      </c>
      <c r="J37" s="26">
        <f t="shared" si="7"/>
        <v>174350601</v>
      </c>
      <c r="K37" s="26">
        <f t="shared" si="7"/>
        <v>174350601</v>
      </c>
      <c r="L37" s="26"/>
      <c r="M37" s="26">
        <f t="shared" si="7"/>
        <v>0</v>
      </c>
      <c r="N37" s="26">
        <f t="shared" si="7"/>
        <v>0</v>
      </c>
      <c r="O37" s="26">
        <f t="shared" si="7"/>
        <v>0</v>
      </c>
      <c r="P37" s="26">
        <f t="shared" si="7"/>
        <v>0</v>
      </c>
      <c r="Q37" s="147">
        <f>Q33-Q36</f>
        <v>536345005</v>
      </c>
      <c r="R37" s="45">
        <f>SUM(G37:L37)-Q37</f>
        <v>0</v>
      </c>
      <c r="S37" s="53"/>
      <c r="T37" s="53"/>
      <c r="U37" s="53"/>
      <c r="V37" s="53"/>
      <c r="W37" s="53"/>
      <c r="X37" s="47"/>
    </row>
    <row r="38" spans="2:24" x14ac:dyDescent="0.35">
      <c r="B38" s="15" t="s">
        <v>31</v>
      </c>
      <c r="C38" s="15"/>
      <c r="D38" s="15"/>
      <c r="E38" s="15"/>
      <c r="F38" s="15"/>
      <c r="G38" s="16">
        <f>PARAMETER!M34</f>
        <v>10335521.550000004</v>
      </c>
      <c r="H38" s="16">
        <f>PARAMETER!N34</f>
        <v>2699129.7700000009</v>
      </c>
      <c r="I38" s="16">
        <f>PARAMETER!O34</f>
        <v>26098.129999999994</v>
      </c>
      <c r="J38" s="16">
        <f>PARAMETER!P34</f>
        <v>0</v>
      </c>
      <c r="K38" s="16">
        <f>PARAMETER!P34</f>
        <v>0</v>
      </c>
      <c r="L38" s="16"/>
      <c r="M38" s="16">
        <f t="shared" ref="M38:P38" si="8">W76</f>
        <v>0</v>
      </c>
      <c r="N38" s="16">
        <f t="shared" si="8"/>
        <v>0</v>
      </c>
      <c r="O38" s="16">
        <f t="shared" si="8"/>
        <v>0</v>
      </c>
      <c r="P38" s="16">
        <f t="shared" si="8"/>
        <v>0</v>
      </c>
      <c r="Q38" s="143">
        <f>SUM($G38:L38)</f>
        <v>13060749.450000007</v>
      </c>
      <c r="R38" s="45"/>
      <c r="S38" s="45"/>
      <c r="T38" s="45"/>
      <c r="U38" s="45"/>
      <c r="V38" s="45"/>
      <c r="W38" s="45"/>
      <c r="X38" s="47"/>
    </row>
    <row r="39" spans="2:24" x14ac:dyDescent="0.35">
      <c r="B39" s="25" t="s">
        <v>32</v>
      </c>
      <c r="G39" s="194">
        <f>G37-G38</f>
        <v>-171392920.55000001</v>
      </c>
      <c r="H39" s="201">
        <f t="shared" ref="H39:P39" si="9">H37-H38</f>
        <v>171651471.22999999</v>
      </c>
      <c r="I39" s="201">
        <f t="shared" si="9"/>
        <v>174324502.87</v>
      </c>
      <c r="J39" s="201">
        <f t="shared" si="9"/>
        <v>174350601</v>
      </c>
      <c r="K39" s="201">
        <f t="shared" si="9"/>
        <v>174350601</v>
      </c>
      <c r="L39" s="201"/>
      <c r="M39" s="194">
        <f t="shared" si="9"/>
        <v>0</v>
      </c>
      <c r="N39" s="194">
        <f t="shared" si="9"/>
        <v>0</v>
      </c>
      <c r="O39" s="194">
        <f t="shared" si="9"/>
        <v>0</v>
      </c>
      <c r="P39" s="194">
        <f t="shared" si="9"/>
        <v>0</v>
      </c>
      <c r="Q39" s="202">
        <f>SUM($G39:P39)</f>
        <v>523284255.54999995</v>
      </c>
      <c r="R39" s="45">
        <f>SUM(G39:L39)-Q39</f>
        <v>0</v>
      </c>
      <c r="S39" s="53"/>
      <c r="T39" s="53"/>
      <c r="U39" s="53"/>
      <c r="V39" s="53"/>
      <c r="W39" s="53"/>
      <c r="X39" s="47"/>
    </row>
    <row r="40" spans="2:24" x14ac:dyDescent="0.35">
      <c r="B40" s="15" t="s">
        <v>21</v>
      </c>
      <c r="C40" s="15"/>
      <c r="D40" s="15"/>
      <c r="E40" s="15"/>
      <c r="F40" s="15"/>
      <c r="G40" s="66">
        <f t="shared" ref="G40:K40" si="10">IF(G39&lt;0,0,G39*$F$3)</f>
        <v>0</v>
      </c>
      <c r="H40" s="66">
        <f t="shared" si="10"/>
        <v>3433029.4246</v>
      </c>
      <c r="I40" s="66">
        <f>IF(I39&lt;0,0,I39*$F$3)</f>
        <v>3486490.0574000003</v>
      </c>
      <c r="J40" s="66">
        <f t="shared" si="10"/>
        <v>3487012.02</v>
      </c>
      <c r="K40" s="66">
        <f t="shared" si="10"/>
        <v>3487012.02</v>
      </c>
      <c r="L40" s="66"/>
      <c r="M40" s="66"/>
      <c r="N40" s="66"/>
      <c r="O40" s="66"/>
      <c r="P40" s="66"/>
      <c r="Q40" s="145">
        <f>SUM($G40:L40)</f>
        <v>13893543.522</v>
      </c>
      <c r="R40" s="45">
        <f>SUM(G40:L40)-Q40</f>
        <v>0</v>
      </c>
      <c r="S40" s="55"/>
      <c r="T40" s="55"/>
      <c r="U40" s="55"/>
      <c r="V40" s="55"/>
      <c r="W40" s="54"/>
      <c r="X40" s="47"/>
    </row>
    <row r="41" spans="2:24" ht="16" thickBot="1" x14ac:dyDescent="0.4">
      <c r="B41" s="28" t="s">
        <v>47</v>
      </c>
      <c r="C41" s="28"/>
      <c r="D41" s="28"/>
      <c r="E41" s="28"/>
      <c r="F41" s="28"/>
      <c r="G41" s="29">
        <f>G39-G40</f>
        <v>-171392920.55000001</v>
      </c>
      <c r="H41" s="29">
        <f t="shared" ref="H41:J41" si="11">H39-H40</f>
        <v>168218441.80539998</v>
      </c>
      <c r="I41" s="29">
        <f t="shared" si="11"/>
        <v>170838012.81260002</v>
      </c>
      <c r="J41" s="29">
        <f t="shared" si="11"/>
        <v>170863588.97999999</v>
      </c>
      <c r="K41" s="29">
        <f>K39-K40</f>
        <v>170863588.97999999</v>
      </c>
      <c r="L41" s="29"/>
      <c r="M41" s="29">
        <f t="shared" ref="M41:P41" si="12">M39-M40</f>
        <v>0</v>
      </c>
      <c r="N41" s="29">
        <f t="shared" si="12"/>
        <v>0</v>
      </c>
      <c r="O41" s="29">
        <f t="shared" si="12"/>
        <v>0</v>
      </c>
      <c r="P41" s="29">
        <f t="shared" si="12"/>
        <v>0</v>
      </c>
      <c r="Q41" s="157">
        <f>Q39-Q40</f>
        <v>509390712.02799994</v>
      </c>
      <c r="R41" s="45">
        <f>SUM(G41:L41)-Q41</f>
        <v>0</v>
      </c>
      <c r="S41" s="53"/>
      <c r="T41" s="53"/>
      <c r="U41" s="53"/>
      <c r="V41" s="53"/>
      <c r="W41" s="53"/>
      <c r="X41" s="47"/>
    </row>
    <row r="42" spans="2:24" ht="3" customHeight="1" x14ac:dyDescent="0.35">
      <c r="Q42" s="144"/>
      <c r="R42" s="47"/>
      <c r="S42" s="47"/>
      <c r="T42" s="47"/>
      <c r="U42" s="47"/>
      <c r="V42" s="47"/>
      <c r="W42" s="47"/>
      <c r="X42" s="47"/>
    </row>
    <row r="43" spans="2:24" x14ac:dyDescent="0.35">
      <c r="B43" s="15" t="s">
        <v>22</v>
      </c>
      <c r="C43" s="15"/>
      <c r="D43" s="15"/>
      <c r="E43" s="15"/>
      <c r="F43" s="30"/>
      <c r="G43" s="30">
        <f>-G12-G13-G11</f>
        <v>-379989495</v>
      </c>
      <c r="H43" s="30">
        <v>0</v>
      </c>
      <c r="I43" s="30">
        <v>0</v>
      </c>
      <c r="J43" s="30">
        <v>0</v>
      </c>
      <c r="K43" s="30">
        <v>0</v>
      </c>
      <c r="L43" s="30"/>
      <c r="M43" s="30"/>
      <c r="N43" s="30"/>
      <c r="O43" s="30"/>
      <c r="P43" s="30"/>
      <c r="Q43" s="203">
        <f>SUM($G$43:K43)</f>
        <v>-379989495</v>
      </c>
      <c r="R43" s="54"/>
      <c r="S43" s="54"/>
      <c r="T43" s="54"/>
      <c r="U43" s="54"/>
      <c r="V43" s="54"/>
      <c r="W43" s="54"/>
      <c r="X43" s="47"/>
    </row>
    <row r="44" spans="2:24" x14ac:dyDescent="0.35">
      <c r="B44" t="s">
        <v>23</v>
      </c>
      <c r="F44" s="27"/>
      <c r="G44" s="27">
        <f>G43+G41+G36</f>
        <v>-475384516.54999995</v>
      </c>
      <c r="H44" s="27">
        <f t="shared" ref="H44:P44" si="13">H43+H41+H36</f>
        <v>244216340.80539998</v>
      </c>
      <c r="I44" s="27">
        <f t="shared" si="13"/>
        <v>246835911.81260002</v>
      </c>
      <c r="J44" s="27">
        <f t="shared" si="13"/>
        <v>246861487.97999999</v>
      </c>
      <c r="K44" s="27">
        <f t="shared" si="13"/>
        <v>246861487.97999999</v>
      </c>
      <c r="L44" s="27"/>
      <c r="M44" s="27">
        <f t="shared" si="13"/>
        <v>0</v>
      </c>
      <c r="N44" s="27">
        <f t="shared" si="13"/>
        <v>0</v>
      </c>
      <c r="O44" s="27">
        <f t="shared" si="13"/>
        <v>0</v>
      </c>
      <c r="P44" s="27">
        <f t="shared" si="13"/>
        <v>0</v>
      </c>
      <c r="Q44" s="148">
        <f>SUM($F$44:P44)</f>
        <v>509390712.028</v>
      </c>
      <c r="R44" s="54"/>
      <c r="S44" s="54"/>
      <c r="T44" s="54"/>
      <c r="U44" s="54"/>
      <c r="V44" s="54"/>
      <c r="W44" s="54"/>
      <c r="X44" s="47"/>
    </row>
    <row r="45" spans="2:24" x14ac:dyDescent="0.35">
      <c r="B45" t="s">
        <v>24</v>
      </c>
      <c r="F45" s="27"/>
      <c r="G45" s="27">
        <f>+G44</f>
        <v>-475384516.54999995</v>
      </c>
      <c r="H45" s="27">
        <f>G45+H44</f>
        <v>-231168175.74459997</v>
      </c>
      <c r="I45" s="27">
        <f t="shared" ref="I45:J45" si="14">H45+I44</f>
        <v>15667736.068000048</v>
      </c>
      <c r="J45" s="27">
        <f t="shared" si="14"/>
        <v>262529224.04800004</v>
      </c>
      <c r="K45" s="27">
        <f>J45+K44</f>
        <v>509390712.028</v>
      </c>
      <c r="L45" s="27"/>
      <c r="M45" s="27"/>
      <c r="N45" s="27"/>
      <c r="O45" s="27"/>
      <c r="P45" s="27"/>
      <c r="Q45" s="148"/>
      <c r="R45" s="54"/>
      <c r="S45" s="54"/>
      <c r="T45" s="54"/>
      <c r="U45" s="54"/>
      <c r="V45" s="54"/>
      <c r="W45" s="54"/>
      <c r="X45" s="47"/>
    </row>
    <row r="46" spans="2:24" x14ac:dyDescent="0.35">
      <c r="B46" t="s">
        <v>25</v>
      </c>
      <c r="F46" s="27"/>
      <c r="G46" s="31">
        <f t="shared" ref="G46:K46" si="15">IF(AND(F45&lt;0,G45&gt;0),H53-(G45/G44),0)</f>
        <v>0</v>
      </c>
      <c r="H46" s="31">
        <f t="shared" si="15"/>
        <v>0</v>
      </c>
      <c r="I46" s="31">
        <f t="shared" si="15"/>
        <v>3.9365257026299516</v>
      </c>
      <c r="J46" s="31">
        <f t="shared" si="15"/>
        <v>0</v>
      </c>
      <c r="K46" s="31">
        <f t="shared" si="15"/>
        <v>0</v>
      </c>
      <c r="L46" s="31"/>
      <c r="M46" s="74"/>
      <c r="N46" s="74"/>
      <c r="O46" s="74"/>
      <c r="P46" s="74"/>
      <c r="Q46" s="149"/>
      <c r="R46" s="31"/>
      <c r="S46" s="31"/>
      <c r="T46" s="31"/>
      <c r="U46" s="31"/>
      <c r="V46" s="31"/>
      <c r="W46" s="31"/>
    </row>
    <row r="47" spans="2:24" s="76" customFormat="1" ht="3.65" customHeight="1" x14ac:dyDescent="0.35">
      <c r="G47" s="77"/>
      <c r="Q47" s="150"/>
    </row>
    <row r="48" spans="2:24" x14ac:dyDescent="0.35">
      <c r="B48" s="56" t="s">
        <v>155</v>
      </c>
      <c r="C48" s="57"/>
      <c r="D48" s="57"/>
      <c r="E48" s="57"/>
      <c r="F48" s="204">
        <f>IRR(G44:P44)</f>
        <v>0.37063687387586275</v>
      </c>
      <c r="Q48" s="142"/>
    </row>
    <row r="49" spans="2:24" x14ac:dyDescent="0.35">
      <c r="B49" s="58" t="s">
        <v>142</v>
      </c>
      <c r="C49" s="59"/>
      <c r="D49" s="59"/>
      <c r="E49" s="59"/>
      <c r="F49" s="116">
        <f>NPV(F4,G44:P44)+F44</f>
        <v>277006697.86737007</v>
      </c>
      <c r="H49" s="73"/>
      <c r="I49" s="14"/>
      <c r="Q49" s="151"/>
    </row>
    <row r="50" spans="2:24" x14ac:dyDescent="0.35">
      <c r="B50" s="58" t="s">
        <v>26</v>
      </c>
      <c r="C50" s="59"/>
      <c r="D50" s="59"/>
      <c r="E50" s="59"/>
      <c r="F50" s="60">
        <f>Q34</f>
        <v>0.47171490198500948</v>
      </c>
      <c r="H50" s="67"/>
      <c r="Q50" s="151"/>
    </row>
    <row r="51" spans="2:24" x14ac:dyDescent="0.35">
      <c r="B51" s="61" t="s">
        <v>27</v>
      </c>
      <c r="C51" s="62"/>
      <c r="D51" s="62"/>
      <c r="E51" s="62"/>
      <c r="F51" s="63">
        <f>SUM(G46:K46)</f>
        <v>3.9365257026299516</v>
      </c>
      <c r="Q51" s="151"/>
    </row>
    <row r="52" spans="2:24" ht="3.65" customHeight="1" x14ac:dyDescent="0.35">
      <c r="F52" s="32"/>
      <c r="G52" s="32"/>
      <c r="H52" s="2"/>
      <c r="Q52" s="151"/>
    </row>
    <row r="53" spans="2:24" ht="16.25" customHeight="1" x14ac:dyDescent="0.35">
      <c r="G53">
        <v>1</v>
      </c>
      <c r="H53" s="8">
        <v>2</v>
      </c>
      <c r="I53" s="33">
        <v>3</v>
      </c>
      <c r="J53" s="8">
        <v>4</v>
      </c>
      <c r="K53" s="33">
        <v>5</v>
      </c>
      <c r="L53" s="33"/>
      <c r="M53" s="33"/>
      <c r="N53" s="33"/>
      <c r="O53" s="33"/>
      <c r="P53" s="33"/>
      <c r="Q53" s="142"/>
      <c r="R53" s="33"/>
      <c r="S53" s="8"/>
      <c r="T53" s="33"/>
      <c r="U53" s="8"/>
      <c r="V53" s="33"/>
      <c r="W53" s="8"/>
    </row>
    <row r="54" spans="2:24" ht="16" thickBot="1" x14ac:dyDescent="0.4">
      <c r="B54" s="34" t="s">
        <v>28</v>
      </c>
      <c r="E54" s="35" t="s">
        <v>29</v>
      </c>
      <c r="G54" s="35">
        <f>G15</f>
        <v>2025</v>
      </c>
      <c r="H54" s="35">
        <f>H15</f>
        <v>2026</v>
      </c>
      <c r="I54" s="35">
        <f>I15</f>
        <v>2027</v>
      </c>
      <c r="J54" s="35">
        <f>J15</f>
        <v>2028</v>
      </c>
      <c r="K54" s="35">
        <f>K15</f>
        <v>2029</v>
      </c>
      <c r="L54" s="35"/>
      <c r="M54" s="35">
        <f>M15</f>
        <v>1</v>
      </c>
      <c r="N54" s="35">
        <f>N15</f>
        <v>2</v>
      </c>
      <c r="O54" s="35">
        <f>O15</f>
        <v>3</v>
      </c>
      <c r="P54" s="35">
        <f>P15</f>
        <v>4</v>
      </c>
      <c r="Q54" s="135" t="s">
        <v>11</v>
      </c>
      <c r="R54" s="35"/>
      <c r="S54" s="35"/>
      <c r="T54" s="35"/>
      <c r="U54" s="35"/>
      <c r="V54" s="35"/>
      <c r="W54" s="35"/>
      <c r="X54" s="35"/>
    </row>
    <row r="55" spans="2:24" x14ac:dyDescent="0.35">
      <c r="D55" t="s">
        <v>5</v>
      </c>
      <c r="E55">
        <v>5</v>
      </c>
      <c r="G55" s="68">
        <f>($G12+$G13+G11)/E55</f>
        <v>75997899</v>
      </c>
      <c r="H55" s="68">
        <f>G55</f>
        <v>75997899</v>
      </c>
      <c r="I55" s="36">
        <f>H55</f>
        <v>75997899</v>
      </c>
      <c r="J55" s="36">
        <f t="shared" ref="J55" si="16">I55</f>
        <v>75997899</v>
      </c>
      <c r="K55" s="36">
        <f>J55</f>
        <v>75997899</v>
      </c>
      <c r="L55" s="36"/>
      <c r="M55" s="36"/>
      <c r="N55" s="36"/>
      <c r="O55" s="36"/>
      <c r="P55" s="36"/>
      <c r="Q55" s="145">
        <f>SUM(G55:P55)</f>
        <v>379989495</v>
      </c>
      <c r="R55" s="36"/>
      <c r="S55" s="36"/>
      <c r="T55" s="36"/>
      <c r="U55" s="36"/>
      <c r="V55" s="36"/>
      <c r="W55" s="36"/>
      <c r="X55" s="37"/>
    </row>
    <row r="56" spans="2:24" hidden="1" x14ac:dyDescent="0.35">
      <c r="D56" t="s">
        <v>6</v>
      </c>
      <c r="E56">
        <v>4</v>
      </c>
      <c r="G56"/>
      <c r="H56" s="2"/>
      <c r="I56" s="68"/>
      <c r="J56" s="36"/>
      <c r="K56" s="36"/>
      <c r="L56" s="36"/>
      <c r="M56" s="36"/>
      <c r="N56" s="36"/>
      <c r="O56" s="36"/>
      <c r="P56" s="36"/>
      <c r="Q56" s="145">
        <f>SUM($G56:K56)</f>
        <v>0</v>
      </c>
      <c r="R56" s="36"/>
      <c r="S56" s="36"/>
      <c r="T56" s="36"/>
      <c r="U56" s="36"/>
      <c r="V56" s="36"/>
      <c r="W56" s="36"/>
      <c r="X56" s="37"/>
    </row>
    <row r="57" spans="2:24" hidden="1" x14ac:dyDescent="0.35">
      <c r="D57" t="s">
        <v>7</v>
      </c>
      <c r="E57">
        <v>3</v>
      </c>
      <c r="G57"/>
      <c r="H57" s="2"/>
      <c r="J57" s="68"/>
      <c r="K57" s="36"/>
      <c r="L57" s="36"/>
      <c r="M57" s="36"/>
      <c r="N57" s="36"/>
      <c r="O57" s="36"/>
      <c r="P57" s="36"/>
      <c r="Q57" s="145">
        <f>SUM($G57:K57)</f>
        <v>0</v>
      </c>
      <c r="R57" s="36"/>
      <c r="S57" s="36"/>
      <c r="T57" s="36"/>
      <c r="U57" s="36"/>
      <c r="V57" s="36"/>
      <c r="W57" s="36"/>
      <c r="X57" s="37"/>
    </row>
    <row r="58" spans="2:24" hidden="1" x14ac:dyDescent="0.35">
      <c r="D58" t="s">
        <v>8</v>
      </c>
      <c r="E58">
        <v>2</v>
      </c>
      <c r="G58"/>
      <c r="H58" s="2"/>
      <c r="K58" s="68"/>
      <c r="L58" s="68"/>
      <c r="M58" s="68"/>
      <c r="N58" s="68"/>
      <c r="O58" s="68"/>
      <c r="P58" s="68"/>
      <c r="Q58" s="145">
        <f>SUM($G58:K58)</f>
        <v>0</v>
      </c>
      <c r="R58" s="36"/>
      <c r="S58" s="36"/>
      <c r="T58" s="36"/>
      <c r="U58" s="36"/>
      <c r="V58" s="36"/>
      <c r="W58" s="36"/>
      <c r="X58" s="37"/>
    </row>
    <row r="59" spans="2:24" hidden="1" x14ac:dyDescent="0.35">
      <c r="D59" t="s">
        <v>9</v>
      </c>
      <c r="E59">
        <v>1</v>
      </c>
      <c r="G59"/>
      <c r="H59" s="2"/>
      <c r="Q59" s="145">
        <f>SUM($G59:K59)</f>
        <v>0</v>
      </c>
      <c r="R59" s="36"/>
      <c r="S59" s="36"/>
      <c r="T59" s="36"/>
      <c r="U59" s="36"/>
      <c r="V59" s="36"/>
      <c r="W59" s="36"/>
      <c r="X59" s="37"/>
    </row>
    <row r="60" spans="2:24" hidden="1" x14ac:dyDescent="0.35">
      <c r="D60" t="s">
        <v>40</v>
      </c>
      <c r="E60">
        <v>1</v>
      </c>
      <c r="G60"/>
      <c r="H60" s="2"/>
      <c r="Q60" s="145">
        <f>SUM($G60:K60)</f>
        <v>0</v>
      </c>
      <c r="R60" s="36"/>
      <c r="S60" s="36"/>
      <c r="T60" s="36"/>
      <c r="U60" s="36"/>
      <c r="V60" s="36"/>
      <c r="W60" s="36"/>
      <c r="X60" s="37"/>
    </row>
    <row r="61" spans="2:24" hidden="1" x14ac:dyDescent="0.35">
      <c r="D61" t="s">
        <v>41</v>
      </c>
      <c r="E61">
        <v>4</v>
      </c>
      <c r="G61"/>
      <c r="H61" s="2"/>
      <c r="Q61" s="145">
        <f>SUM($G61:K61)</f>
        <v>0</v>
      </c>
      <c r="R61" s="36"/>
      <c r="S61" s="36"/>
      <c r="T61" s="36"/>
      <c r="U61" s="36"/>
      <c r="V61" s="36"/>
      <c r="W61" s="36"/>
      <c r="X61" s="37"/>
    </row>
    <row r="62" spans="2:24" hidden="1" x14ac:dyDescent="0.35">
      <c r="D62" t="s">
        <v>42</v>
      </c>
      <c r="E62">
        <v>3</v>
      </c>
      <c r="G62"/>
      <c r="H62" s="2"/>
      <c r="Q62" s="145">
        <f>SUM($G62:K62)</f>
        <v>0</v>
      </c>
      <c r="R62" s="36"/>
      <c r="S62" s="36"/>
      <c r="T62" s="36"/>
      <c r="U62" s="36"/>
      <c r="V62" s="36"/>
      <c r="W62" s="36"/>
      <c r="X62" s="37"/>
    </row>
    <row r="63" spans="2:24" hidden="1" x14ac:dyDescent="0.35">
      <c r="D63" t="s">
        <v>43</v>
      </c>
      <c r="E63">
        <v>2</v>
      </c>
      <c r="G63"/>
      <c r="H63" s="2"/>
      <c r="Q63" s="145">
        <f>SUM($G63:K63)</f>
        <v>0</v>
      </c>
      <c r="R63" s="36"/>
      <c r="S63" s="36"/>
      <c r="T63" s="36"/>
      <c r="U63" s="36"/>
      <c r="V63" s="36"/>
      <c r="W63" s="36"/>
      <c r="X63" s="37"/>
    </row>
    <row r="64" spans="2:24" hidden="1" x14ac:dyDescent="0.35">
      <c r="D64" t="s">
        <v>44</v>
      </c>
      <c r="E64">
        <v>1</v>
      </c>
      <c r="G64"/>
      <c r="H64" s="2"/>
      <c r="K64" s="36"/>
      <c r="L64" s="36"/>
      <c r="M64" s="36"/>
      <c r="N64" s="36"/>
      <c r="O64" s="36"/>
      <c r="P64" s="36"/>
      <c r="Q64" s="145">
        <f>SUM($G64:K64)</f>
        <v>0</v>
      </c>
      <c r="R64" s="36"/>
      <c r="S64" s="36"/>
      <c r="T64" s="36"/>
      <c r="U64" s="36"/>
      <c r="V64" s="36"/>
      <c r="W64" s="36"/>
      <c r="X64" s="37"/>
    </row>
    <row r="65" spans="2:27" ht="16" thickBot="1" x14ac:dyDescent="0.4">
      <c r="B65" s="38" t="s">
        <v>30</v>
      </c>
      <c r="C65" s="39"/>
      <c r="D65" s="39"/>
      <c r="E65" s="39"/>
      <c r="F65" s="39"/>
      <c r="G65" s="40">
        <f>SUM(G55:G64)</f>
        <v>75997899</v>
      </c>
      <c r="H65" s="40">
        <f>SUM(H55:H64)</f>
        <v>75997899</v>
      </c>
      <c r="I65" s="40">
        <f t="shared" ref="I65:P65" si="17">SUM(I55:I64)</f>
        <v>75997899</v>
      </c>
      <c r="J65" s="40">
        <f t="shared" si="17"/>
        <v>75997899</v>
      </c>
      <c r="K65" s="40">
        <f t="shared" si="17"/>
        <v>75997899</v>
      </c>
      <c r="L65" s="40">
        <f t="shared" si="17"/>
        <v>0</v>
      </c>
      <c r="M65" s="40">
        <f t="shared" si="17"/>
        <v>0</v>
      </c>
      <c r="N65" s="40">
        <f t="shared" si="17"/>
        <v>0</v>
      </c>
      <c r="O65" s="40">
        <f t="shared" si="17"/>
        <v>0</v>
      </c>
      <c r="P65" s="40">
        <f t="shared" si="17"/>
        <v>0</v>
      </c>
      <c r="Q65" s="134">
        <f>SUM(Q55:Q64)</f>
        <v>379989495</v>
      </c>
      <c r="R65" s="44"/>
      <c r="S65" s="44"/>
      <c r="T65" s="44"/>
      <c r="U65" s="44"/>
      <c r="V65" s="44"/>
      <c r="W65" s="44"/>
      <c r="X65" s="44"/>
      <c r="Y65" s="41"/>
      <c r="Z65" s="41"/>
      <c r="AA65" s="41"/>
    </row>
    <row r="66" spans="2:27" ht="16.5" thickTop="1" thickBot="1" x14ac:dyDescent="0.4">
      <c r="G66"/>
      <c r="H66" s="2"/>
      <c r="Q66" s="152"/>
      <c r="X66" s="14"/>
    </row>
    <row r="68" spans="2:27" x14ac:dyDescent="0.35">
      <c r="F68" t="s">
        <v>48</v>
      </c>
    </row>
    <row r="69" spans="2:27" x14ac:dyDescent="0.35">
      <c r="E69" s="162"/>
      <c r="F69">
        <v>5</v>
      </c>
      <c r="G69" s="163">
        <v>2019</v>
      </c>
      <c r="H69" s="163">
        <v>2020</v>
      </c>
      <c r="I69" s="163">
        <v>2021</v>
      </c>
      <c r="J69" s="163">
        <v>2022</v>
      </c>
      <c r="K69" s="163">
        <v>2023</v>
      </c>
      <c r="L69" s="163"/>
      <c r="M69" s="163"/>
      <c r="N69" s="163"/>
      <c r="O69" s="163"/>
      <c r="P69" s="163"/>
      <c r="Q69" s="163">
        <v>2024</v>
      </c>
      <c r="R69" s="163">
        <v>2025</v>
      </c>
      <c r="S69" s="163">
        <v>2026</v>
      </c>
      <c r="T69" s="163"/>
      <c r="U69" s="163"/>
      <c r="V69" s="163"/>
      <c r="W69" s="163"/>
      <c r="X69" s="163"/>
      <c r="Y69" s="163"/>
      <c r="Z69" s="163"/>
    </row>
    <row r="70" spans="2:27" x14ac:dyDescent="0.35">
      <c r="E70" s="162">
        <v>2019</v>
      </c>
      <c r="F70" t="s">
        <v>49</v>
      </c>
      <c r="G70" s="168">
        <v>2029079355.28</v>
      </c>
      <c r="H70" s="164">
        <f>G70-G71</f>
        <v>1623263484.224</v>
      </c>
      <c r="I70" s="164">
        <f>H70-G71</f>
        <v>1217447613.168</v>
      </c>
      <c r="J70" s="164">
        <f>I70-G71</f>
        <v>811631742.11199999</v>
      </c>
      <c r="K70" s="164">
        <f>J70-G71</f>
        <v>405815871.05599999</v>
      </c>
      <c r="L70" s="164"/>
      <c r="M70" s="164"/>
      <c r="N70" s="164"/>
      <c r="O70" s="164"/>
      <c r="P70" s="164"/>
      <c r="Q70" s="164">
        <f>$F$2-$B$4</f>
        <v>0</v>
      </c>
      <c r="R70" s="164">
        <f>$G$2-$B$4</f>
        <v>0</v>
      </c>
      <c r="S70" s="164"/>
      <c r="T70" s="164"/>
      <c r="U70" s="164"/>
      <c r="V70" s="163"/>
      <c r="W70" s="163"/>
      <c r="X70" s="163"/>
      <c r="Y70" s="163"/>
      <c r="Z70" s="163"/>
    </row>
    <row r="71" spans="2:27" x14ac:dyDescent="0.35">
      <c r="E71" s="162"/>
      <c r="F71" t="s">
        <v>50</v>
      </c>
      <c r="G71" s="165">
        <f>G70/$F$69</f>
        <v>405815871.05599999</v>
      </c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3"/>
      <c r="W71" s="163"/>
      <c r="X71" s="163"/>
      <c r="Y71" s="163"/>
      <c r="Z71" s="163"/>
    </row>
    <row r="72" spans="2:27" x14ac:dyDescent="0.35">
      <c r="E72" s="162"/>
      <c r="F72" t="s">
        <v>51</v>
      </c>
      <c r="G72" s="165">
        <f>((G70*$F$4)*6)/12</f>
        <v>101453967.764</v>
      </c>
      <c r="H72" s="164">
        <f>AVERAGE(G70:H70)*$F$4</f>
        <v>182617141.9752</v>
      </c>
      <c r="I72" s="164">
        <f>AVERAGE(H70:I70)*$F$4</f>
        <v>142035554.86960003</v>
      </c>
      <c r="J72" s="164">
        <f>AVERAGE(I70:J70)*$F$4</f>
        <v>101453967.764</v>
      </c>
      <c r="K72" s="164">
        <f>AVERAGE(J70:K70)*$F$4</f>
        <v>60872380.658399999</v>
      </c>
      <c r="L72" s="164"/>
      <c r="M72" s="164"/>
      <c r="N72" s="164"/>
      <c r="O72" s="164"/>
      <c r="P72" s="164"/>
      <c r="Q72" s="164">
        <f>AVERAGE(K70:Q70)*$F$4</f>
        <v>20290793.5528</v>
      </c>
      <c r="R72" s="164">
        <f>AVERAGE(Q70:R70)*10%</f>
        <v>0</v>
      </c>
      <c r="S72" s="164"/>
      <c r="T72" s="164"/>
      <c r="U72" s="164"/>
      <c r="V72" s="163"/>
      <c r="W72" s="163"/>
      <c r="X72" s="163"/>
      <c r="Y72" s="163"/>
      <c r="Z72" s="163"/>
    </row>
    <row r="73" spans="2:27" x14ac:dyDescent="0.35">
      <c r="E73" s="162">
        <v>2021</v>
      </c>
      <c r="F73" t="s">
        <v>49</v>
      </c>
      <c r="G73" s="163"/>
      <c r="H73" s="167"/>
      <c r="I73" s="164">
        <v>165679098</v>
      </c>
      <c r="J73" s="164">
        <f>I73-I74</f>
        <v>132543278.40000001</v>
      </c>
      <c r="K73" s="164">
        <f>J73-I74</f>
        <v>99407458.800000012</v>
      </c>
      <c r="L73" s="164"/>
      <c r="M73" s="164"/>
      <c r="N73" s="164"/>
      <c r="O73" s="164"/>
      <c r="P73" s="164"/>
      <c r="Q73" s="164">
        <f>K73-I74</f>
        <v>66271639.20000001</v>
      </c>
      <c r="R73" s="164">
        <f>Q73-I74</f>
        <v>33135819.600000009</v>
      </c>
      <c r="S73" s="164">
        <f>R73-I74</f>
        <v>0</v>
      </c>
      <c r="T73" s="164"/>
      <c r="U73" s="164"/>
      <c r="V73" s="164"/>
      <c r="W73" s="164"/>
      <c r="X73" s="163"/>
      <c r="Y73" s="163"/>
      <c r="Z73" s="163"/>
    </row>
    <row r="74" spans="2:27" x14ac:dyDescent="0.35">
      <c r="E74" s="162"/>
      <c r="F74" t="s">
        <v>50</v>
      </c>
      <c r="G74" s="163"/>
      <c r="H74" s="167"/>
      <c r="I74" s="165">
        <f>I73/F69</f>
        <v>33135819.600000001</v>
      </c>
      <c r="J74" s="166"/>
      <c r="K74" s="166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3"/>
      <c r="Y74" s="163"/>
      <c r="Z74" s="163"/>
    </row>
    <row r="75" spans="2:27" x14ac:dyDescent="0.35">
      <c r="E75" s="162"/>
      <c r="F75" t="s">
        <v>51</v>
      </c>
      <c r="G75" s="163"/>
      <c r="H75" s="165"/>
      <c r="I75" s="165">
        <f>((I73*$F$4)*6)/12</f>
        <v>8283954.9000000013</v>
      </c>
      <c r="J75" s="164">
        <f t="shared" ref="J75:T75" si="18">AVERAGE(I73:J73)*$F$4</f>
        <v>14911118.82</v>
      </c>
      <c r="K75" s="164">
        <f>AVERAGE(J73:K73)*$F$4</f>
        <v>11597536.860000001</v>
      </c>
      <c r="L75" s="164"/>
      <c r="M75" s="164"/>
      <c r="N75" s="164"/>
      <c r="O75" s="164"/>
      <c r="P75" s="164"/>
      <c r="Q75" s="164">
        <f>AVERAGE(K73:Q73)*$F$4</f>
        <v>8283954.9000000022</v>
      </c>
      <c r="R75" s="164">
        <f t="shared" si="18"/>
        <v>4970372.9400000004</v>
      </c>
      <c r="S75" s="164">
        <f t="shared" si="18"/>
        <v>1656790.9800000004</v>
      </c>
      <c r="T75" s="164">
        <f t="shared" si="18"/>
        <v>0</v>
      </c>
      <c r="U75" s="164"/>
      <c r="V75" s="164"/>
      <c r="W75" s="164"/>
      <c r="X75" s="163"/>
      <c r="Y75" s="163"/>
      <c r="Z75" s="163"/>
    </row>
    <row r="76" spans="2:27" x14ac:dyDescent="0.35">
      <c r="E76" s="162"/>
      <c r="F76" t="s">
        <v>133</v>
      </c>
      <c r="G76" s="163"/>
      <c r="H76" s="165"/>
      <c r="I76" s="14"/>
      <c r="J76" s="164"/>
      <c r="K76" s="164"/>
      <c r="L76" s="164"/>
      <c r="M76" s="164"/>
      <c r="N76" s="164"/>
      <c r="O76" s="164"/>
      <c r="P76" s="164"/>
      <c r="Q76" s="164">
        <f>Q75+Q72</f>
        <v>28574748.452800002</v>
      </c>
      <c r="R76" s="164">
        <f>R75+R72</f>
        <v>4970372.9400000004</v>
      </c>
      <c r="S76" s="164">
        <f>S75+S72</f>
        <v>1656790.9800000004</v>
      </c>
      <c r="T76" s="164">
        <f>T75+T72</f>
        <v>0</v>
      </c>
      <c r="U76" s="164"/>
      <c r="V76" s="164"/>
      <c r="W76" s="164"/>
      <c r="X76" s="163"/>
      <c r="Y76" s="163"/>
      <c r="Z76" s="163"/>
    </row>
    <row r="77" spans="2:27" x14ac:dyDescent="0.35">
      <c r="E77" s="162"/>
      <c r="G77" s="163"/>
      <c r="H77" s="165"/>
      <c r="I77" s="167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3"/>
      <c r="Y77" s="163"/>
      <c r="Z77" s="163"/>
    </row>
    <row r="78" spans="2:27" x14ac:dyDescent="0.35">
      <c r="E78" s="162"/>
      <c r="G78" s="163"/>
      <c r="H78" s="165"/>
      <c r="I78" s="165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3"/>
      <c r="Y78" s="163"/>
      <c r="Z78" s="163"/>
    </row>
    <row r="79" spans="2:27" x14ac:dyDescent="0.35">
      <c r="G79" s="13"/>
    </row>
    <row r="80" spans="2:27" x14ac:dyDescent="0.35">
      <c r="G80" s="13"/>
      <c r="H80" s="14"/>
      <c r="I80" s="14"/>
      <c r="J80" s="14"/>
      <c r="K80" s="14"/>
      <c r="L80" s="14"/>
      <c r="M80" s="14"/>
      <c r="N80" s="14"/>
      <c r="O80" s="14"/>
      <c r="P80" s="14"/>
    </row>
    <row r="81" spans="6:16" x14ac:dyDescent="0.35">
      <c r="F81" s="76"/>
      <c r="G81" s="78"/>
      <c r="H81" s="79"/>
      <c r="I81" s="79"/>
      <c r="J81" s="79">
        <v>694444444</v>
      </c>
      <c r="K81" s="79"/>
      <c r="L81" s="79"/>
      <c r="M81" s="79"/>
      <c r="N81" s="79"/>
      <c r="O81" s="79"/>
      <c r="P81" s="79"/>
    </row>
    <row r="82" spans="6:16" x14ac:dyDescent="0.35">
      <c r="J82" s="80">
        <v>200000000</v>
      </c>
    </row>
    <row r="84" spans="6:16" x14ac:dyDescent="0.35">
      <c r="G84" s="13"/>
      <c r="J84" s="14">
        <f>J81-J82</f>
        <v>494444444</v>
      </c>
    </row>
    <row r="86" spans="6:16" x14ac:dyDescent="0.35">
      <c r="G86" s="67"/>
      <c r="H86" s="67"/>
      <c r="I86" s="67"/>
      <c r="J86" s="177">
        <f>J82/J81</f>
        <v>0.28800000018431998</v>
      </c>
      <c r="K86" s="67"/>
      <c r="L86" s="67"/>
      <c r="M86" s="67"/>
      <c r="N86" s="67"/>
      <c r="O86" s="67"/>
      <c r="P86" s="67"/>
    </row>
    <row r="87" spans="6:16" x14ac:dyDescent="0.35">
      <c r="J87" s="80">
        <v>138888889</v>
      </c>
    </row>
    <row r="88" spans="6:16" x14ac:dyDescent="0.35">
      <c r="J88" s="80">
        <v>40000000</v>
      </c>
    </row>
    <row r="89" spans="6:16" x14ac:dyDescent="0.35">
      <c r="J89" s="80"/>
    </row>
    <row r="90" spans="6:16" x14ac:dyDescent="0.35">
      <c r="J90" s="14">
        <f>J87-J88</f>
        <v>98888889</v>
      </c>
    </row>
    <row r="91" spans="6:16" x14ac:dyDescent="0.35">
      <c r="J91">
        <f>J90/J87</f>
        <v>0.7120000002304</v>
      </c>
    </row>
  </sheetData>
  <mergeCells count="1">
    <mergeCell ref="E22:F22"/>
  </mergeCells>
  <conditionalFormatting sqref="G72:U72">
    <cfRule type="cellIs" dxfId="72" priority="17" operator="lessThan">
      <formula>0</formula>
    </cfRule>
  </conditionalFormatting>
  <conditionalFormatting sqref="S77:W77 U78:W78 U75:W76">
    <cfRule type="cellIs" dxfId="71" priority="16" operator="lessThan">
      <formula>0</formula>
    </cfRule>
  </conditionalFormatting>
  <conditionalFormatting sqref="H75:H78">
    <cfRule type="cellIs" dxfId="70" priority="15" operator="lessThan">
      <formula>0</formula>
    </cfRule>
  </conditionalFormatting>
  <conditionalFormatting sqref="I76">
    <cfRule type="cellIs" dxfId="69" priority="14" operator="lessThan">
      <formula>0</formula>
    </cfRule>
  </conditionalFormatting>
  <conditionalFormatting sqref="J77">
    <cfRule type="cellIs" dxfId="68" priority="13" operator="lessThan">
      <formula>0</formula>
    </cfRule>
  </conditionalFormatting>
  <conditionalFormatting sqref="K77:P77">
    <cfRule type="cellIs" dxfId="67" priority="12" operator="lessThan">
      <formula>0</formula>
    </cfRule>
  </conditionalFormatting>
  <conditionalFormatting sqref="Q77">
    <cfRule type="cellIs" dxfId="66" priority="11" operator="lessThan">
      <formula>0</formula>
    </cfRule>
  </conditionalFormatting>
  <conditionalFormatting sqref="R77">
    <cfRule type="cellIs" dxfId="65" priority="10" operator="lessThan">
      <formula>0</formula>
    </cfRule>
  </conditionalFormatting>
  <conditionalFormatting sqref="I78">
    <cfRule type="cellIs" dxfId="64" priority="9" operator="lessThan">
      <formula>0</formula>
    </cfRule>
  </conditionalFormatting>
  <conditionalFormatting sqref="J78">
    <cfRule type="cellIs" dxfId="63" priority="8" operator="lessThan">
      <formula>0</formula>
    </cfRule>
  </conditionalFormatting>
  <conditionalFormatting sqref="K78:P78">
    <cfRule type="cellIs" dxfId="62" priority="7" operator="lessThan">
      <formula>0</formula>
    </cfRule>
  </conditionalFormatting>
  <conditionalFormatting sqref="Q78">
    <cfRule type="cellIs" dxfId="61" priority="6" operator="lessThan">
      <formula>0</formula>
    </cfRule>
  </conditionalFormatting>
  <conditionalFormatting sqref="R78">
    <cfRule type="cellIs" dxfId="60" priority="5" operator="lessThan">
      <formula>0</formula>
    </cfRule>
  </conditionalFormatting>
  <conditionalFormatting sqref="S78">
    <cfRule type="cellIs" dxfId="59" priority="4" operator="lessThan">
      <formula>0</formula>
    </cfRule>
  </conditionalFormatting>
  <conditionalFormatting sqref="T78">
    <cfRule type="cellIs" dxfId="58" priority="3" operator="lessThan">
      <formula>0</formula>
    </cfRule>
  </conditionalFormatting>
  <conditionalFormatting sqref="I75:S75">
    <cfRule type="cellIs" dxfId="57" priority="2" operator="lessThan">
      <formula>0</formula>
    </cfRule>
  </conditionalFormatting>
  <conditionalFormatting sqref="T75">
    <cfRule type="cellIs" dxfId="56" priority="1" operator="lessThan">
      <formula>0</formula>
    </cfRule>
  </conditionalFormatting>
  <printOptions horizontalCentered="1" verticalCentered="1"/>
  <pageMargins left="0" right="0" top="0" bottom="0" header="0.31496062992125984" footer="0.31496062992125984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T84"/>
  <sheetViews>
    <sheetView workbookViewId="0">
      <pane xSplit="2" ySplit="2" topLeftCell="D15" activePane="bottomRight" state="frozen"/>
      <selection pane="topRight" activeCell="C1" sqref="C1"/>
      <selection pane="bottomLeft" activeCell="A3" sqref="A3"/>
      <selection pane="bottomRight" activeCell="J24" sqref="J24"/>
    </sheetView>
  </sheetViews>
  <sheetFormatPr defaultRowHeight="15.5" x14ac:dyDescent="0.35"/>
  <cols>
    <col min="1" max="1" width="13.5" bestFit="1" customWidth="1"/>
    <col min="2" max="2" width="15.6640625" bestFit="1" customWidth="1"/>
    <col min="3" max="4" width="13.6640625" bestFit="1" customWidth="1"/>
    <col min="5" max="5" width="14" customWidth="1"/>
    <col min="6" max="7" width="13.5" bestFit="1" customWidth="1"/>
    <col min="8" max="9" width="12.08203125" bestFit="1" customWidth="1"/>
    <col min="10" max="11" width="13.6640625" bestFit="1" customWidth="1"/>
    <col min="12" max="12" width="11.9140625" bestFit="1" customWidth="1"/>
    <col min="13" max="16" width="10.9140625" bestFit="1" customWidth="1"/>
    <col min="17" max="17" width="9" customWidth="1"/>
  </cols>
  <sheetData>
    <row r="1" spans="1:20" x14ac:dyDescent="0.35">
      <c r="A1" s="169" t="s">
        <v>134</v>
      </c>
    </row>
    <row r="2" spans="1:20" x14ac:dyDescent="0.35">
      <c r="A2" s="170" t="s">
        <v>135</v>
      </c>
      <c r="B2" s="171">
        <v>5</v>
      </c>
      <c r="C2" s="118">
        <v>2015</v>
      </c>
      <c r="D2" s="118">
        <f>C2+1</f>
        <v>2016</v>
      </c>
      <c r="E2" s="118">
        <f t="shared" ref="E2:M2" si="0">D2+1</f>
        <v>2017</v>
      </c>
      <c r="F2" s="118">
        <f t="shared" si="0"/>
        <v>2018</v>
      </c>
      <c r="G2" s="118">
        <f t="shared" si="0"/>
        <v>2019</v>
      </c>
      <c r="H2" s="118">
        <f t="shared" si="0"/>
        <v>2020</v>
      </c>
      <c r="I2" s="118">
        <f t="shared" si="0"/>
        <v>2021</v>
      </c>
      <c r="J2" s="118">
        <f t="shared" si="0"/>
        <v>2022</v>
      </c>
      <c r="K2" s="118">
        <f t="shared" si="0"/>
        <v>2023</v>
      </c>
      <c r="L2" s="118">
        <f t="shared" si="0"/>
        <v>2024</v>
      </c>
      <c r="M2" s="118">
        <f t="shared" si="0"/>
        <v>2025</v>
      </c>
      <c r="N2" s="118">
        <f t="shared" ref="N2" si="1">M2+1</f>
        <v>2026</v>
      </c>
      <c r="O2" s="118">
        <f t="shared" ref="O2" si="2">N2+1</f>
        <v>2027</v>
      </c>
      <c r="P2" s="118">
        <f t="shared" ref="P2:Q2" si="3">O2+1</f>
        <v>2028</v>
      </c>
      <c r="Q2" s="118">
        <f t="shared" si="3"/>
        <v>2029</v>
      </c>
    </row>
    <row r="3" spans="1:20" x14ac:dyDescent="0.35">
      <c r="A3" s="172">
        <v>2015</v>
      </c>
      <c r="B3" t="s">
        <v>49</v>
      </c>
      <c r="C3" s="173">
        <v>1097486346</v>
      </c>
      <c r="D3" s="14">
        <f>C3-$C$4</f>
        <v>877989076.79999995</v>
      </c>
      <c r="E3" s="14">
        <f t="shared" ref="E3:H3" si="4">D3-$C$4</f>
        <v>658491807.5999999</v>
      </c>
      <c r="F3" s="14">
        <f t="shared" si="4"/>
        <v>438994538.39999992</v>
      </c>
      <c r="G3" s="14">
        <f t="shared" si="4"/>
        <v>219497269.19999993</v>
      </c>
      <c r="H3" s="14">
        <f t="shared" si="4"/>
        <v>0</v>
      </c>
      <c r="I3" s="14"/>
      <c r="J3" s="14"/>
      <c r="K3" s="14"/>
      <c r="P3" s="173"/>
      <c r="Q3" s="14"/>
      <c r="R3" s="14"/>
      <c r="S3" s="14"/>
    </row>
    <row r="4" spans="1:20" x14ac:dyDescent="0.35">
      <c r="A4" s="166"/>
      <c r="B4" t="s">
        <v>50</v>
      </c>
      <c r="C4" s="173">
        <f>C3/B2</f>
        <v>219497269.19999999</v>
      </c>
      <c r="D4" s="173"/>
      <c r="E4" s="173"/>
      <c r="P4" s="173"/>
    </row>
    <row r="5" spans="1:20" x14ac:dyDescent="0.35">
      <c r="A5" s="166"/>
      <c r="B5" t="s">
        <v>51</v>
      </c>
      <c r="C5" s="173">
        <f>(($C$3*'IRR Approved (2)'!F4*6)/12)</f>
        <v>54874317.300000004</v>
      </c>
      <c r="D5" s="14">
        <f>AVERAGE(C3:D3)*'IRR Approved (2)'!$F$4</f>
        <v>98773771.140000001</v>
      </c>
      <c r="E5" s="14">
        <f>AVERAGE(D3:E3)*'IRR Approved (2)'!$F$4</f>
        <v>76824044.219999999</v>
      </c>
      <c r="F5" s="14">
        <f>AVERAGE(E3:F3)*'IRR Approved (2)'!$F$4</f>
        <v>54874317.29999999</v>
      </c>
      <c r="G5" s="14">
        <f>AVERAGE(F3:G3)*'IRR Approved (2)'!$F$4</f>
        <v>32924590.379999995</v>
      </c>
      <c r="H5" s="14">
        <f>AVERAGE(G3:H3)*'IRR Approved (2)'!$F$4</f>
        <v>10974863.459999997</v>
      </c>
      <c r="I5" s="14">
        <f>AVERAGE(H3:I3)*'IRR Approved (2)'!$F$4</f>
        <v>0</v>
      </c>
      <c r="J5" s="14"/>
      <c r="K5" s="14"/>
      <c r="P5" s="173"/>
      <c r="Q5" s="14"/>
      <c r="R5" s="14"/>
      <c r="S5" s="14"/>
      <c r="T5" s="14"/>
    </row>
    <row r="6" spans="1:20" x14ac:dyDescent="0.35">
      <c r="A6" s="172">
        <v>2016</v>
      </c>
      <c r="B6" t="s">
        <v>49</v>
      </c>
      <c r="C6" s="173"/>
      <c r="D6" s="80">
        <v>14098000</v>
      </c>
      <c r="E6" s="14">
        <f>D6-$D$7</f>
        <v>11278400</v>
      </c>
      <c r="F6" s="14">
        <f>E6-$D$7</f>
        <v>8458800</v>
      </c>
      <c r="G6" s="14">
        <f>F6-$D$7</f>
        <v>5639200</v>
      </c>
      <c r="H6" s="14">
        <f>G6-$D$7</f>
        <v>2819600</v>
      </c>
      <c r="I6" s="14">
        <f>H6-$D$7</f>
        <v>0</v>
      </c>
      <c r="J6" s="14"/>
      <c r="K6" s="14"/>
      <c r="P6" s="173"/>
    </row>
    <row r="7" spans="1:20" x14ac:dyDescent="0.35">
      <c r="A7" s="166"/>
      <c r="B7" t="s">
        <v>50</v>
      </c>
      <c r="C7" s="173"/>
      <c r="D7" s="14">
        <f>D6/$B$2</f>
        <v>2819600</v>
      </c>
      <c r="E7" s="14"/>
      <c r="F7" s="14"/>
      <c r="G7" s="14"/>
      <c r="H7" s="14"/>
      <c r="I7" s="14"/>
      <c r="J7" s="14"/>
      <c r="K7" s="14"/>
    </row>
    <row r="8" spans="1:20" x14ac:dyDescent="0.35">
      <c r="A8" s="166"/>
      <c r="B8" t="s">
        <v>51</v>
      </c>
      <c r="C8" s="173"/>
      <c r="D8" s="173">
        <f>((D6*'IRR Approved (2)'!F4*6)/12)</f>
        <v>704900</v>
      </c>
      <c r="E8" s="14">
        <f>AVERAGE(D6:E6)*'IRR Approved (2)'!$F$4</f>
        <v>1268820</v>
      </c>
      <c r="F8" s="14">
        <f>AVERAGE(E6:F6)*'IRR Approved (2)'!$F$4</f>
        <v>986860</v>
      </c>
      <c r="G8" s="14">
        <f>AVERAGE(F6:G6)*'IRR Approved (2)'!$F$4</f>
        <v>704900</v>
      </c>
      <c r="H8" s="14">
        <f>AVERAGE(G6:H6)*'IRR Approved (2)'!$F$4</f>
        <v>422940</v>
      </c>
      <c r="I8" s="14">
        <f>AVERAGE(H6:I6)*'IRR Approved (2)'!$F$4</f>
        <v>140980</v>
      </c>
      <c r="J8" s="14">
        <f>AVERAGE(I6:J6)*'IRR Approved (2)'!$F$4</f>
        <v>0</v>
      </c>
      <c r="K8" s="14"/>
    </row>
    <row r="9" spans="1:20" x14ac:dyDescent="0.35">
      <c r="A9" s="166">
        <v>2017</v>
      </c>
      <c r="B9" t="s">
        <v>49</v>
      </c>
      <c r="C9" s="173"/>
      <c r="E9" s="173">
        <v>7049000</v>
      </c>
      <c r="F9" s="14">
        <f>E9-$E$10</f>
        <v>5639200</v>
      </c>
      <c r="G9" s="14">
        <f>F9-$E$10</f>
        <v>4229400</v>
      </c>
      <c r="H9" s="14">
        <f>G9-$E$10</f>
        <v>2819600</v>
      </c>
      <c r="I9" s="14">
        <f>H9-$E$10</f>
        <v>1409800</v>
      </c>
      <c r="J9" s="14">
        <f>I9-$E$10</f>
        <v>0</v>
      </c>
      <c r="K9" s="14"/>
      <c r="L9" s="14"/>
      <c r="M9" s="14"/>
    </row>
    <row r="10" spans="1:20" x14ac:dyDescent="0.35">
      <c r="A10" s="166"/>
      <c r="B10" t="s">
        <v>50</v>
      </c>
      <c r="C10" s="173"/>
      <c r="E10" s="14">
        <f>E9/$B$2</f>
        <v>1409800</v>
      </c>
      <c r="F10" s="14"/>
      <c r="G10" s="14"/>
      <c r="H10" s="14"/>
      <c r="I10" s="14"/>
      <c r="J10" s="14"/>
      <c r="K10" s="14"/>
    </row>
    <row r="11" spans="1:20" x14ac:dyDescent="0.35">
      <c r="A11" s="166"/>
      <c r="B11" t="s">
        <v>51</v>
      </c>
      <c r="C11" s="173"/>
      <c r="E11" s="173">
        <f>((E9*'IRR Approved (2)'!F4*6)/12)</f>
        <v>352450</v>
      </c>
      <c r="F11" s="14">
        <f>AVERAGE(E9:F9)*'IRR Approved (2)'!$F$4</f>
        <v>634410</v>
      </c>
      <c r="G11" s="14">
        <f>AVERAGE(F9:G9)*'IRR Approved (2)'!$F$4</f>
        <v>493430</v>
      </c>
      <c r="H11" s="173">
        <f>((H9*'IRR Approved (2)'!F4*6)/12)</f>
        <v>140980</v>
      </c>
      <c r="I11" s="14">
        <f>AVERAGE(H9:I9)*'IRR Approved (2)'!$F$4</f>
        <v>211470</v>
      </c>
      <c r="J11" s="14">
        <f>AVERAGE(I9:J9)*'IRR Approved (2)'!$F$4</f>
        <v>70490</v>
      </c>
      <c r="K11" s="14">
        <f>AVERAGE(J9:K9)*'IRR Approved (2)'!$F$4</f>
        <v>0</v>
      </c>
      <c r="L11" s="14"/>
      <c r="M11" s="14"/>
      <c r="N11" s="14"/>
    </row>
    <row r="12" spans="1:20" x14ac:dyDescent="0.35">
      <c r="A12" s="166">
        <v>2018</v>
      </c>
      <c r="B12" t="s">
        <v>49</v>
      </c>
      <c r="C12" s="173"/>
      <c r="E12" s="173"/>
      <c r="F12" s="14">
        <v>105349010</v>
      </c>
      <c r="G12" s="14">
        <f>F12-$F$13</f>
        <v>84279208</v>
      </c>
      <c r="H12" s="14">
        <f>G12-$F$13</f>
        <v>63209406</v>
      </c>
      <c r="I12" s="14">
        <f>H12-$F$13</f>
        <v>42139604</v>
      </c>
      <c r="J12" s="14">
        <f>I12-$F$13</f>
        <v>21069802</v>
      </c>
      <c r="K12" s="14">
        <f>J12-$F$13</f>
        <v>0</v>
      </c>
      <c r="L12" s="14"/>
      <c r="M12" s="14"/>
      <c r="N12" s="14"/>
    </row>
    <row r="13" spans="1:20" x14ac:dyDescent="0.35">
      <c r="A13" s="166"/>
      <c r="B13" t="s">
        <v>50</v>
      </c>
      <c r="C13" s="173"/>
      <c r="E13" s="173"/>
      <c r="F13" s="14">
        <f>F12/$B$2</f>
        <v>21069802</v>
      </c>
      <c r="G13" s="14"/>
      <c r="H13" s="173"/>
      <c r="I13" s="14"/>
      <c r="J13" s="14"/>
      <c r="K13" s="14"/>
      <c r="L13" s="14"/>
      <c r="M13" s="14"/>
      <c r="N13" s="14"/>
    </row>
    <row r="14" spans="1:20" x14ac:dyDescent="0.35">
      <c r="A14" s="166"/>
      <c r="B14" t="s">
        <v>51</v>
      </c>
      <c r="C14" s="173"/>
      <c r="E14" s="173"/>
      <c r="F14" s="173">
        <f>((F12*'IRR Approved (2)'!F4*6)/12)</f>
        <v>5267450.5</v>
      </c>
      <c r="G14" s="14">
        <f>AVERAGE(F12:G12)*'IRR Approved (2)'!$F$4</f>
        <v>9481410.9000000004</v>
      </c>
      <c r="H14" s="14">
        <f>AVERAGE(G12:H12)*'IRR Approved (2)'!$F$4</f>
        <v>7374430.7000000002</v>
      </c>
      <c r="I14" s="14">
        <f>AVERAGE(H12:I12)*'IRR Approved (2)'!$F$4</f>
        <v>5267450.5</v>
      </c>
      <c r="J14" s="14">
        <f>AVERAGE(I12:J12)*'IRR Approved (2)'!$F$4</f>
        <v>3160470.3000000003</v>
      </c>
      <c r="K14" s="14">
        <f>AVERAGE(J12:K12)*'IRR Approved (2)'!$F$4</f>
        <v>1053490.1000000001</v>
      </c>
      <c r="L14" s="14">
        <f>AVERAGE(K12:L12)*'IRR Approved (2)'!$F$4</f>
        <v>0</v>
      </c>
      <c r="M14" s="14"/>
      <c r="N14" s="14"/>
    </row>
    <row r="15" spans="1:20" x14ac:dyDescent="0.35">
      <c r="A15" s="166">
        <v>2019</v>
      </c>
      <c r="B15" t="s">
        <v>49</v>
      </c>
      <c r="C15" s="173"/>
      <c r="E15" s="173"/>
      <c r="F15" s="14"/>
      <c r="G15" s="14"/>
      <c r="H15" s="173"/>
      <c r="I15" s="14"/>
      <c r="J15" s="14"/>
      <c r="K15" s="14"/>
      <c r="L15" s="14"/>
      <c r="M15" s="14"/>
      <c r="N15" s="14"/>
    </row>
    <row r="16" spans="1:20" x14ac:dyDescent="0.35">
      <c r="A16" s="166"/>
      <c r="B16" t="s">
        <v>50</v>
      </c>
      <c r="C16" s="173"/>
      <c r="E16" s="173"/>
      <c r="F16" s="14"/>
      <c r="G16" s="14"/>
      <c r="H16" s="173"/>
      <c r="I16" s="14"/>
      <c r="J16" s="14"/>
      <c r="K16" s="14"/>
      <c r="L16" s="14"/>
      <c r="M16" s="14"/>
      <c r="N16" s="14"/>
    </row>
    <row r="17" spans="1:18" x14ac:dyDescent="0.35">
      <c r="A17" s="166"/>
      <c r="B17" t="s">
        <v>51</v>
      </c>
      <c r="C17" s="173"/>
      <c r="E17" s="173"/>
      <c r="F17" s="14"/>
      <c r="G17" s="14"/>
      <c r="H17" s="173"/>
      <c r="I17" s="14"/>
      <c r="J17" s="14"/>
      <c r="K17" s="14"/>
      <c r="L17" s="14"/>
      <c r="M17" s="14"/>
      <c r="N17" s="14"/>
    </row>
    <row r="18" spans="1:18" x14ac:dyDescent="0.35">
      <c r="A18">
        <v>2020</v>
      </c>
      <c r="B18" t="s">
        <v>49</v>
      </c>
      <c r="C18" s="173"/>
      <c r="D18" s="14"/>
      <c r="E18" s="14"/>
      <c r="F18" s="14"/>
      <c r="G18" s="14"/>
      <c r="H18" s="14">
        <f>280000000*0+234252476</f>
        <v>234252476</v>
      </c>
      <c r="I18" s="14">
        <f>H18-$H$19</f>
        <v>187401980.80000001</v>
      </c>
      <c r="J18" s="14">
        <f>I18-$H$19</f>
        <v>140551485.60000002</v>
      </c>
      <c r="K18" s="14">
        <f>J18-$H$19</f>
        <v>93700990.400000021</v>
      </c>
      <c r="L18" s="14">
        <f>K18-$H$19</f>
        <v>46850495.200000018</v>
      </c>
      <c r="M18" s="14">
        <f>L18-$H$19</f>
        <v>0</v>
      </c>
    </row>
    <row r="19" spans="1:18" x14ac:dyDescent="0.35">
      <c r="B19" t="s">
        <v>50</v>
      </c>
      <c r="C19" s="173"/>
      <c r="D19" s="14"/>
      <c r="E19" s="14"/>
      <c r="F19" s="14"/>
      <c r="G19" s="14"/>
      <c r="H19" s="14">
        <f>H18/$B$2</f>
        <v>46850495.200000003</v>
      </c>
      <c r="I19" s="14"/>
      <c r="J19" s="14"/>
      <c r="K19" s="14"/>
    </row>
    <row r="20" spans="1:18" x14ac:dyDescent="0.35">
      <c r="B20" t="s">
        <v>51</v>
      </c>
      <c r="C20" s="173"/>
      <c r="D20" s="14"/>
      <c r="E20" s="14"/>
      <c r="F20" s="14"/>
      <c r="G20" s="14"/>
      <c r="H20" s="173">
        <f>((H18*'IRR Approved (2)'!$F$4*6)/12)</f>
        <v>11712623.800000003</v>
      </c>
      <c r="I20" s="14">
        <f>AVERAGE(H18:I18)*'IRR Approved (2)'!$F$4</f>
        <v>21082722.840000004</v>
      </c>
      <c r="J20" s="14">
        <f>AVERAGE(I18:J18)*'IRR Approved (2)'!$F$4</f>
        <v>16397673.320000002</v>
      </c>
      <c r="K20" s="14">
        <f>AVERAGE(J18:K18)*'IRR Approved (2)'!$F$4</f>
        <v>11712623.800000004</v>
      </c>
      <c r="L20" s="14">
        <f>AVERAGE(K18:L18)*'IRR Approved (2)'!$F$4</f>
        <v>7027574.2800000012</v>
      </c>
      <c r="M20" s="14">
        <f>AVERAGE(L18:M18)*'IRR Approved (2)'!$F$4</f>
        <v>2342524.7600000012</v>
      </c>
      <c r="N20" s="14">
        <f>AVERAGE(M18:N18)*'IRR Approved (2)'!$F$4</f>
        <v>0</v>
      </c>
    </row>
    <row r="21" spans="1:18" x14ac:dyDescent="0.35">
      <c r="A21">
        <v>2021</v>
      </c>
      <c r="B21" t="s">
        <v>49</v>
      </c>
      <c r="C21" s="173"/>
      <c r="D21" s="14"/>
      <c r="E21" s="14"/>
      <c r="F21" s="14"/>
      <c r="G21" s="14"/>
      <c r="H21" s="14"/>
      <c r="I21" s="14">
        <v>262083538</v>
      </c>
      <c r="J21" s="14">
        <f>I21-$I$22</f>
        <v>209666830.40000001</v>
      </c>
      <c r="K21" s="14">
        <f t="shared" ref="K21:N21" si="5">J21-$I$22</f>
        <v>157250122.80000001</v>
      </c>
      <c r="L21" s="14">
        <f t="shared" si="5"/>
        <v>104833415.20000002</v>
      </c>
      <c r="M21" s="14">
        <f t="shared" si="5"/>
        <v>52416707.600000016</v>
      </c>
      <c r="N21" s="14">
        <f t="shared" si="5"/>
        <v>0</v>
      </c>
    </row>
    <row r="22" spans="1:18" x14ac:dyDescent="0.35">
      <c r="B22" t="s">
        <v>50</v>
      </c>
      <c r="C22" s="173"/>
      <c r="D22" s="14"/>
      <c r="E22" s="14"/>
      <c r="F22" s="14"/>
      <c r="G22" s="14"/>
      <c r="H22" s="14"/>
      <c r="I22" s="14">
        <f>I21/$B$2</f>
        <v>52416707.600000001</v>
      </c>
      <c r="J22" s="14"/>
      <c r="K22" s="14"/>
    </row>
    <row r="23" spans="1:18" x14ac:dyDescent="0.35">
      <c r="B23" t="s">
        <v>51</v>
      </c>
      <c r="C23" s="173"/>
      <c r="D23" s="14"/>
      <c r="E23" s="14"/>
      <c r="F23" s="14"/>
      <c r="G23" s="14"/>
      <c r="H23" s="14"/>
      <c r="I23" s="173">
        <f>((I21*'IRR Approved (2)'!$F$4*6)/12)</f>
        <v>13104176.9</v>
      </c>
      <c r="J23" s="14">
        <f>AVERAGE(I21:J21)*'IRR Approved (2)'!$F$4</f>
        <v>23587518.420000002</v>
      </c>
      <c r="K23" s="14">
        <f>AVERAGE(J21:K21)*'IRR Approved (2)'!$F$4</f>
        <v>18345847.660000004</v>
      </c>
      <c r="L23" s="14">
        <f>AVERAGE(K21:L21)*'IRR Approved (2)'!$F$4</f>
        <v>13104176.900000002</v>
      </c>
      <c r="M23" s="14">
        <f>AVERAGE(L21:M21)*'IRR Approved (2)'!$F$4</f>
        <v>7862506.1400000025</v>
      </c>
      <c r="N23" s="14">
        <f>AVERAGE(M21:N21)*'IRR Approved (2)'!$F$4</f>
        <v>2620835.3800000008</v>
      </c>
      <c r="O23" s="14">
        <f>AVERAGE(N21:O21)*'IRR Approved (2)'!$F$4</f>
        <v>0</v>
      </c>
    </row>
    <row r="24" spans="1:18" x14ac:dyDescent="0.35">
      <c r="A24">
        <v>2022</v>
      </c>
      <c r="B24" t="s">
        <v>49</v>
      </c>
      <c r="C24" s="173"/>
      <c r="D24" s="14"/>
      <c r="E24" s="14"/>
      <c r="F24" s="14"/>
      <c r="G24" s="14"/>
      <c r="H24" s="14"/>
      <c r="I24" s="14"/>
      <c r="J24" s="14">
        <v>2609813</v>
      </c>
      <c r="K24" s="14">
        <f>J24-$J$25</f>
        <v>2087850.4</v>
      </c>
      <c r="L24" s="14">
        <f>K24-$J$25</f>
        <v>1565887.7999999998</v>
      </c>
      <c r="M24" s="14">
        <f>L24-$J$25</f>
        <v>1043925.1999999998</v>
      </c>
      <c r="N24" s="14">
        <f>M24-$J$25</f>
        <v>521962.59999999986</v>
      </c>
      <c r="O24" s="14">
        <f>N24-$J$25</f>
        <v>0</v>
      </c>
    </row>
    <row r="25" spans="1:18" x14ac:dyDescent="0.35">
      <c r="B25" t="s">
        <v>50</v>
      </c>
      <c r="C25" s="173"/>
      <c r="D25" s="14"/>
      <c r="E25" s="14"/>
      <c r="F25" s="14"/>
      <c r="G25" s="14"/>
      <c r="H25" s="14"/>
      <c r="I25" s="14"/>
      <c r="J25" s="14">
        <f>J24/$B$2</f>
        <v>521962.6</v>
      </c>
      <c r="K25" s="14"/>
    </row>
    <row r="26" spans="1:18" x14ac:dyDescent="0.35">
      <c r="B26" t="s">
        <v>51</v>
      </c>
      <c r="C26" s="173"/>
      <c r="D26" s="14"/>
      <c r="E26" s="14"/>
      <c r="F26" s="14"/>
      <c r="G26" s="14"/>
      <c r="H26" s="14"/>
      <c r="I26" s="14"/>
      <c r="J26" s="173">
        <f>((J24*'IRR Approved (2)'!$F$4*6)/12)</f>
        <v>130490.65000000001</v>
      </c>
      <c r="K26" s="14">
        <f>AVERAGE(J24:K24)*'IRR Approved (2)'!$F$4</f>
        <v>234883.17000000004</v>
      </c>
      <c r="L26" s="14">
        <f>AVERAGE(K24:L24)*'IRR Approved (2)'!$F$4</f>
        <v>182686.91</v>
      </c>
      <c r="M26" s="14">
        <f>AVERAGE(L24:M24)*'IRR Approved (2)'!$F$4</f>
        <v>130490.64999999998</v>
      </c>
      <c r="N26" s="14">
        <f>AVERAGE(M24:N24)*'IRR Approved (2)'!$F$4</f>
        <v>78294.39</v>
      </c>
      <c r="O26" s="14">
        <f>AVERAGE(N24:O24)*'IRR Approved (2)'!$F$4</f>
        <v>26098.129999999994</v>
      </c>
      <c r="P26" s="14">
        <f>AVERAGE(O24:P24)*'IRR Approved (2)'!$F$4</f>
        <v>0</v>
      </c>
    </row>
    <row r="27" spans="1:18" x14ac:dyDescent="0.35">
      <c r="A27">
        <v>2023</v>
      </c>
      <c r="B27" t="s">
        <v>49</v>
      </c>
      <c r="C27" s="173"/>
      <c r="D27" s="14"/>
      <c r="E27" s="14"/>
      <c r="F27" s="14"/>
      <c r="G27" s="14"/>
      <c r="H27" s="14"/>
      <c r="I27" s="14"/>
      <c r="J27" s="14"/>
      <c r="K27" s="14"/>
      <c r="L27" s="14">
        <f>K27-$K$28</f>
        <v>0</v>
      </c>
      <c r="M27" s="14">
        <f t="shared" ref="M27:P27" si="6">L27-$K$28</f>
        <v>0</v>
      </c>
      <c r="N27" s="14">
        <f t="shared" si="6"/>
        <v>0</v>
      </c>
      <c r="O27" s="14">
        <f t="shared" si="6"/>
        <v>0</v>
      </c>
      <c r="P27" s="14">
        <f t="shared" si="6"/>
        <v>0</v>
      </c>
    </row>
    <row r="28" spans="1:18" x14ac:dyDescent="0.35">
      <c r="B28" t="s">
        <v>50</v>
      </c>
      <c r="C28" s="173"/>
      <c r="D28" s="14"/>
      <c r="E28" s="14"/>
      <c r="F28" s="14"/>
      <c r="G28" s="14"/>
      <c r="H28" s="14"/>
      <c r="I28" s="14"/>
      <c r="J28" s="14"/>
      <c r="K28" s="14">
        <f>K27/$B$2</f>
        <v>0</v>
      </c>
    </row>
    <row r="29" spans="1:18" x14ac:dyDescent="0.35">
      <c r="B29" t="s">
        <v>51</v>
      </c>
      <c r="C29" s="173"/>
      <c r="D29" s="14"/>
      <c r="E29" s="14"/>
      <c r="F29" s="14"/>
      <c r="G29" s="14"/>
      <c r="H29" s="14"/>
      <c r="I29" s="14"/>
      <c r="J29" s="14"/>
      <c r="K29" s="173">
        <f>((K27*'IRR Approved (2)'!$F$4*6)/12)</f>
        <v>0</v>
      </c>
      <c r="L29" s="14">
        <f>AVERAGE(K27:L27)*'IRR Approved (2)'!$F$4</f>
        <v>0</v>
      </c>
      <c r="M29" s="14">
        <f>AVERAGE(L27:M27)*'IRR Approved (2)'!$F$4</f>
        <v>0</v>
      </c>
      <c r="N29" s="14">
        <f>AVERAGE(M27:N27)*'IRR Approved (2)'!$F$4</f>
        <v>0</v>
      </c>
      <c r="O29" s="14">
        <f>AVERAGE(N27:O27)*'IRR Approved (2)'!$F$4</f>
        <v>0</v>
      </c>
      <c r="P29" s="14">
        <f>AVERAGE(O27:P27)*'IRR Approved (2)'!$F$4</f>
        <v>0</v>
      </c>
      <c r="Q29" s="14">
        <f>AVERAGE(P27:Q27)*'IRR Approved (2)'!$F$4</f>
        <v>0</v>
      </c>
    </row>
    <row r="30" spans="1:18" x14ac:dyDescent="0.35">
      <c r="A30">
        <v>2024</v>
      </c>
      <c r="B30" t="s">
        <v>49</v>
      </c>
      <c r="C30" s="173"/>
      <c r="D30" s="14"/>
      <c r="E30" s="14"/>
      <c r="F30" s="14"/>
      <c r="G30" s="14"/>
      <c r="H30" s="14"/>
      <c r="I30" s="14"/>
      <c r="J30" s="14"/>
      <c r="K30" s="14"/>
      <c r="L30" s="80">
        <f>55000000*0</f>
        <v>0</v>
      </c>
      <c r="M30" s="14">
        <f>L30-$L$31</f>
        <v>0</v>
      </c>
      <c r="N30" s="14">
        <f>M30-$L$31</f>
        <v>0</v>
      </c>
      <c r="O30" s="14">
        <f>N30-$L$31</f>
        <v>0</v>
      </c>
      <c r="P30" s="14">
        <f>O30-$L$31</f>
        <v>0</v>
      </c>
      <c r="Q30" s="14">
        <f>P30-$L$31</f>
        <v>0</v>
      </c>
    </row>
    <row r="31" spans="1:18" x14ac:dyDescent="0.35">
      <c r="B31" t="s">
        <v>50</v>
      </c>
      <c r="C31" s="173"/>
      <c r="D31" s="14"/>
      <c r="E31" s="14"/>
      <c r="F31" s="14"/>
      <c r="G31" s="14"/>
      <c r="H31" s="14"/>
      <c r="I31" s="14"/>
      <c r="J31" s="14"/>
      <c r="K31" s="14"/>
      <c r="L31" s="14">
        <f>L30/$B$2</f>
        <v>0</v>
      </c>
      <c r="M31" s="80"/>
      <c r="N31" s="80"/>
      <c r="O31" s="80"/>
    </row>
    <row r="32" spans="1:18" x14ac:dyDescent="0.35">
      <c r="B32" t="s">
        <v>51</v>
      </c>
      <c r="C32" s="173"/>
      <c r="D32" s="14"/>
      <c r="E32" s="14"/>
      <c r="F32" s="14"/>
      <c r="G32" s="14"/>
      <c r="H32" s="14"/>
      <c r="I32" s="14"/>
      <c r="J32" s="14"/>
      <c r="K32" s="14"/>
      <c r="L32" s="173">
        <f>((L30*'IRR Approved (2)'!$F$4*6)/12)</f>
        <v>0</v>
      </c>
      <c r="M32" s="14">
        <f>AVERAGE(L30:M30)*'IRR Approved (2)'!$F$4</f>
        <v>0</v>
      </c>
      <c r="N32" s="14">
        <f>AVERAGE(M30:N30)*'IRR Approved (2)'!$F$4</f>
        <v>0</v>
      </c>
      <c r="O32" s="14">
        <f>AVERAGE(N30:O30)*'IRR Approved (2)'!$F$4</f>
        <v>0</v>
      </c>
      <c r="P32" s="14">
        <f>AVERAGE(O30:P30)*'IRR Approved (2)'!$F$4</f>
        <v>0</v>
      </c>
      <c r="Q32" s="14">
        <f>AVERAGE(P30:Q30)*'IRR Approved (2)'!$F$4</f>
        <v>0</v>
      </c>
      <c r="R32" s="14">
        <f>AVERAGE(Q30:R30)*'IRR Approved (2)'!$F$4</f>
        <v>0</v>
      </c>
    </row>
    <row r="33" spans="1:19" x14ac:dyDescent="0.35">
      <c r="C33" s="173"/>
      <c r="D33" s="14"/>
      <c r="E33" s="14"/>
      <c r="F33" s="14"/>
      <c r="G33" s="14"/>
      <c r="H33" s="14"/>
      <c r="I33" s="14"/>
      <c r="J33" s="14"/>
      <c r="K33" s="14"/>
    </row>
    <row r="34" spans="1:19" x14ac:dyDescent="0.35">
      <c r="A34" s="170"/>
      <c r="B34" s="124"/>
      <c r="C34" s="174">
        <f>C8+C5+C11+C14+C17+C20+C23+C26+C29+C32</f>
        <v>54874317.300000004</v>
      </c>
      <c r="D34" s="174">
        <f t="shared" ref="D34:S34" si="7">D8+D5+D11+D14+D17+D20+D23+D26+D29+D32</f>
        <v>99478671.140000001</v>
      </c>
      <c r="E34" s="174">
        <f t="shared" si="7"/>
        <v>78445314.219999999</v>
      </c>
      <c r="F34" s="174">
        <f t="shared" si="7"/>
        <v>61763037.79999999</v>
      </c>
      <c r="G34" s="174">
        <f t="shared" si="7"/>
        <v>43604331.279999994</v>
      </c>
      <c r="H34" s="174">
        <f t="shared" si="7"/>
        <v>30625837.960000001</v>
      </c>
      <c r="I34" s="174">
        <f t="shared" si="7"/>
        <v>39806800.240000002</v>
      </c>
      <c r="J34" s="174">
        <f t="shared" si="7"/>
        <v>43346642.690000005</v>
      </c>
      <c r="K34" s="174">
        <f t="shared" si="7"/>
        <v>31346844.730000012</v>
      </c>
      <c r="L34" s="174">
        <f t="shared" si="7"/>
        <v>20314438.090000004</v>
      </c>
      <c r="M34" s="174">
        <f t="shared" si="7"/>
        <v>10335521.550000004</v>
      </c>
      <c r="N34" s="174">
        <f t="shared" si="7"/>
        <v>2699129.7700000009</v>
      </c>
      <c r="O34" s="174">
        <f t="shared" si="7"/>
        <v>26098.129999999994</v>
      </c>
      <c r="P34" s="174">
        <f t="shared" si="7"/>
        <v>0</v>
      </c>
      <c r="Q34" s="174">
        <f t="shared" si="7"/>
        <v>0</v>
      </c>
      <c r="R34" s="174">
        <f t="shared" si="7"/>
        <v>0</v>
      </c>
      <c r="S34" s="174">
        <f t="shared" si="7"/>
        <v>0</v>
      </c>
    </row>
    <row r="35" spans="1:19" x14ac:dyDescent="0.35">
      <c r="B35" s="173"/>
      <c r="C35" s="14"/>
      <c r="D35" s="14"/>
      <c r="E35" s="14"/>
      <c r="F35" s="14"/>
      <c r="G35" s="14"/>
      <c r="H35" s="14"/>
      <c r="I35" s="14"/>
      <c r="J35" s="14"/>
      <c r="K35" s="14"/>
    </row>
    <row r="38" spans="1:19" s="130" customFormat="1" x14ac:dyDescent="0.35"/>
    <row r="40" spans="1:19" x14ac:dyDescent="0.35">
      <c r="A40" t="s">
        <v>1</v>
      </c>
      <c r="B40" s="80">
        <v>50000000</v>
      </c>
      <c r="C40" s="14">
        <f>B40+C41</f>
        <v>51000000</v>
      </c>
      <c r="D40" s="14">
        <f>C40+D42</f>
        <v>52020000</v>
      </c>
      <c r="E40" s="14">
        <f t="shared" ref="E40:K40" si="8">D40+E42</f>
        <v>53060400</v>
      </c>
      <c r="F40" s="14">
        <f t="shared" si="8"/>
        <v>54121608</v>
      </c>
      <c r="G40" s="14">
        <f t="shared" si="8"/>
        <v>55204040.159999996</v>
      </c>
      <c r="H40" s="14">
        <f t="shared" si="8"/>
        <v>56308120.963199995</v>
      </c>
      <c r="I40" s="14">
        <f t="shared" si="8"/>
        <v>57434283.382463992</v>
      </c>
      <c r="J40" s="14">
        <f t="shared" si="8"/>
        <v>58582969.050113268</v>
      </c>
      <c r="K40" s="14">
        <f t="shared" si="8"/>
        <v>59754628.43111553</v>
      </c>
    </row>
    <row r="41" spans="1:19" x14ac:dyDescent="0.35">
      <c r="A41" s="75">
        <v>0.02</v>
      </c>
      <c r="C41" s="14">
        <f>C42</f>
        <v>1000000</v>
      </c>
      <c r="D41" s="14">
        <f>C41+D42</f>
        <v>2020000</v>
      </c>
      <c r="E41" s="14">
        <f t="shared" ref="E41:K41" si="9">D41+E42</f>
        <v>3060400</v>
      </c>
      <c r="F41" s="14">
        <f t="shared" si="9"/>
        <v>4121608</v>
      </c>
      <c r="G41" s="14">
        <f t="shared" si="9"/>
        <v>5204040.16</v>
      </c>
      <c r="H41" s="14">
        <f t="shared" si="9"/>
        <v>6308120.9632000001</v>
      </c>
      <c r="I41" s="14">
        <f t="shared" si="9"/>
        <v>7434283.382464</v>
      </c>
      <c r="J41" s="14">
        <f t="shared" si="9"/>
        <v>8582969.0501132794</v>
      </c>
      <c r="K41" s="14">
        <f t="shared" si="9"/>
        <v>9754628.4311155453</v>
      </c>
    </row>
    <row r="42" spans="1:19" x14ac:dyDescent="0.35">
      <c r="C42" s="14">
        <f>B40*$A$41</f>
        <v>1000000</v>
      </c>
      <c r="D42" s="14">
        <f>C40*$A$41</f>
        <v>1020000</v>
      </c>
      <c r="E42" s="14">
        <f t="shared" ref="E42:K42" si="10">D40*$A$41</f>
        <v>1040400</v>
      </c>
      <c r="F42" s="14">
        <f t="shared" si="10"/>
        <v>1061208</v>
      </c>
      <c r="G42" s="14">
        <f t="shared" si="10"/>
        <v>1082432.1599999999</v>
      </c>
      <c r="H42" s="14">
        <f t="shared" si="10"/>
        <v>1104080.8032</v>
      </c>
      <c r="I42" s="14">
        <f t="shared" si="10"/>
        <v>1126162.4192639999</v>
      </c>
      <c r="J42" s="14">
        <f t="shared" si="10"/>
        <v>1148685.6676492798</v>
      </c>
      <c r="K42" s="14">
        <f t="shared" si="10"/>
        <v>1171659.3810022655</v>
      </c>
    </row>
    <row r="43" spans="1:19" x14ac:dyDescent="0.35">
      <c r="F43" s="80"/>
    </row>
    <row r="45" spans="1:19" s="130" customFormat="1" x14ac:dyDescent="0.35"/>
    <row r="47" spans="1:19" x14ac:dyDescent="0.35">
      <c r="F47" s="118" t="s">
        <v>88</v>
      </c>
      <c r="G47" s="118" t="s">
        <v>89</v>
      </c>
      <c r="H47" s="118" t="s">
        <v>90</v>
      </c>
      <c r="I47" s="119" t="s">
        <v>91</v>
      </c>
      <c r="J47" s="355" t="s">
        <v>92</v>
      </c>
      <c r="K47" s="355" t="s">
        <v>93</v>
      </c>
    </row>
    <row r="48" spans="1:19" x14ac:dyDescent="0.35">
      <c r="E48" s="120" t="s">
        <v>94</v>
      </c>
      <c r="F48" s="121">
        <v>1</v>
      </c>
      <c r="G48" s="122">
        <v>1</v>
      </c>
      <c r="H48" s="122">
        <v>1</v>
      </c>
      <c r="I48" s="123">
        <v>266</v>
      </c>
      <c r="J48" s="355"/>
      <c r="K48" s="355"/>
    </row>
    <row r="49" spans="1:11" x14ac:dyDescent="0.35">
      <c r="B49" s="356" t="s">
        <v>95</v>
      </c>
      <c r="C49" s="124" t="s">
        <v>96</v>
      </c>
      <c r="D49" s="125">
        <f>C60</f>
        <v>3000000</v>
      </c>
      <c r="E49" s="124" t="s">
        <v>88</v>
      </c>
      <c r="F49" s="118">
        <f>F48</f>
        <v>1</v>
      </c>
      <c r="G49" s="118"/>
      <c r="H49" s="118"/>
      <c r="I49" s="119"/>
      <c r="J49" s="126">
        <f>F49*D49</f>
        <v>3000000</v>
      </c>
    </row>
    <row r="50" spans="1:11" x14ac:dyDescent="0.35">
      <c r="B50" s="357"/>
      <c r="C50" s="124" t="s">
        <v>97</v>
      </c>
      <c r="D50" s="127">
        <v>600000</v>
      </c>
      <c r="E50" s="124" t="s">
        <v>88</v>
      </c>
      <c r="F50" s="118">
        <f>F48</f>
        <v>1</v>
      </c>
      <c r="G50" s="118"/>
      <c r="H50" s="118"/>
      <c r="I50" s="119">
        <f>IF($I$40&lt;=120,2,IF($I$40&gt;220,4,3))</f>
        <v>4</v>
      </c>
      <c r="J50" s="127">
        <f>D50*F50</f>
        <v>600000</v>
      </c>
    </row>
    <row r="51" spans="1:11" x14ac:dyDescent="0.35">
      <c r="B51" s="358"/>
      <c r="C51" s="124" t="s">
        <v>95</v>
      </c>
      <c r="D51" s="127">
        <v>200000</v>
      </c>
      <c r="E51" s="124" t="s">
        <v>98</v>
      </c>
      <c r="F51" s="118"/>
      <c r="G51" s="118">
        <f>G48</f>
        <v>1</v>
      </c>
      <c r="H51" s="118"/>
      <c r="I51" s="119"/>
      <c r="J51" s="127">
        <f>G51*D51</f>
        <v>200000</v>
      </c>
    </row>
    <row r="52" spans="1:11" x14ac:dyDescent="0.35">
      <c r="B52" s="124" t="s">
        <v>99</v>
      </c>
      <c r="C52" s="124" t="s">
        <v>99</v>
      </c>
      <c r="D52" s="127">
        <v>450000</v>
      </c>
      <c r="E52" s="124" t="s">
        <v>90</v>
      </c>
      <c r="F52" s="118">
        <f>F48</f>
        <v>1</v>
      </c>
      <c r="G52" s="118"/>
      <c r="H52" s="118">
        <f>H48</f>
        <v>1</v>
      </c>
      <c r="I52" s="119">
        <f t="shared" ref="I52:I53" si="11">IF($I$40&lt;=120,2,IF($I$40&gt;220,4,3))</f>
        <v>4</v>
      </c>
      <c r="J52" s="127">
        <f>H52*D52*I52</f>
        <v>1800000</v>
      </c>
    </row>
    <row r="53" spans="1:11" x14ac:dyDescent="0.35">
      <c r="B53" s="124" t="s">
        <v>100</v>
      </c>
      <c r="C53" s="124" t="s">
        <v>100</v>
      </c>
      <c r="D53" s="127">
        <v>120000</v>
      </c>
      <c r="E53" s="124" t="s">
        <v>88</v>
      </c>
      <c r="F53" s="118">
        <f>F48</f>
        <v>1</v>
      </c>
      <c r="G53" s="118"/>
      <c r="H53" s="118"/>
      <c r="I53" s="119">
        <f t="shared" si="11"/>
        <v>4</v>
      </c>
      <c r="J53" s="127">
        <f>I53*D53*F53</f>
        <v>480000</v>
      </c>
    </row>
    <row r="54" spans="1:11" x14ac:dyDescent="0.35">
      <c r="J54" s="128">
        <f>SUM(J49:J53)</f>
        <v>6080000</v>
      </c>
      <c r="K54" s="129">
        <f>J54*2</f>
        <v>12160000</v>
      </c>
    </row>
    <row r="56" spans="1:11" s="130" customFormat="1" x14ac:dyDescent="0.35"/>
    <row r="57" spans="1:11" x14ac:dyDescent="0.35">
      <c r="K57" s="14"/>
    </row>
    <row r="58" spans="1:11" x14ac:dyDescent="0.35">
      <c r="B58" s="118" t="s">
        <v>101</v>
      </c>
      <c r="C58" s="118" t="s">
        <v>96</v>
      </c>
      <c r="E58" s="124" t="s">
        <v>102</v>
      </c>
      <c r="K58" s="37"/>
    </row>
    <row r="59" spans="1:11" x14ac:dyDescent="0.35">
      <c r="A59" t="s">
        <v>103</v>
      </c>
      <c r="B59" s="80">
        <v>16800000</v>
      </c>
      <c r="C59" s="80">
        <v>4000000</v>
      </c>
      <c r="D59" s="14"/>
      <c r="E59" t="s">
        <v>104</v>
      </c>
      <c r="K59" s="14"/>
    </row>
    <row r="60" spans="1:11" x14ac:dyDescent="0.35">
      <c r="A60" t="s">
        <v>105</v>
      </c>
      <c r="B60" s="80"/>
      <c r="C60" s="80">
        <v>3000000</v>
      </c>
      <c r="E60" t="s">
        <v>106</v>
      </c>
      <c r="I60" s="80">
        <v>10000000</v>
      </c>
    </row>
    <row r="61" spans="1:11" x14ac:dyDescent="0.35">
      <c r="A61" t="s">
        <v>107</v>
      </c>
      <c r="B61" s="80">
        <v>15600000</v>
      </c>
      <c r="C61" s="80">
        <v>2500000</v>
      </c>
      <c r="D61" s="14"/>
      <c r="E61" t="s">
        <v>106</v>
      </c>
      <c r="H61" t="s">
        <v>108</v>
      </c>
      <c r="I61" s="80">
        <v>12000000</v>
      </c>
    </row>
    <row r="62" spans="1:11" x14ac:dyDescent="0.35">
      <c r="A62" t="s">
        <v>109</v>
      </c>
      <c r="B62" s="80">
        <v>15000000</v>
      </c>
      <c r="C62" s="80">
        <v>2000000</v>
      </c>
      <c r="D62" s="14"/>
      <c r="E62" t="s">
        <v>106</v>
      </c>
      <c r="H62" t="s">
        <v>110</v>
      </c>
      <c r="I62" s="80">
        <v>14000000</v>
      </c>
    </row>
    <row r="63" spans="1:11" x14ac:dyDescent="0.35">
      <c r="A63" t="s">
        <v>111</v>
      </c>
      <c r="B63" s="80">
        <v>15000000</v>
      </c>
      <c r="C63" s="80">
        <v>1850000</v>
      </c>
      <c r="D63" s="14"/>
      <c r="E63" t="s">
        <v>106</v>
      </c>
      <c r="H63" t="s">
        <v>112</v>
      </c>
      <c r="I63" s="80">
        <v>14000000</v>
      </c>
    </row>
    <row r="64" spans="1:11" x14ac:dyDescent="0.35">
      <c r="A64" t="s">
        <v>113</v>
      </c>
      <c r="B64" s="80">
        <v>12000000</v>
      </c>
      <c r="C64" s="80">
        <v>1200000</v>
      </c>
      <c r="D64" s="14"/>
      <c r="E64" t="s">
        <v>106</v>
      </c>
      <c r="H64" t="s">
        <v>103</v>
      </c>
      <c r="I64" s="80">
        <v>17000000</v>
      </c>
    </row>
    <row r="65" spans="1:9" x14ac:dyDescent="0.35">
      <c r="A65" t="s">
        <v>114</v>
      </c>
      <c r="B65" s="80">
        <v>16800000</v>
      </c>
      <c r="C65" s="80">
        <v>2000000</v>
      </c>
      <c r="D65" s="14"/>
      <c r="E65" t="s">
        <v>106</v>
      </c>
      <c r="H65" t="s">
        <v>114</v>
      </c>
      <c r="I65" s="80">
        <v>14000000</v>
      </c>
    </row>
    <row r="66" spans="1:9" x14ac:dyDescent="0.35">
      <c r="A66" t="s">
        <v>115</v>
      </c>
      <c r="B66" s="80">
        <v>15720000</v>
      </c>
      <c r="C66" s="80">
        <v>3500000</v>
      </c>
      <c r="D66" s="14"/>
    </row>
    <row r="67" spans="1:9" x14ac:dyDescent="0.35">
      <c r="A67" t="s">
        <v>116</v>
      </c>
      <c r="C67" s="80">
        <v>2800000</v>
      </c>
      <c r="D67" s="14"/>
    </row>
    <row r="68" spans="1:9" x14ac:dyDescent="0.35">
      <c r="A68" t="s">
        <v>117</v>
      </c>
      <c r="B68">
        <v>0</v>
      </c>
      <c r="C68" s="80">
        <v>0</v>
      </c>
      <c r="D68" t="s">
        <v>118</v>
      </c>
    </row>
    <row r="70" spans="1:9" x14ac:dyDescent="0.35">
      <c r="B70" s="118" t="s">
        <v>119</v>
      </c>
      <c r="C70" s="118"/>
    </row>
    <row r="71" spans="1:9" x14ac:dyDescent="0.35">
      <c r="B71" s="80">
        <v>7000000</v>
      </c>
      <c r="D71" s="14">
        <f>B71/12</f>
        <v>583333.33333333337</v>
      </c>
    </row>
    <row r="72" spans="1:9" x14ac:dyDescent="0.35">
      <c r="B72" s="80"/>
      <c r="D72" s="14"/>
    </row>
    <row r="74" spans="1:9" s="130" customFormat="1" x14ac:dyDescent="0.35"/>
    <row r="76" spans="1:9" x14ac:dyDescent="0.35">
      <c r="A76" s="124" t="s">
        <v>120</v>
      </c>
      <c r="B76" s="14"/>
    </row>
    <row r="77" spans="1:9" x14ac:dyDescent="0.35">
      <c r="A77" t="s">
        <v>121</v>
      </c>
    </row>
    <row r="78" spans="1:9" x14ac:dyDescent="0.35">
      <c r="A78" t="s">
        <v>122</v>
      </c>
      <c r="B78" s="80">
        <v>36000000</v>
      </c>
    </row>
    <row r="79" spans="1:9" x14ac:dyDescent="0.35">
      <c r="A79" t="s">
        <v>123</v>
      </c>
      <c r="B79" s="80">
        <v>42000000</v>
      </c>
    </row>
    <row r="80" spans="1:9" x14ac:dyDescent="0.35">
      <c r="A80" t="s">
        <v>124</v>
      </c>
      <c r="B80" s="80">
        <v>48000000</v>
      </c>
      <c r="C80" s="14">
        <f>B80/12</f>
        <v>4000000</v>
      </c>
    </row>
    <row r="82" spans="1:2" x14ac:dyDescent="0.35">
      <c r="A82" t="s">
        <v>125</v>
      </c>
    </row>
    <row r="83" spans="1:2" x14ac:dyDescent="0.35">
      <c r="A83" t="s">
        <v>126</v>
      </c>
      <c r="B83" s="80">
        <v>75000000</v>
      </c>
    </row>
    <row r="84" spans="1:2" x14ac:dyDescent="0.35">
      <c r="A84" t="s">
        <v>124</v>
      </c>
      <c r="B84" s="80">
        <v>95000000</v>
      </c>
    </row>
  </sheetData>
  <mergeCells count="3">
    <mergeCell ref="J47:J48"/>
    <mergeCell ref="K47:K48"/>
    <mergeCell ref="B49:B51"/>
  </mergeCells>
  <phoneticPr fontId="29" type="noConversion"/>
  <conditionalFormatting sqref="C6:C17 P5:S5 C5:K5 E6:K9 F10:K11 E15:K17 E13:E14 E12:K12 G13:K14">
    <cfRule type="cellIs" dxfId="55" priority="64" operator="lessThan">
      <formula>0</formula>
    </cfRule>
  </conditionalFormatting>
  <conditionalFormatting sqref="B35:K35 C18:H18 C34 C21:I21 C19:G20 I19:K19 C30:K33 C28:J29 C24:J24 C22:H23 J22:K22 C27:K27 C25:I26 K25">
    <cfRule type="cellIs" dxfId="54" priority="63" operator="lessThan">
      <formula>0</formula>
    </cfRule>
  </conditionalFormatting>
  <conditionalFormatting sqref="T5">
    <cfRule type="cellIs" dxfId="53" priority="62" operator="lessThan">
      <formula>0</formula>
    </cfRule>
  </conditionalFormatting>
  <conditionalFormatting sqref="L11:L13 L15:L17">
    <cfRule type="cellIs" dxfId="52" priority="56" operator="lessThan">
      <formula>0</formula>
    </cfRule>
  </conditionalFormatting>
  <conditionalFormatting sqref="M11:M17">
    <cfRule type="cellIs" dxfId="51" priority="55" operator="lessThan">
      <formula>0</formula>
    </cfRule>
  </conditionalFormatting>
  <conditionalFormatting sqref="N11:N17">
    <cfRule type="cellIs" dxfId="50" priority="54" operator="lessThan">
      <formula>0</formula>
    </cfRule>
  </conditionalFormatting>
  <conditionalFormatting sqref="D8">
    <cfRule type="cellIs" dxfId="49" priority="53" operator="lessThan">
      <formula>0</formula>
    </cfRule>
  </conditionalFormatting>
  <conditionalFormatting sqref="E11">
    <cfRule type="cellIs" dxfId="48" priority="52" operator="lessThan">
      <formula>0</formula>
    </cfRule>
  </conditionalFormatting>
  <conditionalFormatting sqref="N20">
    <cfRule type="cellIs" dxfId="47" priority="37" operator="lessThan">
      <formula>0</formula>
    </cfRule>
  </conditionalFormatting>
  <conditionalFormatting sqref="F14">
    <cfRule type="cellIs" dxfId="46" priority="50" operator="lessThan">
      <formula>0</formula>
    </cfRule>
  </conditionalFormatting>
  <conditionalFormatting sqref="L14">
    <cfRule type="cellIs" dxfId="45" priority="49" operator="lessThan">
      <formula>0</formula>
    </cfRule>
  </conditionalFormatting>
  <conditionalFormatting sqref="H20">
    <cfRule type="cellIs" dxfId="44" priority="48" operator="lessThan">
      <formula>0</formula>
    </cfRule>
  </conditionalFormatting>
  <conditionalFormatting sqref="I18">
    <cfRule type="cellIs" dxfId="43" priority="47" operator="lessThan">
      <formula>0</formula>
    </cfRule>
  </conditionalFormatting>
  <conditionalFormatting sqref="J18">
    <cfRule type="cellIs" dxfId="42" priority="46" operator="lessThan">
      <formula>0</formula>
    </cfRule>
  </conditionalFormatting>
  <conditionalFormatting sqref="K18">
    <cfRule type="cellIs" dxfId="41" priority="45" operator="lessThan">
      <formula>0</formula>
    </cfRule>
  </conditionalFormatting>
  <conditionalFormatting sqref="L18">
    <cfRule type="cellIs" dxfId="40" priority="44" operator="lessThan">
      <formula>0</formula>
    </cfRule>
  </conditionalFormatting>
  <conditionalFormatting sqref="M18">
    <cfRule type="cellIs" dxfId="39" priority="43" operator="lessThan">
      <formula>0</formula>
    </cfRule>
  </conditionalFormatting>
  <conditionalFormatting sqref="I20">
    <cfRule type="cellIs" dxfId="38" priority="42" operator="lessThan">
      <formula>0</formula>
    </cfRule>
  </conditionalFormatting>
  <conditionalFormatting sqref="J20">
    <cfRule type="cellIs" dxfId="37" priority="41" operator="lessThan">
      <formula>0</formula>
    </cfRule>
  </conditionalFormatting>
  <conditionalFormatting sqref="K20">
    <cfRule type="cellIs" dxfId="36" priority="40" operator="lessThan">
      <formula>0</formula>
    </cfRule>
  </conditionalFormatting>
  <conditionalFormatting sqref="L20">
    <cfRule type="cellIs" dxfId="35" priority="39" operator="lessThan">
      <formula>0</formula>
    </cfRule>
  </conditionalFormatting>
  <conditionalFormatting sqref="M20">
    <cfRule type="cellIs" dxfId="34" priority="38" operator="lessThan">
      <formula>0</formula>
    </cfRule>
  </conditionalFormatting>
  <conditionalFormatting sqref="D34:S34">
    <cfRule type="cellIs" dxfId="33" priority="36" operator="lessThan">
      <formula>0</formula>
    </cfRule>
  </conditionalFormatting>
  <conditionalFormatting sqref="L32">
    <cfRule type="cellIs" dxfId="32" priority="35" operator="lessThan">
      <formula>0</formula>
    </cfRule>
  </conditionalFormatting>
  <conditionalFormatting sqref="M30">
    <cfRule type="cellIs" dxfId="31" priority="34" operator="lessThan">
      <formula>0</formula>
    </cfRule>
  </conditionalFormatting>
  <conditionalFormatting sqref="N30">
    <cfRule type="cellIs" dxfId="30" priority="33" operator="lessThan">
      <formula>0</formula>
    </cfRule>
  </conditionalFormatting>
  <conditionalFormatting sqref="O30">
    <cfRule type="cellIs" dxfId="29" priority="32" operator="lessThan">
      <formula>0</formula>
    </cfRule>
  </conditionalFormatting>
  <conditionalFormatting sqref="P30">
    <cfRule type="cellIs" dxfId="28" priority="31" operator="lessThan">
      <formula>0</formula>
    </cfRule>
  </conditionalFormatting>
  <conditionalFormatting sqref="Q30">
    <cfRule type="cellIs" dxfId="27" priority="30" operator="lessThan">
      <formula>0</formula>
    </cfRule>
  </conditionalFormatting>
  <conditionalFormatting sqref="M32">
    <cfRule type="cellIs" dxfId="26" priority="29" operator="lessThan">
      <formula>0</formula>
    </cfRule>
  </conditionalFormatting>
  <conditionalFormatting sqref="N32">
    <cfRule type="cellIs" dxfId="25" priority="28" operator="lessThan">
      <formula>0</formula>
    </cfRule>
  </conditionalFormatting>
  <conditionalFormatting sqref="O32">
    <cfRule type="cellIs" dxfId="24" priority="27" operator="lessThan">
      <formula>0</formula>
    </cfRule>
  </conditionalFormatting>
  <conditionalFormatting sqref="P32">
    <cfRule type="cellIs" dxfId="23" priority="26" operator="lessThan">
      <formula>0</formula>
    </cfRule>
  </conditionalFormatting>
  <conditionalFormatting sqref="M29:P29">
    <cfRule type="cellIs" dxfId="22" priority="17" operator="lessThan">
      <formula>0</formula>
    </cfRule>
  </conditionalFormatting>
  <conditionalFormatting sqref="R32">
    <cfRule type="cellIs" dxfId="21" priority="24" operator="lessThan">
      <formula>0</formula>
    </cfRule>
  </conditionalFormatting>
  <conditionalFormatting sqref="Q29">
    <cfRule type="cellIs" dxfId="20" priority="16" operator="lessThan">
      <formula>0</formula>
    </cfRule>
  </conditionalFormatting>
  <conditionalFormatting sqref="Q32">
    <cfRule type="cellIs" dxfId="19" priority="22" operator="lessThan">
      <formula>0</formula>
    </cfRule>
  </conditionalFormatting>
  <conditionalFormatting sqref="L27">
    <cfRule type="cellIs" dxfId="18" priority="21" operator="lessThan">
      <formula>0</formula>
    </cfRule>
  </conditionalFormatting>
  <conditionalFormatting sqref="M27:P27">
    <cfRule type="cellIs" dxfId="17" priority="20" operator="lessThan">
      <formula>0</formula>
    </cfRule>
  </conditionalFormatting>
  <conditionalFormatting sqref="K29">
    <cfRule type="cellIs" dxfId="16" priority="19" operator="lessThan">
      <formula>0</formula>
    </cfRule>
  </conditionalFormatting>
  <conditionalFormatting sqref="L29">
    <cfRule type="cellIs" dxfId="15" priority="18" operator="lessThan">
      <formula>0</formula>
    </cfRule>
  </conditionalFormatting>
  <conditionalFormatting sqref="I23">
    <cfRule type="cellIs" dxfId="14" priority="15" operator="lessThan">
      <formula>0</formula>
    </cfRule>
  </conditionalFormatting>
  <conditionalFormatting sqref="J23">
    <cfRule type="cellIs" dxfId="13" priority="14" operator="lessThan">
      <formula>0</formula>
    </cfRule>
  </conditionalFormatting>
  <conditionalFormatting sqref="J21">
    <cfRule type="cellIs" dxfId="12" priority="13" operator="lessThan">
      <formula>0</formula>
    </cfRule>
  </conditionalFormatting>
  <conditionalFormatting sqref="K21:N21">
    <cfRule type="cellIs" dxfId="11" priority="12" operator="lessThan">
      <formula>0</formula>
    </cfRule>
  </conditionalFormatting>
  <conditionalFormatting sqref="K23:N23">
    <cfRule type="cellIs" dxfId="10" priority="11" operator="lessThan">
      <formula>0</formula>
    </cfRule>
  </conditionalFormatting>
  <conditionalFormatting sqref="O23">
    <cfRule type="cellIs" dxfId="9" priority="10" operator="lessThan">
      <formula>0</formula>
    </cfRule>
  </conditionalFormatting>
  <conditionalFormatting sqref="J26">
    <cfRule type="cellIs" dxfId="8" priority="9" operator="lessThan">
      <formula>0</formula>
    </cfRule>
  </conditionalFormatting>
  <conditionalFormatting sqref="K26">
    <cfRule type="cellIs" dxfId="7" priority="8" operator="lessThan">
      <formula>0</formula>
    </cfRule>
  </conditionalFormatting>
  <conditionalFormatting sqref="K24">
    <cfRule type="cellIs" dxfId="6" priority="7" operator="lessThan">
      <formula>0</formula>
    </cfRule>
  </conditionalFormatting>
  <conditionalFormatting sqref="L24">
    <cfRule type="cellIs" dxfId="5" priority="6" operator="lessThan">
      <formula>0</formula>
    </cfRule>
  </conditionalFormatting>
  <conditionalFormatting sqref="M24">
    <cfRule type="cellIs" dxfId="4" priority="5" operator="lessThan">
      <formula>0</formula>
    </cfRule>
  </conditionalFormatting>
  <conditionalFormatting sqref="N24">
    <cfRule type="cellIs" dxfId="3" priority="4" operator="lessThan">
      <formula>0</formula>
    </cfRule>
  </conditionalFormatting>
  <conditionalFormatting sqref="O24">
    <cfRule type="cellIs" dxfId="2" priority="3" operator="lessThan">
      <formula>0</formula>
    </cfRule>
  </conditionalFormatting>
  <conditionalFormatting sqref="L26:O26">
    <cfRule type="cellIs" dxfId="1" priority="2" operator="lessThan">
      <formula>0</formula>
    </cfRule>
  </conditionalFormatting>
  <conditionalFormatting sqref="P2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D415B-E137-4AD0-A6F3-37EBCB600F93}">
  <dimension ref="A1:J37"/>
  <sheetViews>
    <sheetView showGridLines="0" topLeftCell="A12" zoomScaleNormal="100" workbookViewId="0">
      <selection activeCell="C27" sqref="C27"/>
    </sheetView>
  </sheetViews>
  <sheetFormatPr defaultColWidth="8.4140625" defaultRowHeight="14.5" x14ac:dyDescent="0.35"/>
  <cols>
    <col min="1" max="1" width="5.08203125" style="215" customWidth="1"/>
    <col min="2" max="2" width="28.1640625" style="215" customWidth="1"/>
    <col min="3" max="3" width="46.33203125" style="215" customWidth="1"/>
    <col min="4" max="4" width="48.4140625" style="215" customWidth="1"/>
    <col min="5" max="5" width="7.83203125" style="215" customWidth="1"/>
    <col min="6" max="6" width="8.9140625" style="215" bestFit="1" customWidth="1"/>
    <col min="7" max="16384" width="8.4140625" style="215"/>
  </cols>
  <sheetData>
    <row r="1" spans="1:4" ht="21" x14ac:dyDescent="0.5">
      <c r="C1" s="216" t="s">
        <v>170</v>
      </c>
    </row>
    <row r="2" spans="1:4" ht="4.25" customHeight="1" x14ac:dyDescent="0.35"/>
    <row r="3" spans="1:4" x14ac:dyDescent="0.35">
      <c r="A3" s="217" t="s">
        <v>171</v>
      </c>
      <c r="B3" s="217"/>
      <c r="C3" s="218" t="s">
        <v>172</v>
      </c>
    </row>
    <row r="4" spans="1:4" x14ac:dyDescent="0.35">
      <c r="A4" s="217" t="s">
        <v>173</v>
      </c>
      <c r="B4" s="217"/>
      <c r="C4" s="218" t="s">
        <v>174</v>
      </c>
    </row>
    <row r="5" spans="1:4" x14ac:dyDescent="0.35">
      <c r="A5" s="217" t="s">
        <v>175</v>
      </c>
      <c r="B5" s="217"/>
      <c r="C5" s="218" t="s">
        <v>176</v>
      </c>
    </row>
    <row r="6" spans="1:4" x14ac:dyDescent="0.35">
      <c r="A6" s="217" t="s">
        <v>177</v>
      </c>
      <c r="B6" s="217"/>
      <c r="C6" s="218" t="s">
        <v>178</v>
      </c>
    </row>
    <row r="7" spans="1:4" x14ac:dyDescent="0.35">
      <c r="A7" s="217" t="s">
        <v>179</v>
      </c>
      <c r="B7" s="217"/>
      <c r="C7" s="218" t="s">
        <v>180</v>
      </c>
    </row>
    <row r="9" spans="1:4" x14ac:dyDescent="0.35">
      <c r="A9" s="359" t="s">
        <v>181</v>
      </c>
      <c r="B9" s="360" t="s">
        <v>182</v>
      </c>
      <c r="C9" s="360" t="s">
        <v>183</v>
      </c>
      <c r="D9" s="360" t="s">
        <v>130</v>
      </c>
    </row>
    <row r="10" spans="1:4" x14ac:dyDescent="0.35">
      <c r="A10" s="359"/>
      <c r="B10" s="361"/>
      <c r="C10" s="361"/>
      <c r="D10" s="361"/>
    </row>
    <row r="11" spans="1:4" x14ac:dyDescent="0.35">
      <c r="A11" s="219">
        <v>1</v>
      </c>
      <c r="B11" s="220" t="s">
        <v>184</v>
      </c>
      <c r="C11" s="220" t="s">
        <v>66</v>
      </c>
      <c r="D11" s="220" t="s">
        <v>66</v>
      </c>
    </row>
    <row r="12" spans="1:4" ht="15.5" x14ac:dyDescent="0.35">
      <c r="A12" s="219">
        <v>2</v>
      </c>
      <c r="B12" s="220" t="s">
        <v>185</v>
      </c>
      <c r="C12" s="221" t="s">
        <v>186</v>
      </c>
      <c r="D12" s="222" t="s">
        <v>186</v>
      </c>
    </row>
    <row r="13" spans="1:4" x14ac:dyDescent="0.35">
      <c r="A13" s="219">
        <v>3</v>
      </c>
      <c r="B13" s="223" t="s">
        <v>187</v>
      </c>
      <c r="C13" s="224" t="s">
        <v>300</v>
      </c>
      <c r="D13" s="224" t="s">
        <v>188</v>
      </c>
    </row>
    <row r="14" spans="1:4" ht="15.5" x14ac:dyDescent="0.35">
      <c r="A14" s="219">
        <v>4</v>
      </c>
      <c r="B14" s="225" t="s">
        <v>189</v>
      </c>
      <c r="C14" s="226" t="s">
        <v>190</v>
      </c>
      <c r="D14" s="226" t="s">
        <v>191</v>
      </c>
    </row>
    <row r="15" spans="1:4" ht="15.5" x14ac:dyDescent="0.35">
      <c r="A15" s="219">
        <v>5</v>
      </c>
      <c r="B15" s="225" t="s">
        <v>192</v>
      </c>
      <c r="C15" s="226" t="s">
        <v>193</v>
      </c>
      <c r="D15" s="226" t="s">
        <v>194</v>
      </c>
    </row>
    <row r="16" spans="1:4" ht="15.5" x14ac:dyDescent="0.35">
      <c r="A16" s="219"/>
      <c r="B16" s="225" t="s">
        <v>195</v>
      </c>
      <c r="C16" s="226"/>
      <c r="D16" s="226" t="s">
        <v>196</v>
      </c>
    </row>
    <row r="17" spans="1:10" ht="15.5" x14ac:dyDescent="0.35">
      <c r="A17" s="219"/>
      <c r="B17" s="227" t="s">
        <v>197</v>
      </c>
      <c r="C17" s="226"/>
      <c r="D17" s="226" t="s">
        <v>198</v>
      </c>
    </row>
    <row r="18" spans="1:10" ht="35.5" customHeight="1" x14ac:dyDescent="0.35">
      <c r="A18" s="219">
        <v>6</v>
      </c>
      <c r="B18" s="228" t="s">
        <v>199</v>
      </c>
      <c r="C18" s="229" t="s">
        <v>200</v>
      </c>
      <c r="D18" s="229" t="s">
        <v>200</v>
      </c>
      <c r="F18" s="328"/>
    </row>
    <row r="19" spans="1:10" ht="21" customHeight="1" x14ac:dyDescent="0.35">
      <c r="A19" s="219">
        <v>7</v>
      </c>
      <c r="B19" s="230" t="s">
        <v>201</v>
      </c>
      <c r="C19" s="227" t="s">
        <v>202</v>
      </c>
      <c r="D19" s="227" t="s">
        <v>203</v>
      </c>
    </row>
    <row r="20" spans="1:10" ht="16.25" customHeight="1" x14ac:dyDescent="0.35">
      <c r="A20" s="219">
        <v>8</v>
      </c>
      <c r="B20" s="230" t="s">
        <v>204</v>
      </c>
      <c r="C20" s="231" t="s">
        <v>308</v>
      </c>
      <c r="D20" s="227" t="s">
        <v>308</v>
      </c>
    </row>
    <row r="21" spans="1:10" ht="19.25" customHeight="1" x14ac:dyDescent="0.35">
      <c r="A21" s="219"/>
      <c r="B21" s="230"/>
      <c r="C21" s="323" t="s">
        <v>307</v>
      </c>
      <c r="D21" s="325" t="s">
        <v>307</v>
      </c>
    </row>
    <row r="22" spans="1:10" ht="15.65" customHeight="1" x14ac:dyDescent="0.35">
      <c r="A22" s="219"/>
      <c r="B22" s="230"/>
      <c r="C22" s="326" t="s">
        <v>306</v>
      </c>
      <c r="D22" s="327" t="s">
        <v>305</v>
      </c>
    </row>
    <row r="23" spans="1:10" ht="14.5" customHeight="1" x14ac:dyDescent="0.35">
      <c r="A23" s="232">
        <v>8</v>
      </c>
      <c r="B23" s="220" t="s">
        <v>205</v>
      </c>
      <c r="C23" s="362" t="s">
        <v>314</v>
      </c>
      <c r="D23" s="363"/>
    </row>
    <row r="24" spans="1:10" x14ac:dyDescent="0.35">
      <c r="A24" s="233"/>
      <c r="B24" s="234"/>
      <c r="C24" s="235"/>
      <c r="D24" s="235"/>
    </row>
    <row r="25" spans="1:10" x14ac:dyDescent="0.35">
      <c r="B25" s="236"/>
      <c r="C25" s="236"/>
      <c r="D25" s="236"/>
      <c r="E25" s="236"/>
      <c r="F25" s="236"/>
      <c r="G25" s="236"/>
      <c r="H25" s="236"/>
      <c r="I25" s="236"/>
      <c r="J25" s="236"/>
    </row>
    <row r="26" spans="1:10" x14ac:dyDescent="0.35">
      <c r="B26" s="236"/>
      <c r="C26" s="236"/>
      <c r="D26" s="236"/>
      <c r="E26" s="236"/>
      <c r="F26" s="236"/>
      <c r="G26" s="236"/>
      <c r="H26" s="236"/>
      <c r="I26" s="236"/>
      <c r="J26" s="236"/>
    </row>
    <row r="27" spans="1:10" x14ac:dyDescent="0.35">
      <c r="B27" s="236"/>
      <c r="C27" s="236"/>
      <c r="D27" s="236"/>
      <c r="E27" s="236"/>
      <c r="F27" s="236"/>
      <c r="G27" s="236"/>
      <c r="H27" s="236"/>
      <c r="I27" s="236"/>
      <c r="J27" s="236"/>
    </row>
    <row r="28" spans="1:10" x14ac:dyDescent="0.35">
      <c r="B28" s="236"/>
      <c r="C28" s="236"/>
      <c r="D28" s="236"/>
      <c r="E28" s="236"/>
      <c r="F28" s="236"/>
      <c r="G28" s="236"/>
      <c r="H28" s="236"/>
      <c r="I28" s="236"/>
      <c r="J28" s="236"/>
    </row>
    <row r="29" spans="1:10" x14ac:dyDescent="0.35">
      <c r="B29" s="237"/>
      <c r="C29" s="237"/>
      <c r="D29" s="324"/>
      <c r="E29" s="237"/>
      <c r="F29" s="237"/>
      <c r="G29" s="237"/>
      <c r="H29" s="237"/>
      <c r="I29" s="237"/>
      <c r="J29" s="237"/>
    </row>
    <row r="30" spans="1:10" x14ac:dyDescent="0.35">
      <c r="B30" s="237"/>
      <c r="C30" s="237"/>
      <c r="D30" s="237"/>
      <c r="E30" s="237"/>
      <c r="F30" s="237"/>
      <c r="G30" s="237"/>
      <c r="H30" s="237"/>
      <c r="I30" s="237"/>
      <c r="J30" s="237"/>
    </row>
    <row r="32" spans="1:10" ht="15.5" x14ac:dyDescent="0.35">
      <c r="B32" s="238"/>
      <c r="C32" s="239"/>
    </row>
    <row r="33" spans="2:3" ht="15.5" x14ac:dyDescent="0.35">
      <c r="B33" s="238"/>
      <c r="C33" s="238"/>
    </row>
    <row r="34" spans="2:3" ht="15.5" x14ac:dyDescent="0.35">
      <c r="B34" s="238"/>
      <c r="C34" s="238"/>
    </row>
    <row r="35" spans="2:3" ht="15.5" x14ac:dyDescent="0.35">
      <c r="B35" s="238"/>
      <c r="C35" s="238"/>
    </row>
    <row r="36" spans="2:3" ht="15.5" x14ac:dyDescent="0.35">
      <c r="B36" s="238"/>
      <c r="C36" s="238"/>
    </row>
    <row r="37" spans="2:3" ht="15.5" x14ac:dyDescent="0.35">
      <c r="B37" s="238"/>
      <c r="C37" s="238"/>
    </row>
  </sheetData>
  <mergeCells count="5">
    <mergeCell ref="A9:A10"/>
    <mergeCell ref="B9:B10"/>
    <mergeCell ref="C9:C10"/>
    <mergeCell ref="D9:D10"/>
    <mergeCell ref="C23:D23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877A0-ECD6-4B8E-925F-44CB46183EAB}">
  <sheetPr>
    <pageSetUpPr fitToPage="1"/>
  </sheetPr>
  <dimension ref="A2:M22"/>
  <sheetViews>
    <sheetView workbookViewId="0">
      <selection activeCell="G20" sqref="G20"/>
    </sheetView>
  </sheetViews>
  <sheetFormatPr defaultColWidth="8.83203125" defaultRowHeight="14.5" x14ac:dyDescent="0.35"/>
  <cols>
    <col min="1" max="1" width="24.4140625" style="182" customWidth="1"/>
    <col min="2" max="2" width="11.58203125" style="182" customWidth="1"/>
    <col min="3" max="3" width="12.58203125" style="182" customWidth="1"/>
    <col min="4" max="4" width="8" style="182" customWidth="1"/>
    <col min="5" max="5" width="14.5" style="182" bestFit="1" customWidth="1"/>
    <col min="6" max="6" width="12.9140625" style="182" bestFit="1" customWidth="1"/>
    <col min="7" max="16384" width="8.83203125" style="182"/>
  </cols>
  <sheetData>
    <row r="2" spans="1:13" x14ac:dyDescent="0.35">
      <c r="A2" s="364" t="s">
        <v>309</v>
      </c>
      <c r="B2" s="364"/>
      <c r="C2" s="364"/>
      <c r="D2" s="364"/>
      <c r="E2" s="364"/>
      <c r="F2" s="364"/>
      <c r="G2" s="175"/>
      <c r="H2" s="175"/>
      <c r="I2" s="175"/>
      <c r="J2" s="175"/>
      <c r="K2" s="175"/>
      <c r="L2" s="175"/>
      <c r="M2" s="175"/>
    </row>
    <row r="3" spans="1:13" x14ac:dyDescent="0.35">
      <c r="A3" s="183" t="s">
        <v>143</v>
      </c>
      <c r="B3" s="183" t="s">
        <v>144</v>
      </c>
      <c r="C3" s="183" t="s">
        <v>145</v>
      </c>
      <c r="D3" s="184"/>
      <c r="G3" s="175"/>
      <c r="H3" s="175"/>
      <c r="I3" s="175"/>
      <c r="J3" s="175"/>
      <c r="K3" s="175"/>
      <c r="L3" s="175"/>
      <c r="M3" s="175"/>
    </row>
    <row r="4" spans="1:13" x14ac:dyDescent="0.35">
      <c r="A4" s="176" t="s">
        <v>310</v>
      </c>
      <c r="B4" s="185">
        <v>44219</v>
      </c>
      <c r="C4" s="185">
        <v>46044</v>
      </c>
      <c r="D4" s="186"/>
      <c r="E4" s="187"/>
      <c r="F4" s="187"/>
      <c r="G4" s="175"/>
      <c r="H4" s="175"/>
      <c r="I4" s="175"/>
      <c r="J4" s="175"/>
      <c r="K4" s="175"/>
      <c r="L4" s="175"/>
      <c r="M4" s="175"/>
    </row>
    <row r="5" spans="1:13" x14ac:dyDescent="0.35">
      <c r="A5" s="176" t="s">
        <v>147</v>
      </c>
      <c r="B5" s="185">
        <v>45702</v>
      </c>
      <c r="C5" s="185">
        <v>11002</v>
      </c>
      <c r="D5" s="186"/>
      <c r="G5" s="175"/>
      <c r="H5" s="175"/>
      <c r="I5" s="175"/>
      <c r="J5" s="175"/>
      <c r="K5" s="175"/>
      <c r="L5" s="175"/>
      <c r="M5" s="175"/>
    </row>
    <row r="6" spans="1:13" x14ac:dyDescent="0.35">
      <c r="A6" s="175"/>
      <c r="G6" s="175"/>
      <c r="H6" s="175"/>
      <c r="I6" s="175"/>
      <c r="J6" s="175"/>
      <c r="K6" s="175"/>
      <c r="L6" s="175"/>
      <c r="M6" s="175"/>
    </row>
    <row r="7" spans="1:13" x14ac:dyDescent="0.35">
      <c r="A7" s="175"/>
      <c r="B7" s="183" t="s">
        <v>144</v>
      </c>
      <c r="C7" s="183" t="s">
        <v>145</v>
      </c>
      <c r="D7" s="183" t="s">
        <v>148</v>
      </c>
      <c r="E7" s="186"/>
      <c r="F7" s="186"/>
      <c r="G7" s="175"/>
      <c r="H7" s="175"/>
      <c r="I7" s="175"/>
      <c r="J7" s="175"/>
      <c r="K7" s="175"/>
      <c r="L7" s="175"/>
      <c r="M7" s="175"/>
    </row>
    <row r="8" spans="1:13" hidden="1" x14ac:dyDescent="0.35">
      <c r="A8" s="175" t="s">
        <v>149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</row>
    <row r="9" spans="1:13" hidden="1" x14ac:dyDescent="0.35">
      <c r="A9" s="175" t="s">
        <v>146</v>
      </c>
      <c r="B9" s="188">
        <v>45346</v>
      </c>
      <c r="C9" s="188">
        <v>45559</v>
      </c>
      <c r="D9" s="189">
        <f t="shared" ref="D9:D11" si="0">C9-B9</f>
        <v>213</v>
      </c>
      <c r="E9" s="190">
        <v>150000000</v>
      </c>
      <c r="F9" s="191">
        <f>E9*D9/365</f>
        <v>87534246.575342461</v>
      </c>
      <c r="G9" s="175"/>
      <c r="H9" s="175"/>
      <c r="I9" s="175"/>
      <c r="J9" s="175"/>
      <c r="K9" s="175"/>
      <c r="L9" s="175"/>
      <c r="M9" s="175"/>
    </row>
    <row r="10" spans="1:13" hidden="1" x14ac:dyDescent="0.35">
      <c r="A10" s="175" t="s">
        <v>150</v>
      </c>
      <c r="B10" s="188">
        <v>45346</v>
      </c>
      <c r="C10" s="188">
        <v>47172</v>
      </c>
      <c r="D10" s="189">
        <f t="shared" si="0"/>
        <v>1826</v>
      </c>
      <c r="E10" s="190">
        <f>275000000/5</f>
        <v>55000000</v>
      </c>
      <c r="F10" s="191">
        <f>-E10/365*D10</f>
        <v>-275150684.93150681</v>
      </c>
      <c r="G10" s="175"/>
      <c r="H10" s="175"/>
      <c r="I10" s="175"/>
      <c r="J10" s="175"/>
      <c r="K10" s="175"/>
      <c r="L10" s="175"/>
      <c r="M10" s="175"/>
    </row>
    <row r="11" spans="1:13" hidden="1" x14ac:dyDescent="0.35">
      <c r="A11" s="175" t="s">
        <v>151</v>
      </c>
      <c r="B11" s="188">
        <v>45346</v>
      </c>
      <c r="C11" s="188">
        <v>45559</v>
      </c>
      <c r="D11" s="189">
        <f t="shared" si="0"/>
        <v>213</v>
      </c>
      <c r="E11" s="190">
        <v>7000000</v>
      </c>
      <c r="F11" s="191">
        <f>-E11/365*D11</f>
        <v>-4084931.506849315</v>
      </c>
      <c r="G11" s="175"/>
      <c r="H11" s="175"/>
      <c r="I11" s="175"/>
      <c r="J11" s="175"/>
      <c r="K11" s="175"/>
      <c r="L11" s="175"/>
      <c r="M11" s="175"/>
    </row>
    <row r="12" spans="1:13" hidden="1" x14ac:dyDescent="0.35">
      <c r="A12" s="175" t="s">
        <v>152</v>
      </c>
      <c r="B12" s="175"/>
      <c r="C12" s="175"/>
      <c r="D12" s="175"/>
      <c r="E12" s="192">
        <v>100000000</v>
      </c>
      <c r="F12" s="193"/>
      <c r="G12" s="175"/>
      <c r="H12" s="175"/>
      <c r="I12" s="175"/>
      <c r="J12" s="175"/>
      <c r="K12" s="175"/>
      <c r="L12" s="175"/>
      <c r="M12" s="175"/>
    </row>
    <row r="13" spans="1:13" hidden="1" x14ac:dyDescent="0.35">
      <c r="A13" s="175" t="s">
        <v>153</v>
      </c>
      <c r="B13" s="175"/>
      <c r="C13" s="175"/>
      <c r="D13" s="175"/>
      <c r="E13" s="175"/>
      <c r="F13" s="191">
        <f>SUM(F9:F12)</f>
        <v>-191701369.86301365</v>
      </c>
      <c r="G13" s="175"/>
      <c r="H13" s="175"/>
      <c r="I13" s="175"/>
      <c r="J13" s="175"/>
      <c r="K13" s="175"/>
      <c r="L13" s="175"/>
      <c r="M13" s="175"/>
    </row>
    <row r="15" spans="1:13" x14ac:dyDescent="0.35">
      <c r="A15" s="175" t="s">
        <v>313</v>
      </c>
      <c r="B15" s="175"/>
      <c r="C15" s="175"/>
      <c r="D15" s="175"/>
      <c r="E15" s="175"/>
      <c r="F15" s="175"/>
      <c r="G15" s="175"/>
      <c r="H15" s="175"/>
      <c r="I15" s="175"/>
      <c r="J15" s="175"/>
      <c r="K15" s="175"/>
      <c r="L15" s="175"/>
      <c r="M15" s="175"/>
    </row>
    <row r="16" spans="1:13" x14ac:dyDescent="0.35">
      <c r="A16" s="175" t="s">
        <v>310</v>
      </c>
      <c r="B16" s="185">
        <v>45702</v>
      </c>
      <c r="C16" s="185">
        <v>46044</v>
      </c>
      <c r="D16" s="189">
        <f t="shared" ref="D16:D20" si="1">C16-B16</f>
        <v>342</v>
      </c>
      <c r="E16" s="190">
        <v>291840000</v>
      </c>
      <c r="F16" s="191">
        <f>E16*D16/365</f>
        <v>273450082.19178081</v>
      </c>
      <c r="G16" s="175"/>
      <c r="H16" s="175"/>
      <c r="I16" s="175"/>
      <c r="J16" s="175"/>
      <c r="K16" s="175"/>
      <c r="L16" s="175"/>
      <c r="M16" s="175"/>
    </row>
    <row r="17" spans="1:13" x14ac:dyDescent="0.35">
      <c r="A17" s="175" t="s">
        <v>311</v>
      </c>
      <c r="B17" s="185">
        <v>45702</v>
      </c>
      <c r="C17" s="185">
        <v>47527</v>
      </c>
      <c r="D17" s="189">
        <f t="shared" si="1"/>
        <v>1825</v>
      </c>
      <c r="E17" s="190">
        <v>93600000</v>
      </c>
      <c r="F17" s="191">
        <f>E17*D17/365</f>
        <v>468000000</v>
      </c>
      <c r="G17" s="175"/>
      <c r="H17" s="175"/>
      <c r="I17" s="175"/>
      <c r="J17" s="175"/>
      <c r="K17" s="175"/>
      <c r="L17" s="175"/>
      <c r="M17" s="175"/>
    </row>
    <row r="18" spans="1:13" x14ac:dyDescent="0.35">
      <c r="A18" s="175" t="s">
        <v>150</v>
      </c>
      <c r="B18" s="185">
        <v>45702</v>
      </c>
      <c r="C18" s="185">
        <v>47527</v>
      </c>
      <c r="D18" s="189">
        <f t="shared" si="1"/>
        <v>1825</v>
      </c>
      <c r="E18" s="190">
        <v>70000000</v>
      </c>
      <c r="F18" s="191">
        <f>-E18/365*D18</f>
        <v>-350000000</v>
      </c>
      <c r="G18" s="175"/>
      <c r="H18" s="175"/>
      <c r="I18" s="175"/>
      <c r="J18" s="175"/>
      <c r="K18" s="175"/>
      <c r="L18" s="175"/>
      <c r="M18" s="175"/>
    </row>
    <row r="19" spans="1:13" x14ac:dyDescent="0.35">
      <c r="A19" s="175" t="s">
        <v>151</v>
      </c>
      <c r="B19" s="185">
        <v>45702</v>
      </c>
      <c r="C19" s="185">
        <v>46044</v>
      </c>
      <c r="D19" s="189">
        <f t="shared" si="1"/>
        <v>342</v>
      </c>
      <c r="E19" s="190">
        <v>7000000</v>
      </c>
      <c r="F19" s="191">
        <f>-E19/365*D19</f>
        <v>-6558904.1095890403</v>
      </c>
      <c r="G19" s="175"/>
      <c r="H19" s="175"/>
      <c r="I19" s="175"/>
      <c r="J19" s="175"/>
      <c r="K19" s="175"/>
      <c r="L19" s="175"/>
      <c r="M19" s="175"/>
    </row>
    <row r="20" spans="1:13" x14ac:dyDescent="0.35">
      <c r="A20" s="175" t="s">
        <v>312</v>
      </c>
      <c r="B20" s="185">
        <v>45702</v>
      </c>
      <c r="C20" s="185">
        <v>46044</v>
      </c>
      <c r="D20" s="189">
        <f t="shared" si="1"/>
        <v>342</v>
      </c>
      <c r="E20" s="190">
        <v>96000000</v>
      </c>
      <c r="F20" s="191">
        <f>-E20/365*D20</f>
        <v>-89950684.931506842</v>
      </c>
      <c r="G20" s="175"/>
      <c r="H20" s="175"/>
      <c r="I20" s="175"/>
      <c r="J20" s="175"/>
      <c r="K20" s="175"/>
      <c r="L20" s="175"/>
      <c r="M20" s="175"/>
    </row>
    <row r="21" spans="1:13" x14ac:dyDescent="0.35">
      <c r="A21" s="175" t="s">
        <v>152</v>
      </c>
      <c r="B21" s="175"/>
      <c r="C21" s="175"/>
      <c r="D21" s="175"/>
      <c r="E21" s="192">
        <f>'BoQ MANSION'!I57</f>
        <v>116098500</v>
      </c>
      <c r="F21" s="329">
        <f>-E21</f>
        <v>-116098500</v>
      </c>
      <c r="G21" s="175"/>
      <c r="H21" s="175"/>
      <c r="I21" s="175"/>
      <c r="J21" s="175"/>
      <c r="K21" s="175"/>
      <c r="L21" s="175"/>
      <c r="M21" s="175"/>
    </row>
    <row r="22" spans="1:13" x14ac:dyDescent="0.35">
      <c r="A22" s="175" t="s">
        <v>153</v>
      </c>
      <c r="B22" s="175"/>
      <c r="C22" s="175"/>
      <c r="D22" s="175"/>
      <c r="E22" s="175"/>
      <c r="F22" s="191">
        <f>SUM(F16:F21)</f>
        <v>178841993.15068495</v>
      </c>
      <c r="G22" s="175"/>
      <c r="H22" s="175"/>
      <c r="I22" s="175"/>
      <c r="J22" s="175"/>
      <c r="K22" s="175"/>
      <c r="L22" s="175"/>
      <c r="M22" s="175"/>
    </row>
  </sheetData>
  <mergeCells count="1">
    <mergeCell ref="A2:F2"/>
  </mergeCells>
  <pageMargins left="0.36" right="0.23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E120A-11DC-4B52-9220-F28FC9E5DC5C}">
  <sheetPr>
    <tabColor theme="3"/>
  </sheetPr>
  <dimension ref="B1:J57"/>
  <sheetViews>
    <sheetView topLeftCell="E42" zoomScaleNormal="100" zoomScaleSheetLayoutView="70" zoomScalePageLayoutView="80" workbookViewId="0">
      <selection activeCell="F43" sqref="F43"/>
    </sheetView>
  </sheetViews>
  <sheetFormatPr defaultColWidth="0.83203125" defaultRowHeight="15.5" x14ac:dyDescent="0.35"/>
  <cols>
    <col min="1" max="1" width="0.83203125" style="250" customWidth="1"/>
    <col min="2" max="2" width="6.1640625" style="250" customWidth="1"/>
    <col min="3" max="3" width="116.6640625" style="319" customWidth="1"/>
    <col min="4" max="4" width="7.83203125" style="250" bestFit="1" customWidth="1"/>
    <col min="5" max="5" width="8.6640625" style="250" bestFit="1" customWidth="1"/>
    <col min="6" max="8" width="18.33203125" style="250" customWidth="1"/>
    <col min="9" max="9" width="21.6640625" style="320" customWidth="1"/>
    <col min="10" max="10" width="62.4140625" style="250" bestFit="1" customWidth="1"/>
    <col min="11" max="209" width="8.1640625" style="250" customWidth="1"/>
    <col min="210" max="257" width="0.83203125" style="250"/>
    <col min="258" max="258" width="6.1640625" style="250" customWidth="1"/>
    <col min="259" max="259" width="116.6640625" style="250" customWidth="1"/>
    <col min="260" max="260" width="7.83203125" style="250" bestFit="1" customWidth="1"/>
    <col min="261" max="261" width="8.6640625" style="250" bestFit="1" customWidth="1"/>
    <col min="262" max="264" width="18.33203125" style="250" customWidth="1"/>
    <col min="265" max="265" width="21.6640625" style="250" customWidth="1"/>
    <col min="266" max="266" width="62.4140625" style="250" bestFit="1" customWidth="1"/>
    <col min="267" max="465" width="8.1640625" style="250" customWidth="1"/>
    <col min="466" max="513" width="0.83203125" style="250"/>
    <col min="514" max="514" width="6.1640625" style="250" customWidth="1"/>
    <col min="515" max="515" width="116.6640625" style="250" customWidth="1"/>
    <col min="516" max="516" width="7.83203125" style="250" bestFit="1" customWidth="1"/>
    <col min="517" max="517" width="8.6640625" style="250" bestFit="1" customWidth="1"/>
    <col min="518" max="520" width="18.33203125" style="250" customWidth="1"/>
    <col min="521" max="521" width="21.6640625" style="250" customWidth="1"/>
    <col min="522" max="522" width="62.4140625" style="250" bestFit="1" customWidth="1"/>
    <col min="523" max="721" width="8.1640625" style="250" customWidth="1"/>
    <col min="722" max="769" width="0.83203125" style="250"/>
    <col min="770" max="770" width="6.1640625" style="250" customWidth="1"/>
    <col min="771" max="771" width="116.6640625" style="250" customWidth="1"/>
    <col min="772" max="772" width="7.83203125" style="250" bestFit="1" customWidth="1"/>
    <col min="773" max="773" width="8.6640625" style="250" bestFit="1" customWidth="1"/>
    <col min="774" max="776" width="18.33203125" style="250" customWidth="1"/>
    <col min="777" max="777" width="21.6640625" style="250" customWidth="1"/>
    <col min="778" max="778" width="62.4140625" style="250" bestFit="1" customWidth="1"/>
    <col min="779" max="977" width="8.1640625" style="250" customWidth="1"/>
    <col min="978" max="1025" width="0.83203125" style="250"/>
    <col min="1026" max="1026" width="6.1640625" style="250" customWidth="1"/>
    <col min="1027" max="1027" width="116.6640625" style="250" customWidth="1"/>
    <col min="1028" max="1028" width="7.83203125" style="250" bestFit="1" customWidth="1"/>
    <col min="1029" max="1029" width="8.6640625" style="250" bestFit="1" customWidth="1"/>
    <col min="1030" max="1032" width="18.33203125" style="250" customWidth="1"/>
    <col min="1033" max="1033" width="21.6640625" style="250" customWidth="1"/>
    <col min="1034" max="1034" width="62.4140625" style="250" bestFit="1" customWidth="1"/>
    <col min="1035" max="1233" width="8.1640625" style="250" customWidth="1"/>
    <col min="1234" max="1281" width="0.83203125" style="250"/>
    <col min="1282" max="1282" width="6.1640625" style="250" customWidth="1"/>
    <col min="1283" max="1283" width="116.6640625" style="250" customWidth="1"/>
    <col min="1284" max="1284" width="7.83203125" style="250" bestFit="1" customWidth="1"/>
    <col min="1285" max="1285" width="8.6640625" style="250" bestFit="1" customWidth="1"/>
    <col min="1286" max="1288" width="18.33203125" style="250" customWidth="1"/>
    <col min="1289" max="1289" width="21.6640625" style="250" customWidth="1"/>
    <col min="1290" max="1290" width="62.4140625" style="250" bestFit="1" customWidth="1"/>
    <col min="1291" max="1489" width="8.1640625" style="250" customWidth="1"/>
    <col min="1490" max="1537" width="0.83203125" style="250"/>
    <col min="1538" max="1538" width="6.1640625" style="250" customWidth="1"/>
    <col min="1539" max="1539" width="116.6640625" style="250" customWidth="1"/>
    <col min="1540" max="1540" width="7.83203125" style="250" bestFit="1" customWidth="1"/>
    <col min="1541" max="1541" width="8.6640625" style="250" bestFit="1" customWidth="1"/>
    <col min="1542" max="1544" width="18.33203125" style="250" customWidth="1"/>
    <col min="1545" max="1545" width="21.6640625" style="250" customWidth="1"/>
    <col min="1546" max="1546" width="62.4140625" style="250" bestFit="1" customWidth="1"/>
    <col min="1547" max="1745" width="8.1640625" style="250" customWidth="1"/>
    <col min="1746" max="1793" width="0.83203125" style="250"/>
    <col min="1794" max="1794" width="6.1640625" style="250" customWidth="1"/>
    <col min="1795" max="1795" width="116.6640625" style="250" customWidth="1"/>
    <col min="1796" max="1796" width="7.83203125" style="250" bestFit="1" customWidth="1"/>
    <col min="1797" max="1797" width="8.6640625" style="250" bestFit="1" customWidth="1"/>
    <col min="1798" max="1800" width="18.33203125" style="250" customWidth="1"/>
    <col min="1801" max="1801" width="21.6640625" style="250" customWidth="1"/>
    <col min="1802" max="1802" width="62.4140625" style="250" bestFit="1" customWidth="1"/>
    <col min="1803" max="2001" width="8.1640625" style="250" customWidth="1"/>
    <col min="2002" max="2049" width="0.83203125" style="250"/>
    <col min="2050" max="2050" width="6.1640625" style="250" customWidth="1"/>
    <col min="2051" max="2051" width="116.6640625" style="250" customWidth="1"/>
    <col min="2052" max="2052" width="7.83203125" style="250" bestFit="1" customWidth="1"/>
    <col min="2053" max="2053" width="8.6640625" style="250" bestFit="1" customWidth="1"/>
    <col min="2054" max="2056" width="18.33203125" style="250" customWidth="1"/>
    <col min="2057" max="2057" width="21.6640625" style="250" customWidth="1"/>
    <col min="2058" max="2058" width="62.4140625" style="250" bestFit="1" customWidth="1"/>
    <col min="2059" max="2257" width="8.1640625" style="250" customWidth="1"/>
    <col min="2258" max="2305" width="0.83203125" style="250"/>
    <col min="2306" max="2306" width="6.1640625" style="250" customWidth="1"/>
    <col min="2307" max="2307" width="116.6640625" style="250" customWidth="1"/>
    <col min="2308" max="2308" width="7.83203125" style="250" bestFit="1" customWidth="1"/>
    <col min="2309" max="2309" width="8.6640625" style="250" bestFit="1" customWidth="1"/>
    <col min="2310" max="2312" width="18.33203125" style="250" customWidth="1"/>
    <col min="2313" max="2313" width="21.6640625" style="250" customWidth="1"/>
    <col min="2314" max="2314" width="62.4140625" style="250" bestFit="1" customWidth="1"/>
    <col min="2315" max="2513" width="8.1640625" style="250" customWidth="1"/>
    <col min="2514" max="2561" width="0.83203125" style="250"/>
    <col min="2562" max="2562" width="6.1640625" style="250" customWidth="1"/>
    <col min="2563" max="2563" width="116.6640625" style="250" customWidth="1"/>
    <col min="2564" max="2564" width="7.83203125" style="250" bestFit="1" customWidth="1"/>
    <col min="2565" max="2565" width="8.6640625" style="250" bestFit="1" customWidth="1"/>
    <col min="2566" max="2568" width="18.33203125" style="250" customWidth="1"/>
    <col min="2569" max="2569" width="21.6640625" style="250" customWidth="1"/>
    <col min="2570" max="2570" width="62.4140625" style="250" bestFit="1" customWidth="1"/>
    <col min="2571" max="2769" width="8.1640625" style="250" customWidth="1"/>
    <col min="2770" max="2817" width="0.83203125" style="250"/>
    <col min="2818" max="2818" width="6.1640625" style="250" customWidth="1"/>
    <col min="2819" max="2819" width="116.6640625" style="250" customWidth="1"/>
    <col min="2820" max="2820" width="7.83203125" style="250" bestFit="1" customWidth="1"/>
    <col min="2821" max="2821" width="8.6640625" style="250" bestFit="1" customWidth="1"/>
    <col min="2822" max="2824" width="18.33203125" style="250" customWidth="1"/>
    <col min="2825" max="2825" width="21.6640625" style="250" customWidth="1"/>
    <col min="2826" max="2826" width="62.4140625" style="250" bestFit="1" customWidth="1"/>
    <col min="2827" max="3025" width="8.1640625" style="250" customWidth="1"/>
    <col min="3026" max="3073" width="0.83203125" style="250"/>
    <col min="3074" max="3074" width="6.1640625" style="250" customWidth="1"/>
    <col min="3075" max="3075" width="116.6640625" style="250" customWidth="1"/>
    <col min="3076" max="3076" width="7.83203125" style="250" bestFit="1" customWidth="1"/>
    <col min="3077" max="3077" width="8.6640625" style="250" bestFit="1" customWidth="1"/>
    <col min="3078" max="3080" width="18.33203125" style="250" customWidth="1"/>
    <col min="3081" max="3081" width="21.6640625" style="250" customWidth="1"/>
    <col min="3082" max="3082" width="62.4140625" style="250" bestFit="1" customWidth="1"/>
    <col min="3083" max="3281" width="8.1640625" style="250" customWidth="1"/>
    <col min="3282" max="3329" width="0.83203125" style="250"/>
    <col min="3330" max="3330" width="6.1640625" style="250" customWidth="1"/>
    <col min="3331" max="3331" width="116.6640625" style="250" customWidth="1"/>
    <col min="3332" max="3332" width="7.83203125" style="250" bestFit="1" customWidth="1"/>
    <col min="3333" max="3333" width="8.6640625" style="250" bestFit="1" customWidth="1"/>
    <col min="3334" max="3336" width="18.33203125" style="250" customWidth="1"/>
    <col min="3337" max="3337" width="21.6640625" style="250" customWidth="1"/>
    <col min="3338" max="3338" width="62.4140625" style="250" bestFit="1" customWidth="1"/>
    <col min="3339" max="3537" width="8.1640625" style="250" customWidth="1"/>
    <col min="3538" max="3585" width="0.83203125" style="250"/>
    <col min="3586" max="3586" width="6.1640625" style="250" customWidth="1"/>
    <col min="3587" max="3587" width="116.6640625" style="250" customWidth="1"/>
    <col min="3588" max="3588" width="7.83203125" style="250" bestFit="1" customWidth="1"/>
    <col min="3589" max="3589" width="8.6640625" style="250" bestFit="1" customWidth="1"/>
    <col min="3590" max="3592" width="18.33203125" style="250" customWidth="1"/>
    <col min="3593" max="3593" width="21.6640625" style="250" customWidth="1"/>
    <col min="3594" max="3594" width="62.4140625" style="250" bestFit="1" customWidth="1"/>
    <col min="3595" max="3793" width="8.1640625" style="250" customWidth="1"/>
    <col min="3794" max="3841" width="0.83203125" style="250"/>
    <col min="3842" max="3842" width="6.1640625" style="250" customWidth="1"/>
    <col min="3843" max="3843" width="116.6640625" style="250" customWidth="1"/>
    <col min="3844" max="3844" width="7.83203125" style="250" bestFit="1" customWidth="1"/>
    <col min="3845" max="3845" width="8.6640625" style="250" bestFit="1" customWidth="1"/>
    <col min="3846" max="3848" width="18.33203125" style="250" customWidth="1"/>
    <col min="3849" max="3849" width="21.6640625" style="250" customWidth="1"/>
    <col min="3850" max="3850" width="62.4140625" style="250" bestFit="1" customWidth="1"/>
    <col min="3851" max="4049" width="8.1640625" style="250" customWidth="1"/>
    <col min="4050" max="4097" width="0.83203125" style="250"/>
    <col min="4098" max="4098" width="6.1640625" style="250" customWidth="1"/>
    <col min="4099" max="4099" width="116.6640625" style="250" customWidth="1"/>
    <col min="4100" max="4100" width="7.83203125" style="250" bestFit="1" customWidth="1"/>
    <col min="4101" max="4101" width="8.6640625" style="250" bestFit="1" customWidth="1"/>
    <col min="4102" max="4104" width="18.33203125" style="250" customWidth="1"/>
    <col min="4105" max="4105" width="21.6640625" style="250" customWidth="1"/>
    <col min="4106" max="4106" width="62.4140625" style="250" bestFit="1" customWidth="1"/>
    <col min="4107" max="4305" width="8.1640625" style="250" customWidth="1"/>
    <col min="4306" max="4353" width="0.83203125" style="250"/>
    <col min="4354" max="4354" width="6.1640625" style="250" customWidth="1"/>
    <col min="4355" max="4355" width="116.6640625" style="250" customWidth="1"/>
    <col min="4356" max="4356" width="7.83203125" style="250" bestFit="1" customWidth="1"/>
    <col min="4357" max="4357" width="8.6640625" style="250" bestFit="1" customWidth="1"/>
    <col min="4358" max="4360" width="18.33203125" style="250" customWidth="1"/>
    <col min="4361" max="4361" width="21.6640625" style="250" customWidth="1"/>
    <col min="4362" max="4362" width="62.4140625" style="250" bestFit="1" customWidth="1"/>
    <col min="4363" max="4561" width="8.1640625" style="250" customWidth="1"/>
    <col min="4562" max="4609" width="0.83203125" style="250"/>
    <col min="4610" max="4610" width="6.1640625" style="250" customWidth="1"/>
    <col min="4611" max="4611" width="116.6640625" style="250" customWidth="1"/>
    <col min="4612" max="4612" width="7.83203125" style="250" bestFit="1" customWidth="1"/>
    <col min="4613" max="4613" width="8.6640625" style="250" bestFit="1" customWidth="1"/>
    <col min="4614" max="4616" width="18.33203125" style="250" customWidth="1"/>
    <col min="4617" max="4617" width="21.6640625" style="250" customWidth="1"/>
    <col min="4618" max="4618" width="62.4140625" style="250" bestFit="1" customWidth="1"/>
    <col min="4619" max="4817" width="8.1640625" style="250" customWidth="1"/>
    <col min="4818" max="4865" width="0.83203125" style="250"/>
    <col min="4866" max="4866" width="6.1640625" style="250" customWidth="1"/>
    <col min="4867" max="4867" width="116.6640625" style="250" customWidth="1"/>
    <col min="4868" max="4868" width="7.83203125" style="250" bestFit="1" customWidth="1"/>
    <col min="4869" max="4869" width="8.6640625" style="250" bestFit="1" customWidth="1"/>
    <col min="4870" max="4872" width="18.33203125" style="250" customWidth="1"/>
    <col min="4873" max="4873" width="21.6640625" style="250" customWidth="1"/>
    <col min="4874" max="4874" width="62.4140625" style="250" bestFit="1" customWidth="1"/>
    <col min="4875" max="5073" width="8.1640625" style="250" customWidth="1"/>
    <col min="5074" max="5121" width="0.83203125" style="250"/>
    <col min="5122" max="5122" width="6.1640625" style="250" customWidth="1"/>
    <col min="5123" max="5123" width="116.6640625" style="250" customWidth="1"/>
    <col min="5124" max="5124" width="7.83203125" style="250" bestFit="1" customWidth="1"/>
    <col min="5125" max="5125" width="8.6640625" style="250" bestFit="1" customWidth="1"/>
    <col min="5126" max="5128" width="18.33203125" style="250" customWidth="1"/>
    <col min="5129" max="5129" width="21.6640625" style="250" customWidth="1"/>
    <col min="5130" max="5130" width="62.4140625" style="250" bestFit="1" customWidth="1"/>
    <col min="5131" max="5329" width="8.1640625" style="250" customWidth="1"/>
    <col min="5330" max="5377" width="0.83203125" style="250"/>
    <col min="5378" max="5378" width="6.1640625" style="250" customWidth="1"/>
    <col min="5379" max="5379" width="116.6640625" style="250" customWidth="1"/>
    <col min="5380" max="5380" width="7.83203125" style="250" bestFit="1" customWidth="1"/>
    <col min="5381" max="5381" width="8.6640625" style="250" bestFit="1" customWidth="1"/>
    <col min="5382" max="5384" width="18.33203125" style="250" customWidth="1"/>
    <col min="5385" max="5385" width="21.6640625" style="250" customWidth="1"/>
    <col min="5386" max="5386" width="62.4140625" style="250" bestFit="1" customWidth="1"/>
    <col min="5387" max="5585" width="8.1640625" style="250" customWidth="1"/>
    <col min="5586" max="5633" width="0.83203125" style="250"/>
    <col min="5634" max="5634" width="6.1640625" style="250" customWidth="1"/>
    <col min="5635" max="5635" width="116.6640625" style="250" customWidth="1"/>
    <col min="5636" max="5636" width="7.83203125" style="250" bestFit="1" customWidth="1"/>
    <col min="5637" max="5637" width="8.6640625" style="250" bestFit="1" customWidth="1"/>
    <col min="5638" max="5640" width="18.33203125" style="250" customWidth="1"/>
    <col min="5641" max="5641" width="21.6640625" style="250" customWidth="1"/>
    <col min="5642" max="5642" width="62.4140625" style="250" bestFit="1" customWidth="1"/>
    <col min="5643" max="5841" width="8.1640625" style="250" customWidth="1"/>
    <col min="5842" max="5889" width="0.83203125" style="250"/>
    <col min="5890" max="5890" width="6.1640625" style="250" customWidth="1"/>
    <col min="5891" max="5891" width="116.6640625" style="250" customWidth="1"/>
    <col min="5892" max="5892" width="7.83203125" style="250" bestFit="1" customWidth="1"/>
    <col min="5893" max="5893" width="8.6640625" style="250" bestFit="1" customWidth="1"/>
    <col min="5894" max="5896" width="18.33203125" style="250" customWidth="1"/>
    <col min="5897" max="5897" width="21.6640625" style="250" customWidth="1"/>
    <col min="5898" max="5898" width="62.4140625" style="250" bestFit="1" customWidth="1"/>
    <col min="5899" max="6097" width="8.1640625" style="250" customWidth="1"/>
    <col min="6098" max="6145" width="0.83203125" style="250"/>
    <col min="6146" max="6146" width="6.1640625" style="250" customWidth="1"/>
    <col min="6147" max="6147" width="116.6640625" style="250" customWidth="1"/>
    <col min="6148" max="6148" width="7.83203125" style="250" bestFit="1" customWidth="1"/>
    <col min="6149" max="6149" width="8.6640625" style="250" bestFit="1" customWidth="1"/>
    <col min="6150" max="6152" width="18.33203125" style="250" customWidth="1"/>
    <col min="6153" max="6153" width="21.6640625" style="250" customWidth="1"/>
    <col min="6154" max="6154" width="62.4140625" style="250" bestFit="1" customWidth="1"/>
    <col min="6155" max="6353" width="8.1640625" style="250" customWidth="1"/>
    <col min="6354" max="6401" width="0.83203125" style="250"/>
    <col min="6402" max="6402" width="6.1640625" style="250" customWidth="1"/>
    <col min="6403" max="6403" width="116.6640625" style="250" customWidth="1"/>
    <col min="6404" max="6404" width="7.83203125" style="250" bestFit="1" customWidth="1"/>
    <col min="6405" max="6405" width="8.6640625" style="250" bestFit="1" customWidth="1"/>
    <col min="6406" max="6408" width="18.33203125" style="250" customWidth="1"/>
    <col min="6409" max="6409" width="21.6640625" style="250" customWidth="1"/>
    <col min="6410" max="6410" width="62.4140625" style="250" bestFit="1" customWidth="1"/>
    <col min="6411" max="6609" width="8.1640625" style="250" customWidth="1"/>
    <col min="6610" max="6657" width="0.83203125" style="250"/>
    <col min="6658" max="6658" width="6.1640625" style="250" customWidth="1"/>
    <col min="6659" max="6659" width="116.6640625" style="250" customWidth="1"/>
    <col min="6660" max="6660" width="7.83203125" style="250" bestFit="1" customWidth="1"/>
    <col min="6661" max="6661" width="8.6640625" style="250" bestFit="1" customWidth="1"/>
    <col min="6662" max="6664" width="18.33203125" style="250" customWidth="1"/>
    <col min="6665" max="6665" width="21.6640625" style="250" customWidth="1"/>
    <col min="6666" max="6666" width="62.4140625" style="250" bestFit="1" customWidth="1"/>
    <col min="6667" max="6865" width="8.1640625" style="250" customWidth="1"/>
    <col min="6866" max="6913" width="0.83203125" style="250"/>
    <col min="6914" max="6914" width="6.1640625" style="250" customWidth="1"/>
    <col min="6915" max="6915" width="116.6640625" style="250" customWidth="1"/>
    <col min="6916" max="6916" width="7.83203125" style="250" bestFit="1" customWidth="1"/>
    <col min="6917" max="6917" width="8.6640625" style="250" bestFit="1" customWidth="1"/>
    <col min="6918" max="6920" width="18.33203125" style="250" customWidth="1"/>
    <col min="6921" max="6921" width="21.6640625" style="250" customWidth="1"/>
    <col min="6922" max="6922" width="62.4140625" style="250" bestFit="1" customWidth="1"/>
    <col min="6923" max="7121" width="8.1640625" style="250" customWidth="1"/>
    <col min="7122" max="7169" width="0.83203125" style="250"/>
    <col min="7170" max="7170" width="6.1640625" style="250" customWidth="1"/>
    <col min="7171" max="7171" width="116.6640625" style="250" customWidth="1"/>
    <col min="7172" max="7172" width="7.83203125" style="250" bestFit="1" customWidth="1"/>
    <col min="7173" max="7173" width="8.6640625" style="250" bestFit="1" customWidth="1"/>
    <col min="7174" max="7176" width="18.33203125" style="250" customWidth="1"/>
    <col min="7177" max="7177" width="21.6640625" style="250" customWidth="1"/>
    <col min="7178" max="7178" width="62.4140625" style="250" bestFit="1" customWidth="1"/>
    <col min="7179" max="7377" width="8.1640625" style="250" customWidth="1"/>
    <col min="7378" max="7425" width="0.83203125" style="250"/>
    <col min="7426" max="7426" width="6.1640625" style="250" customWidth="1"/>
    <col min="7427" max="7427" width="116.6640625" style="250" customWidth="1"/>
    <col min="7428" max="7428" width="7.83203125" style="250" bestFit="1" customWidth="1"/>
    <col min="7429" max="7429" width="8.6640625" style="250" bestFit="1" customWidth="1"/>
    <col min="7430" max="7432" width="18.33203125" style="250" customWidth="1"/>
    <col min="7433" max="7433" width="21.6640625" style="250" customWidth="1"/>
    <col min="7434" max="7434" width="62.4140625" style="250" bestFit="1" customWidth="1"/>
    <col min="7435" max="7633" width="8.1640625" style="250" customWidth="1"/>
    <col min="7634" max="7681" width="0.83203125" style="250"/>
    <col min="7682" max="7682" width="6.1640625" style="250" customWidth="1"/>
    <col min="7683" max="7683" width="116.6640625" style="250" customWidth="1"/>
    <col min="7684" max="7684" width="7.83203125" style="250" bestFit="1" customWidth="1"/>
    <col min="7685" max="7685" width="8.6640625" style="250" bestFit="1" customWidth="1"/>
    <col min="7686" max="7688" width="18.33203125" style="250" customWidth="1"/>
    <col min="7689" max="7689" width="21.6640625" style="250" customWidth="1"/>
    <col min="7690" max="7690" width="62.4140625" style="250" bestFit="1" customWidth="1"/>
    <col min="7691" max="7889" width="8.1640625" style="250" customWidth="1"/>
    <col min="7890" max="7937" width="0.83203125" style="250"/>
    <col min="7938" max="7938" width="6.1640625" style="250" customWidth="1"/>
    <col min="7939" max="7939" width="116.6640625" style="250" customWidth="1"/>
    <col min="7940" max="7940" width="7.83203125" style="250" bestFit="1" customWidth="1"/>
    <col min="7941" max="7941" width="8.6640625" style="250" bestFit="1" customWidth="1"/>
    <col min="7942" max="7944" width="18.33203125" style="250" customWidth="1"/>
    <col min="7945" max="7945" width="21.6640625" style="250" customWidth="1"/>
    <col min="7946" max="7946" width="62.4140625" style="250" bestFit="1" customWidth="1"/>
    <col min="7947" max="8145" width="8.1640625" style="250" customWidth="1"/>
    <col min="8146" max="8193" width="0.83203125" style="250"/>
    <col min="8194" max="8194" width="6.1640625" style="250" customWidth="1"/>
    <col min="8195" max="8195" width="116.6640625" style="250" customWidth="1"/>
    <col min="8196" max="8196" width="7.83203125" style="250" bestFit="1" customWidth="1"/>
    <col min="8197" max="8197" width="8.6640625" style="250" bestFit="1" customWidth="1"/>
    <col min="8198" max="8200" width="18.33203125" style="250" customWidth="1"/>
    <col min="8201" max="8201" width="21.6640625" style="250" customWidth="1"/>
    <col min="8202" max="8202" width="62.4140625" style="250" bestFit="1" customWidth="1"/>
    <col min="8203" max="8401" width="8.1640625" style="250" customWidth="1"/>
    <col min="8402" max="8449" width="0.83203125" style="250"/>
    <col min="8450" max="8450" width="6.1640625" style="250" customWidth="1"/>
    <col min="8451" max="8451" width="116.6640625" style="250" customWidth="1"/>
    <col min="8452" max="8452" width="7.83203125" style="250" bestFit="1" customWidth="1"/>
    <col min="8453" max="8453" width="8.6640625" style="250" bestFit="1" customWidth="1"/>
    <col min="8454" max="8456" width="18.33203125" style="250" customWidth="1"/>
    <col min="8457" max="8457" width="21.6640625" style="250" customWidth="1"/>
    <col min="8458" max="8458" width="62.4140625" style="250" bestFit="1" customWidth="1"/>
    <col min="8459" max="8657" width="8.1640625" style="250" customWidth="1"/>
    <col min="8658" max="8705" width="0.83203125" style="250"/>
    <col min="8706" max="8706" width="6.1640625" style="250" customWidth="1"/>
    <col min="8707" max="8707" width="116.6640625" style="250" customWidth="1"/>
    <col min="8708" max="8708" width="7.83203125" style="250" bestFit="1" customWidth="1"/>
    <col min="8709" max="8709" width="8.6640625" style="250" bestFit="1" customWidth="1"/>
    <col min="8710" max="8712" width="18.33203125" style="250" customWidth="1"/>
    <col min="8713" max="8713" width="21.6640625" style="250" customWidth="1"/>
    <col min="8714" max="8714" width="62.4140625" style="250" bestFit="1" customWidth="1"/>
    <col min="8715" max="8913" width="8.1640625" style="250" customWidth="1"/>
    <col min="8914" max="8961" width="0.83203125" style="250"/>
    <col min="8962" max="8962" width="6.1640625" style="250" customWidth="1"/>
    <col min="8963" max="8963" width="116.6640625" style="250" customWidth="1"/>
    <col min="8964" max="8964" width="7.83203125" style="250" bestFit="1" customWidth="1"/>
    <col min="8965" max="8965" width="8.6640625" style="250" bestFit="1" customWidth="1"/>
    <col min="8966" max="8968" width="18.33203125" style="250" customWidth="1"/>
    <col min="8969" max="8969" width="21.6640625" style="250" customWidth="1"/>
    <col min="8970" max="8970" width="62.4140625" style="250" bestFit="1" customWidth="1"/>
    <col min="8971" max="9169" width="8.1640625" style="250" customWidth="1"/>
    <col min="9170" max="9217" width="0.83203125" style="250"/>
    <col min="9218" max="9218" width="6.1640625" style="250" customWidth="1"/>
    <col min="9219" max="9219" width="116.6640625" style="250" customWidth="1"/>
    <col min="9220" max="9220" width="7.83203125" style="250" bestFit="1" customWidth="1"/>
    <col min="9221" max="9221" width="8.6640625" style="250" bestFit="1" customWidth="1"/>
    <col min="9222" max="9224" width="18.33203125" style="250" customWidth="1"/>
    <col min="9225" max="9225" width="21.6640625" style="250" customWidth="1"/>
    <col min="9226" max="9226" width="62.4140625" style="250" bestFit="1" customWidth="1"/>
    <col min="9227" max="9425" width="8.1640625" style="250" customWidth="1"/>
    <col min="9426" max="9473" width="0.83203125" style="250"/>
    <col min="9474" max="9474" width="6.1640625" style="250" customWidth="1"/>
    <col min="9475" max="9475" width="116.6640625" style="250" customWidth="1"/>
    <col min="9476" max="9476" width="7.83203125" style="250" bestFit="1" customWidth="1"/>
    <col min="9477" max="9477" width="8.6640625" style="250" bestFit="1" customWidth="1"/>
    <col min="9478" max="9480" width="18.33203125" style="250" customWidth="1"/>
    <col min="9481" max="9481" width="21.6640625" style="250" customWidth="1"/>
    <col min="9482" max="9482" width="62.4140625" style="250" bestFit="1" customWidth="1"/>
    <col min="9483" max="9681" width="8.1640625" style="250" customWidth="1"/>
    <col min="9682" max="9729" width="0.83203125" style="250"/>
    <col min="9730" max="9730" width="6.1640625" style="250" customWidth="1"/>
    <col min="9731" max="9731" width="116.6640625" style="250" customWidth="1"/>
    <col min="9732" max="9732" width="7.83203125" style="250" bestFit="1" customWidth="1"/>
    <col min="9733" max="9733" width="8.6640625" style="250" bestFit="1" customWidth="1"/>
    <col min="9734" max="9736" width="18.33203125" style="250" customWidth="1"/>
    <col min="9737" max="9737" width="21.6640625" style="250" customWidth="1"/>
    <col min="9738" max="9738" width="62.4140625" style="250" bestFit="1" customWidth="1"/>
    <col min="9739" max="9937" width="8.1640625" style="250" customWidth="1"/>
    <col min="9938" max="9985" width="0.83203125" style="250"/>
    <col min="9986" max="9986" width="6.1640625" style="250" customWidth="1"/>
    <col min="9987" max="9987" width="116.6640625" style="250" customWidth="1"/>
    <col min="9988" max="9988" width="7.83203125" style="250" bestFit="1" customWidth="1"/>
    <col min="9989" max="9989" width="8.6640625" style="250" bestFit="1" customWidth="1"/>
    <col min="9990" max="9992" width="18.33203125" style="250" customWidth="1"/>
    <col min="9993" max="9993" width="21.6640625" style="250" customWidth="1"/>
    <col min="9994" max="9994" width="62.4140625" style="250" bestFit="1" customWidth="1"/>
    <col min="9995" max="10193" width="8.1640625" style="250" customWidth="1"/>
    <col min="10194" max="10241" width="0.83203125" style="250"/>
    <col min="10242" max="10242" width="6.1640625" style="250" customWidth="1"/>
    <col min="10243" max="10243" width="116.6640625" style="250" customWidth="1"/>
    <col min="10244" max="10244" width="7.83203125" style="250" bestFit="1" customWidth="1"/>
    <col min="10245" max="10245" width="8.6640625" style="250" bestFit="1" customWidth="1"/>
    <col min="10246" max="10248" width="18.33203125" style="250" customWidth="1"/>
    <col min="10249" max="10249" width="21.6640625" style="250" customWidth="1"/>
    <col min="10250" max="10250" width="62.4140625" style="250" bestFit="1" customWidth="1"/>
    <col min="10251" max="10449" width="8.1640625" style="250" customWidth="1"/>
    <col min="10450" max="10497" width="0.83203125" style="250"/>
    <col min="10498" max="10498" width="6.1640625" style="250" customWidth="1"/>
    <col min="10499" max="10499" width="116.6640625" style="250" customWidth="1"/>
    <col min="10500" max="10500" width="7.83203125" style="250" bestFit="1" customWidth="1"/>
    <col min="10501" max="10501" width="8.6640625" style="250" bestFit="1" customWidth="1"/>
    <col min="10502" max="10504" width="18.33203125" style="250" customWidth="1"/>
    <col min="10505" max="10505" width="21.6640625" style="250" customWidth="1"/>
    <col min="10506" max="10506" width="62.4140625" style="250" bestFit="1" customWidth="1"/>
    <col min="10507" max="10705" width="8.1640625" style="250" customWidth="1"/>
    <col min="10706" max="10753" width="0.83203125" style="250"/>
    <col min="10754" max="10754" width="6.1640625" style="250" customWidth="1"/>
    <col min="10755" max="10755" width="116.6640625" style="250" customWidth="1"/>
    <col min="10756" max="10756" width="7.83203125" style="250" bestFit="1" customWidth="1"/>
    <col min="10757" max="10757" width="8.6640625" style="250" bestFit="1" customWidth="1"/>
    <col min="10758" max="10760" width="18.33203125" style="250" customWidth="1"/>
    <col min="10761" max="10761" width="21.6640625" style="250" customWidth="1"/>
    <col min="10762" max="10762" width="62.4140625" style="250" bestFit="1" customWidth="1"/>
    <col min="10763" max="10961" width="8.1640625" style="250" customWidth="1"/>
    <col min="10962" max="11009" width="0.83203125" style="250"/>
    <col min="11010" max="11010" width="6.1640625" style="250" customWidth="1"/>
    <col min="11011" max="11011" width="116.6640625" style="250" customWidth="1"/>
    <col min="11012" max="11012" width="7.83203125" style="250" bestFit="1" customWidth="1"/>
    <col min="11013" max="11013" width="8.6640625" style="250" bestFit="1" customWidth="1"/>
    <col min="11014" max="11016" width="18.33203125" style="250" customWidth="1"/>
    <col min="11017" max="11017" width="21.6640625" style="250" customWidth="1"/>
    <col min="11018" max="11018" width="62.4140625" style="250" bestFit="1" customWidth="1"/>
    <col min="11019" max="11217" width="8.1640625" style="250" customWidth="1"/>
    <col min="11218" max="11265" width="0.83203125" style="250"/>
    <col min="11266" max="11266" width="6.1640625" style="250" customWidth="1"/>
    <col min="11267" max="11267" width="116.6640625" style="250" customWidth="1"/>
    <col min="11268" max="11268" width="7.83203125" style="250" bestFit="1" customWidth="1"/>
    <col min="11269" max="11269" width="8.6640625" style="250" bestFit="1" customWidth="1"/>
    <col min="11270" max="11272" width="18.33203125" style="250" customWidth="1"/>
    <col min="11273" max="11273" width="21.6640625" style="250" customWidth="1"/>
    <col min="11274" max="11274" width="62.4140625" style="250" bestFit="1" customWidth="1"/>
    <col min="11275" max="11473" width="8.1640625" style="250" customWidth="1"/>
    <col min="11474" max="11521" width="0.83203125" style="250"/>
    <col min="11522" max="11522" width="6.1640625" style="250" customWidth="1"/>
    <col min="11523" max="11523" width="116.6640625" style="250" customWidth="1"/>
    <col min="11524" max="11524" width="7.83203125" style="250" bestFit="1" customWidth="1"/>
    <col min="11525" max="11525" width="8.6640625" style="250" bestFit="1" customWidth="1"/>
    <col min="11526" max="11528" width="18.33203125" style="250" customWidth="1"/>
    <col min="11529" max="11529" width="21.6640625" style="250" customWidth="1"/>
    <col min="11530" max="11530" width="62.4140625" style="250" bestFit="1" customWidth="1"/>
    <col min="11531" max="11729" width="8.1640625" style="250" customWidth="1"/>
    <col min="11730" max="11777" width="0.83203125" style="250"/>
    <col min="11778" max="11778" width="6.1640625" style="250" customWidth="1"/>
    <col min="11779" max="11779" width="116.6640625" style="250" customWidth="1"/>
    <col min="11780" max="11780" width="7.83203125" style="250" bestFit="1" customWidth="1"/>
    <col min="11781" max="11781" width="8.6640625" style="250" bestFit="1" customWidth="1"/>
    <col min="11782" max="11784" width="18.33203125" style="250" customWidth="1"/>
    <col min="11785" max="11785" width="21.6640625" style="250" customWidth="1"/>
    <col min="11786" max="11786" width="62.4140625" style="250" bestFit="1" customWidth="1"/>
    <col min="11787" max="11985" width="8.1640625" style="250" customWidth="1"/>
    <col min="11986" max="12033" width="0.83203125" style="250"/>
    <col min="12034" max="12034" width="6.1640625" style="250" customWidth="1"/>
    <col min="12035" max="12035" width="116.6640625" style="250" customWidth="1"/>
    <col min="12036" max="12036" width="7.83203125" style="250" bestFit="1" customWidth="1"/>
    <col min="12037" max="12037" width="8.6640625" style="250" bestFit="1" customWidth="1"/>
    <col min="12038" max="12040" width="18.33203125" style="250" customWidth="1"/>
    <col min="12041" max="12041" width="21.6640625" style="250" customWidth="1"/>
    <col min="12042" max="12042" width="62.4140625" style="250" bestFit="1" customWidth="1"/>
    <col min="12043" max="12241" width="8.1640625" style="250" customWidth="1"/>
    <col min="12242" max="12289" width="0.83203125" style="250"/>
    <col min="12290" max="12290" width="6.1640625" style="250" customWidth="1"/>
    <col min="12291" max="12291" width="116.6640625" style="250" customWidth="1"/>
    <col min="12292" max="12292" width="7.83203125" style="250" bestFit="1" customWidth="1"/>
    <col min="12293" max="12293" width="8.6640625" style="250" bestFit="1" customWidth="1"/>
    <col min="12294" max="12296" width="18.33203125" style="250" customWidth="1"/>
    <col min="12297" max="12297" width="21.6640625" style="250" customWidth="1"/>
    <col min="12298" max="12298" width="62.4140625" style="250" bestFit="1" customWidth="1"/>
    <col min="12299" max="12497" width="8.1640625" style="250" customWidth="1"/>
    <col min="12498" max="12545" width="0.83203125" style="250"/>
    <col min="12546" max="12546" width="6.1640625" style="250" customWidth="1"/>
    <col min="12547" max="12547" width="116.6640625" style="250" customWidth="1"/>
    <col min="12548" max="12548" width="7.83203125" style="250" bestFit="1" customWidth="1"/>
    <col min="12549" max="12549" width="8.6640625" style="250" bestFit="1" customWidth="1"/>
    <col min="12550" max="12552" width="18.33203125" style="250" customWidth="1"/>
    <col min="12553" max="12553" width="21.6640625" style="250" customWidth="1"/>
    <col min="12554" max="12554" width="62.4140625" style="250" bestFit="1" customWidth="1"/>
    <col min="12555" max="12753" width="8.1640625" style="250" customWidth="1"/>
    <col min="12754" max="12801" width="0.83203125" style="250"/>
    <col min="12802" max="12802" width="6.1640625" style="250" customWidth="1"/>
    <col min="12803" max="12803" width="116.6640625" style="250" customWidth="1"/>
    <col min="12804" max="12804" width="7.83203125" style="250" bestFit="1" customWidth="1"/>
    <col min="12805" max="12805" width="8.6640625" style="250" bestFit="1" customWidth="1"/>
    <col min="12806" max="12808" width="18.33203125" style="250" customWidth="1"/>
    <col min="12809" max="12809" width="21.6640625" style="250" customWidth="1"/>
    <col min="12810" max="12810" width="62.4140625" style="250" bestFit="1" customWidth="1"/>
    <col min="12811" max="13009" width="8.1640625" style="250" customWidth="1"/>
    <col min="13010" max="13057" width="0.83203125" style="250"/>
    <col min="13058" max="13058" width="6.1640625" style="250" customWidth="1"/>
    <col min="13059" max="13059" width="116.6640625" style="250" customWidth="1"/>
    <col min="13060" max="13060" width="7.83203125" style="250" bestFit="1" customWidth="1"/>
    <col min="13061" max="13061" width="8.6640625" style="250" bestFit="1" customWidth="1"/>
    <col min="13062" max="13064" width="18.33203125" style="250" customWidth="1"/>
    <col min="13065" max="13065" width="21.6640625" style="250" customWidth="1"/>
    <col min="13066" max="13066" width="62.4140625" style="250" bestFit="1" customWidth="1"/>
    <col min="13067" max="13265" width="8.1640625" style="250" customWidth="1"/>
    <col min="13266" max="13313" width="0.83203125" style="250"/>
    <col min="13314" max="13314" width="6.1640625" style="250" customWidth="1"/>
    <col min="13315" max="13315" width="116.6640625" style="250" customWidth="1"/>
    <col min="13316" max="13316" width="7.83203125" style="250" bestFit="1" customWidth="1"/>
    <col min="13317" max="13317" width="8.6640625" style="250" bestFit="1" customWidth="1"/>
    <col min="13318" max="13320" width="18.33203125" style="250" customWidth="1"/>
    <col min="13321" max="13321" width="21.6640625" style="250" customWidth="1"/>
    <col min="13322" max="13322" width="62.4140625" style="250" bestFit="1" customWidth="1"/>
    <col min="13323" max="13521" width="8.1640625" style="250" customWidth="1"/>
    <col min="13522" max="13569" width="0.83203125" style="250"/>
    <col min="13570" max="13570" width="6.1640625" style="250" customWidth="1"/>
    <col min="13571" max="13571" width="116.6640625" style="250" customWidth="1"/>
    <col min="13572" max="13572" width="7.83203125" style="250" bestFit="1" customWidth="1"/>
    <col min="13573" max="13573" width="8.6640625" style="250" bestFit="1" customWidth="1"/>
    <col min="13574" max="13576" width="18.33203125" style="250" customWidth="1"/>
    <col min="13577" max="13577" width="21.6640625" style="250" customWidth="1"/>
    <col min="13578" max="13578" width="62.4140625" style="250" bestFit="1" customWidth="1"/>
    <col min="13579" max="13777" width="8.1640625" style="250" customWidth="1"/>
    <col min="13778" max="13825" width="0.83203125" style="250"/>
    <col min="13826" max="13826" width="6.1640625" style="250" customWidth="1"/>
    <col min="13827" max="13827" width="116.6640625" style="250" customWidth="1"/>
    <col min="13828" max="13828" width="7.83203125" style="250" bestFit="1" customWidth="1"/>
    <col min="13829" max="13829" width="8.6640625" style="250" bestFit="1" customWidth="1"/>
    <col min="13830" max="13832" width="18.33203125" style="250" customWidth="1"/>
    <col min="13833" max="13833" width="21.6640625" style="250" customWidth="1"/>
    <col min="13834" max="13834" width="62.4140625" style="250" bestFit="1" customWidth="1"/>
    <col min="13835" max="14033" width="8.1640625" style="250" customWidth="1"/>
    <col min="14034" max="14081" width="0.83203125" style="250"/>
    <col min="14082" max="14082" width="6.1640625" style="250" customWidth="1"/>
    <col min="14083" max="14083" width="116.6640625" style="250" customWidth="1"/>
    <col min="14084" max="14084" width="7.83203125" style="250" bestFit="1" customWidth="1"/>
    <col min="14085" max="14085" width="8.6640625" style="250" bestFit="1" customWidth="1"/>
    <col min="14086" max="14088" width="18.33203125" style="250" customWidth="1"/>
    <col min="14089" max="14089" width="21.6640625" style="250" customWidth="1"/>
    <col min="14090" max="14090" width="62.4140625" style="250" bestFit="1" customWidth="1"/>
    <col min="14091" max="14289" width="8.1640625" style="250" customWidth="1"/>
    <col min="14290" max="14337" width="0.83203125" style="250"/>
    <col min="14338" max="14338" width="6.1640625" style="250" customWidth="1"/>
    <col min="14339" max="14339" width="116.6640625" style="250" customWidth="1"/>
    <col min="14340" max="14340" width="7.83203125" style="250" bestFit="1" customWidth="1"/>
    <col min="14341" max="14341" width="8.6640625" style="250" bestFit="1" customWidth="1"/>
    <col min="14342" max="14344" width="18.33203125" style="250" customWidth="1"/>
    <col min="14345" max="14345" width="21.6640625" style="250" customWidth="1"/>
    <col min="14346" max="14346" width="62.4140625" style="250" bestFit="1" customWidth="1"/>
    <col min="14347" max="14545" width="8.1640625" style="250" customWidth="1"/>
    <col min="14546" max="14593" width="0.83203125" style="250"/>
    <col min="14594" max="14594" width="6.1640625" style="250" customWidth="1"/>
    <col min="14595" max="14595" width="116.6640625" style="250" customWidth="1"/>
    <col min="14596" max="14596" width="7.83203125" style="250" bestFit="1" customWidth="1"/>
    <col min="14597" max="14597" width="8.6640625" style="250" bestFit="1" customWidth="1"/>
    <col min="14598" max="14600" width="18.33203125" style="250" customWidth="1"/>
    <col min="14601" max="14601" width="21.6640625" style="250" customWidth="1"/>
    <col min="14602" max="14602" width="62.4140625" style="250" bestFit="1" customWidth="1"/>
    <col min="14603" max="14801" width="8.1640625" style="250" customWidth="1"/>
    <col min="14802" max="14849" width="0.83203125" style="250"/>
    <col min="14850" max="14850" width="6.1640625" style="250" customWidth="1"/>
    <col min="14851" max="14851" width="116.6640625" style="250" customWidth="1"/>
    <col min="14852" max="14852" width="7.83203125" style="250" bestFit="1" customWidth="1"/>
    <col min="14853" max="14853" width="8.6640625" style="250" bestFit="1" customWidth="1"/>
    <col min="14854" max="14856" width="18.33203125" style="250" customWidth="1"/>
    <col min="14857" max="14857" width="21.6640625" style="250" customWidth="1"/>
    <col min="14858" max="14858" width="62.4140625" style="250" bestFit="1" customWidth="1"/>
    <col min="14859" max="15057" width="8.1640625" style="250" customWidth="1"/>
    <col min="15058" max="15105" width="0.83203125" style="250"/>
    <col min="15106" max="15106" width="6.1640625" style="250" customWidth="1"/>
    <col min="15107" max="15107" width="116.6640625" style="250" customWidth="1"/>
    <col min="15108" max="15108" width="7.83203125" style="250" bestFit="1" customWidth="1"/>
    <col min="15109" max="15109" width="8.6640625" style="250" bestFit="1" customWidth="1"/>
    <col min="15110" max="15112" width="18.33203125" style="250" customWidth="1"/>
    <col min="15113" max="15113" width="21.6640625" style="250" customWidth="1"/>
    <col min="15114" max="15114" width="62.4140625" style="250" bestFit="1" customWidth="1"/>
    <col min="15115" max="15313" width="8.1640625" style="250" customWidth="1"/>
    <col min="15314" max="15361" width="0.83203125" style="250"/>
    <col min="15362" max="15362" width="6.1640625" style="250" customWidth="1"/>
    <col min="15363" max="15363" width="116.6640625" style="250" customWidth="1"/>
    <col min="15364" max="15364" width="7.83203125" style="250" bestFit="1" customWidth="1"/>
    <col min="15365" max="15365" width="8.6640625" style="250" bestFit="1" customWidth="1"/>
    <col min="15366" max="15368" width="18.33203125" style="250" customWidth="1"/>
    <col min="15369" max="15369" width="21.6640625" style="250" customWidth="1"/>
    <col min="15370" max="15370" width="62.4140625" style="250" bestFit="1" customWidth="1"/>
    <col min="15371" max="15569" width="8.1640625" style="250" customWidth="1"/>
    <col min="15570" max="15617" width="0.83203125" style="250"/>
    <col min="15618" max="15618" width="6.1640625" style="250" customWidth="1"/>
    <col min="15619" max="15619" width="116.6640625" style="250" customWidth="1"/>
    <col min="15620" max="15620" width="7.83203125" style="250" bestFit="1" customWidth="1"/>
    <col min="15621" max="15621" width="8.6640625" style="250" bestFit="1" customWidth="1"/>
    <col min="15622" max="15624" width="18.33203125" style="250" customWidth="1"/>
    <col min="15625" max="15625" width="21.6640625" style="250" customWidth="1"/>
    <col min="15626" max="15626" width="62.4140625" style="250" bestFit="1" customWidth="1"/>
    <col min="15627" max="15825" width="8.1640625" style="250" customWidth="1"/>
    <col min="15826" max="15873" width="0.83203125" style="250"/>
    <col min="15874" max="15874" width="6.1640625" style="250" customWidth="1"/>
    <col min="15875" max="15875" width="116.6640625" style="250" customWidth="1"/>
    <col min="15876" max="15876" width="7.83203125" style="250" bestFit="1" customWidth="1"/>
    <col min="15877" max="15877" width="8.6640625" style="250" bestFit="1" customWidth="1"/>
    <col min="15878" max="15880" width="18.33203125" style="250" customWidth="1"/>
    <col min="15881" max="15881" width="21.6640625" style="250" customWidth="1"/>
    <col min="15882" max="15882" width="62.4140625" style="250" bestFit="1" customWidth="1"/>
    <col min="15883" max="16081" width="8.1640625" style="250" customWidth="1"/>
    <col min="16082" max="16129" width="0.83203125" style="250"/>
    <col min="16130" max="16130" width="6.1640625" style="250" customWidth="1"/>
    <col min="16131" max="16131" width="116.6640625" style="250" customWidth="1"/>
    <col min="16132" max="16132" width="7.83203125" style="250" bestFit="1" customWidth="1"/>
    <col min="16133" max="16133" width="8.6640625" style="250" bestFit="1" customWidth="1"/>
    <col min="16134" max="16136" width="18.33203125" style="250" customWidth="1"/>
    <col min="16137" max="16137" width="21.6640625" style="250" customWidth="1"/>
    <col min="16138" max="16138" width="62.4140625" style="250" bestFit="1" customWidth="1"/>
    <col min="16139" max="16337" width="8.1640625" style="250" customWidth="1"/>
    <col min="16338" max="16384" width="0.83203125" style="250"/>
  </cols>
  <sheetData>
    <row r="1" spans="2:10" s="240" customFormat="1" ht="25" x14ac:dyDescent="0.35">
      <c r="B1" s="365" t="s">
        <v>209</v>
      </c>
      <c r="C1" s="365"/>
      <c r="D1" s="365"/>
      <c r="E1" s="365"/>
      <c r="F1" s="365"/>
      <c r="G1" s="365"/>
      <c r="H1" s="365"/>
      <c r="I1" s="365"/>
      <c r="J1" s="365"/>
    </row>
    <row r="2" spans="2:10" s="240" customFormat="1" ht="18" x14ac:dyDescent="0.35">
      <c r="B2" s="241" t="s">
        <v>210</v>
      </c>
      <c r="C2" s="242"/>
      <c r="D2" s="243"/>
      <c r="E2" s="243"/>
      <c r="F2" s="243"/>
      <c r="G2" s="243"/>
      <c r="I2" s="244"/>
    </row>
    <row r="3" spans="2:10" s="240" customFormat="1" ht="18" x14ac:dyDescent="0.35">
      <c r="B3" s="241" t="s">
        <v>211</v>
      </c>
      <c r="C3" s="242"/>
      <c r="D3" s="243"/>
      <c r="E3" s="243"/>
      <c r="F3" s="243"/>
      <c r="G3" s="243"/>
      <c r="I3" s="244"/>
    </row>
    <row r="4" spans="2:10" s="240" customFormat="1" ht="16.5" customHeight="1" x14ac:dyDescent="0.35">
      <c r="B4" s="245"/>
      <c r="C4" s="246"/>
      <c r="D4" s="247"/>
      <c r="E4" s="247"/>
      <c r="F4" s="247"/>
      <c r="G4" s="247"/>
      <c r="I4" s="244"/>
    </row>
    <row r="5" spans="2:10" ht="58.5" customHeight="1" x14ac:dyDescent="0.35">
      <c r="B5" s="248" t="s">
        <v>212</v>
      </c>
      <c r="C5" s="248" t="s">
        <v>213</v>
      </c>
      <c r="D5" s="248" t="s">
        <v>214</v>
      </c>
      <c r="E5" s="248" t="s">
        <v>215</v>
      </c>
      <c r="F5" s="248" t="s">
        <v>216</v>
      </c>
      <c r="G5" s="248" t="s">
        <v>217</v>
      </c>
      <c r="H5" s="248" t="s">
        <v>218</v>
      </c>
      <c r="I5" s="249" t="s">
        <v>219</v>
      </c>
      <c r="J5" s="248" t="s">
        <v>220</v>
      </c>
    </row>
    <row r="6" spans="2:10" x14ac:dyDescent="0.35">
      <c r="B6" s="251"/>
      <c r="C6" s="252"/>
      <c r="D6" s="253"/>
      <c r="E6" s="254"/>
      <c r="F6" s="255"/>
      <c r="G6" s="256"/>
      <c r="H6" s="257"/>
      <c r="I6" s="258"/>
      <c r="J6" s="259"/>
    </row>
    <row r="7" spans="2:10" s="266" customFormat="1" ht="15.75" customHeight="1" x14ac:dyDescent="0.35">
      <c r="B7" s="260" t="s">
        <v>221</v>
      </c>
      <c r="C7" s="261" t="s">
        <v>222</v>
      </c>
      <c r="D7" s="262"/>
      <c r="E7" s="262"/>
      <c r="F7" s="263"/>
      <c r="G7" s="263"/>
      <c r="H7" s="264"/>
      <c r="I7" s="264"/>
      <c r="J7" s="265"/>
    </row>
    <row r="8" spans="2:10" s="274" customFormat="1" ht="15.75" customHeight="1" x14ac:dyDescent="0.35">
      <c r="B8" s="267">
        <v>2</v>
      </c>
      <c r="C8" s="268" t="s">
        <v>223</v>
      </c>
      <c r="D8" s="269" t="s">
        <v>224</v>
      </c>
      <c r="E8" s="269">
        <f>140+130</f>
        <v>270</v>
      </c>
      <c r="F8" s="270">
        <v>80000</v>
      </c>
      <c r="G8" s="271">
        <v>20000</v>
      </c>
      <c r="H8" s="272">
        <f>F8+G8</f>
        <v>100000</v>
      </c>
      <c r="I8" s="272">
        <f>E8*H8</f>
        <v>27000000</v>
      </c>
      <c r="J8" s="273"/>
    </row>
    <row r="9" spans="2:10" s="274" customFormat="1" ht="15.75" customHeight="1" x14ac:dyDescent="0.35">
      <c r="B9" s="267">
        <v>3</v>
      </c>
      <c r="C9" s="268" t="s">
        <v>225</v>
      </c>
      <c r="D9" s="269" t="s">
        <v>226</v>
      </c>
      <c r="E9" s="269">
        <v>2</v>
      </c>
      <c r="F9" s="270">
        <v>2500000</v>
      </c>
      <c r="G9" s="271">
        <v>30000</v>
      </c>
      <c r="H9" s="272">
        <f>F9+G9</f>
        <v>2530000</v>
      </c>
      <c r="I9" s="272">
        <f>E9*H9</f>
        <v>5060000</v>
      </c>
      <c r="J9" s="273"/>
    </row>
    <row r="10" spans="2:10" s="266" customFormat="1" ht="15.75" customHeight="1" x14ac:dyDescent="0.35">
      <c r="B10" s="260" t="s">
        <v>227</v>
      </c>
      <c r="C10" s="261" t="s">
        <v>228</v>
      </c>
      <c r="D10" s="262"/>
      <c r="E10" s="262"/>
      <c r="F10" s="263"/>
      <c r="G10" s="263"/>
      <c r="H10" s="264"/>
      <c r="I10" s="264"/>
      <c r="J10" s="265"/>
    </row>
    <row r="11" spans="2:10" s="281" customFormat="1" x14ac:dyDescent="0.35">
      <c r="B11" s="275">
        <v>2</v>
      </c>
      <c r="C11" s="276" t="s">
        <v>229</v>
      </c>
      <c r="D11" s="277" t="s">
        <v>230</v>
      </c>
      <c r="E11" s="277">
        <f>160+120</f>
        <v>280</v>
      </c>
      <c r="F11" s="278">
        <v>32000</v>
      </c>
      <c r="G11" s="278"/>
      <c r="H11" s="279">
        <f t="shared" ref="H11:H18" si="0">F11+G11</f>
        <v>32000</v>
      </c>
      <c r="I11" s="279">
        <f t="shared" ref="I11:I18" si="1">E11*H11</f>
        <v>8960000</v>
      </c>
      <c r="J11" s="280" t="s">
        <v>231</v>
      </c>
    </row>
    <row r="12" spans="2:10" s="281" customFormat="1" ht="15.75" customHeight="1" x14ac:dyDescent="0.35">
      <c r="B12" s="275"/>
      <c r="C12" s="276" t="s">
        <v>232</v>
      </c>
      <c r="D12" s="277" t="s">
        <v>233</v>
      </c>
      <c r="E12" s="282">
        <f>0.04+0.14</f>
        <v>0.18000000000000002</v>
      </c>
      <c r="F12" s="278">
        <v>4300000</v>
      </c>
      <c r="G12" s="278"/>
      <c r="H12" s="279">
        <f t="shared" si="0"/>
        <v>4300000</v>
      </c>
      <c r="I12" s="279">
        <f t="shared" si="1"/>
        <v>774000.00000000012</v>
      </c>
      <c r="J12" s="280" t="s">
        <v>234</v>
      </c>
    </row>
    <row r="13" spans="2:10" s="281" customFormat="1" ht="15.75" customHeight="1" x14ac:dyDescent="0.35">
      <c r="B13" s="275"/>
      <c r="C13" s="276" t="s">
        <v>235</v>
      </c>
      <c r="D13" s="277" t="s">
        <v>236</v>
      </c>
      <c r="E13" s="277">
        <v>4</v>
      </c>
      <c r="F13" s="283">
        <v>55000</v>
      </c>
      <c r="G13" s="278"/>
      <c r="H13" s="279">
        <f>F13+G13</f>
        <v>55000</v>
      </c>
      <c r="I13" s="279">
        <f>E13*H13</f>
        <v>220000</v>
      </c>
      <c r="J13" s="280" t="s">
        <v>237</v>
      </c>
    </row>
    <row r="14" spans="2:10" s="281" customFormat="1" ht="15.75" customHeight="1" x14ac:dyDescent="0.35">
      <c r="B14" s="275"/>
      <c r="C14" s="276" t="s">
        <v>238</v>
      </c>
      <c r="D14" s="284" t="s">
        <v>236</v>
      </c>
      <c r="E14" s="284">
        <f>4+8</f>
        <v>12</v>
      </c>
      <c r="F14" s="283">
        <v>55000</v>
      </c>
      <c r="G14" s="285">
        <v>5000</v>
      </c>
      <c r="H14" s="279">
        <f t="shared" si="0"/>
        <v>60000</v>
      </c>
      <c r="I14" s="279">
        <f t="shared" si="1"/>
        <v>720000</v>
      </c>
      <c r="J14" s="280" t="s">
        <v>239</v>
      </c>
    </row>
    <row r="15" spans="2:10" s="281" customFormat="1" ht="15.75" customHeight="1" x14ac:dyDescent="0.35">
      <c r="B15" s="275"/>
      <c r="C15" s="276" t="s">
        <v>240</v>
      </c>
      <c r="D15" s="284" t="s">
        <v>236</v>
      </c>
      <c r="E15" s="284">
        <v>8</v>
      </c>
      <c r="F15" s="283">
        <v>55000</v>
      </c>
      <c r="G15" s="285">
        <v>5000</v>
      </c>
      <c r="H15" s="279">
        <f>F15+G15</f>
        <v>60000</v>
      </c>
      <c r="I15" s="279">
        <f>E15*H15</f>
        <v>480000</v>
      </c>
      <c r="J15" s="280" t="s">
        <v>241</v>
      </c>
    </row>
    <row r="16" spans="2:10" s="281" customFormat="1" ht="15.75" customHeight="1" x14ac:dyDescent="0.35">
      <c r="B16" s="275"/>
      <c r="C16" s="276" t="s">
        <v>242</v>
      </c>
      <c r="D16" s="284" t="s">
        <v>243</v>
      </c>
      <c r="E16" s="284">
        <v>2</v>
      </c>
      <c r="F16" s="283">
        <v>600000</v>
      </c>
      <c r="G16" s="285">
        <v>200000</v>
      </c>
      <c r="H16" s="279">
        <f t="shared" si="0"/>
        <v>800000</v>
      </c>
      <c r="I16" s="279">
        <f t="shared" si="1"/>
        <v>1600000</v>
      </c>
      <c r="J16" s="276" t="s">
        <v>244</v>
      </c>
    </row>
    <row r="17" spans="2:10" s="281" customFormat="1" ht="15.75" customHeight="1" x14ac:dyDescent="0.35">
      <c r="B17" s="275"/>
      <c r="C17" s="276" t="s">
        <v>245</v>
      </c>
      <c r="D17" s="284" t="s">
        <v>236</v>
      </c>
      <c r="E17" s="284">
        <v>16</v>
      </c>
      <c r="F17" s="283">
        <v>150000</v>
      </c>
      <c r="G17" s="285">
        <v>50000</v>
      </c>
      <c r="H17" s="279">
        <f>F17+G17</f>
        <v>200000</v>
      </c>
      <c r="I17" s="279">
        <f>E17*H17</f>
        <v>3200000</v>
      </c>
      <c r="J17" s="276" t="s">
        <v>246</v>
      </c>
    </row>
    <row r="18" spans="2:10" s="281" customFormat="1" ht="15.75" customHeight="1" x14ac:dyDescent="0.35">
      <c r="B18" s="275"/>
      <c r="C18" s="276" t="s">
        <v>247</v>
      </c>
      <c r="D18" s="284" t="s">
        <v>248</v>
      </c>
      <c r="E18" s="284">
        <v>1</v>
      </c>
      <c r="F18" s="283">
        <v>1000000</v>
      </c>
      <c r="G18" s="285">
        <v>300000</v>
      </c>
      <c r="H18" s="279">
        <f t="shared" si="0"/>
        <v>1300000</v>
      </c>
      <c r="I18" s="279">
        <f t="shared" si="1"/>
        <v>1300000</v>
      </c>
      <c r="J18" s="276" t="s">
        <v>249</v>
      </c>
    </row>
    <row r="19" spans="2:10" s="266" customFormat="1" ht="15.75" customHeight="1" x14ac:dyDescent="0.35">
      <c r="B19" s="260" t="s">
        <v>250</v>
      </c>
      <c r="C19" s="261" t="s">
        <v>251</v>
      </c>
      <c r="D19" s="262"/>
      <c r="E19" s="262"/>
      <c r="F19" s="263"/>
      <c r="G19" s="263"/>
      <c r="H19" s="264"/>
      <c r="I19" s="264"/>
      <c r="J19" s="265"/>
    </row>
    <row r="20" spans="2:10" s="281" customFormat="1" x14ac:dyDescent="0.35">
      <c r="B20" s="275">
        <v>1</v>
      </c>
      <c r="C20" s="276" t="s">
        <v>252</v>
      </c>
      <c r="D20" s="286" t="s">
        <v>230</v>
      </c>
      <c r="E20" s="277">
        <f>42*2</f>
        <v>84</v>
      </c>
      <c r="F20" s="278">
        <v>29000</v>
      </c>
      <c r="G20" s="278">
        <v>5000</v>
      </c>
      <c r="H20" s="279">
        <f>F20+G20</f>
        <v>34000</v>
      </c>
      <c r="I20" s="279">
        <f>E20*H20</f>
        <v>2856000</v>
      </c>
      <c r="J20" s="280" t="s">
        <v>253</v>
      </c>
    </row>
    <row r="21" spans="2:10" s="281" customFormat="1" ht="15.75" customHeight="1" x14ac:dyDescent="0.35">
      <c r="B21" s="287"/>
      <c r="C21" s="276" t="s">
        <v>254</v>
      </c>
      <c r="D21" s="286"/>
      <c r="E21" s="275"/>
      <c r="F21" s="278"/>
      <c r="G21" s="278"/>
      <c r="H21" s="279"/>
      <c r="I21" s="279"/>
      <c r="J21" s="280"/>
    </row>
    <row r="22" spans="2:10" s="281" customFormat="1" ht="15.75" customHeight="1" x14ac:dyDescent="0.35">
      <c r="B22" s="287"/>
      <c r="C22" s="276" t="s">
        <v>255</v>
      </c>
      <c r="D22" s="286"/>
      <c r="E22" s="275"/>
      <c r="F22" s="278"/>
      <c r="G22" s="278"/>
      <c r="H22" s="279"/>
      <c r="I22" s="279"/>
      <c r="J22" s="280"/>
    </row>
    <row r="23" spans="2:10" s="281" customFormat="1" ht="15.75" customHeight="1" x14ac:dyDescent="0.35">
      <c r="B23" s="287"/>
      <c r="C23" s="276" t="s">
        <v>256</v>
      </c>
      <c r="D23" s="286"/>
      <c r="E23" s="275"/>
      <c r="F23" s="278"/>
      <c r="G23" s="278"/>
      <c r="H23" s="279"/>
      <c r="I23" s="279"/>
      <c r="J23" s="280"/>
    </row>
    <row r="24" spans="2:10" s="296" customFormat="1" ht="18.899999999999999" customHeight="1" x14ac:dyDescent="0.35">
      <c r="B24" s="288" t="s">
        <v>257</v>
      </c>
      <c r="C24" s="289" t="s">
        <v>258</v>
      </c>
      <c r="D24" s="290"/>
      <c r="E24" s="291"/>
      <c r="F24" s="292"/>
      <c r="G24" s="293"/>
      <c r="H24" s="294"/>
      <c r="I24" s="295"/>
      <c r="J24" s="265"/>
    </row>
    <row r="25" spans="2:10" s="281" customFormat="1" x14ac:dyDescent="0.35">
      <c r="B25" s="275">
        <v>1</v>
      </c>
      <c r="C25" s="297" t="s">
        <v>259</v>
      </c>
      <c r="D25" s="286" t="s">
        <v>224</v>
      </c>
      <c r="E25" s="275">
        <v>50</v>
      </c>
      <c r="F25" s="298">
        <v>250000</v>
      </c>
      <c r="G25" s="299">
        <v>15000</v>
      </c>
      <c r="H25" s="279">
        <f>F25+G25</f>
        <v>265000</v>
      </c>
      <c r="I25" s="279">
        <f>E25*H25</f>
        <v>13250000</v>
      </c>
      <c r="J25" s="280"/>
    </row>
    <row r="26" spans="2:10" s="281" customFormat="1" x14ac:dyDescent="0.35">
      <c r="B26" s="275">
        <v>2</v>
      </c>
      <c r="C26" s="297" t="s">
        <v>260</v>
      </c>
      <c r="D26" s="286" t="s">
        <v>224</v>
      </c>
      <c r="E26" s="275"/>
      <c r="F26" s="298"/>
      <c r="G26" s="299"/>
      <c r="H26" s="279"/>
      <c r="I26" s="279"/>
      <c r="J26" s="280"/>
    </row>
    <row r="27" spans="2:10" s="281" customFormat="1" x14ac:dyDescent="0.35">
      <c r="B27" s="275"/>
      <c r="C27" s="297" t="s">
        <v>261</v>
      </c>
      <c r="D27" s="286" t="s">
        <v>224</v>
      </c>
      <c r="E27" s="275">
        <v>5</v>
      </c>
      <c r="F27" s="298">
        <v>150000</v>
      </c>
      <c r="G27" s="298">
        <v>5000</v>
      </c>
      <c r="H27" s="279">
        <f>F27+G27</f>
        <v>155000</v>
      </c>
      <c r="I27" s="279">
        <f>E27*H27</f>
        <v>775000</v>
      </c>
      <c r="J27" s="280"/>
    </row>
    <row r="28" spans="2:10" s="281" customFormat="1" x14ac:dyDescent="0.35">
      <c r="B28" s="275"/>
      <c r="C28" s="297" t="s">
        <v>262</v>
      </c>
      <c r="D28" s="286" t="s">
        <v>236</v>
      </c>
      <c r="E28" s="275">
        <v>3</v>
      </c>
      <c r="F28" s="298">
        <v>150000</v>
      </c>
      <c r="G28" s="298">
        <v>5000</v>
      </c>
      <c r="H28" s="279">
        <f>F28+G28</f>
        <v>155000</v>
      </c>
      <c r="I28" s="279">
        <f>E28*H28</f>
        <v>465000</v>
      </c>
      <c r="J28" s="280"/>
    </row>
    <row r="29" spans="2:10" s="281" customFormat="1" x14ac:dyDescent="0.35">
      <c r="B29" s="275"/>
      <c r="C29" s="297" t="s">
        <v>263</v>
      </c>
      <c r="D29" s="286" t="s">
        <v>236</v>
      </c>
      <c r="E29" s="275">
        <v>3</v>
      </c>
      <c r="F29" s="298">
        <v>150000</v>
      </c>
      <c r="G29" s="298">
        <v>5000</v>
      </c>
      <c r="H29" s="279">
        <f>F29+G29</f>
        <v>155000</v>
      </c>
      <c r="I29" s="279">
        <f>E29*H29</f>
        <v>465000</v>
      </c>
      <c r="J29" s="280"/>
    </row>
    <row r="30" spans="2:10" s="296" customFormat="1" ht="18.899999999999999" customHeight="1" x14ac:dyDescent="0.35">
      <c r="B30" s="288" t="s">
        <v>264</v>
      </c>
      <c r="C30" s="289" t="s">
        <v>265</v>
      </c>
      <c r="D30" s="290"/>
      <c r="E30" s="291"/>
      <c r="F30" s="292"/>
      <c r="G30" s="293"/>
      <c r="H30" s="294"/>
      <c r="I30" s="295"/>
      <c r="J30" s="265"/>
    </row>
    <row r="31" spans="2:10" s="281" customFormat="1" x14ac:dyDescent="0.35">
      <c r="B31" s="275">
        <v>1</v>
      </c>
      <c r="C31" s="300" t="s">
        <v>266</v>
      </c>
      <c r="D31" s="286" t="s">
        <v>236</v>
      </c>
      <c r="E31" s="275">
        <v>1</v>
      </c>
      <c r="F31" s="298">
        <v>200000</v>
      </c>
      <c r="G31" s="301">
        <v>10000</v>
      </c>
      <c r="H31" s="279">
        <f t="shared" ref="H31:H38" si="2">F31+G31</f>
        <v>210000</v>
      </c>
      <c r="I31" s="279">
        <f t="shared" ref="I31:I38" si="3">E31*H31</f>
        <v>210000</v>
      </c>
      <c r="J31" s="280" t="s">
        <v>267</v>
      </c>
    </row>
    <row r="32" spans="2:10" s="281" customFormat="1" x14ac:dyDescent="0.35">
      <c r="B32" s="275">
        <v>2</v>
      </c>
      <c r="C32" s="300" t="s">
        <v>268</v>
      </c>
      <c r="D32" s="286" t="s">
        <v>236</v>
      </c>
      <c r="E32" s="275">
        <f>1*2</f>
        <v>2</v>
      </c>
      <c r="F32" s="298">
        <v>250000</v>
      </c>
      <c r="G32" s="301">
        <v>10000</v>
      </c>
      <c r="H32" s="279">
        <f t="shared" si="2"/>
        <v>260000</v>
      </c>
      <c r="I32" s="279">
        <f t="shared" si="3"/>
        <v>520000</v>
      </c>
      <c r="J32" s="280"/>
    </row>
    <row r="33" spans="2:10" s="281" customFormat="1" x14ac:dyDescent="0.35">
      <c r="B33" s="275">
        <v>3</v>
      </c>
      <c r="C33" s="300" t="s">
        <v>269</v>
      </c>
      <c r="D33" s="286" t="s">
        <v>236</v>
      </c>
      <c r="E33" s="275">
        <f>2*2</f>
        <v>4</v>
      </c>
      <c r="F33" s="298">
        <v>25000</v>
      </c>
      <c r="G33" s="301">
        <v>10000</v>
      </c>
      <c r="H33" s="279">
        <f t="shared" si="2"/>
        <v>35000</v>
      </c>
      <c r="I33" s="279">
        <f t="shared" si="3"/>
        <v>140000</v>
      </c>
      <c r="J33" s="280"/>
    </row>
    <row r="34" spans="2:10" s="281" customFormat="1" x14ac:dyDescent="0.35">
      <c r="B34" s="275">
        <v>4</v>
      </c>
      <c r="C34" s="300" t="s">
        <v>270</v>
      </c>
      <c r="D34" s="286"/>
      <c r="E34" s="275"/>
      <c r="F34" s="298"/>
      <c r="G34" s="299"/>
      <c r="H34" s="279"/>
      <c r="I34" s="279"/>
      <c r="J34" s="280"/>
    </row>
    <row r="35" spans="2:10" s="281" customFormat="1" x14ac:dyDescent="0.35">
      <c r="B35" s="275"/>
      <c r="C35" s="300" t="s">
        <v>271</v>
      </c>
      <c r="D35" s="286" t="s">
        <v>236</v>
      </c>
      <c r="E35" s="275">
        <f>2*2</f>
        <v>4</v>
      </c>
      <c r="F35" s="298">
        <v>6000</v>
      </c>
      <c r="G35" s="299">
        <v>1000</v>
      </c>
      <c r="H35" s="279">
        <f t="shared" si="2"/>
        <v>7000</v>
      </c>
      <c r="I35" s="279">
        <f t="shared" si="3"/>
        <v>28000</v>
      </c>
      <c r="J35" s="280"/>
    </row>
    <row r="36" spans="2:10" s="281" customFormat="1" x14ac:dyDescent="0.35">
      <c r="B36" s="275"/>
      <c r="C36" s="300" t="s">
        <v>272</v>
      </c>
      <c r="D36" s="286" t="s">
        <v>236</v>
      </c>
      <c r="E36" s="275">
        <f>2*2</f>
        <v>4</v>
      </c>
      <c r="F36" s="298">
        <v>6000</v>
      </c>
      <c r="G36" s="299">
        <v>1000</v>
      </c>
      <c r="H36" s="279">
        <f t="shared" si="2"/>
        <v>7000</v>
      </c>
      <c r="I36" s="279">
        <f t="shared" si="3"/>
        <v>28000</v>
      </c>
      <c r="J36" s="280"/>
    </row>
    <row r="37" spans="2:10" s="281" customFormat="1" x14ac:dyDescent="0.35">
      <c r="B37" s="275">
        <v>5</v>
      </c>
      <c r="C37" s="300" t="s">
        <v>273</v>
      </c>
      <c r="D37" s="286" t="s">
        <v>224</v>
      </c>
      <c r="E37" s="275">
        <f>140</f>
        <v>140</v>
      </c>
      <c r="F37" s="298">
        <v>20000</v>
      </c>
      <c r="G37" s="301">
        <v>10000</v>
      </c>
      <c r="H37" s="279">
        <f t="shared" si="2"/>
        <v>30000</v>
      </c>
      <c r="I37" s="279">
        <f t="shared" si="3"/>
        <v>4200000</v>
      </c>
      <c r="J37" s="280" t="s">
        <v>274</v>
      </c>
    </row>
    <row r="38" spans="2:10" s="281" customFormat="1" x14ac:dyDescent="0.35">
      <c r="B38" s="275">
        <v>6</v>
      </c>
      <c r="C38" s="300" t="s">
        <v>275</v>
      </c>
      <c r="D38" s="286" t="s">
        <v>224</v>
      </c>
      <c r="E38" s="275">
        <f>135+140</f>
        <v>275</v>
      </c>
      <c r="F38" s="298">
        <v>15000</v>
      </c>
      <c r="G38" s="301">
        <v>10000</v>
      </c>
      <c r="H38" s="279">
        <f t="shared" si="2"/>
        <v>25000</v>
      </c>
      <c r="I38" s="279">
        <f t="shared" si="3"/>
        <v>6875000</v>
      </c>
      <c r="J38" s="280" t="s">
        <v>274</v>
      </c>
    </row>
    <row r="39" spans="2:10" s="304" customFormat="1" ht="18.75" customHeight="1" x14ac:dyDescent="0.35">
      <c r="B39" s="290" t="s">
        <v>276</v>
      </c>
      <c r="C39" s="302" t="s">
        <v>277</v>
      </c>
      <c r="D39" s="303" t="s">
        <v>248</v>
      </c>
      <c r="E39" s="303">
        <v>1</v>
      </c>
      <c r="F39" s="263">
        <v>1000000</v>
      </c>
      <c r="G39" s="263">
        <v>0</v>
      </c>
      <c r="H39" s="264">
        <f>F39+G39</f>
        <v>1000000</v>
      </c>
      <c r="I39" s="264">
        <f>E39*H39</f>
        <v>1000000</v>
      </c>
      <c r="J39" s="265"/>
    </row>
    <row r="40" spans="2:10" s="281" customFormat="1" ht="15.9" customHeight="1" x14ac:dyDescent="0.35">
      <c r="B40" s="305"/>
      <c r="C40" s="306" t="s">
        <v>278</v>
      </c>
      <c r="D40" s="284"/>
      <c r="E40" s="307"/>
      <c r="F40" s="278"/>
      <c r="G40" s="278"/>
      <c r="H40" s="308"/>
      <c r="I40" s="309"/>
      <c r="J40" s="280"/>
    </row>
    <row r="41" spans="2:10" s="281" customFormat="1" ht="15.9" customHeight="1" x14ac:dyDescent="0.35">
      <c r="B41" s="305"/>
      <c r="C41" s="306" t="s">
        <v>279</v>
      </c>
      <c r="D41" s="284"/>
      <c r="E41" s="307"/>
      <c r="F41" s="278"/>
      <c r="G41" s="278"/>
      <c r="H41" s="308"/>
      <c r="I41" s="309"/>
      <c r="J41" s="280"/>
    </row>
    <row r="42" spans="2:10" s="281" customFormat="1" ht="15.9" customHeight="1" x14ac:dyDescent="0.35">
      <c r="B42" s="305"/>
      <c r="C42" s="306" t="s">
        <v>280</v>
      </c>
      <c r="D42" s="284"/>
      <c r="E42" s="307"/>
      <c r="F42" s="278"/>
      <c r="G42" s="278"/>
      <c r="H42" s="308"/>
      <c r="I42" s="309"/>
      <c r="J42" s="280"/>
    </row>
    <row r="43" spans="2:10" s="281" customFormat="1" ht="15.9" customHeight="1" x14ac:dyDescent="0.35">
      <c r="B43" s="305"/>
      <c r="C43" s="306" t="s">
        <v>281</v>
      </c>
      <c r="D43" s="284"/>
      <c r="E43" s="307"/>
      <c r="F43" s="278"/>
      <c r="G43" s="278"/>
      <c r="H43" s="308"/>
      <c r="I43" s="309"/>
      <c r="J43" s="280"/>
    </row>
    <row r="44" spans="2:10" s="281" customFormat="1" ht="15.9" customHeight="1" x14ac:dyDescent="0.35">
      <c r="B44" s="310"/>
      <c r="C44" s="306" t="s">
        <v>282</v>
      </c>
      <c r="D44" s="284"/>
      <c r="E44" s="307"/>
      <c r="F44" s="278"/>
      <c r="G44" s="278"/>
      <c r="H44" s="308"/>
      <c r="I44" s="309"/>
      <c r="J44" s="280"/>
    </row>
    <row r="45" spans="2:10" s="296" customFormat="1" ht="21" customHeight="1" x14ac:dyDescent="0.35">
      <c r="B45" s="290" t="s">
        <v>283</v>
      </c>
      <c r="C45" s="302" t="s">
        <v>284</v>
      </c>
      <c r="D45" s="290"/>
      <c r="E45" s="291"/>
      <c r="F45" s="311"/>
      <c r="G45" s="311"/>
      <c r="H45" s="312"/>
      <c r="I45" s="295"/>
      <c r="J45" s="265"/>
    </row>
    <row r="46" spans="2:10" s="281" customFormat="1" ht="15.9" customHeight="1" x14ac:dyDescent="0.35">
      <c r="B46" s="277">
        <v>1</v>
      </c>
      <c r="C46" s="306" t="s">
        <v>285</v>
      </c>
      <c r="D46" s="277" t="s">
        <v>248</v>
      </c>
      <c r="E46" s="277">
        <v>1</v>
      </c>
      <c r="F46" s="278"/>
      <c r="G46" s="278">
        <v>1000000</v>
      </c>
      <c r="H46" s="279">
        <f>F46+G46</f>
        <v>1000000</v>
      </c>
      <c r="I46" s="279">
        <f>E46*H46</f>
        <v>1000000</v>
      </c>
      <c r="J46" s="280"/>
    </row>
    <row r="47" spans="2:10" s="281" customFormat="1" ht="15.9" customHeight="1" x14ac:dyDescent="0.35">
      <c r="B47" s="277">
        <v>2</v>
      </c>
      <c r="C47" s="306" t="s">
        <v>286</v>
      </c>
      <c r="D47" s="277" t="s">
        <v>248</v>
      </c>
      <c r="E47" s="277">
        <v>1</v>
      </c>
      <c r="F47" s="278"/>
      <c r="G47" s="278">
        <v>1000000</v>
      </c>
      <c r="H47" s="279">
        <f>F47+G47</f>
        <v>1000000</v>
      </c>
      <c r="I47" s="279">
        <f>E47*H47</f>
        <v>1000000</v>
      </c>
      <c r="J47" s="280"/>
    </row>
    <row r="48" spans="2:10" s="281" customFormat="1" ht="15.75" customHeight="1" x14ac:dyDescent="0.35">
      <c r="B48" s="277">
        <v>3</v>
      </c>
      <c r="C48" s="313" t="s">
        <v>287</v>
      </c>
      <c r="D48" s="277" t="s">
        <v>288</v>
      </c>
      <c r="E48" s="277">
        <v>1</v>
      </c>
      <c r="F48" s="278"/>
      <c r="G48" s="278">
        <v>1000000</v>
      </c>
      <c r="H48" s="279">
        <f>F48+G48</f>
        <v>1000000</v>
      </c>
      <c r="I48" s="279">
        <f>E48*H48</f>
        <v>1000000</v>
      </c>
      <c r="J48" s="280"/>
    </row>
    <row r="49" spans="2:10" s="281" customFormat="1" ht="15.9" customHeight="1" x14ac:dyDescent="0.35">
      <c r="B49" s="277">
        <v>4</v>
      </c>
      <c r="C49" s="306" t="s">
        <v>289</v>
      </c>
      <c r="D49" s="277" t="s">
        <v>248</v>
      </c>
      <c r="E49" s="277">
        <v>1</v>
      </c>
      <c r="F49" s="278"/>
      <c r="G49" s="278">
        <v>1500000</v>
      </c>
      <c r="H49" s="279">
        <f>F49+G49</f>
        <v>1500000</v>
      </c>
      <c r="I49" s="279">
        <f>E49*H49</f>
        <v>1500000</v>
      </c>
      <c r="J49" s="280"/>
    </row>
    <row r="50" spans="2:10" s="281" customFormat="1" ht="15.9" customHeight="1" x14ac:dyDescent="0.35">
      <c r="B50" s="277">
        <v>5</v>
      </c>
      <c r="C50" s="306" t="s">
        <v>290</v>
      </c>
      <c r="D50" s="277" t="s">
        <v>248</v>
      </c>
      <c r="E50" s="277">
        <v>1</v>
      </c>
      <c r="F50" s="278"/>
      <c r="G50" s="278">
        <v>5000000</v>
      </c>
      <c r="H50" s="279">
        <f>F50+G50</f>
        <v>5000000</v>
      </c>
      <c r="I50" s="279">
        <f>E50*H50</f>
        <v>5000000</v>
      </c>
      <c r="J50" s="280"/>
    </row>
    <row r="51" spans="2:10" s="296" customFormat="1" ht="21" customHeight="1" x14ac:dyDescent="0.35">
      <c r="B51" s="290" t="s">
        <v>291</v>
      </c>
      <c r="C51" s="302" t="s">
        <v>292</v>
      </c>
      <c r="D51" s="290"/>
      <c r="E51" s="291"/>
      <c r="F51" s="311"/>
      <c r="G51" s="311"/>
      <c r="H51" s="312"/>
      <c r="I51" s="295"/>
      <c r="J51" s="265"/>
    </row>
    <row r="52" spans="2:10" s="274" customFormat="1" ht="15.9" customHeight="1" x14ac:dyDescent="0.35">
      <c r="B52" s="269">
        <v>1</v>
      </c>
      <c r="C52" s="314" t="s">
        <v>293</v>
      </c>
      <c r="D52" s="269" t="s">
        <v>224</v>
      </c>
      <c r="E52" s="269">
        <f>140+135</f>
        <v>275</v>
      </c>
      <c r="F52" s="270">
        <v>40000</v>
      </c>
      <c r="G52" s="270">
        <v>7500</v>
      </c>
      <c r="H52" s="272">
        <f>F52+G52</f>
        <v>47500</v>
      </c>
      <c r="I52" s="272">
        <f>E52*H52</f>
        <v>13062500</v>
      </c>
      <c r="J52" s="315"/>
    </row>
    <row r="53" spans="2:10" s="274" customFormat="1" ht="15.9" customHeight="1" x14ac:dyDescent="0.35">
      <c r="B53" s="269">
        <v>2</v>
      </c>
      <c r="C53" s="314" t="s">
        <v>294</v>
      </c>
      <c r="D53" s="269" t="s">
        <v>236</v>
      </c>
      <c r="E53" s="269">
        <v>2</v>
      </c>
      <c r="F53" s="270">
        <v>2500000</v>
      </c>
      <c r="G53" s="270">
        <v>50000</v>
      </c>
      <c r="H53" s="272">
        <f>F53+G53</f>
        <v>2550000</v>
      </c>
      <c r="I53" s="272">
        <f>E53*H53</f>
        <v>5100000</v>
      </c>
      <c r="J53" s="315"/>
    </row>
    <row r="54" spans="2:10" s="274" customFormat="1" ht="15.9" customHeight="1" x14ac:dyDescent="0.35">
      <c r="B54" s="269">
        <v>3</v>
      </c>
      <c r="C54" s="314" t="s">
        <v>295</v>
      </c>
      <c r="D54" s="269" t="s">
        <v>236</v>
      </c>
      <c r="E54" s="269">
        <v>1</v>
      </c>
      <c r="F54" s="270">
        <v>2500000</v>
      </c>
      <c r="G54" s="270">
        <v>50000</v>
      </c>
      <c r="H54" s="272">
        <f>F54+G54</f>
        <v>2550000</v>
      </c>
      <c r="I54" s="272">
        <f>E54*H54</f>
        <v>2550000</v>
      </c>
      <c r="J54" s="315"/>
    </row>
    <row r="55" spans="2:10" s="274" customFormat="1" ht="15.75" customHeight="1" x14ac:dyDescent="0.35">
      <c r="B55" s="269">
        <v>4</v>
      </c>
      <c r="C55" s="316" t="s">
        <v>296</v>
      </c>
      <c r="D55" s="269" t="s">
        <v>236</v>
      </c>
      <c r="E55" s="269">
        <v>96</v>
      </c>
      <c r="F55" s="270"/>
      <c r="G55" s="270">
        <v>40000</v>
      </c>
      <c r="H55" s="272">
        <f>F55+G55</f>
        <v>40000</v>
      </c>
      <c r="I55" s="272">
        <f>E55*H55</f>
        <v>3840000</v>
      </c>
      <c r="J55" s="315"/>
    </row>
    <row r="56" spans="2:10" s="274" customFormat="1" ht="15.75" customHeight="1" x14ac:dyDescent="0.35">
      <c r="B56" s="269">
        <v>5</v>
      </c>
      <c r="C56" s="316" t="s">
        <v>297</v>
      </c>
      <c r="D56" s="269" t="s">
        <v>236</v>
      </c>
      <c r="E56" s="269">
        <v>48</v>
      </c>
      <c r="F56" s="270"/>
      <c r="G56" s="270">
        <v>40000</v>
      </c>
      <c r="H56" s="272">
        <f>F56+G56</f>
        <v>40000</v>
      </c>
      <c r="I56" s="272">
        <f>E56*H56</f>
        <v>1920000</v>
      </c>
      <c r="J56" s="315"/>
    </row>
    <row r="57" spans="2:10" x14ac:dyDescent="0.35">
      <c r="B57" s="366" t="s">
        <v>298</v>
      </c>
      <c r="C57" s="366"/>
      <c r="D57" s="366"/>
      <c r="E57" s="366"/>
      <c r="F57" s="366"/>
      <c r="G57" s="366"/>
      <c r="H57" s="367"/>
      <c r="I57" s="317">
        <f>SUM(I6:I56)</f>
        <v>116098500</v>
      </c>
      <c r="J57" s="318"/>
    </row>
  </sheetData>
  <mergeCells count="2">
    <mergeCell ref="B1:J1"/>
    <mergeCell ref="B57:H57"/>
  </mergeCells>
  <pageMargins left="0.70866141732283472" right="0.70866141732283472" top="0.35433070866141736" bottom="0.74803149606299213" header="0.31496062992125984" footer="0.31496062992125984"/>
  <pageSetup paperSize="8" scale="61" orientation="landscape" r:id="rId1"/>
  <headerFooter>
    <oddFooter>&amp;L&amp;"+,Italic"&amp;14PT. Infrastruktur Bisnis Sejahtera&amp;C&amp;"+,Italic"&amp;14Page &amp;P of &amp;N&amp;R&amp;"+,Italic"&amp;14Sign Here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Summary</vt:lpstr>
      <vt:lpstr>IRR Approved (2)</vt:lpstr>
      <vt:lpstr>PARAMETER</vt:lpstr>
      <vt:lpstr>Summary Review</vt:lpstr>
      <vt:lpstr>Analisa</vt:lpstr>
      <vt:lpstr>BoQ MANSION</vt:lpstr>
      <vt:lpstr>Analisa!Print_Area</vt:lpstr>
      <vt:lpstr>'BoQ MANSION'!Print_Area</vt:lpstr>
      <vt:lpstr>'IRR Approved (2)'!Print_Area</vt:lpstr>
      <vt:lpstr>Summary!Print_Area</vt:lpstr>
      <vt:lpstr>'Summary Review'!Print_Area</vt:lpstr>
      <vt:lpstr>'BoQ MANSION'!Print_Titles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2024-10-02T09:45:27Z</cp:lastPrinted>
  <dcterms:created xsi:type="dcterms:W3CDTF">2020-06-08T08:40:20Z</dcterms:created>
  <dcterms:modified xsi:type="dcterms:W3CDTF">2024-10-04T06:06:44Z</dcterms:modified>
</cp:coreProperties>
</file>