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/>
  <mc:AlternateContent xmlns:mc="http://schemas.openxmlformats.org/markup-compatibility/2006">
    <mc:Choice Requires="x15">
      <x15ac:absPath xmlns:x15ac="http://schemas.microsoft.com/office/spreadsheetml/2010/11/ac" url="D:\2020 strategic planning\PnL\IBC\Hotel Aston Makassar\"/>
    </mc:Choice>
  </mc:AlternateContent>
  <xr:revisionPtr revIDLastSave="0" documentId="8_{6ACE22BE-522A-4B86-AAFD-9673DC4E0161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Summary" sheetId="4" r:id="rId1"/>
    <sheet name="IRR" sheetId="1" r:id="rId2"/>
    <sheet name="Summary BR" sheetId="5" r:id="rId3"/>
    <sheet name="Parameter" sheetId="2" r:id="rId4"/>
  </sheets>
  <externalReferences>
    <externalReference r:id="rId5"/>
    <externalReference r:id="rId6"/>
  </externalReferences>
  <definedNames>
    <definedName name="jk" localSheetId="2">#REF!</definedName>
    <definedName name="jk">#REF!</definedName>
    <definedName name="_xlnm.Print_Area" localSheetId="1">IRR!$A$1:$L$56</definedName>
    <definedName name="_xlnm.Print_Area" localSheetId="0">Summary!$A$1:$N$34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F45" i="1"/>
  <c r="F47" i="1"/>
  <c r="H25" i="1" l="1"/>
  <c r="I25" i="1"/>
  <c r="J25" i="1"/>
  <c r="K25" i="1"/>
  <c r="G25" i="1"/>
  <c r="G32" i="1" l="1"/>
  <c r="G27" i="1"/>
  <c r="H26" i="1"/>
  <c r="I26" i="1"/>
  <c r="J26" i="1"/>
  <c r="K26" i="1"/>
  <c r="G26" i="1"/>
  <c r="I11" i="2"/>
  <c r="K17" i="2"/>
  <c r="D12" i="2"/>
  <c r="I16" i="2" l="1"/>
  <c r="J16" i="2" s="1"/>
  <c r="F16" i="2"/>
  <c r="I15" i="2"/>
  <c r="H15" i="2"/>
  <c r="J15" i="2" s="1"/>
  <c r="F15" i="2"/>
  <c r="G14" i="2"/>
  <c r="J14" i="2" s="1"/>
  <c r="I13" i="2"/>
  <c r="F13" i="2"/>
  <c r="J13" i="2" s="1"/>
  <c r="F12" i="2"/>
  <c r="J12" i="2" l="1"/>
  <c r="J17" i="2" s="1"/>
  <c r="L18" i="1" l="1"/>
  <c r="L40" i="1"/>
  <c r="D12" i="5" l="1"/>
  <c r="C12" i="5"/>
  <c r="H32" i="1" l="1"/>
  <c r="I32" i="1"/>
  <c r="J32" i="1"/>
  <c r="K32" i="1"/>
  <c r="H28" i="1"/>
  <c r="I28" i="1"/>
  <c r="J28" i="1"/>
  <c r="K28" i="1"/>
  <c r="K29" i="1" s="1"/>
  <c r="K33" i="1" s="1"/>
  <c r="G28" i="1"/>
  <c r="M10" i="4"/>
  <c r="L25" i="1"/>
  <c r="L26" i="1"/>
  <c r="L27" i="1"/>
  <c r="L24" i="1"/>
  <c r="L28" i="1" l="1"/>
  <c r="M11" i="4" s="1"/>
  <c r="H56" i="1"/>
  <c r="I56" i="1"/>
  <c r="J56" i="1"/>
  <c r="K56" i="1"/>
  <c r="G56" i="1"/>
  <c r="I51" i="1"/>
  <c r="J51" i="1" s="1"/>
  <c r="K51" i="1" s="1"/>
  <c r="H51" i="1"/>
  <c r="H50" i="1"/>
  <c r="I50" i="1"/>
  <c r="J50" i="1"/>
  <c r="K50" i="1"/>
  <c r="H27" i="1"/>
  <c r="I27" i="1"/>
  <c r="J27" i="1"/>
  <c r="K27" i="1"/>
  <c r="H21" i="1" l="1"/>
  <c r="I21" i="1"/>
  <c r="J21" i="1"/>
  <c r="K21" i="1"/>
  <c r="J29" i="1" l="1"/>
  <c r="J33" i="1" s="1"/>
  <c r="I29" i="1"/>
  <c r="H29" i="1"/>
  <c r="H30" i="1" l="1"/>
  <c r="H33" i="1"/>
  <c r="I30" i="1"/>
  <c r="I33" i="1"/>
  <c r="K30" i="1"/>
  <c r="J30" i="1"/>
  <c r="B2" i="2" l="1"/>
  <c r="B5" i="2" s="1"/>
  <c r="G35" i="1" s="1"/>
  <c r="L19" i="1"/>
  <c r="L20" i="1"/>
  <c r="L17" i="1"/>
  <c r="G21" i="1"/>
  <c r="L21" i="1" l="1"/>
  <c r="L29" i="1" l="1"/>
  <c r="M12" i="4"/>
  <c r="G51" i="1"/>
  <c r="B4" i="2" l="1"/>
  <c r="L30" i="1" l="1"/>
  <c r="C2" i="2"/>
  <c r="F40" i="1"/>
  <c r="F41" i="1" s="1"/>
  <c r="C5" i="2" l="1"/>
  <c r="D2" i="2"/>
  <c r="H35" i="1" l="1"/>
  <c r="H36" i="1" s="1"/>
  <c r="H37" i="1" s="1"/>
  <c r="H38" i="1" s="1"/>
  <c r="H41" i="1" s="1"/>
  <c r="D5" i="2"/>
  <c r="E2" i="2"/>
  <c r="I35" i="1" l="1"/>
  <c r="I36" i="1" s="1"/>
  <c r="I37" i="1" s="1"/>
  <c r="I38" i="1" s="1"/>
  <c r="I41" i="1" s="1"/>
  <c r="E5" i="2"/>
  <c r="J35" i="1" s="1"/>
  <c r="J36" i="1" s="1"/>
  <c r="J37" i="1" s="1"/>
  <c r="J38" i="1" s="1"/>
  <c r="F2" i="2"/>
  <c r="F42" i="1"/>
  <c r="J41" i="1" l="1"/>
  <c r="F5" i="2"/>
  <c r="K35" i="1" s="1"/>
  <c r="K36" i="1" s="1"/>
  <c r="K37" i="1" s="1"/>
  <c r="K38" i="1" s="1"/>
  <c r="G2" i="2"/>
  <c r="G5" i="2" s="1"/>
  <c r="M16" i="4"/>
  <c r="G29" i="1"/>
  <c r="G30" i="1" l="1"/>
  <c r="G33" i="1"/>
  <c r="G36" i="1" s="1"/>
  <c r="G37" i="1" s="1"/>
  <c r="G38" i="1" s="1"/>
  <c r="L35" i="1"/>
  <c r="K41" i="1"/>
  <c r="H2" i="2"/>
  <c r="G50" i="1"/>
  <c r="I2" i="2" l="1"/>
  <c r="H5" i="2"/>
  <c r="G41" i="1" l="1"/>
  <c r="L41" i="1" s="1"/>
  <c r="J2" i="2"/>
  <c r="I5" i="2"/>
  <c r="L32" i="1"/>
  <c r="M14" i="4" l="1"/>
  <c r="L33" i="1"/>
  <c r="G42" i="1"/>
  <c r="K2" i="2"/>
  <c r="K5" i="2" s="1"/>
  <c r="J5" i="2"/>
  <c r="L36" i="1"/>
  <c r="H42" i="1" l="1"/>
  <c r="I42" i="1" s="1"/>
  <c r="G43" i="1"/>
  <c r="L37" i="1"/>
  <c r="M15" i="4"/>
  <c r="H43" i="1" l="1"/>
  <c r="I43" i="1"/>
  <c r="J42" i="1"/>
  <c r="K42" i="1" s="1"/>
  <c r="K43" i="1" s="1"/>
  <c r="L38" i="1"/>
  <c r="J43" i="1" l="1"/>
  <c r="F48" i="1" l="1"/>
  <c r="M17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1" authorId="0" shapeId="0" xr:uid="{39EFE3E5-41B8-4E2F-90D8-A63A8C250285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<sst xmlns="http://schemas.openxmlformats.org/spreadsheetml/2006/main" count="214" uniqueCount="178">
  <si>
    <t>Assumption: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</si>
  <si>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</si>
  <si>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</si>
  <si>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</si>
  <si>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</si>
  <si>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</si>
  <si>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</si>
  <si>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</si>
  <si>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</si>
  <si>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</si>
  <si>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</si>
  <si>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</si>
  <si>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</si>
  <si>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</si>
  <si>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</si>
  <si>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</si>
  <si>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</si>
  <si>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</si>
  <si>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</si>
  <si>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</si>
  <si>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</si>
  <si>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</si>
  <si>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</si>
  <si>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</si>
  <si>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</si>
  <si>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</si>
  <si>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</si>
  <si>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</si>
  <si>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</si>
  <si>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</si>
  <si>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</si>
  <si>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</si>
  <si>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</si>
  <si>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</si>
  <si>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</si>
  <si>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</si>
  <si>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</si>
  <si>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</si>
  <si>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</si>
  <si>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</si>
  <si>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</si>
  <si>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Interest Rate</t>
  </si>
  <si>
    <t>Lease to BM</t>
  </si>
  <si>
    <t>Maintenance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</si>
  <si>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</si>
  <si>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</si>
  <si>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</si>
  <si>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</si>
  <si>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</si>
  <si>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</si>
  <si>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</si>
  <si>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</si>
  <si>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>loan</t>
  </si>
  <si>
    <t>Period  (thn)</t>
  </si>
  <si>
    <t>Installment/thn</t>
  </si>
  <si>
    <t>Interest</t>
  </si>
  <si>
    <t>DAS</t>
  </si>
  <si>
    <t>BTS</t>
  </si>
  <si>
    <t>Erosion Price</t>
  </si>
  <si>
    <t xml:space="preserve"> 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</si>
  <si>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</si>
  <si>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</si>
  <si>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</si>
  <si>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</si>
  <si>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</si>
  <si>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</si>
  <si>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</si>
  <si>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</si>
  <si>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</si>
  <si>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</si>
  <si>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</si>
  <si>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</si>
  <si>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</si>
  <si>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Antena Asset</t>
  </si>
  <si>
    <t>Interest rate /year</t>
  </si>
  <si>
    <t>Area building</t>
  </si>
  <si>
    <t>Jumlah Pole Makro</t>
  </si>
  <si>
    <t>Kurs 1USD</t>
  </si>
  <si>
    <t>Type of building</t>
  </si>
  <si>
    <t>OPENET</t>
  </si>
  <si>
    <t>Total Capex</t>
  </si>
  <si>
    <t>Status</t>
  </si>
  <si>
    <t>Cable FO (Core)</t>
  </si>
  <si>
    <t>Total Opex</t>
  </si>
  <si>
    <t>Total floor</t>
  </si>
  <si>
    <t>Cable FO (meter)</t>
  </si>
  <si>
    <t>Total Revenue</t>
  </si>
  <si>
    <t>No of building tower</t>
  </si>
  <si>
    <t>Drop Wire (meter)</t>
  </si>
  <si>
    <t>OTHERS</t>
  </si>
  <si>
    <t>Payback (year)</t>
  </si>
  <si>
    <t>Prepared by</t>
  </si>
  <si>
    <t>Revenue</t>
  </si>
  <si>
    <t>Alfredo</t>
  </si>
  <si>
    <t>Approved  by</t>
  </si>
  <si>
    <t>Target Achieve by Commercial:</t>
  </si>
  <si>
    <t>Renewal</t>
  </si>
  <si>
    <t>Hotel Aston Makassar</t>
  </si>
  <si>
    <t>Jl. Sultan Hasanuddin No.10</t>
  </si>
  <si>
    <t>Kota Makassar</t>
  </si>
  <si>
    <t>Sulawesi Selatan</t>
  </si>
  <si>
    <t xml:space="preserve">Hotel </t>
  </si>
  <si>
    <t>SUMMARY REVIEW</t>
  </si>
  <si>
    <t xml:space="preserve">Nama Site                   </t>
  </si>
  <si>
    <t>: Hotel Aston makassar</t>
  </si>
  <si>
    <t xml:space="preserve">Nama Pemilik           </t>
  </si>
  <si>
    <t>: PT. Megahputra Hotel makassar</t>
  </si>
  <si>
    <t xml:space="preserve">Alamat Pemilik       </t>
  </si>
  <si>
    <t xml:space="preserve">: Jln. Sultan Hassanudin No.10 </t>
  </si>
  <si>
    <t xml:space="preserve">Telp                           </t>
  </si>
  <si>
    <t>: (0411) 3623222</t>
  </si>
  <si>
    <t xml:space="preserve">Obyek Sewa             </t>
  </si>
  <si>
    <t>: 84 titik antenna,  unit pole, RBS room 40 m2</t>
  </si>
  <si>
    <t xml:space="preserve">No. </t>
  </si>
  <si>
    <t>Keterangan</t>
  </si>
  <si>
    <t>Existing</t>
  </si>
  <si>
    <t>1.</t>
  </si>
  <si>
    <t>Scope Of Lease</t>
  </si>
  <si>
    <t xml:space="preserve">IBC </t>
  </si>
  <si>
    <t>2.</t>
  </si>
  <si>
    <t>Obyek Sewa</t>
  </si>
  <si>
    <t>3.</t>
  </si>
  <si>
    <t>Periode Sewa</t>
  </si>
  <si>
    <t>18 April 2018 s/d 17 September 2022 (4 th 5 bln)</t>
  </si>
  <si>
    <t>18 September 2022 s/d 17 September 2027 (5 tahun)</t>
  </si>
  <si>
    <t>4.</t>
  </si>
  <si>
    <t>Harga Sewa / Masa sewa</t>
  </si>
  <si>
    <t>Harga Sewa / tahun</t>
  </si>
  <si>
    <t>5.</t>
  </si>
  <si>
    <t>Operator Joint</t>
  </si>
  <si>
    <t>Indosat ( 03 September 2017 - 02 September 2022)</t>
  </si>
  <si>
    <t>Indosat ( 03 September 2022 - 02 September 2027)</t>
  </si>
  <si>
    <t>6.</t>
  </si>
  <si>
    <t>Kenaikan/ Penurunan Harga</t>
  </si>
  <si>
    <t>Mengalami penurunan sebesar 32,49%</t>
  </si>
  <si>
    <t>Note :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</si>
  <si>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</si>
  <si>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</si>
  <si>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</si>
  <si>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</si>
  <si>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</si>
  <si>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</si>
  <si>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</si>
  <si>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</si>
  <si>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</si>
  <si>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</si>
  <si>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</si>
  <si>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</si>
  <si>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</si>
  <si>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</si>
  <si>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</si>
  <si>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</si>
  <si>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</si>
  <si>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</si>
  <si>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</si>
  <si>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</si>
  <si>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</si>
  <si>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</si>
  <si>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</si>
  <si>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</si>
  <si>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</si>
  <si>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</si>
  <si>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</si>
  <si>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</si>
  <si>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</si>
  <si>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</si>
  <si>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PM/Year/Site</t>
  </si>
  <si>
    <t>CM /Year/Oprt</t>
  </si>
  <si>
    <t>0-100</t>
  </si>
  <si>
    <t>101-200</t>
  </si>
  <si>
    <t>201-</t>
  </si>
  <si>
    <t>0-200</t>
  </si>
  <si>
    <t>Listrik/Oprt/year DAS+1Pole 3sektor</t>
  </si>
  <si>
    <t>Listrik/Oprt/year  DAS+2Pole 6sektor</t>
  </si>
  <si>
    <t>LISTRIK</t>
  </si>
  <si>
    <t>NO :  0003/02/IRR/IBC/V/2023</t>
  </si>
  <si>
    <t>HOTEL ASTON MAKASAR</t>
  </si>
  <si>
    <t>: Nilai capex adalah nilai retrofit yang dicadangkan di IRR sebelumnya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</si>
</sst>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</numFmts>
  <fonts count="3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202124"/>
      <name val="Arial"/>
      <family val="2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sz val="9"/>
      <name val="Arial"/>
      <family val="2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6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0" fontId="20" fillId="0" borderId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" fillId="0" borderId="0"/>
    <xf numFmtId="166" fontId="2" fillId="0" borderId="0" applyFont="0" applyFill="0" applyBorder="0" applyAlignment="0" applyProtection="0"/>
    <xf numFmtId="0" fontId="20" fillId="0" borderId="0"/>
    <xf numFmtId="164" fontId="20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05">
    <xf numFmtId="0" fontId="0" fillId="0" borderId="0" xfId="0"/>
    <xf numFmtId="0" fontId="7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8" fillId="0" borderId="0" xfId="2" applyNumberFormat="1" applyFont="1"/>
    <xf numFmtId="10" fontId="8" fillId="0" borderId="0" xfId="2" applyNumberFormat="1" applyFont="1"/>
    <xf numFmtId="0" fontId="0" fillId="0" borderId="1" xfId="0" applyBorder="1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8" fillId="0" borderId="0" xfId="0" applyNumberFormat="1" applyFont="1" applyBorder="1"/>
    <xf numFmtId="0" fontId="7" fillId="0" borderId="1" xfId="0" applyFont="1" applyBorder="1"/>
    <xf numFmtId="41" fontId="0" fillId="0" borderId="0" xfId="0" applyNumberFormat="1" applyAlignment="1">
      <alignment vertical="center"/>
    </xf>
    <xf numFmtId="41" fontId="0" fillId="0" borderId="0" xfId="0" applyNumberFormat="1"/>
    <xf numFmtId="0" fontId="9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4" fillId="0" borderId="0" xfId="0" applyFont="1"/>
    <xf numFmtId="0" fontId="14" fillId="0" borderId="0" xfId="0" applyFont="1" applyAlignment="1">
      <alignment vertical="center"/>
    </xf>
    <xf numFmtId="41" fontId="0" fillId="0" borderId="2" xfId="2" applyFont="1" applyBorder="1" applyAlignment="1">
      <alignment vertical="center"/>
    </xf>
    <xf numFmtId="41" fontId="7" fillId="0" borderId="0" xfId="0" applyNumberFormat="1" applyFont="1" applyAlignment="1">
      <alignment vertical="center"/>
    </xf>
    <xf numFmtId="0" fontId="15" fillId="0" borderId="0" xfId="0" applyFont="1"/>
    <xf numFmtId="0" fontId="16" fillId="0" borderId="0" xfId="0" applyFont="1"/>
    <xf numFmtId="9" fontId="15" fillId="0" borderId="0" xfId="3" applyFont="1" applyAlignment="1">
      <alignment vertical="center"/>
    </xf>
    <xf numFmtId="0" fontId="0" fillId="0" borderId="0" xfId="0" applyFill="1" applyBorder="1"/>
    <xf numFmtId="38" fontId="10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3" fillId="0" borderId="0" xfId="1" applyNumberFormat="1" applyFont="1"/>
    <xf numFmtId="0" fontId="0" fillId="0" borderId="0" xfId="0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7" fillId="0" borderId="4" xfId="0" applyFont="1" applyBorder="1"/>
    <xf numFmtId="0" fontId="0" fillId="0" borderId="4" xfId="0" applyBorder="1"/>
    <xf numFmtId="167" fontId="7" fillId="0" borderId="4" xfId="0" applyNumberFormat="1" applyFont="1" applyBorder="1" applyAlignment="1">
      <alignment vertical="center"/>
    </xf>
    <xf numFmtId="0" fontId="0" fillId="0" borderId="0" xfId="0" applyBorder="1"/>
    <xf numFmtId="41" fontId="12" fillId="0" borderId="0" xfId="0" applyNumberFormat="1" applyFont="1" applyBorder="1"/>
    <xf numFmtId="41" fontId="11" fillId="0" borderId="0" xfId="0" applyNumberFormat="1" applyFont="1" applyBorder="1"/>
    <xf numFmtId="167" fontId="7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4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7" fillId="3" borderId="0" xfId="0" applyNumberFormat="1" applyFont="1" applyFill="1" applyBorder="1" applyAlignment="1">
      <alignment vertical="center"/>
    </xf>
    <xf numFmtId="0" fontId="7" fillId="3" borderId="0" xfId="0" applyFont="1" applyFill="1" applyBorder="1"/>
    <xf numFmtId="9" fontId="15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7" fillId="0" borderId="0" xfId="0" applyFont="1" applyBorder="1" applyAlignment="1">
      <alignment horizontal="center"/>
    </xf>
    <xf numFmtId="0" fontId="18" fillId="0" borderId="6" xfId="0" applyFont="1" applyBorder="1"/>
    <xf numFmtId="0" fontId="18" fillId="0" borderId="3" xfId="0" applyFont="1" applyBorder="1"/>
    <xf numFmtId="0" fontId="18" fillId="0" borderId="8" xfId="0" applyFont="1" applyBorder="1"/>
    <xf numFmtId="0" fontId="18" fillId="0" borderId="0" xfId="0" applyFont="1" applyBorder="1"/>
    <xf numFmtId="41" fontId="18" fillId="0" borderId="9" xfId="0" applyNumberFormat="1" applyFont="1" applyBorder="1"/>
    <xf numFmtId="9" fontId="18" fillId="0" borderId="9" xfId="3" applyFont="1" applyBorder="1"/>
    <xf numFmtId="0" fontId="18" fillId="0" borderId="10" xfId="0" applyFont="1" applyBorder="1"/>
    <xf numFmtId="0" fontId="18" fillId="0" borderId="2" xfId="0" applyFont="1" applyBorder="1"/>
    <xf numFmtId="168" fontId="18" fillId="0" borderId="11" xfId="1" applyNumberFormat="1" applyFont="1" applyBorder="1"/>
    <xf numFmtId="0" fontId="7" fillId="0" borderId="12" xfId="0" applyFont="1" applyBorder="1"/>
    <xf numFmtId="41" fontId="7" fillId="0" borderId="12" xfId="0" applyNumberFormat="1" applyFont="1" applyBorder="1" applyAlignment="1">
      <alignment vertical="center"/>
    </xf>
    <xf numFmtId="167" fontId="6" fillId="0" borderId="0" xfId="17" applyNumberFormat="1" applyFont="1"/>
    <xf numFmtId="41" fontId="0" fillId="0" borderId="0" xfId="2" applyFont="1" applyAlignment="1">
      <alignment vertical="center"/>
    </xf>
    <xf numFmtId="41" fontId="6" fillId="0" borderId="0" xfId="2" applyFont="1" applyFill="1"/>
    <xf numFmtId="167" fontId="0" fillId="4" borderId="0" xfId="0" applyNumberFormat="1" applyFill="1" applyAlignment="1">
      <alignment vertical="center"/>
    </xf>
    <xf numFmtId="0" fontId="18" fillId="5" borderId="1" xfId="0" applyFont="1" applyFill="1" applyBorder="1" applyAlignment="1">
      <alignment horizontal="center"/>
    </xf>
    <xf numFmtId="0" fontId="10" fillId="5" borderId="0" xfId="0" applyFont="1" applyFill="1"/>
    <xf numFmtId="41" fontId="10" fillId="5" borderId="0" xfId="0" applyNumberFormat="1" applyFont="1" applyFill="1" applyAlignment="1">
      <alignment vertical="center"/>
    </xf>
    <xf numFmtId="41" fontId="18" fillId="5" borderId="12" xfId="0" applyNumberFormat="1" applyFont="1" applyFill="1" applyBorder="1" applyAlignment="1">
      <alignment vertical="center"/>
    </xf>
    <xf numFmtId="166" fontId="19" fillId="5" borderId="0" xfId="1" applyFont="1" applyFill="1"/>
    <xf numFmtId="41" fontId="10" fillId="5" borderId="0" xfId="0" applyNumberFormat="1" applyFont="1" applyFill="1" applyBorder="1" applyAlignment="1">
      <alignment vertical="center"/>
    </xf>
    <xf numFmtId="9" fontId="15" fillId="5" borderId="0" xfId="3" applyFont="1" applyFill="1" applyAlignment="1">
      <alignment vertical="center"/>
    </xf>
    <xf numFmtId="41" fontId="10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38" fontId="0" fillId="5" borderId="0" xfId="0" applyNumberFormat="1" applyFill="1"/>
    <xf numFmtId="167" fontId="13" fillId="5" borderId="0" xfId="1" applyNumberFormat="1" applyFont="1" applyFill="1"/>
    <xf numFmtId="0" fontId="10" fillId="0" borderId="0" xfId="0" applyFont="1"/>
    <xf numFmtId="41" fontId="18" fillId="0" borderId="4" xfId="0" applyNumberFormat="1" applyFont="1" applyBorder="1"/>
    <xf numFmtId="41" fontId="18" fillId="0" borderId="0" xfId="0" applyNumberFormat="1" applyFont="1" applyBorder="1"/>
    <xf numFmtId="41" fontId="21" fillId="0" borderId="0" xfId="0" applyNumberFormat="1" applyFont="1" applyBorder="1"/>
    <xf numFmtId="41" fontId="7" fillId="5" borderId="12" xfId="0" applyNumberFormat="1" applyFont="1" applyFill="1" applyBorder="1" applyAlignment="1">
      <alignment vertical="center"/>
    </xf>
    <xf numFmtId="41" fontId="18" fillId="0" borderId="0" xfId="0" applyNumberFormat="1" applyFont="1" applyFill="1" applyBorder="1"/>
    <xf numFmtId="41" fontId="12" fillId="0" borderId="0" xfId="0" applyNumberFormat="1" applyFont="1" applyFill="1" applyBorder="1"/>
    <xf numFmtId="41" fontId="18" fillId="0" borderId="0" xfId="0" applyNumberFormat="1" applyFont="1"/>
    <xf numFmtId="0" fontId="18" fillId="0" borderId="0" xfId="0" applyFont="1"/>
    <xf numFmtId="41" fontId="0" fillId="0" borderId="0" xfId="2" applyFont="1"/>
    <xf numFmtId="41" fontId="0" fillId="5" borderId="0" xfId="2" applyFont="1" applyFill="1" applyBorder="1"/>
    <xf numFmtId="0" fontId="0" fillId="0" borderId="0" xfId="0" applyFont="1" applyBorder="1"/>
    <xf numFmtId="0" fontId="0" fillId="0" borderId="0" xfId="0" applyFont="1"/>
    <xf numFmtId="0" fontId="22" fillId="0" borderId="0" xfId="0" applyFont="1" applyBorder="1"/>
    <xf numFmtId="0" fontId="7" fillId="0" borderId="0" xfId="0" applyFont="1" applyBorder="1"/>
    <xf numFmtId="0" fontId="22" fillId="0" borderId="0" xfId="0" applyFont="1" applyBorder="1" applyAlignment="1"/>
    <xf numFmtId="14" fontId="22" fillId="0" borderId="0" xfId="0" applyNumberFormat="1" applyFont="1" applyBorder="1" applyAlignment="1"/>
    <xf numFmtId="0" fontId="23" fillId="0" borderId="0" xfId="0" applyFont="1"/>
    <xf numFmtId="0" fontId="0" fillId="0" borderId="18" xfId="0" applyFont="1" applyBorder="1"/>
    <xf numFmtId="0" fontId="7" fillId="0" borderId="16" xfId="0" applyFont="1" applyBorder="1" applyAlignment="1">
      <alignment horizontal="left"/>
    </xf>
    <xf numFmtId="41" fontId="0" fillId="0" borderId="0" xfId="2" applyFont="1" applyBorder="1"/>
    <xf numFmtId="167" fontId="0" fillId="0" borderId="0" xfId="18" applyNumberFormat="1" applyFont="1" applyFill="1" applyBorder="1" applyAlignment="1" applyProtection="1">
      <alignment horizontal="right"/>
      <protection locked="0"/>
    </xf>
    <xf numFmtId="0" fontId="0" fillId="0" borderId="19" xfId="0" applyFont="1" applyBorder="1"/>
    <xf numFmtId="41" fontId="0" fillId="0" borderId="0" xfId="2" applyFont="1" applyFill="1" applyBorder="1"/>
    <xf numFmtId="0" fontId="0" fillId="0" borderId="20" xfId="0" applyFont="1" applyBorder="1"/>
    <xf numFmtId="9" fontId="0" fillId="0" borderId="0" xfId="2" applyNumberFormat="1" applyFont="1" applyBorder="1"/>
    <xf numFmtId="0" fontId="0" fillId="0" borderId="19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167" fontId="0" fillId="0" borderId="0" xfId="18" applyNumberFormat="1" applyFont="1" applyFill="1" applyBorder="1" applyAlignment="1" applyProtection="1">
      <alignment horizontal="center"/>
      <protection locked="0"/>
    </xf>
    <xf numFmtId="0" fontId="0" fillId="0" borderId="19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7" fillId="0" borderId="19" xfId="0" applyFont="1" applyBorder="1" applyAlignment="1">
      <alignment horizontal="left"/>
    </xf>
    <xf numFmtId="167" fontId="0" fillId="0" borderId="0" xfId="18" applyNumberFormat="1" applyFont="1" applyBorder="1"/>
    <xf numFmtId="0" fontId="0" fillId="0" borderId="19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1" xfId="0" applyFont="1" applyBorder="1" applyAlignment="1">
      <alignment horizontal="left" indent="1"/>
    </xf>
    <xf numFmtId="0" fontId="7" fillId="0" borderId="21" xfId="0" applyFont="1" applyBorder="1" applyAlignment="1">
      <alignment horizontal="left"/>
    </xf>
    <xf numFmtId="9" fontId="7" fillId="0" borderId="18" xfId="2" applyNumberFormat="1" applyFont="1" applyBorder="1"/>
    <xf numFmtId="0" fontId="0" fillId="0" borderId="21" xfId="0" applyFont="1" applyBorder="1"/>
    <xf numFmtId="41" fontId="7" fillId="0" borderId="20" xfId="2" applyFont="1" applyBorder="1" applyAlignment="1">
      <alignment horizontal="right"/>
    </xf>
    <xf numFmtId="9" fontId="7" fillId="0" borderId="20" xfId="2" applyNumberFormat="1" applyFont="1" applyBorder="1"/>
    <xf numFmtId="169" fontId="7" fillId="0" borderId="23" xfId="2" applyNumberFormat="1" applyFont="1" applyBorder="1" applyAlignment="1">
      <alignment horizontal="right"/>
    </xf>
    <xf numFmtId="0" fontId="0" fillId="0" borderId="22" xfId="0" applyFont="1" applyBorder="1"/>
    <xf numFmtId="0" fontId="0" fillId="0" borderId="1" xfId="0" applyFont="1" applyBorder="1"/>
    <xf numFmtId="0" fontId="0" fillId="0" borderId="23" xfId="0" applyFont="1" applyBorder="1"/>
    <xf numFmtId="0" fontId="0" fillId="0" borderId="14" xfId="0" applyFont="1" applyBorder="1" applyAlignment="1">
      <alignment horizontal="left" indent="1"/>
    </xf>
    <xf numFmtId="0" fontId="7" fillId="0" borderId="16" xfId="0" applyFont="1" applyBorder="1"/>
    <xf numFmtId="0" fontId="0" fillId="0" borderId="17" xfId="0" applyFont="1" applyBorder="1"/>
    <xf numFmtId="0" fontId="7" fillId="0" borderId="17" xfId="0" applyFont="1" applyBorder="1"/>
    <xf numFmtId="0" fontId="24" fillId="0" borderId="0" xfId="0" applyFont="1"/>
    <xf numFmtId="0" fontId="0" fillId="0" borderId="0" xfId="0" applyFont="1" applyBorder="1" applyAlignment="1">
      <alignment horizontal="left" vertical="justify" wrapText="1"/>
    </xf>
    <xf numFmtId="0" fontId="0" fillId="0" borderId="0" xfId="2" applyNumberFormat="1" applyFont="1" applyBorder="1" applyAlignment="1">
      <alignment horizontal="left"/>
    </xf>
    <xf numFmtId="9" fontId="18" fillId="0" borderId="7" xfId="0" applyNumberFormat="1" applyFont="1" applyBorder="1"/>
    <xf numFmtId="41" fontId="18" fillId="5" borderId="0" xfId="2" applyFont="1" applyFill="1" applyAlignment="1">
      <alignment vertical="center"/>
    </xf>
    <xf numFmtId="0" fontId="20" fillId="0" borderId="0" xfId="19" applyFont="1"/>
    <xf numFmtId="0" fontId="26" fillId="0" borderId="0" xfId="19" applyFont="1"/>
    <xf numFmtId="49" fontId="27" fillId="0" borderId="0" xfId="19" applyNumberFormat="1" applyFont="1" applyBorder="1" applyAlignment="1">
      <alignment wrapText="1"/>
    </xf>
    <xf numFmtId="0" fontId="20" fillId="0" borderId="24" xfId="19" applyFont="1" applyBorder="1" applyAlignment="1">
      <alignment horizontal="center" vertical="center"/>
    </xf>
    <xf numFmtId="0" fontId="20" fillId="0" borderId="24" xfId="19" applyFont="1" applyBorder="1"/>
    <xf numFmtId="49" fontId="20" fillId="0" borderId="24" xfId="19" applyNumberFormat="1" applyFont="1" applyBorder="1" applyAlignment="1">
      <alignment wrapText="1"/>
    </xf>
    <xf numFmtId="0" fontId="20" fillId="0" borderId="24" xfId="19" applyFont="1" applyBorder="1" applyAlignment="1">
      <alignment horizontal="left"/>
    </xf>
    <xf numFmtId="164" fontId="0" fillId="0" borderId="24" xfId="20" applyFont="1" applyBorder="1"/>
    <xf numFmtId="0" fontId="20" fillId="0" borderId="25" xfId="19" applyFont="1" applyBorder="1" applyAlignment="1">
      <alignment horizontal="center" vertical="center"/>
    </xf>
    <xf numFmtId="0" fontId="20" fillId="0" borderId="25" xfId="19" applyFont="1" applyBorder="1" applyAlignment="1">
      <alignment vertical="center"/>
    </xf>
    <xf numFmtId="164" fontId="0" fillId="0" borderId="24" xfId="20" applyFont="1" applyBorder="1" applyAlignment="1">
      <alignment wrapText="1"/>
    </xf>
    <xf numFmtId="165" fontId="20" fillId="0" borderId="0" xfId="21" applyFont="1"/>
    <xf numFmtId="165" fontId="20" fillId="0" borderId="0" xfId="19" applyNumberFormat="1" applyFont="1"/>
    <xf numFmtId="164" fontId="20" fillId="0" borderId="0" xfId="19" applyNumberFormat="1" applyFont="1"/>
    <xf numFmtId="165" fontId="0" fillId="5" borderId="2" xfId="1" applyNumberFormat="1" applyFont="1" applyFill="1" applyBorder="1"/>
    <xf numFmtId="0" fontId="0" fillId="0" borderId="24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7" borderId="24" xfId="0" applyFill="1" applyBorder="1"/>
    <xf numFmtId="0" fontId="0" fillId="7" borderId="0" xfId="0" applyFill="1" applyAlignment="1">
      <alignment horizontal="center"/>
    </xf>
    <xf numFmtId="0" fontId="0" fillId="7" borderId="24" xfId="0" applyFill="1" applyBorder="1" applyAlignment="1">
      <alignment horizontal="center"/>
    </xf>
    <xf numFmtId="0" fontId="0" fillId="0" borderId="24" xfId="0" applyBorder="1"/>
    <xf numFmtId="167" fontId="0" fillId="0" borderId="24" xfId="0" applyNumberFormat="1" applyBorder="1"/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8" borderId="24" xfId="1" applyNumberFormat="1" applyFont="1" applyFill="1" applyBorder="1"/>
    <xf numFmtId="0" fontId="20" fillId="0" borderId="0" xfId="19" applyFont="1" applyAlignment="1"/>
    <xf numFmtId="167" fontId="0" fillId="9" borderId="24" xfId="0" applyNumberFormat="1" applyFill="1" applyBorder="1"/>
    <xf numFmtId="0" fontId="0" fillId="9" borderId="0" xfId="0" applyFill="1" applyAlignment="1">
      <alignment horizontal="center"/>
    </xf>
    <xf numFmtId="0" fontId="32" fillId="0" borderId="0" xfId="0" applyFont="1" applyAlignment="1">
      <alignment vertical="center"/>
    </xf>
    <xf numFmtId="0" fontId="7" fillId="0" borderId="19" xfId="0" applyFont="1" applyFill="1" applyBorder="1" applyAlignment="1" applyProtection="1">
      <alignment horizontal="left" indent="1"/>
    </xf>
    <xf numFmtId="0" fontId="7" fillId="0" borderId="0" xfId="0" applyFont="1" applyFill="1" applyBorder="1" applyAlignment="1" applyProtection="1">
      <alignment horizontal="left" indent="1"/>
    </xf>
    <xf numFmtId="0" fontId="7" fillId="0" borderId="22" xfId="0" applyFont="1" applyFill="1" applyBorder="1" applyAlignment="1" applyProtection="1">
      <alignment horizontal="left" indent="1"/>
    </xf>
    <xf numFmtId="0" fontId="7" fillId="0" borderId="1" xfId="0" applyFont="1" applyFill="1" applyBorder="1" applyAlignment="1" applyProtection="1">
      <alignment horizontal="left" indent="1"/>
    </xf>
    <xf numFmtId="0" fontId="7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9" xfId="0" quotePrefix="1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7" fillId="0" borderId="19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16" xfId="0" applyFont="1" applyFill="1" applyBorder="1" applyAlignment="1" applyProtection="1">
      <alignment horizontal="left" indent="1"/>
    </xf>
    <xf numFmtId="0" fontId="7" fillId="0" borderId="17" xfId="0" applyFont="1" applyFill="1" applyBorder="1" applyAlignment="1" applyProtection="1">
      <alignment horizontal="left" indent="1"/>
    </xf>
    <xf numFmtId="0" fontId="0" fillId="0" borderId="19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19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2" fillId="0" borderId="13" xfId="0" applyFont="1" applyBorder="1" applyAlignment="1">
      <alignment horizontal="center"/>
    </xf>
    <xf numFmtId="0" fontId="22" fillId="0" borderId="14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41" fontId="7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0" fillId="0" borderId="10" xfId="19" applyFont="1" applyBorder="1" applyAlignment="1">
      <alignment horizontal="center"/>
    </xf>
    <xf numFmtId="0" fontId="20" fillId="0" borderId="11" xfId="19" applyFont="1" applyBorder="1" applyAlignment="1">
      <alignment horizontal="center"/>
    </xf>
    <xf numFmtId="0" fontId="25" fillId="0" borderId="0" xfId="19" applyFont="1" applyAlignment="1">
      <alignment horizontal="center"/>
    </xf>
    <xf numFmtId="0" fontId="28" fillId="6" borderId="24" xfId="19" applyFont="1" applyFill="1" applyBorder="1" applyAlignment="1">
      <alignment horizontal="center" vertical="center"/>
    </xf>
    <xf numFmtId="0" fontId="29" fillId="6" borderId="25" xfId="19" applyFont="1" applyFill="1" applyBorder="1" applyAlignment="1">
      <alignment horizontal="center" vertical="center"/>
    </xf>
    <xf numFmtId="0" fontId="29" fillId="6" borderId="26" xfId="19" applyFont="1" applyFill="1" applyBorder="1" applyAlignment="1">
      <alignment horizontal="center" vertical="center"/>
    </xf>
    <xf numFmtId="0" fontId="20" fillId="0" borderId="25" xfId="19" applyFont="1" applyBorder="1" applyAlignment="1">
      <alignment horizontal="center" vertical="center"/>
    </xf>
    <xf numFmtId="0" fontId="20" fillId="0" borderId="26" xfId="19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</cellXfs>
  <cellStyles count="22">
    <cellStyle name="Comma" xfId="1" builtinId="3"/>
    <cellStyle name="Comma [0]" xfId="2" builtinId="6"/>
    <cellStyle name="Comma [0] 2" xfId="9" xr:uid="{00000000-0005-0000-0000-000002000000}"/>
    <cellStyle name="Comma [0] 3" xfId="21" xr:uid="{1B371FB0-EFDF-4880-96D6-71D99CCEFCBB}"/>
    <cellStyle name="Comma 2" xfId="7" xr:uid="{00000000-0005-0000-0000-000003000000}"/>
    <cellStyle name="Comma 3" xfId="10" xr:uid="{00000000-0005-0000-0000-000004000000}"/>
    <cellStyle name="Comma 3 2" xfId="11" xr:uid="{00000000-0005-0000-0000-000005000000}"/>
    <cellStyle name="Comma 4" xfId="12" xr:uid="{00000000-0005-0000-0000-000006000000}"/>
    <cellStyle name="Comma 5 2" xfId="18" xr:uid="{330910FA-8A77-48CD-92F7-8915FA2BEE9C}"/>
    <cellStyle name="Currency [0] 2" xfId="20" xr:uid="{89527320-812A-408A-A1C5-E6A8B3A89FD7}"/>
    <cellStyle name="Normal" xfId="0" builtinId="0"/>
    <cellStyle name="Normal 2" xfId="5" xr:uid="{00000000-0005-0000-0000-000008000000}"/>
    <cellStyle name="Normal 2 2" xfId="6" xr:uid="{00000000-0005-0000-0000-000009000000}"/>
    <cellStyle name="Normal 2 2 2 2 3" xfId="17" xr:uid="{14775402-98CB-443A-B2F6-42DDCDFB1FF0}"/>
    <cellStyle name="Normal 3" xfId="13" xr:uid="{00000000-0005-0000-0000-00000A000000}"/>
    <cellStyle name="Normal 3 2" xfId="14" xr:uid="{00000000-0005-0000-0000-00000B000000}"/>
    <cellStyle name="Normal 3 3" xfId="19" xr:uid="{DFC58D3D-E472-4A48-8668-31E5F5289353}"/>
    <cellStyle name="Percent" xfId="3" builtinId="5"/>
    <cellStyle name="Percent 2" xfId="8" xr:uid="{00000000-0005-0000-0000-00000D000000}"/>
    <cellStyle name="Percent 2 2" xfId="4" xr:uid="{00000000-0005-0000-0000-00000E000000}"/>
    <cellStyle name="Percent 3" xfId="15" xr:uid="{00000000-0005-0000-0000-00000F000000}"/>
    <cellStyle name="Percent 3 2" xfId="16" xr:uid="{00000000-0005-0000-0000-00001000000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C4461E3-F6B3-45E3-9DFF-D37A43C25A60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93133</xdr:colOff>
      <xdr:row>26</xdr:row>
      <xdr:rowOff>8467</xdr:rowOff>
    </xdr:from>
    <xdr:to>
      <xdr:col>14</xdr:col>
      <xdr:colOff>179137</xdr:colOff>
      <xdr:row>33</xdr:row>
      <xdr:rowOff>15598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3F9CA60-46E4-4B9A-BFE8-5AE98F85E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133" y="5147734"/>
          <a:ext cx="9424737" cy="13702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E43B7-8076-42E7-A06C-63E24BF1D0BB}">
  <sheetPr>
    <pageSetUpPr fitToPage="1"/>
  </sheetPr>
  <dimension ref="B1:R26"/>
  <sheetViews>
    <sheetView showGridLines="0" tabSelected="1" topLeftCell="A16" zoomScale="90" zoomScaleNormal="90" workbookViewId="0">
      <selection activeCell="D20" sqref="D20"/>
    </sheetView>
  </sheetViews>
  <sheetFormatPr defaultColWidth="8.6640625" defaultRowHeight="15.5" x14ac:dyDescent="0.35"/>
  <cols>
    <col min="1" max="1" width="4.1640625" style="94" customWidth="1"/>
    <col min="2" max="2" width="3" style="94" customWidth="1"/>
    <col min="3" max="3" width="16.6640625" style="94" customWidth="1"/>
    <col min="4" max="4" width="20.83203125" style="94" customWidth="1"/>
    <col min="5" max="5" width="4.1640625" style="94" customWidth="1"/>
    <col min="6" max="6" width="4.9140625" style="94" customWidth="1"/>
    <col min="7" max="7" width="10.6640625" style="94" customWidth="1"/>
    <col min="8" max="8" width="8.4140625" style="94" customWidth="1"/>
    <col min="9" max="9" width="5.33203125" style="94" customWidth="1"/>
    <col min="10" max="10" width="2.08203125" style="94" customWidth="1"/>
    <col min="11" max="11" width="5.08203125" style="94" customWidth="1"/>
    <col min="12" max="12" width="18.4140625" style="94" bestFit="1" customWidth="1"/>
    <col min="13" max="13" width="16.5" style="94" customWidth="1"/>
    <col min="14" max="14" width="2.08203125" style="94" customWidth="1"/>
    <col min="15" max="15" width="3.6640625" style="94" customWidth="1"/>
    <col min="16" max="16384" width="8.6640625" style="94"/>
  </cols>
  <sheetData>
    <row r="1" spans="2:18" ht="8.5" customHeight="1" x14ac:dyDescent="0.35"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2:18" ht="18.5" x14ac:dyDescent="0.45">
      <c r="B2" s="93"/>
      <c r="C2" s="95" t="s">
        <v>60</v>
      </c>
      <c r="D2" s="96" t="s">
        <v>61</v>
      </c>
      <c r="E2" s="93"/>
      <c r="F2" s="93"/>
      <c r="G2" s="93"/>
      <c r="H2" s="93"/>
      <c r="J2" s="97" t="s">
        <v>62</v>
      </c>
      <c r="K2" s="97"/>
      <c r="L2" s="97"/>
      <c r="M2" s="98">
        <v>45055</v>
      </c>
      <c r="N2" s="93"/>
    </row>
    <row r="3" spans="2:18" ht="18.5" x14ac:dyDescent="0.45">
      <c r="B3" s="93"/>
      <c r="C3" s="95" t="s">
        <v>63</v>
      </c>
      <c r="D3" s="96" t="s">
        <v>96</v>
      </c>
      <c r="E3" s="93"/>
      <c r="F3" s="93"/>
      <c r="G3" s="93"/>
      <c r="H3" s="93"/>
      <c r="M3" s="93"/>
      <c r="N3" s="93"/>
    </row>
    <row r="4" spans="2:18" ht="1" customHeight="1" thickBot="1" x14ac:dyDescent="0.4">
      <c r="B4" s="93"/>
      <c r="C4" s="96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</row>
    <row r="5" spans="2:18" s="99" customFormat="1" ht="19" thickBot="1" x14ac:dyDescent="0.5">
      <c r="B5" s="183" t="s">
        <v>64</v>
      </c>
      <c r="C5" s="184"/>
      <c r="D5" s="185"/>
      <c r="E5" s="183" t="s">
        <v>65</v>
      </c>
      <c r="F5" s="184"/>
      <c r="G5" s="184"/>
      <c r="H5" s="184"/>
      <c r="I5" s="184"/>
      <c r="J5" s="183" t="s">
        <v>66</v>
      </c>
      <c r="K5" s="184"/>
      <c r="L5" s="184"/>
      <c r="M5" s="184"/>
      <c r="N5" s="185"/>
    </row>
    <row r="6" spans="2:18" x14ac:dyDescent="0.35">
      <c r="B6" s="186" t="s">
        <v>67</v>
      </c>
      <c r="C6" s="187"/>
      <c r="D6" s="129" t="s">
        <v>97</v>
      </c>
      <c r="E6" s="188" t="s">
        <v>68</v>
      </c>
      <c r="F6" s="189"/>
      <c r="G6" s="189"/>
      <c r="H6" s="189"/>
      <c r="I6" s="190"/>
      <c r="J6" s="101"/>
      <c r="K6" s="187" t="s">
        <v>69</v>
      </c>
      <c r="L6" s="187"/>
      <c r="M6" s="102">
        <v>0</v>
      </c>
      <c r="N6" s="100"/>
    </row>
    <row r="7" spans="2:18" ht="31" x14ac:dyDescent="0.35">
      <c r="B7" s="181" t="s">
        <v>70</v>
      </c>
      <c r="C7" s="182"/>
      <c r="D7" s="132" t="s">
        <v>98</v>
      </c>
      <c r="E7" s="179" t="s">
        <v>71</v>
      </c>
      <c r="F7" s="180"/>
      <c r="G7" s="180"/>
      <c r="H7" s="103">
        <v>84</v>
      </c>
      <c r="I7" s="106"/>
      <c r="J7" s="104"/>
      <c r="K7" s="180" t="s">
        <v>72</v>
      </c>
      <c r="L7" s="180"/>
      <c r="M7" s="105">
        <v>5</v>
      </c>
      <c r="N7" s="106"/>
    </row>
    <row r="8" spans="2:18" x14ac:dyDescent="0.35">
      <c r="B8" s="181"/>
      <c r="C8" s="182"/>
      <c r="D8" s="131" t="s">
        <v>99</v>
      </c>
      <c r="E8" s="179" t="s">
        <v>73</v>
      </c>
      <c r="F8" s="180"/>
      <c r="G8" s="180"/>
      <c r="H8" s="103">
        <v>84</v>
      </c>
      <c r="I8" s="106"/>
      <c r="J8" s="104"/>
      <c r="K8" s="180" t="s">
        <v>74</v>
      </c>
      <c r="L8" s="180"/>
      <c r="M8" s="107">
        <v>0.1</v>
      </c>
      <c r="N8" s="106"/>
    </row>
    <row r="9" spans="2:18" x14ac:dyDescent="0.35">
      <c r="B9" s="108" t="s">
        <v>75</v>
      </c>
      <c r="C9" s="109"/>
      <c r="D9" s="93" t="s">
        <v>100</v>
      </c>
      <c r="E9" s="179" t="s">
        <v>76</v>
      </c>
      <c r="F9" s="180"/>
      <c r="G9" s="180"/>
      <c r="H9" s="110">
        <v>1</v>
      </c>
      <c r="I9" s="106"/>
      <c r="J9" s="104"/>
      <c r="K9" s="180" t="s">
        <v>77</v>
      </c>
      <c r="L9" s="180"/>
      <c r="M9" s="102">
        <v>0</v>
      </c>
      <c r="N9" s="106"/>
    </row>
    <row r="10" spans="2:18" x14ac:dyDescent="0.35">
      <c r="B10" s="111" t="s">
        <v>78</v>
      </c>
      <c r="C10" s="112"/>
      <c r="D10" s="93" t="s">
        <v>101</v>
      </c>
      <c r="E10" s="174" t="s">
        <v>79</v>
      </c>
      <c r="F10" s="175"/>
      <c r="G10" s="175"/>
      <c r="H10" s="175"/>
      <c r="I10" s="176"/>
      <c r="J10" s="113"/>
      <c r="K10" s="173" t="s">
        <v>80</v>
      </c>
      <c r="L10" s="173"/>
      <c r="M10" s="102">
        <f>IRR!G11</f>
        <v>77500000</v>
      </c>
      <c r="N10" s="106"/>
    </row>
    <row r="11" spans="2:18" x14ac:dyDescent="0.35">
      <c r="B11" s="111" t="s">
        <v>81</v>
      </c>
      <c r="C11" s="112"/>
      <c r="D11" s="93" t="s">
        <v>96</v>
      </c>
      <c r="E11" s="171" t="s">
        <v>82</v>
      </c>
      <c r="F11" s="172"/>
      <c r="G11" s="172"/>
      <c r="H11" s="114">
        <v>0</v>
      </c>
      <c r="I11" s="106"/>
      <c r="J11" s="104"/>
      <c r="K11" s="173" t="s">
        <v>83</v>
      </c>
      <c r="L11" s="173"/>
      <c r="M11" s="102">
        <f>IRR!L28</f>
        <v>552831280.5</v>
      </c>
      <c r="N11" s="106"/>
    </row>
    <row r="12" spans="2:18" x14ac:dyDescent="0.35">
      <c r="B12" s="115" t="s">
        <v>84</v>
      </c>
      <c r="C12" s="116"/>
      <c r="D12" s="133">
        <v>15</v>
      </c>
      <c r="E12" s="171" t="s">
        <v>85</v>
      </c>
      <c r="F12" s="172"/>
      <c r="G12" s="172"/>
      <c r="H12" s="114">
        <v>0</v>
      </c>
      <c r="I12" s="106"/>
      <c r="J12" s="104"/>
      <c r="K12" s="173" t="s">
        <v>86</v>
      </c>
      <c r="L12" s="173"/>
      <c r="M12" s="102">
        <f>IRR!L21</f>
        <v>860625610</v>
      </c>
      <c r="N12" s="106"/>
    </row>
    <row r="13" spans="2:18" ht="16" thickBot="1" x14ac:dyDescent="0.4">
      <c r="B13" s="115" t="s">
        <v>87</v>
      </c>
      <c r="C13" s="116"/>
      <c r="D13" s="133">
        <v>1</v>
      </c>
      <c r="E13" s="171" t="s">
        <v>88</v>
      </c>
      <c r="F13" s="172"/>
      <c r="G13" s="172"/>
      <c r="H13" s="114">
        <v>0</v>
      </c>
      <c r="I13" s="106"/>
      <c r="J13" s="104"/>
      <c r="K13" s="117"/>
      <c r="L13" s="117"/>
      <c r="M13" s="93"/>
      <c r="N13" s="106"/>
    </row>
    <row r="14" spans="2:18" x14ac:dyDescent="0.35">
      <c r="B14" s="104"/>
      <c r="C14" s="93"/>
      <c r="D14" s="93"/>
      <c r="E14" s="174" t="s">
        <v>89</v>
      </c>
      <c r="F14" s="175"/>
      <c r="G14" s="175"/>
      <c r="H14" s="175"/>
      <c r="I14" s="176"/>
      <c r="J14" s="118"/>
      <c r="K14" s="177" t="s">
        <v>27</v>
      </c>
      <c r="L14" s="178"/>
      <c r="M14" s="119">
        <f>IRR!F45</f>
        <v>0.66487541128802885</v>
      </c>
      <c r="N14" s="120"/>
    </row>
    <row r="15" spans="2:18" x14ac:dyDescent="0.35">
      <c r="B15" s="104"/>
      <c r="C15" s="93"/>
      <c r="D15" s="93"/>
      <c r="E15" s="104"/>
      <c r="F15" s="93"/>
      <c r="G15" s="93"/>
      <c r="H15" s="93"/>
      <c r="I15" s="106"/>
      <c r="J15" s="120"/>
      <c r="K15" s="165" t="s">
        <v>28</v>
      </c>
      <c r="L15" s="166"/>
      <c r="M15" s="121">
        <f>IRR!F46</f>
        <v>135260223.35283116</v>
      </c>
      <c r="N15" s="120"/>
    </row>
    <row r="16" spans="2:18" x14ac:dyDescent="0.35">
      <c r="B16" s="104"/>
      <c r="C16" s="93"/>
      <c r="D16" s="93"/>
      <c r="E16" s="104"/>
      <c r="F16" s="93"/>
      <c r="G16" s="93"/>
      <c r="H16" s="93"/>
      <c r="I16" s="106"/>
      <c r="J16" s="120"/>
      <c r="K16" s="165" t="s">
        <v>29</v>
      </c>
      <c r="L16" s="166"/>
      <c r="M16" s="122">
        <f>IRR!F47</f>
        <v>0.35764021651644784</v>
      </c>
      <c r="N16" s="120"/>
      <c r="R16" s="94" t="s">
        <v>59</v>
      </c>
    </row>
    <row r="17" spans="2:17" ht="16" thickBot="1" x14ac:dyDescent="0.4">
      <c r="B17" s="104"/>
      <c r="C17" s="93"/>
      <c r="D17" s="93"/>
      <c r="E17" s="104"/>
      <c r="F17" s="93"/>
      <c r="G17" s="93"/>
      <c r="H17" s="93"/>
      <c r="I17" s="106"/>
      <c r="J17" s="120"/>
      <c r="K17" s="167" t="s">
        <v>90</v>
      </c>
      <c r="L17" s="168"/>
      <c r="M17" s="123">
        <f>IRR!F48</f>
        <v>1.3839957437142607</v>
      </c>
      <c r="N17" s="120"/>
      <c r="Q17" s="94" t="s">
        <v>59</v>
      </c>
    </row>
    <row r="18" spans="2:17" ht="16" thickBot="1" x14ac:dyDescent="0.4">
      <c r="B18" s="124"/>
      <c r="C18" s="125"/>
      <c r="D18" s="125"/>
      <c r="E18" s="124"/>
      <c r="F18" s="125" t="s">
        <v>59</v>
      </c>
      <c r="G18" s="125"/>
      <c r="H18" s="125"/>
      <c r="I18" s="126"/>
      <c r="J18" s="104"/>
      <c r="K18" s="127"/>
      <c r="L18" s="112"/>
      <c r="M18" s="112"/>
      <c r="N18" s="106"/>
    </row>
    <row r="19" spans="2:17" x14ac:dyDescent="0.35">
      <c r="B19" s="128" t="s">
        <v>95</v>
      </c>
      <c r="C19" s="129"/>
      <c r="D19" s="129"/>
      <c r="E19" s="129"/>
      <c r="F19" s="129"/>
      <c r="G19" s="129"/>
      <c r="H19" s="129"/>
      <c r="I19" s="129"/>
      <c r="J19" s="129"/>
      <c r="L19" s="130" t="s">
        <v>91</v>
      </c>
      <c r="M19" s="129"/>
      <c r="N19" s="100"/>
    </row>
    <row r="20" spans="2:17" x14ac:dyDescent="0.35">
      <c r="B20" s="104" t="s">
        <v>92</v>
      </c>
      <c r="C20" s="93"/>
      <c r="D20" s="93" t="s">
        <v>177</v>
      </c>
      <c r="E20" s="93"/>
      <c r="F20" s="93"/>
      <c r="G20" s="93"/>
      <c r="H20" s="93"/>
      <c r="I20" s="93"/>
      <c r="J20" s="93"/>
      <c r="K20" s="93"/>
      <c r="L20" s="169" t="s">
        <v>93</v>
      </c>
      <c r="M20" s="170"/>
      <c r="N20" s="106"/>
    </row>
    <row r="21" spans="2:17" x14ac:dyDescent="0.35">
      <c r="B21" s="104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106"/>
    </row>
    <row r="22" spans="2:17" x14ac:dyDescent="0.35">
      <c r="B22" s="104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106"/>
    </row>
    <row r="23" spans="2:17" x14ac:dyDescent="0.35">
      <c r="B23" s="104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106"/>
    </row>
    <row r="24" spans="2:17" ht="16" thickBot="1" x14ac:dyDescent="0.4">
      <c r="B24" s="124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6"/>
    </row>
    <row r="26" spans="2:17" x14ac:dyDescent="0.35">
      <c r="B26" s="1" t="s">
        <v>94</v>
      </c>
    </row>
  </sheetData>
  <mergeCells count="27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9:G9"/>
    <mergeCell ref="K9:L9"/>
    <mergeCell ref="E10:I10"/>
    <mergeCell ref="K10:L10"/>
    <mergeCell ref="E11:G11"/>
    <mergeCell ref="K11:L11"/>
    <mergeCell ref="K16:L16"/>
    <mergeCell ref="K17:L17"/>
    <mergeCell ref="L20:M20"/>
    <mergeCell ref="E12:G12"/>
    <mergeCell ref="K12:L12"/>
    <mergeCell ref="E13:G13"/>
    <mergeCell ref="E14:I14"/>
    <mergeCell ref="K14:L14"/>
    <mergeCell ref="K15:L15"/>
  </mergeCells>
  <pageMargins left="0.7" right="0.7" top="0.75" bottom="0.75" header="0.3" footer="0.3"/>
  <pageSetup paperSize="9" scale="90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7"/>
  <sheetViews>
    <sheetView showGridLines="0" zoomScale="70" zoomScaleNormal="70" workbookViewId="0">
      <selection sqref="A1:L56"/>
    </sheetView>
  </sheetViews>
  <sheetFormatPr defaultColWidth="10.58203125" defaultRowHeight="15.5" x14ac:dyDescent="0.35"/>
  <cols>
    <col min="1" max="1" width="3.58203125" customWidth="1"/>
    <col min="2" max="2" width="4.58203125" customWidth="1"/>
    <col min="3" max="3" width="28.5" customWidth="1"/>
    <col min="4" max="4" width="7.1640625" bestFit="1" customWidth="1"/>
    <col min="5" max="5" width="6.1640625" customWidth="1"/>
    <col min="6" max="6" width="16.83203125" customWidth="1"/>
    <col min="7" max="11" width="17.58203125" style="2" customWidth="1"/>
    <col min="12" max="12" width="16.58203125" bestFit="1" customWidth="1"/>
    <col min="13" max="13" width="15.83203125" customWidth="1"/>
    <col min="14" max="17" width="15" bestFit="1" customWidth="1"/>
    <col min="18" max="18" width="15.58203125" bestFit="1" customWidth="1"/>
    <col min="19" max="19" width="11.6640625" bestFit="1" customWidth="1"/>
  </cols>
  <sheetData>
    <row r="1" spans="1:21" ht="21" x14ac:dyDescent="0.35">
      <c r="B1" s="1" t="s">
        <v>175</v>
      </c>
      <c r="K1" s="164" t="s">
        <v>176</v>
      </c>
    </row>
    <row r="2" spans="1:21" x14ac:dyDescent="0.35">
      <c r="A2" s="1" t="s">
        <v>0</v>
      </c>
    </row>
    <row r="3" spans="1:21" x14ac:dyDescent="0.35">
      <c r="B3" t="s">
        <v>1</v>
      </c>
      <c r="F3" s="4">
        <v>0.02</v>
      </c>
      <c r="L3" s="3"/>
      <c r="M3" s="3"/>
      <c r="N3" s="3"/>
    </row>
    <row r="4" spans="1:21" x14ac:dyDescent="0.35">
      <c r="B4" t="s">
        <v>41</v>
      </c>
      <c r="F4" s="4">
        <v>0.1</v>
      </c>
      <c r="L4" s="3"/>
      <c r="M4" s="3"/>
      <c r="N4" s="3"/>
    </row>
    <row r="5" spans="1:21" x14ac:dyDescent="0.35">
      <c r="B5" t="s">
        <v>2</v>
      </c>
      <c r="F5" s="4">
        <v>0.05</v>
      </c>
      <c r="G5" s="2" t="s">
        <v>3</v>
      </c>
    </row>
    <row r="6" spans="1:21" x14ac:dyDescent="0.35">
      <c r="B6" t="s">
        <v>4</v>
      </c>
      <c r="F6" s="5">
        <v>0</v>
      </c>
      <c r="G6" s="2" t="s">
        <v>3</v>
      </c>
    </row>
    <row r="7" spans="1:21" x14ac:dyDescent="0.35">
      <c r="B7" t="s">
        <v>58</v>
      </c>
      <c r="F7" s="5">
        <v>0.15</v>
      </c>
    </row>
    <row r="8" spans="1:21" x14ac:dyDescent="0.35">
      <c r="G8" s="30" t="s">
        <v>40</v>
      </c>
      <c r="H8" s="30"/>
      <c r="I8" s="30"/>
      <c r="J8" s="30"/>
      <c r="K8" s="30"/>
      <c r="L8" s="23"/>
      <c r="M8" s="39"/>
      <c r="N8" s="39"/>
      <c r="O8" s="40"/>
      <c r="P8" s="39"/>
      <c r="Q8" s="39"/>
      <c r="R8" s="39"/>
      <c r="S8" s="39"/>
      <c r="T8" s="39"/>
    </row>
    <row r="9" spans="1:21" x14ac:dyDescent="0.35">
      <c r="A9" s="1" t="s">
        <v>49</v>
      </c>
      <c r="G9" s="30"/>
      <c r="H9" s="30"/>
      <c r="I9" s="30"/>
      <c r="J9" s="30"/>
      <c r="K9" s="30"/>
      <c r="L9" s="23"/>
      <c r="M9" s="39"/>
      <c r="N9" s="39"/>
      <c r="O9" s="40"/>
      <c r="P9" s="39"/>
      <c r="Q9" s="39"/>
      <c r="R9" s="39"/>
      <c r="S9" s="39"/>
      <c r="T9" s="39"/>
    </row>
    <row r="10" spans="1:21" x14ac:dyDescent="0.35">
      <c r="G10"/>
      <c r="H10"/>
      <c r="I10"/>
      <c r="J10"/>
      <c r="K10"/>
      <c r="L10" s="23"/>
      <c r="M10" s="39"/>
      <c r="N10" s="39"/>
      <c r="O10" s="40"/>
      <c r="P10" s="39"/>
      <c r="Q10" s="39"/>
      <c r="R10" s="39"/>
      <c r="S10" s="39"/>
      <c r="T10" s="39"/>
    </row>
    <row r="11" spans="1:21" s="82" customFormat="1" ht="16" thickBot="1" x14ac:dyDescent="0.4">
      <c r="A11" s="90" t="s">
        <v>50</v>
      </c>
      <c r="F11" s="89" t="s">
        <v>56</v>
      </c>
      <c r="G11" s="83">
        <v>77500000</v>
      </c>
      <c r="H11" s="84"/>
      <c r="I11" s="84"/>
      <c r="J11" s="84"/>
      <c r="K11" s="84"/>
      <c r="L11" s="87"/>
      <c r="M11" s="84"/>
      <c r="N11" s="84"/>
      <c r="O11" s="85"/>
      <c r="P11" s="84"/>
      <c r="Q11" s="84"/>
      <c r="R11" s="84"/>
      <c r="S11" s="84"/>
      <c r="T11" s="84"/>
    </row>
    <row r="12" spans="1:21" ht="16.5" thickTop="1" thickBot="1" x14ac:dyDescent="0.4">
      <c r="F12" s="39" t="s">
        <v>57</v>
      </c>
      <c r="G12" s="83">
        <v>0</v>
      </c>
      <c r="H12" s="84"/>
      <c r="I12" s="84"/>
      <c r="J12" s="84"/>
      <c r="K12" s="84"/>
      <c r="L12" s="88"/>
      <c r="M12" s="39"/>
      <c r="N12" s="39"/>
      <c r="O12" s="40"/>
      <c r="P12" s="39"/>
      <c r="Q12" s="39"/>
      <c r="R12" s="39"/>
      <c r="S12" s="39"/>
      <c r="T12" s="39"/>
    </row>
    <row r="13" spans="1:21" ht="16" thickTop="1" x14ac:dyDescent="0.35">
      <c r="F13" s="9"/>
      <c r="L13" s="23"/>
      <c r="O13" s="38"/>
      <c r="P13" s="38"/>
      <c r="Q13" s="38"/>
      <c r="R13" s="38"/>
      <c r="S13" s="38"/>
      <c r="T13" s="38"/>
      <c r="U13" s="38"/>
    </row>
    <row r="14" spans="1:21" ht="16" thickBot="1" x14ac:dyDescent="0.4">
      <c r="A14" s="10" t="s">
        <v>11</v>
      </c>
      <c r="B14" s="6"/>
      <c r="C14" s="6"/>
      <c r="D14" s="6"/>
      <c r="E14" s="6"/>
      <c r="F14" s="6"/>
      <c r="G14" s="7" t="s">
        <v>6</v>
      </c>
      <c r="H14" s="7" t="s">
        <v>7</v>
      </c>
      <c r="I14" s="7" t="s">
        <v>8</v>
      </c>
      <c r="J14" s="7" t="s">
        <v>9</v>
      </c>
      <c r="K14" s="7" t="s">
        <v>10</v>
      </c>
      <c r="L14" s="69" t="s">
        <v>12</v>
      </c>
      <c r="M14" s="53"/>
      <c r="N14" s="53"/>
      <c r="O14" s="53"/>
      <c r="P14" s="53"/>
      <c r="Q14" s="53"/>
      <c r="R14" s="53"/>
      <c r="S14" s="38"/>
      <c r="T14" s="38"/>
      <c r="U14" s="38"/>
    </row>
    <row r="15" spans="1:21" x14ac:dyDescent="0.35">
      <c r="A15" t="s">
        <v>13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70"/>
    </row>
    <row r="16" spans="1:21" x14ac:dyDescent="0.35">
      <c r="A16" s="1" t="s">
        <v>5</v>
      </c>
      <c r="D16" s="16"/>
      <c r="G16" s="17"/>
      <c r="H16" s="17"/>
      <c r="I16" s="17"/>
      <c r="J16" s="17"/>
      <c r="K16" s="17"/>
      <c r="L16" s="70"/>
    </row>
    <row r="17" spans="1:19" x14ac:dyDescent="0.35">
      <c r="B17" t="s">
        <v>36</v>
      </c>
      <c r="D17" s="13"/>
      <c r="G17" s="66"/>
      <c r="H17" s="66"/>
      <c r="I17" s="66"/>
      <c r="J17" s="66"/>
      <c r="K17" s="66"/>
      <c r="L17" s="71">
        <f>SUM(G17:G17)</f>
        <v>0</v>
      </c>
      <c r="M17" s="11"/>
      <c r="N17" s="11"/>
      <c r="O17" s="11"/>
      <c r="P17" s="11"/>
      <c r="Q17" s="11"/>
      <c r="R17" s="12"/>
    </row>
    <row r="18" spans="1:19" x14ac:dyDescent="0.35">
      <c r="B18" t="s">
        <v>39</v>
      </c>
      <c r="G18" s="11">
        <v>172125122</v>
      </c>
      <c r="H18" s="11">
        <v>172125122</v>
      </c>
      <c r="I18" s="11">
        <v>172125122</v>
      </c>
      <c r="J18" s="11">
        <v>172125122</v>
      </c>
      <c r="K18" s="11">
        <v>172125122</v>
      </c>
      <c r="L18" s="71">
        <f>SUM(G18:K18)</f>
        <v>860625610</v>
      </c>
      <c r="M18" s="11"/>
      <c r="N18" s="11"/>
      <c r="O18" s="11"/>
      <c r="P18" s="11"/>
      <c r="Q18" s="11"/>
      <c r="R18" s="12"/>
    </row>
    <row r="19" spans="1:19" x14ac:dyDescent="0.35">
      <c r="B19" t="s">
        <v>37</v>
      </c>
      <c r="G19" s="11"/>
      <c r="H19" s="11"/>
      <c r="I19" s="11"/>
      <c r="J19" s="11"/>
      <c r="K19" s="11"/>
      <c r="L19" s="71">
        <f>SUM(G19:G19)</f>
        <v>0</v>
      </c>
      <c r="M19" s="11"/>
      <c r="N19" s="11"/>
      <c r="O19" s="11"/>
      <c r="P19" s="11"/>
      <c r="Q19" s="11"/>
      <c r="R19" s="12"/>
    </row>
    <row r="20" spans="1:19" x14ac:dyDescent="0.35">
      <c r="B20" t="s">
        <v>38</v>
      </c>
      <c r="G20" s="11"/>
      <c r="H20" s="11"/>
      <c r="I20" s="11"/>
      <c r="J20" s="11"/>
      <c r="K20" s="11"/>
      <c r="L20" s="71">
        <f>SUM(G20:G20)</f>
        <v>0</v>
      </c>
      <c r="M20" s="42"/>
      <c r="N20" s="42"/>
      <c r="O20" s="42"/>
      <c r="P20" s="42"/>
      <c r="Q20" s="42"/>
      <c r="R20" s="43"/>
      <c r="S20" s="44"/>
    </row>
    <row r="21" spans="1:19" x14ac:dyDescent="0.35">
      <c r="A21" s="63" t="s">
        <v>14</v>
      </c>
      <c r="B21" s="63"/>
      <c r="C21" s="63"/>
      <c r="D21" s="191"/>
      <c r="E21" s="192"/>
      <c r="F21" s="192"/>
      <c r="G21" s="64">
        <f>SUM(G17:G20)</f>
        <v>172125122</v>
      </c>
      <c r="H21" s="64">
        <f t="shared" ref="H21:K21" si="0">SUM(H17:H20)</f>
        <v>172125122</v>
      </c>
      <c r="I21" s="64">
        <f t="shared" si="0"/>
        <v>172125122</v>
      </c>
      <c r="J21" s="64">
        <f t="shared" si="0"/>
        <v>172125122</v>
      </c>
      <c r="K21" s="64">
        <f t="shared" si="0"/>
        <v>172125122</v>
      </c>
      <c r="L21" s="72">
        <f>SUM(L17:L20)</f>
        <v>860625610</v>
      </c>
      <c r="M21" s="42"/>
      <c r="N21" s="42"/>
      <c r="O21" s="42"/>
      <c r="P21" s="42"/>
      <c r="Q21" s="42"/>
      <c r="R21" s="42"/>
      <c r="S21" s="44"/>
    </row>
    <row r="22" spans="1:19" x14ac:dyDescent="0.35">
      <c r="L22" s="70"/>
      <c r="M22" s="44"/>
      <c r="N22" s="44"/>
      <c r="O22" s="44"/>
      <c r="P22" s="44"/>
      <c r="Q22" s="44"/>
      <c r="R22" s="44"/>
      <c r="S22" s="44"/>
    </row>
    <row r="23" spans="1:19" x14ac:dyDescent="0.35">
      <c r="A23" s="1" t="s">
        <v>15</v>
      </c>
      <c r="D23" s="16"/>
      <c r="E23" s="16"/>
      <c r="F23" s="16"/>
      <c r="G23" s="17"/>
      <c r="H23" s="17"/>
      <c r="I23" s="17"/>
      <c r="J23" s="17"/>
      <c r="K23" s="17"/>
      <c r="L23" s="73"/>
      <c r="M23" s="45"/>
      <c r="N23" s="45"/>
      <c r="O23" s="45"/>
      <c r="P23" s="45"/>
      <c r="Q23" s="45"/>
      <c r="R23" s="44"/>
      <c r="S23" s="44"/>
    </row>
    <row r="24" spans="1:19" x14ac:dyDescent="0.35">
      <c r="B24" t="s">
        <v>42</v>
      </c>
      <c r="G24" s="11">
        <v>30000000</v>
      </c>
      <c r="H24" s="11">
        <v>30000000</v>
      </c>
      <c r="I24" s="11">
        <v>30000000</v>
      </c>
      <c r="J24" s="11">
        <v>30000000</v>
      </c>
      <c r="K24" s="11">
        <v>30000000</v>
      </c>
      <c r="L24" s="74">
        <f>SUM(G24:K24)</f>
        <v>150000000</v>
      </c>
      <c r="M24" s="42"/>
      <c r="N24" s="42"/>
      <c r="O24" s="42"/>
      <c r="P24" s="42"/>
      <c r="Q24" s="42"/>
      <c r="R24" s="43"/>
      <c r="S24" s="44"/>
    </row>
    <row r="25" spans="1:19" x14ac:dyDescent="0.35">
      <c r="B25" t="s">
        <v>16</v>
      </c>
      <c r="G25" s="11">
        <f>Parameter!$B$38</f>
        <v>36000000</v>
      </c>
      <c r="H25" s="11">
        <f>Parameter!$B$38</f>
        <v>36000000</v>
      </c>
      <c r="I25" s="11">
        <f>Parameter!$B$38</f>
        <v>36000000</v>
      </c>
      <c r="J25" s="11">
        <f>Parameter!$B$38</f>
        <v>36000000</v>
      </c>
      <c r="K25" s="11">
        <f>Parameter!$B$38</f>
        <v>36000000</v>
      </c>
      <c r="L25" s="74">
        <f t="shared" ref="L25:L27" si="1">SUM(G25:K25)</f>
        <v>180000000</v>
      </c>
      <c r="M25" s="42"/>
      <c r="N25" s="42"/>
      <c r="O25" s="42"/>
      <c r="P25" s="42"/>
      <c r="Q25" s="42"/>
      <c r="R25" s="43"/>
      <c r="S25" s="44"/>
    </row>
    <row r="26" spans="1:19" x14ac:dyDescent="0.35">
      <c r="B26" t="s">
        <v>43</v>
      </c>
      <c r="G26" s="66">
        <f>(Parameter!$B$22+Parameter!$I$23*(COUNTA(IRR!G17:G19))*0+Parameter!$B$34*(COUNTA(IRR!G17:G19))+Parameter!$K$17*2/4)</f>
        <v>35960000</v>
      </c>
      <c r="H26" s="66">
        <f>(Parameter!$B$22+Parameter!$I$23*(COUNTA(IRR!H17:H19))*0+Parameter!$B$34*(COUNTA(IRR!H17:H19))+Parameter!$K$17*2/4)</f>
        <v>35960000</v>
      </c>
      <c r="I26" s="66">
        <f>(Parameter!$B$22+Parameter!$I$23*(COUNTA(IRR!I17:I19))*0+Parameter!$B$34*(COUNTA(IRR!I17:I19))+Parameter!$K$17*2/4)</f>
        <v>35960000</v>
      </c>
      <c r="J26" s="66">
        <f>(Parameter!$B$22+Parameter!$I$23*(COUNTA(IRR!J17:J19))*0+Parameter!$B$34*(COUNTA(IRR!J17:J19))+Parameter!$K$17*2/4)</f>
        <v>35960000</v>
      </c>
      <c r="K26" s="66">
        <f>(Parameter!$B$22+Parameter!$I$23*(COUNTA(IRR!K17:K19))*0+Parameter!$B$34*(COUNTA(IRR!K17:K19))+Parameter!$K$17*2/4)</f>
        <v>35960000</v>
      </c>
      <c r="L26" s="74">
        <f t="shared" si="1"/>
        <v>179800000</v>
      </c>
      <c r="M26" s="42"/>
      <c r="N26" s="42"/>
      <c r="O26" s="42"/>
      <c r="P26" s="42"/>
      <c r="Q26" s="42"/>
      <c r="R26" s="43"/>
      <c r="S26" s="44"/>
    </row>
    <row r="27" spans="1:19" x14ac:dyDescent="0.35">
      <c r="A27" s="14"/>
      <c r="B27" s="14" t="s">
        <v>2</v>
      </c>
      <c r="C27" s="14"/>
      <c r="D27" s="14"/>
      <c r="E27" s="14"/>
      <c r="F27" s="14"/>
      <c r="G27" s="18">
        <f>G21*$F$5</f>
        <v>8606256.0999999996</v>
      </c>
      <c r="H27" s="18">
        <f t="shared" ref="H27:K27" si="2">H21*$F$5</f>
        <v>8606256.0999999996</v>
      </c>
      <c r="I27" s="18">
        <f t="shared" si="2"/>
        <v>8606256.0999999996</v>
      </c>
      <c r="J27" s="18">
        <f t="shared" si="2"/>
        <v>8606256.0999999996</v>
      </c>
      <c r="K27" s="18">
        <f t="shared" si="2"/>
        <v>8606256.0999999996</v>
      </c>
      <c r="L27" s="74">
        <f t="shared" si="1"/>
        <v>43031280.5</v>
      </c>
      <c r="M27" s="46"/>
      <c r="N27" s="46"/>
      <c r="O27" s="46"/>
      <c r="P27" s="46"/>
      <c r="Q27" s="46"/>
      <c r="R27" s="43"/>
      <c r="S27" s="44"/>
    </row>
    <row r="28" spans="1:19" s="1" customFormat="1" x14ac:dyDescent="0.35">
      <c r="A28" s="63" t="s">
        <v>17</v>
      </c>
      <c r="B28" s="63"/>
      <c r="C28" s="63"/>
      <c r="D28" s="63"/>
      <c r="E28" s="63"/>
      <c r="F28" s="63"/>
      <c r="G28" s="64">
        <f>SUM(G24:G27)</f>
        <v>110566256.09999999</v>
      </c>
      <c r="H28" s="64">
        <f t="shared" ref="H28:K28" si="3">SUM(H24:H27)</f>
        <v>110566256.09999999</v>
      </c>
      <c r="I28" s="64">
        <f t="shared" si="3"/>
        <v>110566256.09999999</v>
      </c>
      <c r="J28" s="64">
        <f t="shared" si="3"/>
        <v>110566256.09999999</v>
      </c>
      <c r="K28" s="64">
        <f t="shared" si="3"/>
        <v>110566256.09999999</v>
      </c>
      <c r="L28" s="86">
        <f>SUM(L24:L27)</f>
        <v>552831280.5</v>
      </c>
      <c r="M28" s="47"/>
      <c r="N28" s="47"/>
      <c r="O28" s="47"/>
      <c r="P28" s="47"/>
      <c r="Q28" s="47"/>
      <c r="R28" s="47"/>
      <c r="S28" s="48"/>
    </row>
    <row r="29" spans="1:19" s="1" customFormat="1" x14ac:dyDescent="0.35">
      <c r="A29" s="1" t="s">
        <v>18</v>
      </c>
      <c r="G29" s="19">
        <f>G21-G28</f>
        <v>61558865.900000006</v>
      </c>
      <c r="H29" s="19">
        <f t="shared" ref="H29:J29" si="4">H21-H28</f>
        <v>61558865.900000006</v>
      </c>
      <c r="I29" s="19">
        <f t="shared" si="4"/>
        <v>61558865.900000006</v>
      </c>
      <c r="J29" s="19">
        <f t="shared" si="4"/>
        <v>61558865.900000006</v>
      </c>
      <c r="K29" s="19">
        <f>K21-K28</f>
        <v>61558865.900000006</v>
      </c>
      <c r="L29" s="135">
        <f>L21-L28</f>
        <v>307794329.5</v>
      </c>
      <c r="M29" s="47"/>
      <c r="N29" s="47"/>
      <c r="O29" s="47"/>
      <c r="P29" s="47"/>
      <c r="Q29" s="47"/>
      <c r="R29" s="47"/>
      <c r="S29" s="48"/>
    </row>
    <row r="30" spans="1:19" s="1" customFormat="1" x14ac:dyDescent="0.35">
      <c r="A30" s="20" t="s">
        <v>19</v>
      </c>
      <c r="B30" s="21"/>
      <c r="C30" s="21"/>
      <c r="D30" s="21"/>
      <c r="E30" s="21"/>
      <c r="F30" s="21"/>
      <c r="G30" s="22">
        <f>G29/G21</f>
        <v>0.3576402165164479</v>
      </c>
      <c r="H30" s="22">
        <f t="shared" ref="H30:K30" si="5">H29/H21</f>
        <v>0.3576402165164479</v>
      </c>
      <c r="I30" s="22">
        <f t="shared" si="5"/>
        <v>0.3576402165164479</v>
      </c>
      <c r="J30" s="22">
        <f t="shared" si="5"/>
        <v>0.3576402165164479</v>
      </c>
      <c r="K30" s="22">
        <f t="shared" si="5"/>
        <v>0.3576402165164479</v>
      </c>
      <c r="L30" s="75">
        <f>L29/L21</f>
        <v>0.35764021651644784</v>
      </c>
      <c r="M30" s="49"/>
      <c r="N30" s="49"/>
      <c r="O30" s="49"/>
      <c r="P30" s="49"/>
      <c r="Q30" s="49"/>
      <c r="R30" s="49"/>
      <c r="S30" s="48"/>
    </row>
    <row r="31" spans="1:19" x14ac:dyDescent="0.35">
      <c r="L31" s="70"/>
      <c r="M31" s="44"/>
      <c r="N31" s="44"/>
      <c r="O31" s="44"/>
      <c r="P31" s="44"/>
      <c r="Q31" s="44"/>
      <c r="R31" s="44"/>
      <c r="S31" s="44"/>
    </row>
    <row r="32" spans="1:19" x14ac:dyDescent="0.35">
      <c r="A32" s="14" t="s">
        <v>20</v>
      </c>
      <c r="B32" s="14"/>
      <c r="C32" s="14"/>
      <c r="D32" s="14"/>
      <c r="E32" s="14"/>
      <c r="F32" s="14"/>
      <c r="G32" s="15">
        <f>G56</f>
        <v>15500000</v>
      </c>
      <c r="H32" s="15">
        <f t="shared" ref="H32:K32" si="6">H56</f>
        <v>15500000</v>
      </c>
      <c r="I32" s="15">
        <f t="shared" si="6"/>
        <v>15500000</v>
      </c>
      <c r="J32" s="15">
        <f t="shared" si="6"/>
        <v>15500000</v>
      </c>
      <c r="K32" s="15">
        <f t="shared" si="6"/>
        <v>15500000</v>
      </c>
      <c r="L32" s="76">
        <f>SUM(G32:G32)</f>
        <v>15500000</v>
      </c>
      <c r="M32" s="42"/>
      <c r="N32" s="42"/>
      <c r="O32" s="42"/>
      <c r="P32" s="42"/>
      <c r="Q32" s="42"/>
      <c r="R32" s="42"/>
      <c r="S32" s="44"/>
    </row>
    <row r="33" spans="1:19" x14ac:dyDescent="0.35">
      <c r="A33" s="23" t="s">
        <v>21</v>
      </c>
      <c r="G33" s="24">
        <f>G29-G32</f>
        <v>46058865.900000006</v>
      </c>
      <c r="H33" s="24">
        <f t="shared" ref="H33:K33" si="7">H29-H32</f>
        <v>46058865.900000006</v>
      </c>
      <c r="I33" s="24">
        <f t="shared" si="7"/>
        <v>46058865.900000006</v>
      </c>
      <c r="J33" s="24">
        <f t="shared" si="7"/>
        <v>46058865.900000006</v>
      </c>
      <c r="K33" s="24">
        <f t="shared" si="7"/>
        <v>46058865.900000006</v>
      </c>
      <c r="L33" s="77">
        <f>L29-L32</f>
        <v>292294329.5</v>
      </c>
      <c r="M33" s="50"/>
      <c r="N33" s="50"/>
      <c r="O33" s="50"/>
      <c r="P33" s="50"/>
      <c r="Q33" s="50"/>
      <c r="R33" s="50"/>
      <c r="S33" s="44"/>
    </row>
    <row r="34" spans="1:19" x14ac:dyDescent="0.35">
      <c r="A34" s="23"/>
      <c r="G34" s="24"/>
      <c r="H34" s="24"/>
      <c r="I34" s="24"/>
      <c r="J34" s="24"/>
      <c r="K34" s="24"/>
      <c r="L34" s="77"/>
      <c r="M34" s="50"/>
      <c r="N34" s="50"/>
      <c r="O34" s="50"/>
      <c r="P34" s="50"/>
      <c r="Q34" s="50"/>
      <c r="R34" s="50"/>
      <c r="S34" s="44"/>
    </row>
    <row r="35" spans="1:19" x14ac:dyDescent="0.35">
      <c r="A35" s="23" t="s">
        <v>34</v>
      </c>
      <c r="G35" s="67">
        <f>Parameter!B5</f>
        <v>3875000</v>
      </c>
      <c r="H35" s="67">
        <f>Parameter!C5</f>
        <v>6975000</v>
      </c>
      <c r="I35" s="67">
        <f>Parameter!D5</f>
        <v>5425000</v>
      </c>
      <c r="J35" s="67">
        <f>Parameter!E5</f>
        <v>3875000</v>
      </c>
      <c r="K35" s="67">
        <f>Parameter!F5</f>
        <v>2325000</v>
      </c>
      <c r="L35" s="92">
        <f>SUM(G35:G35)</f>
        <v>3875000</v>
      </c>
      <c r="M35" s="50"/>
      <c r="N35" s="50"/>
      <c r="O35" s="50"/>
      <c r="P35" s="50"/>
      <c r="Q35" s="50"/>
      <c r="R35" s="50"/>
      <c r="S35" s="44"/>
    </row>
    <row r="36" spans="1:19" x14ac:dyDescent="0.35">
      <c r="A36" s="23" t="s">
        <v>35</v>
      </c>
      <c r="G36" s="67">
        <f>G33-G35</f>
        <v>42183865.900000006</v>
      </c>
      <c r="H36" s="67">
        <f t="shared" ref="H36:K36" si="8">H33-H35</f>
        <v>39083865.900000006</v>
      </c>
      <c r="I36" s="67">
        <f t="shared" si="8"/>
        <v>40633865.900000006</v>
      </c>
      <c r="J36" s="67">
        <f t="shared" si="8"/>
        <v>42183865.900000006</v>
      </c>
      <c r="K36" s="67">
        <f t="shared" si="8"/>
        <v>43733865.900000006</v>
      </c>
      <c r="L36" s="92">
        <f>SUM(G36:G36)</f>
        <v>42183865.900000006</v>
      </c>
      <c r="M36" s="50"/>
      <c r="N36" s="50"/>
      <c r="O36" s="50"/>
      <c r="P36" s="50"/>
      <c r="Q36" s="50"/>
      <c r="R36" s="50"/>
      <c r="S36" s="44"/>
    </row>
    <row r="37" spans="1:19" x14ac:dyDescent="0.35">
      <c r="A37" s="14" t="s">
        <v>22</v>
      </c>
      <c r="B37" s="14"/>
      <c r="C37" s="14"/>
      <c r="D37" s="14"/>
      <c r="E37" s="14"/>
      <c r="F37" s="14"/>
      <c r="G37" s="65">
        <f>IF(G36&lt;0,0,G36*$F$3)</f>
        <v>843677.31800000009</v>
      </c>
      <c r="H37" s="65">
        <f t="shared" ref="H37:K37" si="9">IF(H36&lt;0,0,H36*$F$3)</f>
        <v>781677.31800000009</v>
      </c>
      <c r="I37" s="65">
        <f t="shared" si="9"/>
        <v>812677.31800000009</v>
      </c>
      <c r="J37" s="65">
        <f t="shared" si="9"/>
        <v>843677.31800000009</v>
      </c>
      <c r="K37" s="65">
        <f t="shared" si="9"/>
        <v>874677.31800000009</v>
      </c>
      <c r="L37" s="78">
        <f>SUM(G37:G37)</f>
        <v>843677.31800000009</v>
      </c>
      <c r="M37" s="52"/>
      <c r="N37" s="52"/>
      <c r="O37" s="52"/>
      <c r="P37" s="52"/>
      <c r="Q37" s="52"/>
      <c r="R37" s="51"/>
      <c r="S37" s="44"/>
    </row>
    <row r="38" spans="1:19" ht="16" thickBot="1" x14ac:dyDescent="0.4">
      <c r="A38" s="26" t="s">
        <v>51</v>
      </c>
      <c r="B38" s="26"/>
      <c r="C38" s="26"/>
      <c r="D38" s="26"/>
      <c r="E38" s="26"/>
      <c r="F38" s="26"/>
      <c r="G38" s="27">
        <f>G36-G37</f>
        <v>41340188.582000002</v>
      </c>
      <c r="H38" s="27">
        <f t="shared" ref="H38:K38" si="10">H36-H37</f>
        <v>38302188.582000002</v>
      </c>
      <c r="I38" s="27">
        <f t="shared" si="10"/>
        <v>39821188.582000002</v>
      </c>
      <c r="J38" s="27">
        <f t="shared" si="10"/>
        <v>41340188.582000002</v>
      </c>
      <c r="K38" s="27">
        <f t="shared" si="10"/>
        <v>42859188.582000002</v>
      </c>
      <c r="L38" s="79">
        <f>L33-L37</f>
        <v>291450652.18199998</v>
      </c>
      <c r="M38" s="50"/>
      <c r="N38" s="50"/>
      <c r="O38" s="50"/>
      <c r="P38" s="50"/>
      <c r="Q38" s="50"/>
      <c r="R38" s="50"/>
      <c r="S38" s="44"/>
    </row>
    <row r="39" spans="1:19" x14ac:dyDescent="0.35">
      <c r="L39" s="70"/>
      <c r="M39" s="44"/>
      <c r="N39" s="44"/>
      <c r="O39" s="44"/>
      <c r="P39" s="44"/>
      <c r="Q39" s="44"/>
      <c r="R39" s="44"/>
      <c r="S39" s="44"/>
    </row>
    <row r="40" spans="1:19" x14ac:dyDescent="0.35">
      <c r="A40" s="14" t="s">
        <v>23</v>
      </c>
      <c r="B40" s="14"/>
      <c r="C40" s="14"/>
      <c r="D40" s="14"/>
      <c r="E40" s="14"/>
      <c r="F40" s="28">
        <f>-G11</f>
        <v>-77500000</v>
      </c>
      <c r="G40" s="28">
        <v>0</v>
      </c>
      <c r="H40" s="28">
        <v>0</v>
      </c>
      <c r="I40" s="28">
        <v>0</v>
      </c>
      <c r="J40" s="28">
        <v>0</v>
      </c>
      <c r="K40" s="28">
        <v>0</v>
      </c>
      <c r="L40" s="150">
        <f>SUM(F40:K40)</f>
        <v>-77500000</v>
      </c>
      <c r="M40" s="51"/>
      <c r="N40" s="51"/>
      <c r="O40" s="51"/>
      <c r="P40" s="51"/>
      <c r="Q40" s="51"/>
      <c r="R40" s="51"/>
      <c r="S40" s="44"/>
    </row>
    <row r="41" spans="1:19" x14ac:dyDescent="0.35">
      <c r="A41" t="s">
        <v>24</v>
      </c>
      <c r="F41" s="25">
        <f>F40</f>
        <v>-77500000</v>
      </c>
      <c r="G41" s="25">
        <f>G40+G38+G32</f>
        <v>56840188.582000002</v>
      </c>
      <c r="H41" s="25">
        <f t="shared" ref="H41:K41" si="11">H40+H38+H32</f>
        <v>53802188.582000002</v>
      </c>
      <c r="I41" s="25">
        <f t="shared" si="11"/>
        <v>55321188.582000002</v>
      </c>
      <c r="J41" s="25">
        <f t="shared" si="11"/>
        <v>56840188.582000002</v>
      </c>
      <c r="K41" s="25">
        <f t="shared" si="11"/>
        <v>58359188.582000002</v>
      </c>
      <c r="L41" s="80">
        <f>SUM(F41:K41)</f>
        <v>203662942.91000003</v>
      </c>
      <c r="M41" s="51"/>
      <c r="N41" s="51"/>
      <c r="O41" s="51"/>
      <c r="P41" s="51"/>
      <c r="Q41" s="51"/>
      <c r="R41" s="51"/>
      <c r="S41" s="44"/>
    </row>
    <row r="42" spans="1:19" x14ac:dyDescent="0.35">
      <c r="A42" t="s">
        <v>25</v>
      </c>
      <c r="F42" s="25">
        <f>F41</f>
        <v>-77500000</v>
      </c>
      <c r="G42" s="25">
        <f>F42+G41</f>
        <v>-20659811.417999998</v>
      </c>
      <c r="H42" s="25">
        <f t="shared" ref="H42:K42" si="12">G42+H41</f>
        <v>33142377.164000005</v>
      </c>
      <c r="I42" s="25">
        <f t="shared" si="12"/>
        <v>88463565.746000007</v>
      </c>
      <c r="J42" s="25">
        <f t="shared" si="12"/>
        <v>145303754.32800001</v>
      </c>
      <c r="K42" s="25">
        <f t="shared" si="12"/>
        <v>203662942.91000003</v>
      </c>
      <c r="L42" s="80"/>
      <c r="M42" s="51"/>
      <c r="N42" s="51"/>
      <c r="O42" s="51"/>
      <c r="P42" s="51"/>
      <c r="Q42" s="51"/>
      <c r="R42" s="51"/>
      <c r="S42" s="44"/>
    </row>
    <row r="43" spans="1:19" x14ac:dyDescent="0.35">
      <c r="A43" t="s">
        <v>26</v>
      </c>
      <c r="F43" s="25"/>
      <c r="G43" s="29">
        <f>IF(AND(F42&lt;0,G42&gt;0),G49-(G42/G41),0)</f>
        <v>0</v>
      </c>
      <c r="H43" s="29">
        <f t="shared" ref="H43:K43" si="13">IF(AND(G42&lt;0,H42&gt;0),H49-(H42/H41),0)</f>
        <v>1.3839957437142607</v>
      </c>
      <c r="I43" s="29">
        <f t="shared" si="13"/>
        <v>0</v>
      </c>
      <c r="J43" s="29">
        <f t="shared" si="13"/>
        <v>0</v>
      </c>
      <c r="K43" s="29">
        <f t="shared" si="13"/>
        <v>0</v>
      </c>
      <c r="L43" s="81"/>
      <c r="M43" s="29"/>
      <c r="N43" s="29"/>
      <c r="O43" s="29"/>
      <c r="P43" s="29"/>
      <c r="Q43" s="29"/>
      <c r="R43" s="29"/>
    </row>
    <row r="45" spans="1:19" x14ac:dyDescent="0.35">
      <c r="A45" s="54" t="s">
        <v>27</v>
      </c>
      <c r="B45" s="55"/>
      <c r="C45" s="55"/>
      <c r="D45" s="55"/>
      <c r="E45" s="55"/>
      <c r="F45" s="134">
        <f>IRR(F41:K41)</f>
        <v>0.66487541128802885</v>
      </c>
    </row>
    <row r="46" spans="1:19" x14ac:dyDescent="0.35">
      <c r="A46" s="56" t="s">
        <v>28</v>
      </c>
      <c r="B46" s="57"/>
      <c r="C46" s="57"/>
      <c r="D46" s="57"/>
      <c r="E46" s="57"/>
      <c r="F46" s="58">
        <f>NPV(F4,G41:K41)+F41</f>
        <v>135260223.35283116</v>
      </c>
    </row>
    <row r="47" spans="1:19" x14ac:dyDescent="0.35">
      <c r="A47" s="56" t="s">
        <v>29</v>
      </c>
      <c r="B47" s="57"/>
      <c r="C47" s="57"/>
      <c r="D47" s="57"/>
      <c r="E47" s="57"/>
      <c r="F47" s="59">
        <f>L30</f>
        <v>0.35764021651644784</v>
      </c>
    </row>
    <row r="48" spans="1:19" x14ac:dyDescent="0.35">
      <c r="A48" s="60" t="s">
        <v>30</v>
      </c>
      <c r="B48" s="61"/>
      <c r="C48" s="61"/>
      <c r="D48" s="61"/>
      <c r="E48" s="61"/>
      <c r="F48" s="62">
        <f>SUM(F43:K43)</f>
        <v>1.3839957437142607</v>
      </c>
    </row>
    <row r="49" spans="1:21" x14ac:dyDescent="0.35">
      <c r="G49" s="8">
        <v>1</v>
      </c>
      <c r="H49" s="8">
        <v>2</v>
      </c>
      <c r="I49" s="8">
        <v>3</v>
      </c>
      <c r="J49" s="8">
        <v>4</v>
      </c>
      <c r="K49" s="8">
        <v>5</v>
      </c>
      <c r="L49" s="30"/>
      <c r="M49" s="8"/>
      <c r="N49" s="30"/>
      <c r="O49" s="8"/>
      <c r="P49" s="30"/>
      <c r="Q49" s="8"/>
    </row>
    <row r="50" spans="1:21" x14ac:dyDescent="0.35">
      <c r="A50" s="31" t="s">
        <v>31</v>
      </c>
      <c r="D50" s="32" t="s">
        <v>32</v>
      </c>
      <c r="G50" s="32" t="str">
        <f>G14</f>
        <v>Year 1</v>
      </c>
      <c r="H50" s="32" t="str">
        <f t="shared" ref="H50:K50" si="14">H14</f>
        <v>Year 2</v>
      </c>
      <c r="I50" s="32" t="str">
        <f t="shared" si="14"/>
        <v>Year 3</v>
      </c>
      <c r="J50" s="32" t="str">
        <f t="shared" si="14"/>
        <v>Year 4</v>
      </c>
      <c r="K50" s="32" t="str">
        <f t="shared" si="14"/>
        <v>Year 5</v>
      </c>
      <c r="L50" s="32"/>
      <c r="M50" s="32"/>
      <c r="N50" s="32"/>
      <c r="O50" s="32"/>
      <c r="P50" s="32"/>
      <c r="Q50" s="32"/>
      <c r="R50" s="32"/>
    </row>
    <row r="51" spans="1:21" x14ac:dyDescent="0.35">
      <c r="C51" t="s">
        <v>6</v>
      </c>
      <c r="D51">
        <v>5</v>
      </c>
      <c r="G51" s="68">
        <f>SUM(G11:G12)/$D51</f>
        <v>15500000</v>
      </c>
      <c r="H51" s="68">
        <f>G51</f>
        <v>15500000</v>
      </c>
      <c r="I51" s="68">
        <f t="shared" ref="I51:K51" si="15">H51</f>
        <v>15500000</v>
      </c>
      <c r="J51" s="68">
        <f t="shared" si="15"/>
        <v>15500000</v>
      </c>
      <c r="K51" s="68">
        <f t="shared" si="15"/>
        <v>15500000</v>
      </c>
      <c r="L51" s="33"/>
      <c r="M51" s="33"/>
      <c r="N51" s="33"/>
      <c r="O51" s="33"/>
      <c r="P51" s="33"/>
      <c r="Q51" s="33"/>
      <c r="R51" s="34"/>
    </row>
    <row r="52" spans="1:21" x14ac:dyDescent="0.35">
      <c r="C52" t="s">
        <v>7</v>
      </c>
      <c r="D52">
        <v>4</v>
      </c>
      <c r="G52" s="68"/>
      <c r="H52" s="68"/>
      <c r="I52" s="68"/>
      <c r="J52" s="68"/>
      <c r="K52" s="68"/>
      <c r="L52" s="33"/>
      <c r="M52" s="33"/>
      <c r="N52" s="33"/>
      <c r="O52" s="33"/>
      <c r="P52" s="33"/>
      <c r="Q52" s="33"/>
      <c r="R52" s="34"/>
    </row>
    <row r="53" spans="1:21" x14ac:dyDescent="0.35">
      <c r="C53" t="s">
        <v>8</v>
      </c>
      <c r="D53">
        <v>3</v>
      </c>
      <c r="G53" s="68"/>
      <c r="H53" s="68"/>
      <c r="I53" s="68"/>
      <c r="J53" s="68"/>
      <c r="K53" s="68"/>
      <c r="L53" s="33"/>
      <c r="M53" s="33"/>
      <c r="N53" s="33"/>
      <c r="O53" s="33"/>
      <c r="P53" s="33"/>
      <c r="Q53" s="33"/>
      <c r="R53" s="34"/>
    </row>
    <row r="54" spans="1:21" x14ac:dyDescent="0.35">
      <c r="C54" t="s">
        <v>9</v>
      </c>
      <c r="D54">
        <v>2</v>
      </c>
      <c r="G54" s="68"/>
      <c r="H54" s="68"/>
      <c r="I54" s="68"/>
      <c r="J54" s="68"/>
      <c r="K54" s="68"/>
      <c r="L54" s="33"/>
      <c r="M54" s="33"/>
      <c r="N54" s="33"/>
      <c r="O54" s="33"/>
      <c r="P54" s="33"/>
      <c r="Q54" s="33"/>
      <c r="R54" s="34"/>
    </row>
    <row r="55" spans="1:21" x14ac:dyDescent="0.35">
      <c r="C55" t="s">
        <v>10</v>
      </c>
      <c r="D55">
        <v>1</v>
      </c>
      <c r="G55" s="68"/>
      <c r="H55" s="68"/>
      <c r="I55" s="68"/>
      <c r="J55" s="68"/>
      <c r="K55" s="68"/>
      <c r="L55" s="33"/>
      <c r="M55" s="33"/>
      <c r="N55" s="33"/>
      <c r="O55" s="33"/>
      <c r="P55" s="33"/>
      <c r="Q55" s="33"/>
      <c r="R55" s="34"/>
    </row>
    <row r="56" spans="1:21" ht="16" thickBot="1" x14ac:dyDescent="0.4">
      <c r="A56" s="35" t="s">
        <v>33</v>
      </c>
      <c r="B56" s="36"/>
      <c r="C56" s="36"/>
      <c r="D56" s="36"/>
      <c r="E56" s="36"/>
      <c r="F56" s="36"/>
      <c r="G56" s="37">
        <f>SUM(G51:G51)</f>
        <v>15500000</v>
      </c>
      <c r="H56" s="37">
        <f t="shared" ref="H56:K56" si="16">SUM(H51:H51)</f>
        <v>15500000</v>
      </c>
      <c r="I56" s="37">
        <f t="shared" si="16"/>
        <v>15500000</v>
      </c>
      <c r="J56" s="37">
        <f t="shared" si="16"/>
        <v>15500000</v>
      </c>
      <c r="K56" s="37">
        <f t="shared" si="16"/>
        <v>15500000</v>
      </c>
      <c r="L56" s="41"/>
      <c r="M56" s="41"/>
      <c r="N56" s="41"/>
      <c r="O56" s="41"/>
      <c r="P56" s="41"/>
      <c r="Q56" s="41"/>
      <c r="R56" s="41"/>
      <c r="S56" s="38"/>
      <c r="T56" s="38"/>
      <c r="U56" s="38"/>
    </row>
    <row r="57" spans="1:21" ht="16" thickTop="1" x14ac:dyDescent="0.35">
      <c r="R57" s="12"/>
    </row>
  </sheetData>
  <mergeCells count="1">
    <mergeCell ref="D21:F21"/>
  </mergeCells>
  <pageMargins left="0.7" right="0.7" top="0.75" bottom="0.75" header="0.3" footer="0.3"/>
  <pageSetup paperSize="9" scale="55" fitToWidth="0" orientation="landscape" horizontalDpi="4294967292" vertic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12629-24CB-4DA8-8033-2DE2CFBDD11F}">
  <dimension ref="A1:R27"/>
  <sheetViews>
    <sheetView workbookViewId="0">
      <selection activeCell="D19" sqref="D19"/>
    </sheetView>
  </sheetViews>
  <sheetFormatPr defaultColWidth="8.1640625" defaultRowHeight="14.5" x14ac:dyDescent="0.35"/>
  <cols>
    <col min="1" max="1" width="5" style="136" customWidth="1"/>
    <col min="2" max="2" width="22.9140625" style="136" bestFit="1" customWidth="1"/>
    <col min="3" max="3" width="42" style="136" customWidth="1"/>
    <col min="4" max="4" width="42.83203125" style="136" customWidth="1"/>
    <col min="5" max="16384" width="8.1640625" style="136"/>
  </cols>
  <sheetData>
    <row r="1" spans="1:18" ht="21" x14ac:dyDescent="0.5">
      <c r="A1" s="195" t="s">
        <v>102</v>
      </c>
      <c r="B1" s="195"/>
      <c r="C1" s="195"/>
      <c r="D1" s="195"/>
    </row>
    <row r="3" spans="1:18" x14ac:dyDescent="0.35">
      <c r="A3" s="137" t="s">
        <v>103</v>
      </c>
      <c r="B3" s="137"/>
      <c r="C3" s="137" t="s">
        <v>104</v>
      </c>
    </row>
    <row r="4" spans="1:18" x14ac:dyDescent="0.35">
      <c r="A4" s="137" t="s">
        <v>105</v>
      </c>
      <c r="B4" s="137"/>
      <c r="C4" s="137" t="s">
        <v>106</v>
      </c>
    </row>
    <row r="5" spans="1:18" x14ac:dyDescent="0.35">
      <c r="A5" s="137" t="s">
        <v>107</v>
      </c>
      <c r="B5" s="137"/>
      <c r="C5" s="137" t="s">
        <v>108</v>
      </c>
    </row>
    <row r="6" spans="1:18" x14ac:dyDescent="0.35">
      <c r="A6" s="137" t="s">
        <v>109</v>
      </c>
      <c r="B6" s="137"/>
      <c r="C6" s="137" t="s">
        <v>110</v>
      </c>
    </row>
    <row r="7" spans="1:18" x14ac:dyDescent="0.35">
      <c r="A7" s="137" t="s">
        <v>111</v>
      </c>
      <c r="B7" s="137"/>
      <c r="C7" s="138" t="s">
        <v>112</v>
      </c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</row>
    <row r="9" spans="1:18" x14ac:dyDescent="0.35">
      <c r="A9" s="196" t="s">
        <v>113</v>
      </c>
      <c r="B9" s="197" t="s">
        <v>114</v>
      </c>
      <c r="C9" s="197" t="s">
        <v>115</v>
      </c>
      <c r="D9" s="197" t="s">
        <v>96</v>
      </c>
    </row>
    <row r="10" spans="1:18" x14ac:dyDescent="0.35">
      <c r="A10" s="196"/>
      <c r="B10" s="198"/>
      <c r="C10" s="198"/>
      <c r="D10" s="198"/>
    </row>
    <row r="11" spans="1:18" x14ac:dyDescent="0.35">
      <c r="A11" s="139" t="s">
        <v>116</v>
      </c>
      <c r="B11" s="140" t="s">
        <v>117</v>
      </c>
      <c r="C11" s="140" t="s">
        <v>118</v>
      </c>
      <c r="D11" s="140" t="s">
        <v>68</v>
      </c>
    </row>
    <row r="12" spans="1:18" ht="17.25" customHeight="1" x14ac:dyDescent="0.35">
      <c r="A12" s="139" t="s">
        <v>119</v>
      </c>
      <c r="B12" s="140" t="s">
        <v>120</v>
      </c>
      <c r="C12" s="141" t="str">
        <f>C7</f>
        <v>: 84 titik antenna,  unit pole, RBS room 40 m2</v>
      </c>
      <c r="D12" s="141" t="str">
        <f>C7</f>
        <v>: 84 titik antenna,  unit pole, RBS room 40 m2</v>
      </c>
    </row>
    <row r="13" spans="1:18" x14ac:dyDescent="0.35">
      <c r="A13" s="139" t="s">
        <v>121</v>
      </c>
      <c r="B13" s="140" t="s">
        <v>122</v>
      </c>
      <c r="C13" s="142" t="s">
        <v>123</v>
      </c>
      <c r="D13" s="142" t="s">
        <v>124</v>
      </c>
    </row>
    <row r="14" spans="1:18" ht="15.5" x14ac:dyDescent="0.35">
      <c r="A14" s="199" t="s">
        <v>125</v>
      </c>
      <c r="B14" s="140" t="s">
        <v>126</v>
      </c>
      <c r="C14" s="143">
        <v>196296296</v>
      </c>
      <c r="D14" s="143">
        <v>150000000</v>
      </c>
    </row>
    <row r="15" spans="1:18" ht="15.5" x14ac:dyDescent="0.35">
      <c r="A15" s="200"/>
      <c r="B15" s="140" t="s">
        <v>127</v>
      </c>
      <c r="C15" s="143">
        <v>44444444</v>
      </c>
      <c r="D15" s="143">
        <v>30000000</v>
      </c>
    </row>
    <row r="16" spans="1:18" ht="30" customHeight="1" x14ac:dyDescent="0.35">
      <c r="A16" s="144" t="s">
        <v>128</v>
      </c>
      <c r="B16" s="145" t="s">
        <v>129</v>
      </c>
      <c r="C16" s="146" t="s">
        <v>130</v>
      </c>
      <c r="D16" s="146" t="s">
        <v>131</v>
      </c>
    </row>
    <row r="17" spans="1:5" x14ac:dyDescent="0.35">
      <c r="A17" s="139" t="s">
        <v>132</v>
      </c>
      <c r="B17" s="140" t="s">
        <v>133</v>
      </c>
      <c r="C17" s="193" t="s">
        <v>134</v>
      </c>
      <c r="D17" s="194"/>
    </row>
    <row r="19" spans="1:5" x14ac:dyDescent="0.35">
      <c r="B19" s="136" t="s">
        <v>135</v>
      </c>
    </row>
    <row r="22" spans="1:5" x14ac:dyDescent="0.35">
      <c r="D22" s="147"/>
      <c r="E22" s="161"/>
    </row>
    <row r="23" spans="1:5" x14ac:dyDescent="0.35">
      <c r="D23" s="147"/>
      <c r="E23" s="161"/>
    </row>
    <row r="24" spans="1:5" x14ac:dyDescent="0.35">
      <c r="D24" s="148"/>
      <c r="E24" s="161"/>
    </row>
    <row r="25" spans="1:5" x14ac:dyDescent="0.35">
      <c r="D25" s="148"/>
      <c r="E25" s="161"/>
    </row>
    <row r="27" spans="1:5" x14ac:dyDescent="0.35">
      <c r="C27" s="149"/>
      <c r="D27" s="147"/>
    </row>
  </sheetData>
  <mergeCells count="7">
    <mergeCell ref="C17:D17"/>
    <mergeCell ref="A1:D1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691FE-6F8A-456D-9E8A-519E7FA347C0}">
  <dimension ref="A1:K44"/>
  <sheetViews>
    <sheetView topLeftCell="A25" zoomScaleNormal="100" workbookViewId="0">
      <selection activeCell="F34" sqref="F34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6640625" bestFit="1" customWidth="1"/>
    <col min="5" max="9" width="12.08203125" bestFit="1" customWidth="1"/>
    <col min="10" max="11" width="13.6640625" bestFit="1" customWidth="1"/>
  </cols>
  <sheetData>
    <row r="1" spans="1:11" x14ac:dyDescent="0.35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</row>
    <row r="2" spans="1:11" x14ac:dyDescent="0.35">
      <c r="A2" t="s">
        <v>52</v>
      </c>
      <c r="B2" s="91">
        <f>SUM(IRR!G11:G12)</f>
        <v>77500000</v>
      </c>
      <c r="C2" s="12">
        <f>$B$2-$B$4</f>
        <v>62000000</v>
      </c>
      <c r="D2" s="12">
        <f>$C$2-$B$4</f>
        <v>46500000</v>
      </c>
      <c r="E2" s="12">
        <f>$D$2-$B$4</f>
        <v>31000000</v>
      </c>
      <c r="F2" s="12">
        <f>$E$2-$B$4</f>
        <v>15500000</v>
      </c>
      <c r="G2" s="12">
        <f>$F$2-$B$4</f>
        <v>0</v>
      </c>
      <c r="H2" s="12">
        <f>$G$2-$B$4</f>
        <v>-15500000</v>
      </c>
      <c r="I2" s="12">
        <f>$H$2-$B$4</f>
        <v>-31000000</v>
      </c>
      <c r="J2" s="12">
        <f>$I$2-$B$4</f>
        <v>-46500000</v>
      </c>
      <c r="K2" s="12">
        <f>$J$2-$B$4</f>
        <v>-62000000</v>
      </c>
    </row>
    <row r="3" spans="1:11" x14ac:dyDescent="0.35">
      <c r="A3" t="s">
        <v>53</v>
      </c>
      <c r="B3" s="91">
        <v>5</v>
      </c>
    </row>
    <row r="4" spans="1:11" x14ac:dyDescent="0.35">
      <c r="A4" t="s">
        <v>54</v>
      </c>
      <c r="B4" s="91">
        <f>$B$2/$B$3</f>
        <v>15500000</v>
      </c>
    </row>
    <row r="5" spans="1:11" x14ac:dyDescent="0.35">
      <c r="A5" t="s">
        <v>55</v>
      </c>
      <c r="B5" s="91">
        <f>(($B$2*IRR!F4*6)/12)</f>
        <v>3875000</v>
      </c>
      <c r="C5" s="12">
        <f>AVERAGE(B2:C2)*IRR!F4</f>
        <v>6975000</v>
      </c>
      <c r="D5" s="12">
        <f>AVERAGE(C2:D2)*IRR!F4</f>
        <v>5425000</v>
      </c>
      <c r="E5" s="12">
        <f>AVERAGE(D2:E2)*IRR!F4</f>
        <v>3875000</v>
      </c>
      <c r="F5" s="12">
        <f>AVERAGE(E2:F2)*IRR!F4</f>
        <v>2325000</v>
      </c>
      <c r="G5" s="12">
        <f>AVERAGE(F2:G2)*IRR!F4</f>
        <v>775000</v>
      </c>
      <c r="H5" s="12">
        <f>AVERAGE($G$2:$H$2)*[2]IRR!$G$4</f>
        <v>-775000</v>
      </c>
      <c r="I5" s="12">
        <f>AVERAGE($H$2:$I$2)*[2]IRR!$G$4</f>
        <v>-2325000</v>
      </c>
      <c r="J5" s="12">
        <f>AVERAGE($I$2:$J$2)*[2]IRR!$G$4</f>
        <v>-3875000</v>
      </c>
      <c r="K5" s="12">
        <f>AVERAGE($J$2:$K$2)*[2]IRR!$G$4</f>
        <v>-5425000</v>
      </c>
    </row>
    <row r="10" spans="1:11" x14ac:dyDescent="0.35">
      <c r="F10" s="151" t="s">
        <v>136</v>
      </c>
      <c r="G10" s="151" t="s">
        <v>137</v>
      </c>
      <c r="H10" s="151" t="s">
        <v>138</v>
      </c>
      <c r="I10" s="152" t="s">
        <v>139</v>
      </c>
      <c r="J10" s="201" t="s">
        <v>140</v>
      </c>
      <c r="K10" s="201" t="s">
        <v>141</v>
      </c>
    </row>
    <row r="11" spans="1:11" x14ac:dyDescent="0.35">
      <c r="E11" s="153" t="s">
        <v>142</v>
      </c>
      <c r="F11" s="154">
        <v>1</v>
      </c>
      <c r="G11" s="155">
        <v>1</v>
      </c>
      <c r="H11" s="155">
        <v>1</v>
      </c>
      <c r="I11" s="163">
        <f>Summary!H8</f>
        <v>84</v>
      </c>
      <c r="J11" s="201"/>
      <c r="K11" s="201"/>
    </row>
    <row r="12" spans="1:11" x14ac:dyDescent="0.35">
      <c r="B12" s="202" t="s">
        <v>143</v>
      </c>
      <c r="C12" s="156" t="s">
        <v>144</v>
      </c>
      <c r="D12" s="162">
        <f>C23</f>
        <v>3000000</v>
      </c>
      <c r="E12" s="156" t="s">
        <v>136</v>
      </c>
      <c r="F12" s="151">
        <f>F11</f>
        <v>1</v>
      </c>
      <c r="G12" s="151"/>
      <c r="H12" s="151"/>
      <c r="I12" s="152"/>
      <c r="J12" s="158">
        <f>F12*D12</f>
        <v>3000000</v>
      </c>
    </row>
    <row r="13" spans="1:11" x14ac:dyDescent="0.35">
      <c r="B13" s="203"/>
      <c r="C13" s="156" t="s">
        <v>145</v>
      </c>
      <c r="D13" s="159">
        <v>600000</v>
      </c>
      <c r="E13" s="156" t="s">
        <v>136</v>
      </c>
      <c r="F13" s="151">
        <f>F11</f>
        <v>1</v>
      </c>
      <c r="G13" s="151"/>
      <c r="H13" s="151"/>
      <c r="I13" s="152">
        <f>IF($I$10&lt;=120,2,IF($I$10&gt;220,4,3))</f>
        <v>4</v>
      </c>
      <c r="J13" s="159">
        <f>D13*F13</f>
        <v>600000</v>
      </c>
    </row>
    <row r="14" spans="1:11" x14ac:dyDescent="0.35">
      <c r="B14" s="204"/>
      <c r="C14" s="156" t="s">
        <v>143</v>
      </c>
      <c r="D14" s="159">
        <v>200000</v>
      </c>
      <c r="E14" s="156" t="s">
        <v>146</v>
      </c>
      <c r="F14" s="151"/>
      <c r="G14" s="151">
        <f>G11</f>
        <v>1</v>
      </c>
      <c r="H14" s="151"/>
      <c r="I14" s="152"/>
      <c r="J14" s="159">
        <f>G14*D14</f>
        <v>200000</v>
      </c>
    </row>
    <row r="15" spans="1:11" x14ac:dyDescent="0.35">
      <c r="B15" s="156" t="s">
        <v>147</v>
      </c>
      <c r="C15" s="156" t="s">
        <v>147</v>
      </c>
      <c r="D15" s="159">
        <v>450000</v>
      </c>
      <c r="E15" s="156" t="s">
        <v>138</v>
      </c>
      <c r="F15" s="151">
        <f>F11</f>
        <v>1</v>
      </c>
      <c r="G15" s="151"/>
      <c r="H15" s="151">
        <f>H11</f>
        <v>1</v>
      </c>
      <c r="I15" s="152">
        <f t="shared" ref="I15:I16" si="0">IF($I$10&lt;=120,2,IF($I$10&gt;220,4,3))</f>
        <v>4</v>
      </c>
      <c r="J15" s="159">
        <f>H15*D15*I15</f>
        <v>1800000</v>
      </c>
    </row>
    <row r="16" spans="1:11" x14ac:dyDescent="0.35">
      <c r="B16" s="156" t="s">
        <v>148</v>
      </c>
      <c r="C16" s="156" t="s">
        <v>148</v>
      </c>
      <c r="D16" s="159">
        <v>120000</v>
      </c>
      <c r="E16" s="156" t="s">
        <v>136</v>
      </c>
      <c r="F16" s="151">
        <f>F11</f>
        <v>1</v>
      </c>
      <c r="G16" s="151"/>
      <c r="H16" s="151"/>
      <c r="I16" s="152">
        <f t="shared" si="0"/>
        <v>4</v>
      </c>
      <c r="J16" s="159">
        <f>I16*D16*F16</f>
        <v>480000</v>
      </c>
    </row>
    <row r="17" spans="1:11" x14ac:dyDescent="0.35">
      <c r="J17" s="157">
        <f>SUM(J12:J16)</f>
        <v>6080000</v>
      </c>
      <c r="K17" s="160">
        <f>J17*4</f>
        <v>24320000</v>
      </c>
    </row>
    <row r="20" spans="1:11" x14ac:dyDescent="0.35">
      <c r="K20" s="12"/>
    </row>
    <row r="21" spans="1:11" x14ac:dyDescent="0.35">
      <c r="B21" s="151" t="s">
        <v>166</v>
      </c>
      <c r="C21" s="151" t="s">
        <v>144</v>
      </c>
      <c r="E21" s="156" t="s">
        <v>149</v>
      </c>
      <c r="K21" s="34"/>
    </row>
    <row r="22" spans="1:11" x14ac:dyDescent="0.35">
      <c r="A22" t="s">
        <v>150</v>
      </c>
      <c r="B22" s="91">
        <v>16800000</v>
      </c>
      <c r="C22" s="91">
        <v>4000000</v>
      </c>
      <c r="E22" t="s">
        <v>151</v>
      </c>
      <c r="K22" s="12"/>
    </row>
    <row r="23" spans="1:11" x14ac:dyDescent="0.35">
      <c r="A23" t="s">
        <v>152</v>
      </c>
      <c r="B23" s="91"/>
      <c r="C23" s="91">
        <v>3000000</v>
      </c>
      <c r="E23" t="s">
        <v>153</v>
      </c>
      <c r="I23" s="91">
        <v>10000000</v>
      </c>
    </row>
    <row r="24" spans="1:11" x14ac:dyDescent="0.35">
      <c r="A24" t="s">
        <v>154</v>
      </c>
      <c r="B24" s="91">
        <v>15600000</v>
      </c>
      <c r="C24" s="91">
        <v>2500000</v>
      </c>
      <c r="E24" t="s">
        <v>153</v>
      </c>
      <c r="H24" t="s">
        <v>155</v>
      </c>
      <c r="I24" s="91">
        <v>12000000</v>
      </c>
    </row>
    <row r="25" spans="1:11" x14ac:dyDescent="0.35">
      <c r="A25" t="s">
        <v>156</v>
      </c>
      <c r="B25" s="91">
        <v>15000000</v>
      </c>
      <c r="C25" s="91">
        <v>2000000</v>
      </c>
      <c r="E25" t="s">
        <v>153</v>
      </c>
      <c r="H25" t="s">
        <v>157</v>
      </c>
      <c r="I25" s="91">
        <v>14000000</v>
      </c>
    </row>
    <row r="26" spans="1:11" x14ac:dyDescent="0.35">
      <c r="A26" t="s">
        <v>158</v>
      </c>
      <c r="B26" s="91">
        <v>15000000</v>
      </c>
      <c r="C26" s="91">
        <v>1850000</v>
      </c>
      <c r="E26" t="s">
        <v>153</v>
      </c>
      <c r="H26" t="s">
        <v>159</v>
      </c>
      <c r="I26" s="91">
        <v>14000000</v>
      </c>
    </row>
    <row r="27" spans="1:11" x14ac:dyDescent="0.35">
      <c r="A27" t="s">
        <v>160</v>
      </c>
      <c r="B27" s="91">
        <v>12000000</v>
      </c>
      <c r="C27" s="91">
        <v>1200000</v>
      </c>
      <c r="E27" t="s">
        <v>153</v>
      </c>
      <c r="H27" t="s">
        <v>150</v>
      </c>
      <c r="I27" s="91">
        <v>17000000</v>
      </c>
    </row>
    <row r="28" spans="1:11" x14ac:dyDescent="0.35">
      <c r="A28" t="s">
        <v>161</v>
      </c>
      <c r="B28" s="91">
        <v>16800000</v>
      </c>
      <c r="C28" s="91">
        <v>2000000</v>
      </c>
      <c r="E28" t="s">
        <v>153</v>
      </c>
      <c r="H28" t="s">
        <v>161</v>
      </c>
      <c r="I28" s="91">
        <v>14000000</v>
      </c>
    </row>
    <row r="29" spans="1:11" x14ac:dyDescent="0.35">
      <c r="A29" t="s">
        <v>162</v>
      </c>
      <c r="B29" s="91">
        <v>15720000</v>
      </c>
      <c r="C29" s="91">
        <v>3500000</v>
      </c>
    </row>
    <row r="30" spans="1:11" x14ac:dyDescent="0.35">
      <c r="A30" t="s">
        <v>163</v>
      </c>
      <c r="C30" s="91">
        <v>2800000</v>
      </c>
    </row>
    <row r="31" spans="1:11" x14ac:dyDescent="0.35">
      <c r="A31" t="s">
        <v>164</v>
      </c>
      <c r="B31">
        <v>0</v>
      </c>
      <c r="C31" s="91">
        <v>0</v>
      </c>
      <c r="D31" t="s">
        <v>165</v>
      </c>
    </row>
    <row r="33" spans="1:3" x14ac:dyDescent="0.35">
      <c r="B33" s="151" t="s">
        <v>167</v>
      </c>
      <c r="C33" s="151"/>
    </row>
    <row r="34" spans="1:3" x14ac:dyDescent="0.35">
      <c r="B34" s="91">
        <v>7000000</v>
      </c>
    </row>
    <row r="36" spans="1:3" x14ac:dyDescent="0.35">
      <c r="A36" s="156" t="s">
        <v>174</v>
      </c>
      <c r="B36" s="12"/>
    </row>
    <row r="37" spans="1:3" x14ac:dyDescent="0.35">
      <c r="A37" t="s">
        <v>172</v>
      </c>
    </row>
    <row r="38" spans="1:3" x14ac:dyDescent="0.35">
      <c r="A38" t="s">
        <v>168</v>
      </c>
      <c r="B38" s="91">
        <v>36000000</v>
      </c>
    </row>
    <row r="39" spans="1:3" x14ac:dyDescent="0.35">
      <c r="A39" t="s">
        <v>169</v>
      </c>
      <c r="B39" s="91">
        <v>42000000</v>
      </c>
    </row>
    <row r="40" spans="1:3" x14ac:dyDescent="0.35">
      <c r="A40" t="s">
        <v>170</v>
      </c>
      <c r="B40" s="91">
        <v>48000000</v>
      </c>
    </row>
    <row r="42" spans="1:3" x14ac:dyDescent="0.35">
      <c r="A42" t="s">
        <v>173</v>
      </c>
    </row>
    <row r="43" spans="1:3" x14ac:dyDescent="0.35">
      <c r="A43" t="s">
        <v>171</v>
      </c>
      <c r="B43" s="91">
        <v>75000000</v>
      </c>
    </row>
    <row r="44" spans="1:3" x14ac:dyDescent="0.35">
      <c r="A44" t="s">
        <v>170</v>
      </c>
      <c r="B44" s="91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IRR</vt:lpstr>
      <vt:lpstr>Summary BR</vt:lpstr>
      <vt:lpstr>Parameter</vt:lpstr>
      <vt:lpstr>IRR!Print_Area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2023-05-17T09:53:58Z</cp:lastPrinted>
  <dcterms:created xsi:type="dcterms:W3CDTF">2020-06-08T08:40:20Z</dcterms:created>
  <dcterms:modified xsi:type="dcterms:W3CDTF">2024-10-04T07:31:54Z</dcterms:modified>
</cp:coreProperties>
</file>