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Medan Center Point\"/>
    </mc:Choice>
  </mc:AlternateContent>
  <xr:revisionPtr revIDLastSave="0" documentId="8_{59711C7E-1935-436A-84A9-37F1DDAE8B38}" xr6:coauthVersionLast="36" xr6:coauthVersionMax="36" xr10:uidLastSave="{00000000-0000-0000-0000-000000000000}"/>
  <bookViews>
    <workbookView xWindow="0" yWindow="0" windowWidth="19200" windowHeight="7550" tabRatio="813" xr2:uid="{A4174494-61B9-4994-8303-9C4639E059BD}"/>
  </bookViews>
  <sheets>
    <sheet name="Summary" sheetId="1" r:id="rId1"/>
    <sheet name="IRR" sheetId="2" r:id="rId2"/>
    <sheet name="Parameter" sheetId="4" r:id="rId3"/>
    <sheet name="SummaryBR" sheetId="3" r:id="rId4"/>
    <sheet name="Analisa" sheetId="5" r:id="rId5"/>
    <sheet name="BoQ RECTIFICATION MCP (2)" sheetId="7" r:id="rId6"/>
    <sheet name="BoQ Add Material RECTIFIMCP" sheetId="8" r:id="rId7"/>
  </sheets>
  <externalReferences>
    <externalReference r:id="rId8"/>
    <externalReference r:id="rId9"/>
    <externalReference r:id="rId10"/>
  </externalReferences>
  <definedNames>
    <definedName name="_xlnm._FilterDatabase" localSheetId="6" hidden="1">'BoQ Add Material RECTIFIMCP'!$A$7:$J$22</definedName>
    <definedName name="_xlnm._FilterDatabase" localSheetId="5" hidden="1">'BoQ RECTIFICATION MCP (2)'!$A$7:$J$55</definedName>
    <definedName name="jk" localSheetId="4">#REF!</definedName>
    <definedName name="jk" localSheetId="1">#REF!</definedName>
    <definedName name="jk" localSheetId="0">#REF!</definedName>
    <definedName name="jk">#REF!</definedName>
    <definedName name="_xlnm.Print_Area" localSheetId="4">Analisa!$A$2:$F$21</definedName>
    <definedName name="_xlnm.Print_Area" localSheetId="6">'BoQ Add Material RECTIFIMCP'!$B$1:$J$23</definedName>
    <definedName name="_xlnm.Print_Area" localSheetId="5">'BoQ RECTIFICATION MCP (2)'!$B$1:$J$56</definedName>
    <definedName name="_xlnm.Print_Area" localSheetId="1">IRR!$B$1:$Q$51</definedName>
    <definedName name="_xlnm.Print_Area" localSheetId="0">Summary!$B$2:$N$35</definedName>
    <definedName name="_xlnm.Print_Area" localSheetId="3">SummaryBR!$A$1:$D$21</definedName>
    <definedName name="_xlnm.Print_Titles" localSheetId="6">'BoQ Add Material RECTIFIMCP'!$1:$5</definedName>
    <definedName name="_xlnm.Print_Titles" localSheetId="5">'BoQ RECTIFICATION MCP (2)'!$1:$5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I21" i="8"/>
  <c r="H21" i="8"/>
  <c r="H19" i="8"/>
  <c r="E19" i="8"/>
  <c r="I19" i="8" s="1"/>
  <c r="I18" i="8"/>
  <c r="H18" i="8"/>
  <c r="E18" i="8"/>
  <c r="H15" i="8"/>
  <c r="I15" i="8" s="1"/>
  <c r="H14" i="8"/>
  <c r="I14" i="8" s="1"/>
  <c r="H12" i="8"/>
  <c r="I12" i="8" s="1"/>
  <c r="H11" i="8"/>
  <c r="I11" i="8" s="1"/>
  <c r="H9" i="8"/>
  <c r="I9" i="8" s="1"/>
  <c r="H8" i="8"/>
  <c r="I8" i="8" s="1"/>
  <c r="I22" i="8" l="1"/>
  <c r="I26" i="8" s="1"/>
  <c r="H54" i="7" l="1"/>
  <c r="I54" i="7" s="1"/>
  <c r="H53" i="7"/>
  <c r="I51" i="7"/>
  <c r="H50" i="7"/>
  <c r="I50" i="7" s="1"/>
  <c r="H49" i="7"/>
  <c r="I49" i="7" s="1"/>
  <c r="H48" i="7"/>
  <c r="I48" i="7" s="1"/>
  <c r="I41" i="7"/>
  <c r="H41" i="7"/>
  <c r="H40" i="7"/>
  <c r="I40" i="7" s="1"/>
  <c r="H39" i="7"/>
  <c r="I39" i="7" s="1"/>
  <c r="H38" i="7"/>
  <c r="I38" i="7" s="1"/>
  <c r="I37" i="7"/>
  <c r="H37" i="7"/>
  <c r="E37" i="7"/>
  <c r="H36" i="7"/>
  <c r="I36" i="7" s="1"/>
  <c r="H35" i="7"/>
  <c r="E35" i="7"/>
  <c r="I35" i="7" s="1"/>
  <c r="I34" i="7"/>
  <c r="H34" i="7"/>
  <c r="H33" i="7"/>
  <c r="I33" i="7" s="1"/>
  <c r="H31" i="7"/>
  <c r="I31" i="7" s="1"/>
  <c r="H30" i="7"/>
  <c r="I30" i="7" s="1"/>
  <c r="I29" i="7"/>
  <c r="H29" i="7"/>
  <c r="H26" i="7"/>
  <c r="I26" i="7" s="1"/>
  <c r="H25" i="7"/>
  <c r="I25" i="7" s="1"/>
  <c r="H24" i="7"/>
  <c r="I24" i="7" s="1"/>
  <c r="I22" i="7"/>
  <c r="H22" i="7"/>
  <c r="H21" i="7"/>
  <c r="I21" i="7" s="1"/>
  <c r="H19" i="7"/>
  <c r="I19" i="7" s="1"/>
  <c r="H18" i="7"/>
  <c r="I18" i="7" s="1"/>
  <c r="I17" i="7"/>
  <c r="H17" i="7"/>
  <c r="H15" i="7"/>
  <c r="I15" i="7" s="1"/>
  <c r="H14" i="7"/>
  <c r="I14" i="7" s="1"/>
  <c r="H12" i="7"/>
  <c r="I12" i="7" s="1"/>
  <c r="I11" i="7"/>
  <c r="H11" i="7"/>
  <c r="H10" i="7"/>
  <c r="I10" i="7" s="1"/>
  <c r="H8" i="7"/>
  <c r="I8" i="7" s="1"/>
  <c r="I55" i="7" l="1"/>
  <c r="I62" i="7" l="1"/>
  <c r="I59" i="7"/>
  <c r="E19" i="5" l="1"/>
  <c r="D19" i="5"/>
  <c r="E18" i="5"/>
  <c r="D18" i="5"/>
  <c r="E17" i="5"/>
  <c r="D17" i="5"/>
  <c r="D16" i="5"/>
  <c r="F16" i="5" s="1"/>
  <c r="E15" i="5"/>
  <c r="D15" i="5"/>
  <c r="E14" i="5"/>
  <c r="D14" i="5"/>
  <c r="D13" i="5"/>
  <c r="F13" i="5" s="1"/>
  <c r="D12" i="5"/>
  <c r="F12" i="5" s="1"/>
  <c r="D11" i="5"/>
  <c r="F11" i="5" s="1"/>
  <c r="G36" i="2"/>
  <c r="M7" i="1"/>
  <c r="R2" i="4"/>
  <c r="F14" i="5" l="1"/>
  <c r="F18" i="5"/>
  <c r="F21" i="5" s="1"/>
  <c r="F19" i="5"/>
  <c r="F15" i="5"/>
  <c r="F17" i="5"/>
  <c r="M14" i="1" l="1"/>
  <c r="M13" i="1"/>
  <c r="M12" i="1"/>
  <c r="M11" i="1"/>
  <c r="C34" i="4"/>
  <c r="D34" i="4"/>
  <c r="E34" i="4"/>
  <c r="F34" i="4"/>
  <c r="G34" i="4"/>
  <c r="H34" i="4"/>
  <c r="K34" i="4"/>
  <c r="L34" i="4"/>
  <c r="G46" i="2"/>
  <c r="I71" i="4"/>
  <c r="C70" i="4"/>
  <c r="H9" i="1"/>
  <c r="H69" i="4"/>
  <c r="H74" i="4" s="1"/>
  <c r="K18" i="2"/>
  <c r="J18" i="2"/>
  <c r="H18" i="2"/>
  <c r="I18" i="2" s="1"/>
  <c r="H16" i="2"/>
  <c r="I16" i="2" s="1"/>
  <c r="J16" i="2" s="1"/>
  <c r="K16" i="2" s="1"/>
  <c r="H17" i="2"/>
  <c r="I17" i="2" s="1"/>
  <c r="J17" i="2" s="1"/>
  <c r="K17" i="2" s="1"/>
  <c r="M30" i="4"/>
  <c r="L29" i="4"/>
  <c r="L28" i="4"/>
  <c r="J26" i="4"/>
  <c r="J25" i="4"/>
  <c r="K24" i="4" s="1"/>
  <c r="I23" i="4"/>
  <c r="I22" i="4"/>
  <c r="J21" i="4" s="1"/>
  <c r="H20" i="4"/>
  <c r="H19" i="4"/>
  <c r="I18" i="4" s="1"/>
  <c r="I20" i="4" s="1"/>
  <c r="G16" i="4"/>
  <c r="G17" i="4"/>
  <c r="F13" i="4"/>
  <c r="F14" i="4"/>
  <c r="E11" i="4"/>
  <c r="D8" i="4"/>
  <c r="D7" i="4"/>
  <c r="C5" i="4"/>
  <c r="M27" i="4"/>
  <c r="M29" i="4" s="1"/>
  <c r="H15" i="4"/>
  <c r="H17" i="4" s="1"/>
  <c r="H73" i="4" l="1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 s="1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J31" i="2" s="1"/>
  <c r="N26" i="4"/>
  <c r="M23" i="4"/>
  <c r="K17" i="4"/>
  <c r="L20" i="4"/>
  <c r="Q27" i="4"/>
  <c r="O24" i="4"/>
  <c r="O26" i="4" s="1"/>
  <c r="O34" i="4" s="1"/>
  <c r="I31" i="2" s="1"/>
  <c r="N21" i="4"/>
  <c r="N23" i="4" s="1"/>
  <c r="N34" i="4" s="1"/>
  <c r="H31" i="2" s="1"/>
  <c r="M18" i="4"/>
  <c r="M20" i="4" s="1"/>
  <c r="L15" i="4"/>
  <c r="L17" i="4" s="1"/>
  <c r="M34" i="4" l="1"/>
  <c r="G31" i="2" s="1"/>
  <c r="R30" i="4"/>
  <c r="R32" i="4" s="1"/>
  <c r="R34" i="4" s="1"/>
  <c r="Q29" i="4"/>
  <c r="Q34" i="4" s="1"/>
  <c r="K31" i="2" s="1"/>
  <c r="Q31" i="2" l="1"/>
  <c r="M8" i="1"/>
  <c r="H11" i="2"/>
  <c r="I11" i="2" s="1"/>
  <c r="J11" i="2" s="1"/>
  <c r="K11" i="2" s="1"/>
  <c r="L11" i="2" s="1"/>
  <c r="M11" i="2" s="1"/>
  <c r="N11" i="2" s="1"/>
  <c r="O11" i="2" s="1"/>
  <c r="P11" i="2" s="1"/>
  <c r="I74" i="4"/>
  <c r="E74" i="4"/>
  <c r="G73" i="4"/>
  <c r="E73" i="4"/>
  <c r="F72" i="4"/>
  <c r="I72" i="4" s="1"/>
  <c r="E71" i="4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I48" i="2"/>
  <c r="K48" i="2" s="1"/>
  <c r="H47" i="2"/>
  <c r="J47" i="2" s="1"/>
  <c r="K47" i="2" s="1"/>
  <c r="K45" i="2"/>
  <c r="J45" i="2"/>
  <c r="I45" i="2"/>
  <c r="H45" i="2"/>
  <c r="G45" i="2"/>
  <c r="K36" i="2"/>
  <c r="J36" i="2"/>
  <c r="I36" i="2"/>
  <c r="H36" i="2"/>
  <c r="H23" i="2"/>
  <c r="Q22" i="2"/>
  <c r="K19" i="2"/>
  <c r="Q17" i="2"/>
  <c r="G19" i="2"/>
  <c r="F37" i="2"/>
  <c r="M10" i="1"/>
  <c r="F11" i="4" l="1"/>
  <c r="E8" i="4"/>
  <c r="G14" i="4"/>
  <c r="D5" i="4"/>
  <c r="I70" i="4"/>
  <c r="I73" i="4"/>
  <c r="I19" i="2"/>
  <c r="I25" i="2" s="1"/>
  <c r="J19" i="2"/>
  <c r="J25" i="2" s="1"/>
  <c r="Q16" i="2"/>
  <c r="Q18" i="2"/>
  <c r="H12" i="4"/>
  <c r="H14" i="4" s="1"/>
  <c r="G9" i="4"/>
  <c r="C43" i="4"/>
  <c r="E3" i="4"/>
  <c r="F6" i="4"/>
  <c r="F8" i="4" s="1"/>
  <c r="F38" i="2"/>
  <c r="K25" i="2"/>
  <c r="G25" i="2"/>
  <c r="H19" i="2"/>
  <c r="I23" i="2"/>
  <c r="I75" i="4" l="1"/>
  <c r="Q19" i="2"/>
  <c r="E5" i="4"/>
  <c r="G11" i="4"/>
  <c r="J75" i="4"/>
  <c r="J76" i="4"/>
  <c r="L76" i="4" s="1"/>
  <c r="G24" i="2" s="1"/>
  <c r="D45" i="4"/>
  <c r="D44" i="4" s="1"/>
  <c r="F3" i="4"/>
  <c r="H9" i="4"/>
  <c r="H11" i="4" s="1"/>
  <c r="I12" i="4"/>
  <c r="G6" i="4"/>
  <c r="J23" i="2"/>
  <c r="J26" i="2" s="1"/>
  <c r="H25" i="2"/>
  <c r="G51" i="2"/>
  <c r="G29" i="2" s="1"/>
  <c r="H46" i="2"/>
  <c r="H24" i="2" l="1"/>
  <c r="I24" i="2" s="1"/>
  <c r="G26" i="2"/>
  <c r="G27" i="2" s="1"/>
  <c r="H26" i="2"/>
  <c r="H27" i="2" s="1"/>
  <c r="H28" i="2" s="1"/>
  <c r="I14" i="4"/>
  <c r="G8" i="4"/>
  <c r="F5" i="4"/>
  <c r="D43" i="4"/>
  <c r="H6" i="4"/>
  <c r="I8" i="4" s="1"/>
  <c r="J12" i="4"/>
  <c r="G3" i="4"/>
  <c r="I9" i="4"/>
  <c r="E45" i="4"/>
  <c r="E44" i="4" s="1"/>
  <c r="H51" i="2"/>
  <c r="H29" i="2" s="1"/>
  <c r="H30" i="2" s="1"/>
  <c r="H32" i="2" s="1"/>
  <c r="I46" i="2"/>
  <c r="K23" i="2"/>
  <c r="Q25" i="2"/>
  <c r="G30" i="2"/>
  <c r="G32" i="2" s="1"/>
  <c r="J24" i="2" l="1"/>
  <c r="I26" i="2"/>
  <c r="I27" i="2" s="1"/>
  <c r="I28" i="2" s="1"/>
  <c r="I11" i="4"/>
  <c r="G5" i="4"/>
  <c r="H8" i="4"/>
  <c r="J14" i="4"/>
  <c r="E43" i="4"/>
  <c r="F45" i="4"/>
  <c r="F43" i="4"/>
  <c r="F44" i="4"/>
  <c r="J9" i="4"/>
  <c r="J11" i="4" s="1"/>
  <c r="K12" i="4"/>
  <c r="K14" i="4" s="1"/>
  <c r="H3" i="4"/>
  <c r="H5" i="4" s="1"/>
  <c r="G33" i="2"/>
  <c r="H33" i="2"/>
  <c r="H34" i="2" s="1"/>
  <c r="H37" i="2" s="1"/>
  <c r="I51" i="2"/>
  <c r="I29" i="2" s="1"/>
  <c r="J46" i="2"/>
  <c r="Q23" i="2"/>
  <c r="M15" i="1" s="1"/>
  <c r="K24" i="2" l="1"/>
  <c r="K26" i="2" s="1"/>
  <c r="K27" i="2" s="1"/>
  <c r="K28" i="2" s="1"/>
  <c r="Q24" i="2"/>
  <c r="J27" i="2"/>
  <c r="J28" i="2" s="1"/>
  <c r="Q26" i="2"/>
  <c r="Q27" i="2" s="1"/>
  <c r="Q28" i="2" s="1"/>
  <c r="I3" i="4"/>
  <c r="I5" i="4" s="1"/>
  <c r="I34" i="4" s="1"/>
  <c r="G45" i="4"/>
  <c r="G44" i="4" s="1"/>
  <c r="J51" i="2"/>
  <c r="J29" i="2" s="1"/>
  <c r="K46" i="2"/>
  <c r="K51" i="2" s="1"/>
  <c r="K29" i="2" s="1"/>
  <c r="K30" i="2" s="1"/>
  <c r="K32" i="2" s="1"/>
  <c r="I30" i="2"/>
  <c r="I32" i="2" s="1"/>
  <c r="G34" i="2"/>
  <c r="G37" i="2" s="1"/>
  <c r="J30" i="2" l="1"/>
  <c r="J32" i="2" s="1"/>
  <c r="Q32" i="2" s="1"/>
  <c r="F42" i="2"/>
  <c r="M18" i="1" s="1"/>
  <c r="G43" i="4"/>
  <c r="H45" i="4" s="1"/>
  <c r="Q29" i="2"/>
  <c r="Q30" i="2" s="1"/>
  <c r="J3" i="4"/>
  <c r="J5" i="4"/>
  <c r="J34" i="4" s="1"/>
  <c r="G38" i="2"/>
  <c r="K33" i="2"/>
  <c r="K34" i="2" s="1"/>
  <c r="K37" i="2" s="1"/>
  <c r="I33" i="2"/>
  <c r="J33" i="2" l="1"/>
  <c r="J34" i="2" s="1"/>
  <c r="J37" i="2" s="1"/>
  <c r="Q37" i="2" s="1"/>
  <c r="I34" i="2"/>
  <c r="I37" i="2" s="1"/>
  <c r="H44" i="4"/>
  <c r="H43" i="4"/>
  <c r="I45" i="4"/>
  <c r="I44" i="4" s="1"/>
  <c r="H38" i="2"/>
  <c r="H39" i="2" s="1"/>
  <c r="G39" i="2"/>
  <c r="Q33" i="2" l="1"/>
  <c r="Q34" i="2" s="1"/>
  <c r="F41" i="2"/>
  <c r="M17" i="1" s="1"/>
  <c r="F40" i="2"/>
  <c r="M16" i="1" s="1"/>
  <c r="I43" i="4"/>
  <c r="J45" i="4"/>
  <c r="J44" i="4" s="1"/>
  <c r="I38" i="2"/>
  <c r="I39" i="2" s="1"/>
  <c r="J43" i="4" l="1"/>
  <c r="K45" i="4" s="1"/>
  <c r="K44" i="4" s="1"/>
  <c r="J38" i="2"/>
  <c r="J39" i="2" s="1"/>
  <c r="K43" i="4" l="1"/>
  <c r="K38" i="2"/>
  <c r="K39" i="2" s="1"/>
  <c r="F43" i="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<sst xmlns="http://schemas.openxmlformats.org/spreadsheetml/2006/main" count="481" uniqueCount="321">
  <si>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</si>
  <si>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</si>
  <si>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</si>
  <si>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</si>
  <si>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</si>
  <si>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</si>
  <si>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</si>
  <si>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</si>
  <si>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</si>
  <si>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</si>
  <si>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</si>
  <si>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</si>
  <si>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</si>
  <si>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</si>
  <si>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</si>
  <si>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</si>
  <si>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</si>
  <si>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</si>
  <si>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</si>
  <si>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</si>
  <si>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Mall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</si>
  <si>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</si>
  <si>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</si>
  <si>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</si>
  <si>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</si>
  <si>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</si>
  <si>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</si>
  <si>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</si>
  <si>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</si>
  <si>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</si>
  <si>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</si>
  <si>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</si>
  <si>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</si>
  <si>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</si>
  <si>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</si>
  <si>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</si>
  <si>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</si>
  <si>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</si>
  <si>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</si>
  <si>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</si>
  <si>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</si>
  <si>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</si>
  <si>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</si>
  <si>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</si>
  <si>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</si>
  <si>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No,</t>
  </si>
  <si>
    <t>General</t>
  </si>
  <si>
    <t>Operator join</t>
  </si>
  <si>
    <t>Rev.Change</t>
  </si>
  <si>
    <t>Tax Rate</t>
  </si>
  <si>
    <t>Interest Rate</t>
  </si>
  <si>
    <t>IOH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</si>
  <si>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</si>
  <si>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</si>
  <si>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</si>
  <si>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</si>
  <si>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</si>
  <si>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</si>
  <si>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</si>
  <si>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</si>
  <si>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</si>
  <si>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</si>
  <si>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</si>
  <si>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</si>
  <si>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</si>
  <si>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</si>
  <si>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</si>
  <si>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</si>
  <si>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</si>
  <si>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</si>
  <si>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</si>
  <si>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</si>
  <si>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</si>
  <si>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</si>
  <si>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</si>
  <si>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</si>
  <si>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</si>
  <si>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</si>
  <si>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</si>
  <si>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</si>
  <si>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</si>
  <si>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</si>
  <si>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</si>
  <si>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</si>
  <si>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</si>
  <si>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</si>
  <si>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</si>
  <si>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</si>
  <si>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</si>
  <si>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</si>
  <si>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</si>
  <si>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</si>
  <si>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</si>
  <si>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</si>
  <si>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</si>
  <si>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Nama Site                   </t>
  </si>
  <si>
    <t xml:space="preserve">Nama Pemilik           </t>
  </si>
  <si>
    <t xml:space="preserve">Alamat Pemilik       </t>
  </si>
  <si>
    <t xml:space="preserve">Telp                           </t>
  </si>
  <si>
    <t>:  024-8413377</t>
  </si>
  <si>
    <t xml:space="preserve">Obyek Sewa             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</si>
  <si>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</si>
  <si>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</si>
  <si>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</si>
  <si>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</si>
  <si>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</si>
  <si>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</si>
  <si>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</si>
  <si>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</si>
  <si>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</si>
  <si>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Harga Sewa</t>
  </si>
  <si>
    <t>Operator Join</t>
  </si>
  <si>
    <t>6.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</si>
  <si>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</si>
  <si>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</si>
  <si>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</si>
  <si>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</si>
  <si>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</si>
  <si>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</si>
  <si>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2016</t>
  </si>
  <si>
    <t>2017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</si>
  <si>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</si>
  <si>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</si>
  <si>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</si>
  <si>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</si>
  <si>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</si>
  <si>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</si>
  <si>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</si>
  <si>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</si>
  <si>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</si>
  <si>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</si>
  <si>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</si>
  <si>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</si>
  <si>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</si>
  <si>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</si>
  <si>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</si>
  <si>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</si>
  <si>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</si>
  <si>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</si>
  <si>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</si>
  <si>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</si>
  <si>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</si>
  <si>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</si>
  <si>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</si>
  <si>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</si>
  <si>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</si>
  <si>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</si>
  <si>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</si>
  <si>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</si>
  <si>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</si>
  <si>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</si>
  <si>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</si>
  <si>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</si>
  <si>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</si>
  <si>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</si>
  <si>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</si>
  <si>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</si>
  <si>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</si>
  <si>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</si>
  <si>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</si>
  <si>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</si>
  <si>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</si>
  <si>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</si>
  <si>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</si>
  <si>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</si>
  <si>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</si>
  <si>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</si>
  <si>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</si>
  <si>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</si>
  <si>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</si>
  <si>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</si>
  <si>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</si>
  <si>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</si>
  <si>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</si>
  <si>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</si>
  <si>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</si>
  <si>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</si>
  <si>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</si>
  <si>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</si>
  <si>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</si>
  <si>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</si>
  <si>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</si>
  <si>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</si>
  <si>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</si>
  <si>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 xml:space="preserve">Periode </t>
  </si>
  <si>
    <t>Start</t>
  </si>
  <si>
    <t>End</t>
  </si>
  <si>
    <t>Rev Tsel</t>
  </si>
  <si>
    <t>Rev IOH</t>
  </si>
  <si>
    <t>Rev XL</t>
  </si>
  <si>
    <t>Sewa BM</t>
  </si>
  <si>
    <t>Days</t>
  </si>
  <si>
    <t xml:space="preserve">Sewa BM </t>
  </si>
  <si>
    <t>Antisipasi Add Capex and Pole</t>
  </si>
  <si>
    <t>Profit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</si>
  <si>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</si>
  <si>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</si>
  <si>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</si>
  <si>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</si>
  <si>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</si>
  <si>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</si>
  <si>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</si>
  <si>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</si>
  <si>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</si>
  <si>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</si>
  <si>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2023 Tsel</t>
  </si>
  <si>
    <t>2021 IOH</t>
  </si>
  <si>
    <t>2019 SF</t>
  </si>
  <si>
    <t>2020 XL</t>
  </si>
  <si>
    <t>-</t>
  </si>
  <si>
    <t>MALL MEDAN CENTRE POINT</t>
  </si>
  <si>
    <t>0013/IRR/IBC/VI/2024</t>
  </si>
  <si>
    <t>Mall Medan Centre Point</t>
  </si>
  <si>
    <t>Extent</t>
  </si>
  <si>
    <t>XL</t>
  </si>
  <si>
    <t>Telkomsel (1 Jan2020 - 31Des24)</t>
  </si>
  <si>
    <t>IOH-Isat ( 8 Apr20 sd 7 Apr 25)</t>
  </si>
  <si>
    <t>XL (25 Jun 2020 sd  - 24 Sep 2025)</t>
  </si>
  <si>
    <t>218 Omni +5 Unit Pole Antenna + RBS 45 m²</t>
  </si>
  <si>
    <t>1.000.000.000/5thn</t>
  </si>
  <si>
    <t>200.000.000/th</t>
  </si>
  <si>
    <t>11 Aug 24 s/d 10 Aug 29</t>
  </si>
  <si>
    <t>11 Aug 2019 s/d 10 Aug  2024</t>
  </si>
  <si>
    <t>H3I  1Jan19 sd 14Mar 22</t>
  </si>
  <si>
    <t>BV 31Jul24</t>
  </si>
  <si>
    <t>DAS Rektifikasi</t>
  </si>
  <si>
    <t>Total Capex BV 31Jul24</t>
  </si>
  <si>
    <t>Total Capex Rektifikasi</t>
  </si>
  <si>
    <t>BOQ - RECTIFICATION,MEDAN CENTER POIN</t>
  </si>
  <si>
    <t>Date: 24 Maret 2024</t>
  </si>
  <si>
    <t>PT. Infrastruktur Bisnis Sejahtera</t>
  </si>
  <si>
    <t>NO.</t>
  </si>
  <si>
    <t>ITEM WORK</t>
  </si>
  <si>
    <t>UoM</t>
  </si>
  <si>
    <t>Volume</t>
  </si>
  <si>
    <t>UNIT PRICE MATERIAL</t>
  </si>
  <si>
    <t>UNIT PRICE JASA</t>
  </si>
  <si>
    <t>UNIT PRICE MATERIAL+JASA</t>
  </si>
  <si>
    <t>TOTAL PRICE</t>
  </si>
  <si>
    <t>REMARKS</t>
  </si>
  <si>
    <t>I.</t>
  </si>
  <si>
    <t>RF</t>
  </si>
  <si>
    <t>A</t>
  </si>
  <si>
    <t>ANTENNAS (LOW PIM)</t>
  </si>
  <si>
    <t>Omnidirectional Antenna 698-2700 MHz Gain min 5dBi / 360 deg, N-Female Connector with pigtail</t>
  </si>
  <si>
    <t>PCS</t>
  </si>
  <si>
    <t>B</t>
  </si>
  <si>
    <t>POWER SPLITTERS (LOW PIM)</t>
  </si>
  <si>
    <t xml:space="preserve">Multiband 2-way power splitter with wall mounting bracket, 200W, N-female connectors, 698-2700 MHz </t>
  </si>
  <si>
    <t xml:space="preserve">Multiband 3-way power splitter with wall mounting bracket, 200W, N-female connectors, 698-2700 MHz </t>
  </si>
  <si>
    <t xml:space="preserve">Multiband 4-way power splitter with wall mounting bracket, 200W, N-female connectors, 698-2700 MHz </t>
  </si>
  <si>
    <t>C</t>
  </si>
  <si>
    <t>COMBINER &amp; POI (LOW PIM)</t>
  </si>
  <si>
    <r>
      <t xml:space="preserve">Quadplexer 790-960MHz (Port 1), 1710-1880 (Port 2), 1920-2170 (Port 2) 2300-2700 (Port 3) , Low PIM &amp; Low Insertion Loss, 300-500 Watt per-port, 698-2700 MHz </t>
    </r>
    <r>
      <rPr>
        <b/>
        <sz val="10"/>
        <rFont val="Arial"/>
        <family val="2"/>
      </rPr>
      <t>(DIN TYPE)</t>
    </r>
  </si>
  <si>
    <t>* support Combining Telkomsel</t>
  </si>
  <si>
    <t>Dualband Combiner / Diplexer DCS-WCDMA, max Insertion loss -3 dB, 300-500 Watt per-port DIN type</t>
  </si>
  <si>
    <t>* Support Combining IOH</t>
  </si>
  <si>
    <t>D</t>
  </si>
  <si>
    <t>CONNECTORS (LOW PIM)</t>
  </si>
  <si>
    <t>N-male connector for 1/2" feeder cable 800-3000 MHz</t>
  </si>
  <si>
    <t>N-Female connector for 7/8" feeder cable 800-3000 MHz</t>
  </si>
  <si>
    <t>N-Female connector for 1 1/4" feeder cable 800-5000 MHz</t>
  </si>
  <si>
    <t>E</t>
  </si>
  <si>
    <t>JUMPER CABLES (LOW PIM)</t>
  </si>
  <si>
    <r>
      <t xml:space="preserve">1m 1/2" superflexible jumper cable with N-male and N-female connector 800-3000 MHz </t>
    </r>
    <r>
      <rPr>
        <b/>
        <sz val="10"/>
        <rFont val="Arial Narrow"/>
        <family val="2"/>
      </rPr>
      <t>(NM-NM)</t>
    </r>
  </si>
  <si>
    <r>
      <t xml:space="preserve">3m 1/2" superflexible jumper cable with N-male and 7/16" DIN-male connector 800-3000 MHz </t>
    </r>
    <r>
      <rPr>
        <b/>
        <sz val="10"/>
        <rFont val="Arial Narrow"/>
        <family val="2"/>
      </rPr>
      <t>(DM-NM)</t>
    </r>
  </si>
  <si>
    <t>F</t>
  </si>
  <si>
    <t>FEEDER</t>
  </si>
  <si>
    <t xml:space="preserve">1/2" Feeder Cable </t>
  </si>
  <si>
    <t>M</t>
  </si>
  <si>
    <t>7/8" Feeder Cable</t>
  </si>
  <si>
    <t>1 1/4" Feeder Cable</t>
  </si>
  <si>
    <t>II.</t>
  </si>
  <si>
    <t>CME</t>
  </si>
  <si>
    <t>GROUNDING KIT</t>
  </si>
  <si>
    <t>Grounding Kit for 1/2" Feeder Cable (Type KMT)</t>
  </si>
  <si>
    <t>Grounding Kit for 7/8" Feeder Cable (Type KMT)</t>
  </si>
  <si>
    <t>Grounding Kit for 1 1/4" Feeder Cable (Type KMT)</t>
  </si>
  <si>
    <t>FEEDER HANGER &amp; CLAMP</t>
  </si>
  <si>
    <t>Clamp for Feeder Cable 1/2" feeder for Indoor (Stainless Steel)</t>
  </si>
  <si>
    <t>Clamp for Feeder Cable 7/8" feeder for Indoor (Stainless Steel)</t>
  </si>
  <si>
    <t>Clamp for Feeder Cable 1 1/4" feeder for Indoor (Stainless Steel)</t>
  </si>
  <si>
    <t>Mounting Bracket for Omni Antenna</t>
  </si>
  <si>
    <t>Mounting Bracket for Splitter</t>
  </si>
  <si>
    <t>MANHOLE Temporary (Pembuatan dan Perapihan)</t>
  </si>
  <si>
    <t>MANHOLE Permanen</t>
  </si>
  <si>
    <t>Firestop (bongkar Pasang)</t>
  </si>
  <si>
    <t>LS</t>
  </si>
  <si>
    <t>MISCELLANEOUS NEW DAS</t>
  </si>
  <si>
    <t>a. Heatshrink</t>
  </si>
  <si>
    <t>b. Cable Ties</t>
  </si>
  <si>
    <t>c. Tapes</t>
  </si>
  <si>
    <t>d. Adhosive Sealer</t>
  </si>
  <si>
    <t>e. Marking Label (Label Antenna, Spliter &amp; Logo IBS for Antenna &amp; Feeder)</t>
  </si>
  <si>
    <t>III.</t>
  </si>
  <si>
    <t>IMPLEMENTATION SERVICES</t>
  </si>
  <si>
    <t>Coordination Fee (building coordination fee, site clearing, surcharge fee, security, etc)</t>
  </si>
  <si>
    <r>
      <t>Testing &amp; Commissioning Multi Operator (CDMA 800 MHz - LTE 2390MHz )-</t>
    </r>
    <r>
      <rPr>
        <b/>
        <sz val="12"/>
        <color rgb="FFFF0000"/>
        <rFont val="Arial Narrow"/>
        <family val="2"/>
      </rPr>
      <t>untuk Tarikan Baru</t>
    </r>
  </si>
  <si>
    <t>* 79 tarikan feeder baru</t>
  </si>
  <si>
    <r>
      <t>Testing &amp; Commissioning Multi Operator (CDMA 800 MHz - LTE 2390MHz )-</t>
    </r>
    <r>
      <rPr>
        <b/>
        <sz val="12"/>
        <color rgb="FFFF0000"/>
        <rFont val="Arial Narrow"/>
        <family val="2"/>
      </rPr>
      <t>untuk All Existing Feeder</t>
    </r>
  </si>
  <si>
    <t>* Include Perbaikan Koneksi (Standar: VSWR &lt;1.3 &amp;  DTF&lt;1.03)</t>
  </si>
  <si>
    <t>- VSWR ALL EXISTING RUN CABLE</t>
  </si>
  <si>
    <t>- 304 tarikan exisiitng</t>
  </si>
  <si>
    <t>- PENGECEKAN &amp; PERBAIKAN SEMUA KONEKSI (exclude material support, jika harus ada yang diganti)</t>
  </si>
  <si>
    <t>As Built Drawing &amp; Reporting (retrofit)</t>
  </si>
  <si>
    <t>* Update Drawing (penyesuaian) dengan hasil pengecekan (Semua Area)</t>
  </si>
  <si>
    <t>Mobilization: Loading &amp; Unloading (Medan Sumatera Utara)</t>
  </si>
  <si>
    <t>PER ANTENNA</t>
  </si>
  <si>
    <t>Tetap</t>
  </si>
  <si>
    <t>SITE Medan Centre Point</t>
  </si>
  <si>
    <t>Medan</t>
  </si>
  <si>
    <t>OM Tsel</t>
  </si>
  <si>
    <t>OM IOH</t>
  </si>
  <si>
    <t>OM XL</t>
  </si>
  <si>
    <t>Listrik Tsel</t>
  </si>
  <si>
    <t>Listrik IOH</t>
  </si>
  <si>
    <t>Optimis&gt;&gt; Jika Sewa BM diperpanjang 5 tahun dan Operator mengikutinya , maka:</t>
  </si>
  <si>
    <t>BOQ - ADD MATERIAL RECTIFICATION,MEDAN CENTER POIN 07102024</t>
  </si>
  <si>
    <t>Date: 07 November 2024</t>
  </si>
  <si>
    <r>
      <t>1m 1/2" superflexible jumper cable with N-male and</t>
    </r>
    <r>
      <rPr>
        <b/>
        <sz val="10"/>
        <rFont val="Arial Narrow"/>
        <family val="2"/>
      </rPr>
      <t xml:space="preserve"> N-male</t>
    </r>
    <r>
      <rPr>
        <sz val="10"/>
        <rFont val="Arial Narrow"/>
        <family val="2"/>
      </rPr>
      <t xml:space="preserve"> connector 800-3000 MHz </t>
    </r>
    <r>
      <rPr>
        <b/>
        <sz val="10"/>
        <rFont val="Arial Narrow"/>
        <family val="2"/>
      </rPr>
      <t>(NM-NM)</t>
    </r>
  </si>
  <si>
    <t>1m 1/2" superflexible jumper cable with N-male and N-female connector 800-3000 MHz (NM-NF)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</si>
</sst>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[$-C09]dd\-mmm\-yy;@"/>
    <numFmt numFmtId="171" formatCode="#,###&quot;/thn&quot;"/>
    <numFmt numFmtId="172" formatCode="#,###&quot;/pole&quot;"/>
    <numFmt numFmtId="173" formatCode="_-[$Rp-421]* #,##0_-;\-[$Rp-421]* #,##0_-;_-[$Rp-421]* &quot;-&quot;??_-;_-@_-"/>
    <numFmt numFmtId="174" formatCode="_([$Rp-421]* #,##0_);_([$Rp-421]* \(#,##0\);_([$Rp-421]* &quot;-&quot;_);_(@_)"/>
    <numFmt numFmtId="175" formatCode="_(&quot;$&quot;* #,##0.00_);_(&quot;$&quot;* \(#,##0.00\);_(&quot;$&quot;* &quot;-&quot;??_);_(@_)"/>
    <numFmt numFmtId="176" formatCode="_-[$Rp-421]* #,##0.00_-;\-[$Rp-421]* #,##0.00_-;_-[$Rp-421]* &quot;-&quot;??_-;_-@_-"/>
    <numFmt numFmtId="177" formatCode="_([$IDR]\ * #,##0_);_([$IDR]\ * \(#,##0\);_([$IDR]\ * &quot;-&quot;_);_(@_)"/>
    <numFmt numFmtId="178" formatCode="_([$Rp-421]* #,##0_);_([$Rp-421]* \(#,##0\);_([$Rp-421]* &quot;-&quot;??_);_(@_)"/>
    <numFmt numFmtId="179" formatCode="_([$Rp-421]* #,##0.00_);_([$Rp-421]* \(#,##0.00\);_([$Rp-421]* &quot;-&quot;??_);_(@_)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5"/>
      <name val="Arial Narrow"/>
      <family val="2"/>
    </font>
    <font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0"/>
      <color theme="1"/>
      <name val="Arial Narrow"/>
      <family val="2"/>
    </font>
    <font>
      <b/>
      <i/>
      <sz val="10"/>
      <color rgb="FFFF0000"/>
      <name val="Arial Narrow"/>
      <family val="2"/>
    </font>
    <font>
      <b/>
      <i/>
      <sz val="10"/>
      <name val="Arial Narrow"/>
      <family val="2"/>
    </font>
    <font>
      <b/>
      <sz val="10"/>
      <name val="Arial Narrow"/>
      <family val="2"/>
    </font>
    <font>
      <sz val="11"/>
      <name val="Arial"/>
      <family val="2"/>
    </font>
    <font>
      <b/>
      <sz val="10"/>
      <color rgb="FFFF0000"/>
      <name val="Arial Narrow"/>
      <family val="2"/>
    </font>
    <font>
      <sz val="10"/>
      <color theme="1"/>
      <name val="Arial Narrow"/>
      <family val="2"/>
    </font>
    <font>
      <i/>
      <sz val="10"/>
      <name val="Arial Narrow"/>
      <family val="2"/>
    </font>
    <font>
      <b/>
      <sz val="10"/>
      <name val="Arial"/>
      <family val="2"/>
    </font>
    <font>
      <sz val="10"/>
      <name val="Courier New"/>
      <family val="3"/>
    </font>
    <font>
      <b/>
      <sz val="12"/>
      <color rgb="FFFF0000"/>
      <name val="Arial Narrow"/>
      <family val="2"/>
    </font>
    <font>
      <sz val="12"/>
      <color theme="1"/>
      <name val="Arial Narrow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FFFF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0" fontId="37" fillId="0" borderId="0"/>
    <xf numFmtId="175" fontId="1" fillId="0" borderId="0" applyFont="0" applyFill="0" applyBorder="0" applyAlignment="0" applyProtection="0"/>
    <xf numFmtId="0" fontId="42" fillId="0" borderId="0"/>
  </cellStyleXfs>
  <cellXfs count="332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41" fontId="0" fillId="0" borderId="0" xfId="4" applyFont="1" applyBorder="1"/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41" fontId="0" fillId="0" borderId="0" xfId="4" applyFont="1" applyFill="1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center"/>
      <protection locked="0"/>
    </xf>
    <xf numFmtId="0" fontId="3" fillId="0" borderId="0" xfId="3" applyAlignment="1">
      <alignment horizontal="left" indent="1"/>
    </xf>
    <xf numFmtId="9" fontId="0" fillId="0" borderId="0" xfId="4" applyNumberFormat="1" applyFont="1" applyBorder="1"/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165" fontId="3" fillId="0" borderId="0" xfId="2" applyFont="1"/>
    <xf numFmtId="0" fontId="0" fillId="0" borderId="8" xfId="4" quotePrefix="1" applyNumberFormat="1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4" fillId="0" borderId="5" xfId="3" applyFont="1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11" fillId="0" borderId="13" xfId="3" applyNumberFormat="1" applyFont="1" applyBorder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19" fillId="0" borderId="0" xfId="8"/>
    <xf numFmtId="0" fontId="20" fillId="0" borderId="0" xfId="8" applyFont="1" applyAlignment="1">
      <alignment horizontal="center"/>
    </xf>
    <xf numFmtId="0" fontId="21" fillId="0" borderId="0" xfId="8" applyFont="1"/>
    <xf numFmtId="0" fontId="19" fillId="0" borderId="24" xfId="8" applyBorder="1" applyAlignment="1">
      <alignment horizontal="center" vertical="center"/>
    </xf>
    <xf numFmtId="0" fontId="19" fillId="0" borderId="24" xfId="8" applyBorder="1"/>
    <xf numFmtId="0" fontId="19" fillId="0" borderId="27" xfId="8" applyBorder="1"/>
    <xf numFmtId="0" fontId="21" fillId="0" borderId="24" xfId="8" applyFont="1" applyBorder="1"/>
    <xf numFmtId="164" fontId="0" fillId="0" borderId="27" xfId="9" applyFont="1" applyBorder="1"/>
    <xf numFmtId="164" fontId="0" fillId="0" borderId="24" xfId="9" applyFont="1" applyBorder="1"/>
    <xf numFmtId="0" fontId="19" fillId="0" borderId="25" xfId="8" applyBorder="1" applyAlignment="1">
      <alignment horizontal="center" vertical="center"/>
    </xf>
    <xf numFmtId="0" fontId="19" fillId="0" borderId="19" xfId="8" applyBorder="1"/>
    <xf numFmtId="0" fontId="19" fillId="0" borderId="28" xfId="8" applyBorder="1" applyAlignment="1">
      <alignment horizontal="center" vertical="center"/>
    </xf>
    <xf numFmtId="0" fontId="19" fillId="0" borderId="21" xfId="8" applyBorder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170" fontId="19" fillId="0" borderId="24" xfId="8" applyNumberFormat="1" applyBorder="1" applyAlignment="1">
      <alignment horizontal="center"/>
    </xf>
    <xf numFmtId="170" fontId="19" fillId="0" borderId="0" xfId="8" applyNumberFormat="1"/>
    <xf numFmtId="0" fontId="2" fillId="0" borderId="0" xfId="10" applyFont="1" applyAlignment="1">
      <alignment horizontal="center"/>
    </xf>
    <xf numFmtId="170" fontId="19" fillId="0" borderId="0" xfId="8" applyNumberFormat="1" applyAlignment="1">
      <alignment horizontal="center"/>
    </xf>
    <xf numFmtId="165" fontId="19" fillId="0" borderId="0" xfId="2" applyFont="1" applyBorder="1"/>
    <xf numFmtId="171" fontId="19" fillId="0" borderId="0" xfId="11" applyNumberFormat="1" applyFont="1"/>
    <xf numFmtId="165" fontId="19" fillId="0" borderId="0" xfId="8" applyNumberFormat="1"/>
    <xf numFmtId="172" fontId="19" fillId="0" borderId="0" xfId="12" applyNumberFormat="1" applyFont="1"/>
    <xf numFmtId="41" fontId="19" fillId="0" borderId="15" xfId="11" applyFont="1" applyBorder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0" fontId="19" fillId="0" borderId="29" xfId="8" applyBorder="1"/>
    <xf numFmtId="165" fontId="12" fillId="0" borderId="0" xfId="2" applyFont="1" applyAlignment="1">
      <alignment vertical="center"/>
    </xf>
    <xf numFmtId="41" fontId="3" fillId="0" borderId="0" xfId="4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0" fontId="30" fillId="0" borderId="0" xfId="14" applyFont="1" applyAlignment="1">
      <alignment vertical="center"/>
    </xf>
    <xf numFmtId="173" fontId="30" fillId="0" borderId="0" xfId="14" applyNumberFormat="1" applyFont="1" applyAlignment="1">
      <alignment vertical="center"/>
    </xf>
    <xf numFmtId="0" fontId="31" fillId="0" borderId="0" xfId="14" applyFont="1" applyAlignment="1">
      <alignment vertical="center"/>
    </xf>
    <xf numFmtId="0" fontId="33" fillId="0" borderId="0" xfId="14" applyFont="1" applyAlignment="1">
      <alignment horizontal="left" vertical="center"/>
    </xf>
    <xf numFmtId="0" fontId="33" fillId="0" borderId="0" xfId="14" applyFont="1" applyAlignment="1">
      <alignment vertical="center" wrapText="1"/>
    </xf>
    <xf numFmtId="174" fontId="34" fillId="0" borderId="0" xfId="15" applyNumberFormat="1" applyFont="1" applyFill="1" applyAlignment="1">
      <alignment horizontal="center" vertical="center"/>
    </xf>
    <xf numFmtId="0" fontId="35" fillId="0" borderId="0" xfId="14" applyFont="1" applyAlignment="1">
      <alignment horizontal="left" vertical="center"/>
    </xf>
    <xf numFmtId="0" fontId="36" fillId="0" borderId="0" xfId="14" applyFont="1" applyAlignment="1">
      <alignment vertical="center" wrapText="1"/>
    </xf>
    <xf numFmtId="174" fontId="35" fillId="0" borderId="0" xfId="15" applyNumberFormat="1" applyFont="1" applyFill="1" applyAlignment="1">
      <alignment horizontal="center" vertical="center"/>
    </xf>
    <xf numFmtId="0" fontId="36" fillId="8" borderId="24" xfId="16" applyFont="1" applyFill="1" applyBorder="1" applyAlignment="1">
      <alignment horizontal="center" vertical="center" wrapText="1"/>
    </xf>
    <xf numFmtId="173" fontId="36" fillId="8" borderId="24" xfId="16" applyNumberFormat="1" applyFont="1" applyFill="1" applyBorder="1" applyAlignment="1">
      <alignment horizontal="center" vertical="center" wrapText="1"/>
    </xf>
    <xf numFmtId="0" fontId="36" fillId="9" borderId="24" xfId="16" applyFont="1" applyFill="1" applyBorder="1" applyAlignment="1">
      <alignment horizontal="center" vertical="center"/>
    </xf>
    <xf numFmtId="0" fontId="33" fillId="9" borderId="24" xfId="16" applyFont="1" applyFill="1" applyBorder="1" applyAlignment="1">
      <alignment horizontal="left" vertical="center" wrapText="1"/>
    </xf>
    <xf numFmtId="0" fontId="38" fillId="9" borderId="24" xfId="16" applyFont="1" applyFill="1" applyBorder="1" applyAlignment="1">
      <alignment horizontal="center" vertical="center"/>
    </xf>
    <xf numFmtId="173" fontId="36" fillId="9" borderId="24" xfId="16" applyNumberFormat="1" applyFont="1" applyFill="1" applyBorder="1" applyAlignment="1">
      <alignment horizontal="center" vertical="center"/>
    </xf>
    <xf numFmtId="173" fontId="39" fillId="9" borderId="24" xfId="0" applyNumberFormat="1" applyFont="1" applyFill="1" applyBorder="1"/>
    <xf numFmtId="0" fontId="39" fillId="9" borderId="24" xfId="0" applyFont="1" applyFill="1" applyBorder="1"/>
    <xf numFmtId="0" fontId="39" fillId="0" borderId="0" xfId="0" applyFont="1"/>
    <xf numFmtId="0" fontId="36" fillId="3" borderId="24" xfId="16" applyFont="1" applyFill="1" applyBorder="1" applyAlignment="1">
      <alignment horizontal="center" vertical="center"/>
    </xf>
    <xf numFmtId="0" fontId="33" fillId="3" borderId="24" xfId="16" applyFont="1" applyFill="1" applyBorder="1" applyAlignment="1">
      <alignment horizontal="left" vertical="center" wrapText="1"/>
    </xf>
    <xf numFmtId="0" fontId="30" fillId="3" borderId="24" xfId="14" applyFont="1" applyFill="1" applyBorder="1" applyAlignment="1">
      <alignment horizontal="center" vertical="center"/>
    </xf>
    <xf numFmtId="173" fontId="30" fillId="3" borderId="24" xfId="14" applyNumberFormat="1" applyFont="1" applyFill="1" applyBorder="1" applyAlignment="1">
      <alignment vertical="center"/>
    </xf>
    <xf numFmtId="0" fontId="30" fillId="3" borderId="24" xfId="14" applyFont="1" applyFill="1" applyBorder="1" applyAlignment="1">
      <alignment vertical="center"/>
    </xf>
    <xf numFmtId="0" fontId="30" fillId="7" borderId="24" xfId="16" applyFont="1" applyFill="1" applyBorder="1" applyAlignment="1">
      <alignment horizontal="center" vertical="center"/>
    </xf>
    <xf numFmtId="0" fontId="30" fillId="7" borderId="24" xfId="16" applyFont="1" applyFill="1" applyBorder="1" applyAlignment="1">
      <alignment vertical="center" wrapText="1"/>
    </xf>
    <xf numFmtId="0" fontId="30" fillId="7" borderId="24" xfId="14" applyFont="1" applyFill="1" applyBorder="1" applyAlignment="1">
      <alignment horizontal="center" vertical="center"/>
    </xf>
    <xf numFmtId="0" fontId="30" fillId="7" borderId="24" xfId="17" applyNumberFormat="1" applyFont="1" applyFill="1" applyBorder="1" applyAlignment="1">
      <alignment horizontal="center" vertical="center"/>
    </xf>
    <xf numFmtId="173" fontId="30" fillId="7" borderId="24" xfId="17" applyNumberFormat="1" applyFont="1" applyFill="1" applyBorder="1" applyAlignment="1">
      <alignment horizontal="center" vertical="center"/>
    </xf>
    <xf numFmtId="173" fontId="30" fillId="7" borderId="24" xfId="14" applyNumberFormat="1" applyFont="1" applyFill="1" applyBorder="1" applyAlignment="1">
      <alignment vertical="center"/>
    </xf>
    <xf numFmtId="0" fontId="40" fillId="7" borderId="24" xfId="14" applyFont="1" applyFill="1" applyBorder="1" applyAlignment="1">
      <alignment vertical="center"/>
    </xf>
    <xf numFmtId="0" fontId="30" fillId="7" borderId="0" xfId="14" applyFont="1" applyFill="1" applyAlignment="1">
      <alignment vertical="center"/>
    </xf>
    <xf numFmtId="0" fontId="36" fillId="3" borderId="24" xfId="16" applyFont="1" applyFill="1" applyBorder="1" applyAlignment="1">
      <alignment horizontal="left" vertical="center" wrapText="1"/>
    </xf>
    <xf numFmtId="0" fontId="30" fillId="3" borderId="24" xfId="17" applyNumberFormat="1" applyFont="1" applyFill="1" applyBorder="1" applyAlignment="1">
      <alignment horizontal="center" vertical="center"/>
    </xf>
    <xf numFmtId="173" fontId="30" fillId="3" borderId="24" xfId="17" applyNumberFormat="1" applyFont="1" applyFill="1" applyBorder="1" applyAlignment="1">
      <alignment horizontal="center" vertical="center"/>
    </xf>
    <xf numFmtId="176" fontId="30" fillId="3" borderId="24" xfId="14" applyNumberFormat="1" applyFont="1" applyFill="1" applyBorder="1" applyAlignment="1">
      <alignment horizontal="center" vertical="center"/>
    </xf>
    <xf numFmtId="177" fontId="40" fillId="3" borderId="24" xfId="14" applyNumberFormat="1" applyFont="1" applyFill="1" applyBorder="1" applyAlignment="1">
      <alignment horizontal="center" vertical="center"/>
    </xf>
    <xf numFmtId="0" fontId="30" fillId="7" borderId="24" xfId="14" applyFont="1" applyFill="1" applyBorder="1" applyAlignment="1">
      <alignment vertical="center"/>
    </xf>
    <xf numFmtId="173" fontId="30" fillId="3" borderId="24" xfId="14" applyNumberFormat="1" applyFont="1" applyFill="1" applyBorder="1" applyAlignment="1">
      <alignment horizontal="center" vertical="center"/>
    </xf>
    <xf numFmtId="0" fontId="30" fillId="7" borderId="24" xfId="16" applyFont="1" applyFill="1" applyBorder="1" applyAlignment="1">
      <alignment horizontal="left" vertical="center" wrapText="1"/>
    </xf>
    <xf numFmtId="0" fontId="33" fillId="3" borderId="24" xfId="16" applyFont="1" applyFill="1" applyBorder="1" applyAlignment="1">
      <alignment horizontal="center" vertical="center"/>
    </xf>
    <xf numFmtId="0" fontId="36" fillId="3" borderId="24" xfId="17" applyNumberFormat="1" applyFont="1" applyFill="1" applyBorder="1" applyAlignment="1">
      <alignment horizontal="center" vertical="center"/>
    </xf>
    <xf numFmtId="173" fontId="36" fillId="3" borderId="24" xfId="17" applyNumberFormat="1" applyFont="1" applyFill="1" applyBorder="1" applyAlignment="1">
      <alignment horizontal="center" vertical="center"/>
    </xf>
    <xf numFmtId="0" fontId="39" fillId="7" borderId="24" xfId="16" applyFont="1" applyFill="1" applyBorder="1" applyAlignment="1">
      <alignment horizontal="center" vertical="center"/>
    </xf>
    <xf numFmtId="0" fontId="39" fillId="7" borderId="24" xfId="16" applyFont="1" applyFill="1" applyBorder="1" applyAlignment="1">
      <alignment vertical="center" wrapText="1"/>
    </xf>
    <xf numFmtId="178" fontId="30" fillId="7" borderId="24" xfId="17" applyNumberFormat="1" applyFont="1" applyFill="1" applyBorder="1" applyAlignment="1">
      <alignment horizontal="center" vertical="center"/>
    </xf>
    <xf numFmtId="0" fontId="30" fillId="7" borderId="24" xfId="18" applyFont="1" applyFill="1" applyBorder="1" applyAlignment="1">
      <alignment horizontal="center" vertical="center"/>
    </xf>
    <xf numFmtId="0" fontId="39" fillId="7" borderId="24" xfId="18" applyFont="1" applyFill="1" applyBorder="1" applyAlignment="1">
      <alignment vertical="center" wrapText="1"/>
    </xf>
    <xf numFmtId="42" fontId="30" fillId="7" borderId="24" xfId="14" applyNumberFormat="1" applyFont="1" applyFill="1" applyBorder="1" applyAlignment="1">
      <alignment horizontal="center" vertical="center"/>
    </xf>
    <xf numFmtId="0" fontId="39" fillId="7" borderId="24" xfId="0" applyFont="1" applyFill="1" applyBorder="1"/>
    <xf numFmtId="0" fontId="39" fillId="7" borderId="0" xfId="0" applyFont="1" applyFill="1"/>
    <xf numFmtId="0" fontId="30" fillId="7" borderId="24" xfId="18" applyFont="1" applyFill="1" applyBorder="1" applyAlignment="1">
      <alignment horizontal="center" vertical="center" wrapText="1"/>
    </xf>
    <xf numFmtId="1" fontId="30" fillId="7" borderId="24" xfId="14" applyNumberFormat="1" applyFont="1" applyFill="1" applyBorder="1" applyAlignment="1">
      <alignment horizontal="center" vertical="center"/>
    </xf>
    <xf numFmtId="0" fontId="39" fillId="7" borderId="24" xfId="16" applyFont="1" applyFill="1" applyBorder="1" applyAlignment="1">
      <alignment horizontal="left" vertical="center" wrapText="1"/>
    </xf>
    <xf numFmtId="173" fontId="30" fillId="7" borderId="24" xfId="13" applyNumberFormat="1" applyFont="1" applyFill="1" applyBorder="1" applyAlignment="1">
      <alignment horizontal="center" vertical="center"/>
    </xf>
    <xf numFmtId="0" fontId="30" fillId="7" borderId="24" xfId="0" applyFont="1" applyFill="1" applyBorder="1"/>
    <xf numFmtId="173" fontId="36" fillId="9" borderId="24" xfId="13" applyNumberFormat="1" applyFont="1" applyFill="1" applyBorder="1" applyAlignment="1">
      <alignment horizontal="center" vertical="center"/>
    </xf>
    <xf numFmtId="177" fontId="36" fillId="9" borderId="24" xfId="13" applyNumberFormat="1" applyFont="1" applyFill="1" applyBorder="1" applyAlignment="1">
      <alignment horizontal="center" vertical="center"/>
    </xf>
    <xf numFmtId="0" fontId="39" fillId="7" borderId="24" xfId="0" quotePrefix="1" applyFont="1" applyFill="1" applyBorder="1"/>
    <xf numFmtId="0" fontId="30" fillId="8" borderId="24" xfId="18" applyFont="1" applyFill="1" applyBorder="1" applyAlignment="1">
      <alignment horizontal="center" vertical="center"/>
    </xf>
    <xf numFmtId="0" fontId="39" fillId="8" borderId="24" xfId="18" applyFont="1" applyFill="1" applyBorder="1" applyAlignment="1">
      <alignment vertical="center" wrapText="1"/>
    </xf>
    <xf numFmtId="0" fontId="30" fillId="8" borderId="24" xfId="14" applyFont="1" applyFill="1" applyBorder="1" applyAlignment="1">
      <alignment horizontal="center" vertical="center"/>
    </xf>
    <xf numFmtId="179" fontId="30" fillId="8" borderId="24" xfId="18" applyNumberFormat="1" applyFont="1" applyFill="1" applyBorder="1" applyAlignment="1">
      <alignment horizontal="center" vertical="center"/>
    </xf>
    <xf numFmtId="0" fontId="39" fillId="8" borderId="24" xfId="0" applyFont="1" applyFill="1" applyBorder="1"/>
    <xf numFmtId="178" fontId="36" fillId="8" borderId="24" xfId="16" applyNumberFormat="1" applyFont="1" applyFill="1" applyBorder="1" applyAlignment="1">
      <alignment vertical="center" wrapText="1"/>
    </xf>
    <xf numFmtId="178" fontId="39" fillId="8" borderId="24" xfId="0" applyNumberFormat="1" applyFont="1" applyFill="1" applyBorder="1"/>
    <xf numFmtId="0" fontId="39" fillId="0" borderId="0" xfId="14" applyFont="1" applyAlignment="1">
      <alignment vertical="center" wrapText="1"/>
    </xf>
    <xf numFmtId="0" fontId="44" fillId="0" borderId="0" xfId="14" applyFont="1" applyAlignment="1">
      <alignment vertical="center" wrapText="1"/>
    </xf>
    <xf numFmtId="175" fontId="30" fillId="8" borderId="0" xfId="14" applyNumberFormat="1" applyFont="1" applyFill="1" applyAlignment="1">
      <alignment vertical="center"/>
    </xf>
    <xf numFmtId="173" fontId="36" fillId="8" borderId="0" xfId="14" applyNumberFormat="1" applyFont="1" applyFill="1" applyAlignment="1">
      <alignment vertical="center"/>
    </xf>
    <xf numFmtId="41" fontId="27" fillId="0" borderId="0" xfId="4" applyFont="1" applyFill="1"/>
    <xf numFmtId="170" fontId="19" fillId="0" borderId="0" xfId="8" applyNumberFormat="1" applyBorder="1" applyAlignment="1">
      <alignment horizontal="center"/>
    </xf>
    <xf numFmtId="0" fontId="30" fillId="7" borderId="24" xfId="14" applyNumberFormat="1" applyFont="1" applyFill="1" applyBorder="1" applyAlignment="1">
      <alignment horizontal="center" vertical="center"/>
    </xf>
    <xf numFmtId="41" fontId="31" fillId="0" borderId="0" xfId="11" applyFont="1" applyAlignment="1">
      <alignment vertical="center"/>
    </xf>
    <xf numFmtId="0" fontId="30" fillId="2" borderId="24" xfId="16" applyFont="1" applyFill="1" applyBorder="1" applyAlignment="1">
      <alignment horizontal="center" vertical="center"/>
    </xf>
    <xf numFmtId="0" fontId="30" fillId="2" borderId="24" xfId="16" applyFont="1" applyFill="1" applyBorder="1" applyAlignment="1">
      <alignment horizontal="left" vertical="center" wrapText="1"/>
    </xf>
    <xf numFmtId="0" fontId="30" fillId="2" borderId="24" xfId="14" applyFont="1" applyFill="1" applyBorder="1" applyAlignment="1">
      <alignment horizontal="center" vertical="center"/>
    </xf>
    <xf numFmtId="0" fontId="30" fillId="2" borderId="24" xfId="17" applyNumberFormat="1" applyFont="1" applyFill="1" applyBorder="1" applyAlignment="1">
      <alignment horizontal="center" vertical="center"/>
    </xf>
    <xf numFmtId="173" fontId="30" fillId="2" borderId="24" xfId="17" applyNumberFormat="1" applyFont="1" applyFill="1" applyBorder="1" applyAlignment="1">
      <alignment horizontal="center" vertical="center"/>
    </xf>
    <xf numFmtId="173" fontId="30" fillId="2" borderId="24" xfId="14" applyNumberFormat="1" applyFont="1" applyFill="1" applyBorder="1" applyAlignment="1">
      <alignment vertical="center"/>
    </xf>
    <xf numFmtId="0" fontId="30" fillId="2" borderId="24" xfId="14" applyFont="1" applyFill="1" applyBorder="1" applyAlignment="1">
      <alignment vertical="center"/>
    </xf>
    <xf numFmtId="0" fontId="36" fillId="2" borderId="24" xfId="16" applyFont="1" applyFill="1" applyBorder="1" applyAlignment="1">
      <alignment horizontal="left" vertical="center" wrapText="1"/>
    </xf>
    <xf numFmtId="0" fontId="39" fillId="2" borderId="24" xfId="16" applyFont="1" applyFill="1" applyBorder="1" applyAlignment="1">
      <alignment horizontal="center" vertical="center"/>
    </xf>
    <xf numFmtId="0" fontId="39" fillId="2" borderId="24" xfId="16" applyFont="1" applyFill="1" applyBorder="1" applyAlignment="1">
      <alignment vertical="center" wrapText="1"/>
    </xf>
    <xf numFmtId="178" fontId="30" fillId="2" borderId="24" xfId="17" applyNumberFormat="1" applyFont="1" applyFill="1" applyBorder="1" applyAlignment="1">
      <alignment horizontal="center" vertical="center"/>
    </xf>
    <xf numFmtId="0" fontId="30" fillId="2" borderId="24" xfId="18" applyFont="1" applyFill="1" applyBorder="1" applyAlignment="1">
      <alignment horizontal="center" vertical="center" wrapText="1"/>
    </xf>
    <xf numFmtId="1" fontId="30" fillId="2" borderId="24" xfId="14" applyNumberFormat="1" applyFont="1" applyFill="1" applyBorder="1" applyAlignment="1">
      <alignment horizontal="center" vertical="center"/>
    </xf>
    <xf numFmtId="0" fontId="39" fillId="2" borderId="24" xfId="0" applyFont="1" applyFill="1" applyBorder="1"/>
    <xf numFmtId="0" fontId="39" fillId="2" borderId="24" xfId="16" applyFont="1" applyFill="1" applyBorder="1" applyAlignment="1">
      <alignment horizontal="left" vertical="center" wrapText="1"/>
    </xf>
    <xf numFmtId="178" fontId="36" fillId="12" borderId="24" xfId="16" applyNumberFormat="1" applyFont="1" applyFill="1" applyBorder="1" applyAlignment="1">
      <alignment vertical="center" wrapText="1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4" fillId="0" borderId="0" xfId="3" applyFont="1" applyAlignment="1">
      <alignment horizontal="left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19" fillId="0" borderId="27" xfId="8" applyBorder="1" applyAlignment="1">
      <alignment horizontal="center" wrapText="1"/>
    </xf>
    <xf numFmtId="0" fontId="19" fillId="0" borderId="29" xfId="8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5" xfId="8" applyBorder="1" applyAlignment="1">
      <alignment horizontal="center" vertical="center"/>
    </xf>
    <xf numFmtId="0" fontId="19" fillId="0" borderId="26" xfId="8" applyBorder="1" applyAlignment="1">
      <alignment horizontal="center" vertical="center"/>
    </xf>
    <xf numFmtId="0" fontId="19" fillId="0" borderId="24" xfId="8" applyBorder="1" applyAlignment="1">
      <alignment horizontal="center"/>
    </xf>
    <xf numFmtId="0" fontId="29" fillId="3" borderId="0" xfId="14" applyFont="1" applyFill="1" applyAlignment="1">
      <alignment horizontal="left" vertical="center"/>
    </xf>
    <xf numFmtId="0" fontId="32" fillId="3" borderId="0" xfId="14" applyFont="1" applyFill="1" applyAlignment="1">
      <alignment horizontal="left" vertical="center"/>
    </xf>
  </cellXfs>
  <cellStyles count="19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5" xr:uid="{FDFAA780-32C8-42C8-94DF-F0BAAE9B12D8}"/>
    <cellStyle name="Comma 5 2" xfId="5" xr:uid="{7DB35855-DF1D-41FD-8D1D-57F8E5731502}"/>
    <cellStyle name="Currency [0]" xfId="13" builtinId="7"/>
    <cellStyle name="Currency [0] 2 2" xfId="9" xr:uid="{31FE3FCA-9591-4575-ADF9-2469AC4B017F}"/>
    <cellStyle name="Currency 2" xfId="17" xr:uid="{2195046E-74DE-4DB5-978A-4F399A011336}"/>
    <cellStyle name="Normal" xfId="0" builtinId="0"/>
    <cellStyle name="Normal 2 2 2 2 3" xfId="6" xr:uid="{DE498679-5550-451A-81BA-8B6F40AD0748}"/>
    <cellStyle name="Normal 2 7" xfId="14" xr:uid="{EB006BD7-BAFA-431B-8D9F-CA10F0629EEE}"/>
    <cellStyle name="Normal 3" xfId="3" xr:uid="{80C6D651-5E36-4AE1-B2AF-24F7035690A9}"/>
    <cellStyle name="Normal 7" xfId="8" xr:uid="{8336AFE8-187C-4DC7-9E05-5CF89FA2A319}"/>
    <cellStyle name="Normal 7 3" xfId="10" xr:uid="{E3956C3F-B4CE-4040-AFD0-AC78C0F19FE7}"/>
    <cellStyle name="Normal_BoQ Indoor INTI - Virtual" xfId="16" xr:uid="{29D80363-2C84-4216-9E81-D7FF8D462D05}"/>
    <cellStyle name="Normal_BoQ_Sudirman Place" xfId="18" xr:uid="{B66D7E02-5432-4A9F-ABDF-145345700992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2130" y="5544569"/>
          <a:ext cx="8987970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3876" y="6826180"/>
          <a:ext cx="9203826" cy="174694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0.1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zoomScale="70" zoomScaleNormal="70" workbookViewId="0">
      <selection activeCell="M19" sqref="M19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4" customHeight="1" x14ac:dyDescent="0.55000000000000004">
      <c r="B2" s="1" t="s">
        <v>0</v>
      </c>
      <c r="C2" s="2" t="s">
        <v>211</v>
      </c>
      <c r="M2" s="3"/>
      <c r="N2" s="4" t="s">
        <v>210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45447</v>
      </c>
    </row>
    <row r="4" spans="2:14" ht="18.5" x14ac:dyDescent="0.45">
      <c r="C4" s="5" t="s">
        <v>4</v>
      </c>
      <c r="D4" s="2" t="s">
        <v>213</v>
      </c>
    </row>
    <row r="5" spans="2:14" ht="0.9" customHeight="1" thickBot="1" x14ac:dyDescent="0.4">
      <c r="C5" s="2"/>
    </row>
    <row r="6" spans="2:14" s="7" customFormat="1" ht="19" thickBot="1" x14ac:dyDescent="0.5">
      <c r="B6" s="290" t="s">
        <v>5</v>
      </c>
      <c r="C6" s="291"/>
      <c r="D6" s="292"/>
      <c r="E6" s="290" t="s">
        <v>6</v>
      </c>
      <c r="F6" s="291"/>
      <c r="G6" s="291"/>
      <c r="H6" s="291"/>
      <c r="I6" s="291"/>
      <c r="J6" s="290" t="s">
        <v>7</v>
      </c>
      <c r="K6" s="291"/>
      <c r="L6" s="291"/>
      <c r="M6" s="291"/>
      <c r="N6" s="292"/>
    </row>
    <row r="7" spans="2:14" x14ac:dyDescent="0.35">
      <c r="B7" s="293" t="s">
        <v>8</v>
      </c>
      <c r="C7" s="294"/>
      <c r="D7" s="8" t="s">
        <v>212</v>
      </c>
      <c r="E7" s="295" t="s">
        <v>9</v>
      </c>
      <c r="F7" s="295"/>
      <c r="G7" s="295"/>
      <c r="H7" s="295"/>
      <c r="I7" s="295"/>
      <c r="J7" s="9"/>
      <c r="K7" s="294" t="s">
        <v>10</v>
      </c>
      <c r="L7" s="294"/>
      <c r="M7" s="10">
        <f>1650926985+42591502</f>
        <v>1693518487</v>
      </c>
      <c r="N7" s="8"/>
    </row>
    <row r="8" spans="2:14" x14ac:dyDescent="0.35">
      <c r="B8" s="298" t="s">
        <v>11</v>
      </c>
      <c r="C8" s="299"/>
      <c r="D8" s="11" t="s">
        <v>310</v>
      </c>
      <c r="E8" s="297" t="s">
        <v>12</v>
      </c>
      <c r="F8" s="297"/>
      <c r="G8" s="297"/>
      <c r="H8" s="12">
        <v>218</v>
      </c>
      <c r="J8" s="13"/>
      <c r="K8" s="297" t="s">
        <v>13</v>
      </c>
      <c r="L8" s="297"/>
      <c r="M8" s="25">
        <f>M7/H9</f>
        <v>7027047.6639004145</v>
      </c>
      <c r="N8" s="14"/>
    </row>
    <row r="9" spans="2:14" x14ac:dyDescent="0.35">
      <c r="B9" s="298"/>
      <c r="C9" s="299"/>
      <c r="D9" s="14"/>
      <c r="E9" s="297" t="s">
        <v>14</v>
      </c>
      <c r="F9" s="297"/>
      <c r="G9" s="297"/>
      <c r="H9" s="12">
        <f>222+19</f>
        <v>241</v>
      </c>
      <c r="J9" s="13"/>
      <c r="K9" s="297" t="s">
        <v>15</v>
      </c>
      <c r="L9" s="297"/>
      <c r="M9" s="15">
        <v>5</v>
      </c>
      <c r="N9" s="14"/>
    </row>
    <row r="10" spans="2:14" x14ac:dyDescent="0.35">
      <c r="B10" s="16" t="s">
        <v>16</v>
      </c>
      <c r="C10" s="17"/>
      <c r="D10" s="14" t="s">
        <v>310</v>
      </c>
      <c r="E10" s="297" t="s">
        <v>17</v>
      </c>
      <c r="F10" s="297"/>
      <c r="G10" s="297"/>
      <c r="H10" s="18">
        <v>5</v>
      </c>
      <c r="J10" s="13"/>
      <c r="K10" s="19" t="s">
        <v>18</v>
      </c>
      <c r="L10" s="19"/>
      <c r="M10" s="20">
        <f>[2]IRR!F3</f>
        <v>0.1</v>
      </c>
      <c r="N10" s="14"/>
    </row>
    <row r="11" spans="2:14" x14ac:dyDescent="0.35">
      <c r="B11" s="21" t="s">
        <v>19</v>
      </c>
      <c r="C11" s="19"/>
      <c r="D11" s="14" t="s">
        <v>20</v>
      </c>
      <c r="E11" s="300" t="s">
        <v>21</v>
      </c>
      <c r="F11" s="300"/>
      <c r="G11" s="300"/>
      <c r="H11" s="300"/>
      <c r="I11" s="300"/>
      <c r="J11" s="22"/>
      <c r="K11" s="297" t="s">
        <v>22</v>
      </c>
      <c r="L11" s="297"/>
      <c r="M11" s="10">
        <f>IRR!Q19</f>
        <v>4907513600</v>
      </c>
      <c r="N11" s="14"/>
    </row>
    <row r="12" spans="2:14" x14ac:dyDescent="0.35">
      <c r="B12" s="21" t="s">
        <v>23</v>
      </c>
      <c r="C12" s="19"/>
      <c r="D12" s="14" t="s">
        <v>24</v>
      </c>
      <c r="E12" s="296" t="s">
        <v>25</v>
      </c>
      <c r="F12" s="296"/>
      <c r="G12" s="296"/>
      <c r="H12" s="23">
        <v>0</v>
      </c>
      <c r="J12" s="13"/>
      <c r="K12" s="297" t="s">
        <v>226</v>
      </c>
      <c r="L12" s="297"/>
      <c r="M12" s="10">
        <f>IRR!G10</f>
        <v>244254178.03770834</v>
      </c>
      <c r="N12" s="14"/>
    </row>
    <row r="13" spans="2:14" x14ac:dyDescent="0.35">
      <c r="B13" s="21" t="s">
        <v>26</v>
      </c>
      <c r="C13" s="19"/>
      <c r="D13" s="24">
        <v>7</v>
      </c>
      <c r="E13" s="296" t="s">
        <v>27</v>
      </c>
      <c r="F13" s="296"/>
      <c r="G13" s="296"/>
      <c r="H13" s="23">
        <v>0</v>
      </c>
      <c r="J13" s="13"/>
      <c r="K13" s="297" t="s">
        <v>227</v>
      </c>
      <c r="L13" s="297"/>
      <c r="M13" s="25">
        <f>IRR!G9</f>
        <v>657106399.33333337</v>
      </c>
      <c r="N13" s="14"/>
    </row>
    <row r="14" spans="2:14" x14ac:dyDescent="0.35">
      <c r="B14" s="21" t="s">
        <v>29</v>
      </c>
      <c r="C14" s="19"/>
      <c r="D14" s="24">
        <v>1</v>
      </c>
      <c r="E14" s="296" t="s">
        <v>30</v>
      </c>
      <c r="F14" s="296"/>
      <c r="G14" s="296"/>
      <c r="H14" s="23">
        <v>0</v>
      </c>
      <c r="J14" s="13"/>
      <c r="K14" s="297" t="s">
        <v>28</v>
      </c>
      <c r="L14" s="297"/>
      <c r="M14" s="10">
        <f>IRR!Q22</f>
        <v>1000000000</v>
      </c>
      <c r="N14" s="14"/>
    </row>
    <row r="15" spans="2:14" ht="16" thickBot="1" x14ac:dyDescent="0.4">
      <c r="B15" s="21" t="s">
        <v>32</v>
      </c>
      <c r="C15" s="19"/>
      <c r="D15" s="26">
        <v>2013</v>
      </c>
      <c r="E15" s="27"/>
      <c r="F15" s="27"/>
      <c r="G15" s="27"/>
      <c r="H15" s="23"/>
      <c r="J15" s="13"/>
      <c r="K15" s="195" t="s">
        <v>31</v>
      </c>
      <c r="L15" s="195"/>
      <c r="M15" s="25">
        <f>IRR!Q23+IRR!Q24+IRR!Q25</f>
        <v>1335575680</v>
      </c>
      <c r="N15" s="14"/>
    </row>
    <row r="16" spans="2:14" x14ac:dyDescent="0.35">
      <c r="B16" s="13"/>
      <c r="D16" s="14"/>
      <c r="E16" s="300" t="s">
        <v>33</v>
      </c>
      <c r="F16" s="300"/>
      <c r="G16" s="300"/>
      <c r="H16" s="300"/>
      <c r="I16" s="300"/>
      <c r="J16" s="28"/>
      <c r="K16" s="305" t="s">
        <v>34</v>
      </c>
      <c r="L16" s="306"/>
      <c r="M16" s="29">
        <f>IRR!F40</f>
        <v>0.43028654567266544</v>
      </c>
      <c r="N16" s="14"/>
    </row>
    <row r="17" spans="2:18" x14ac:dyDescent="0.35">
      <c r="B17" s="13"/>
      <c r="D17" s="14"/>
      <c r="J17" s="30"/>
      <c r="K17" s="307" t="s">
        <v>35</v>
      </c>
      <c r="L17" s="308"/>
      <c r="M17" s="31">
        <f>IRR!F41</f>
        <v>890837133.78093433</v>
      </c>
      <c r="N17" s="14"/>
    </row>
    <row r="18" spans="2:18" x14ac:dyDescent="0.35">
      <c r="B18" s="13"/>
      <c r="D18" s="14"/>
      <c r="J18" s="30"/>
      <c r="K18" s="307" t="s">
        <v>36</v>
      </c>
      <c r="L18" s="308"/>
      <c r="M18" s="32">
        <f>IRR!F42</f>
        <v>0.52408166938141543</v>
      </c>
      <c r="N18" s="14"/>
      <c r="R18" s="1" t="s">
        <v>37</v>
      </c>
    </row>
    <row r="19" spans="2:18" ht="16" thickBot="1" x14ac:dyDescent="0.4">
      <c r="B19" s="13"/>
      <c r="D19" s="14"/>
      <c r="J19" s="30"/>
      <c r="K19" s="301" t="s">
        <v>38</v>
      </c>
      <c r="L19" s="302"/>
      <c r="M19" s="33">
        <f>IRR!F43</f>
        <v>2.7955675992511351</v>
      </c>
      <c r="N19" s="14"/>
      <c r="Q19" s="1" t="s">
        <v>37</v>
      </c>
    </row>
    <row r="20" spans="2:18" ht="16" thickBot="1" x14ac:dyDescent="0.4">
      <c r="B20" s="34"/>
      <c r="C20" s="35"/>
      <c r="D20" s="36"/>
      <c r="E20" s="35"/>
      <c r="F20" s="35" t="s">
        <v>37</v>
      </c>
      <c r="G20" s="35"/>
      <c r="H20" s="35"/>
      <c r="I20" s="35"/>
      <c r="J20" s="13"/>
      <c r="K20" s="37"/>
      <c r="L20" s="19"/>
      <c r="M20" s="19"/>
      <c r="N20" s="14"/>
    </row>
    <row r="21" spans="2:18" x14ac:dyDescent="0.35">
      <c r="B21" s="38" t="s">
        <v>39</v>
      </c>
      <c r="C21" s="39"/>
      <c r="D21" s="39"/>
      <c r="E21" s="39"/>
      <c r="F21" s="39"/>
      <c r="G21" s="39"/>
      <c r="H21" s="39"/>
      <c r="I21" s="39"/>
      <c r="J21" s="39"/>
      <c r="L21" s="40" t="s">
        <v>40</v>
      </c>
      <c r="M21" s="39"/>
      <c r="N21" s="8"/>
    </row>
    <row r="22" spans="2:18" x14ac:dyDescent="0.35">
      <c r="B22" s="13" t="s">
        <v>41</v>
      </c>
      <c r="D22" s="1" t="s">
        <v>42</v>
      </c>
      <c r="L22" s="303" t="s">
        <v>43</v>
      </c>
      <c r="M22" s="304"/>
      <c r="N22" s="14"/>
    </row>
    <row r="23" spans="2:18" x14ac:dyDescent="0.35">
      <c r="B23" s="13"/>
      <c r="D23" s="1" t="s">
        <v>42</v>
      </c>
      <c r="N23" s="14"/>
    </row>
    <row r="24" spans="2:18" x14ac:dyDescent="0.35">
      <c r="B24" s="13"/>
      <c r="D24" s="1" t="s">
        <v>42</v>
      </c>
      <c r="N24" s="14"/>
    </row>
    <row r="25" spans="2:18" x14ac:dyDescent="0.35">
      <c r="B25" s="13"/>
      <c r="N25" s="14"/>
    </row>
    <row r="26" spans="2:18" ht="16" thickBot="1" x14ac:dyDescent="0.4">
      <c r="B26" s="34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</row>
    <row r="28" spans="2:18" x14ac:dyDescent="0.35">
      <c r="B28" s="2" t="s">
        <v>44</v>
      </c>
    </row>
    <row r="29" spans="2:18" x14ac:dyDescent="0.35"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</row>
    <row r="30" spans="2:18" x14ac:dyDescent="0.35"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</row>
    <row r="31" spans="2:18" x14ac:dyDescent="0.35"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</row>
    <row r="32" spans="2:18" x14ac:dyDescent="0.35"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</row>
    <row r="33" spans="2:15" x14ac:dyDescent="0.35"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</row>
    <row r="34" spans="2:15" x14ac:dyDescent="0.35"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</row>
    <row r="35" spans="2:15" x14ac:dyDescent="0.35"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</row>
  </sheetData>
  <mergeCells count="27">
    <mergeCell ref="K19:L19"/>
    <mergeCell ref="L22:M22"/>
    <mergeCell ref="E14:G14"/>
    <mergeCell ref="E16:I16"/>
    <mergeCell ref="K16:L16"/>
    <mergeCell ref="K17:L17"/>
    <mergeCell ref="K18:L18"/>
    <mergeCell ref="E13:G13"/>
    <mergeCell ref="K14:L14"/>
    <mergeCell ref="B8:C8"/>
    <mergeCell ref="E8:G8"/>
    <mergeCell ref="K8:L8"/>
    <mergeCell ref="B9:C9"/>
    <mergeCell ref="E9:G9"/>
    <mergeCell ref="K9:L9"/>
    <mergeCell ref="E10:G10"/>
    <mergeCell ref="E11:I11"/>
    <mergeCell ref="K11:L11"/>
    <mergeCell ref="E12:G12"/>
    <mergeCell ref="K12:L12"/>
    <mergeCell ref="K13:L13"/>
    <mergeCell ref="B6:D6"/>
    <mergeCell ref="E6:I6"/>
    <mergeCell ref="J6:N6"/>
    <mergeCell ref="B7:C7"/>
    <mergeCell ref="E7:I7"/>
    <mergeCell ref="K7:L7"/>
  </mergeCells>
  <pageMargins left="0.7" right="0.7" top="0.75" bottom="0.75" header="0.3" footer="0.3"/>
  <pageSetup paperSize="9" scale="91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4"/>
  <sheetViews>
    <sheetView showGridLines="0" topLeftCell="A22" zoomScale="86" zoomScaleNormal="86" workbookViewId="0">
      <selection activeCell="G10" sqref="G10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8.81640625" style="1" customWidth="1"/>
    <col min="7" max="7" width="19.54296875" style="42" customWidth="1"/>
    <col min="8" max="8" width="19.90625" style="1" customWidth="1"/>
    <col min="9" max="10" width="17.36328125" style="1" bestFit="1" customWidth="1"/>
    <col min="11" max="11" width="17.81640625" style="1" bestFit="1" customWidth="1"/>
    <col min="12" max="16" width="17.81640625" style="1" hidden="1" customWidth="1"/>
    <col min="17" max="17" width="19.1796875" style="1" bestFit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45</v>
      </c>
      <c r="C1" s="1" t="s">
        <v>211</v>
      </c>
      <c r="Q1" s="4" t="s">
        <v>210</v>
      </c>
    </row>
    <row r="2" spans="2:25" x14ac:dyDescent="0.35">
      <c r="B2" s="43" t="s">
        <v>46</v>
      </c>
      <c r="H2" s="192" t="s">
        <v>47</v>
      </c>
      <c r="I2" s="193" t="s">
        <v>48</v>
      </c>
    </row>
    <row r="3" spans="2:25" x14ac:dyDescent="0.35">
      <c r="C3" s="1" t="s">
        <v>49</v>
      </c>
      <c r="E3" s="45">
        <v>0.02</v>
      </c>
      <c r="H3" s="194" t="s">
        <v>205</v>
      </c>
      <c r="I3" s="46">
        <v>-0.15</v>
      </c>
      <c r="L3" s="46"/>
      <c r="M3" s="46"/>
      <c r="N3" s="46"/>
      <c r="O3" s="46"/>
      <c r="P3" s="46"/>
      <c r="R3" s="47"/>
      <c r="S3" s="47"/>
    </row>
    <row r="4" spans="2:25" x14ac:dyDescent="0.35">
      <c r="C4" s="1" t="s">
        <v>50</v>
      </c>
      <c r="E4" s="45">
        <v>0.1</v>
      </c>
      <c r="H4" s="194" t="s">
        <v>206</v>
      </c>
      <c r="I4" s="46">
        <v>-0.15</v>
      </c>
      <c r="L4" s="46"/>
      <c r="M4" s="46"/>
      <c r="N4" s="46"/>
      <c r="O4" s="46"/>
      <c r="P4" s="46"/>
      <c r="R4" s="47"/>
      <c r="S4" s="47"/>
    </row>
    <row r="5" spans="2:25" x14ac:dyDescent="0.35">
      <c r="C5" s="1" t="s">
        <v>52</v>
      </c>
      <c r="E5" s="45">
        <v>0.05</v>
      </c>
      <c r="F5" s="42" t="s">
        <v>53</v>
      </c>
      <c r="H5" s="194" t="s">
        <v>208</v>
      </c>
      <c r="I5" s="46">
        <v>-0.15</v>
      </c>
      <c r="S5" s="48"/>
      <c r="T5" s="48"/>
      <c r="U5" s="48"/>
      <c r="V5" s="48"/>
    </row>
    <row r="6" spans="2:25" x14ac:dyDescent="0.35">
      <c r="C6" s="1" t="s">
        <v>54</v>
      </c>
      <c r="E6" s="49">
        <v>0</v>
      </c>
      <c r="F6" s="42" t="s">
        <v>53</v>
      </c>
      <c r="H6" s="194" t="s">
        <v>207</v>
      </c>
      <c r="I6" s="1" t="s">
        <v>209</v>
      </c>
    </row>
    <row r="7" spans="2:25" x14ac:dyDescent="0.35">
      <c r="F7" s="45"/>
    </row>
    <row r="8" spans="2:25" ht="14.4" customHeight="1" x14ac:dyDescent="0.35">
      <c r="B8" s="2"/>
      <c r="G8" s="44" t="s">
        <v>55</v>
      </c>
      <c r="H8" s="44" t="s">
        <v>56</v>
      </c>
      <c r="I8" s="44" t="s">
        <v>57</v>
      </c>
      <c r="J8" s="44" t="s">
        <v>58</v>
      </c>
      <c r="K8" s="44" t="s">
        <v>59</v>
      </c>
      <c r="L8" s="44" t="s">
        <v>200</v>
      </c>
      <c r="M8" s="44" t="s">
        <v>201</v>
      </c>
      <c r="N8" s="44" t="s">
        <v>202</v>
      </c>
      <c r="O8" s="44" t="s">
        <v>203</v>
      </c>
      <c r="P8" s="44" t="s">
        <v>204</v>
      </c>
      <c r="R8" s="50"/>
      <c r="W8" s="50"/>
      <c r="X8" s="50"/>
      <c r="Y8" s="50"/>
    </row>
    <row r="9" spans="2:25" s="52" customFormat="1" ht="16" thickBot="1" x14ac:dyDescent="0.4">
      <c r="B9" s="51" t="s">
        <v>60</v>
      </c>
      <c r="E9" s="52" t="s">
        <v>225</v>
      </c>
      <c r="F9" s="53"/>
      <c r="G9" s="54">
        <f>'BoQ RECTIFICATION MCP (2)'!I55+'BoQ Add Material RECTIFIMCP'!I22</f>
        <v>657106399.33333337</v>
      </c>
      <c r="H9" s="54">
        <v>0</v>
      </c>
      <c r="I9" s="54">
        <v>0</v>
      </c>
      <c r="J9" s="54">
        <v>0</v>
      </c>
      <c r="K9" s="54"/>
      <c r="L9" s="54"/>
      <c r="M9" s="54"/>
      <c r="N9" s="54"/>
      <c r="O9" s="54"/>
      <c r="P9" s="54"/>
      <c r="Q9" s="53"/>
      <c r="R9" s="53"/>
      <c r="S9" s="1"/>
      <c r="T9" s="1"/>
      <c r="U9" s="1"/>
      <c r="V9" s="1"/>
      <c r="W9" s="53"/>
      <c r="X9" s="53"/>
      <c r="Y9" s="53"/>
    </row>
    <row r="10" spans="2:25" s="52" customFormat="1" ht="16" thickTop="1" x14ac:dyDescent="0.35">
      <c r="B10" s="51"/>
      <c r="E10" s="52" t="s">
        <v>224</v>
      </c>
      <c r="F10" s="53"/>
      <c r="G10" s="53">
        <v>244254178.03770834</v>
      </c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1"/>
      <c r="T10" s="1"/>
      <c r="U10" s="1"/>
      <c r="V10" s="1"/>
      <c r="W10" s="53"/>
      <c r="X10" s="53"/>
      <c r="Y10" s="53"/>
    </row>
    <row r="11" spans="2:25" x14ac:dyDescent="0.35">
      <c r="F11" s="55"/>
      <c r="G11" s="56">
        <v>2024</v>
      </c>
      <c r="H11" s="56">
        <f>G11+1</f>
        <v>2025</v>
      </c>
      <c r="I11" s="56">
        <f t="shared" ref="I11:P11" si="0">H11+1</f>
        <v>2026</v>
      </c>
      <c r="J11" s="56">
        <f t="shared" si="0"/>
        <v>2027</v>
      </c>
      <c r="K11" s="56">
        <f t="shared" si="0"/>
        <v>2028</v>
      </c>
      <c r="L11" s="56">
        <f t="shared" si="0"/>
        <v>2029</v>
      </c>
      <c r="M11" s="56">
        <f t="shared" si="0"/>
        <v>2030</v>
      </c>
      <c r="N11" s="56">
        <f t="shared" si="0"/>
        <v>2031</v>
      </c>
      <c r="O11" s="56">
        <f t="shared" si="0"/>
        <v>2032</v>
      </c>
      <c r="P11" s="56">
        <f t="shared" si="0"/>
        <v>2033</v>
      </c>
      <c r="Q11" s="56"/>
    </row>
    <row r="12" spans="2:25" ht="16" thickBot="1" x14ac:dyDescent="0.4">
      <c r="B12" s="57" t="s">
        <v>61</v>
      </c>
      <c r="C12" s="35"/>
      <c r="D12" s="35"/>
      <c r="E12" s="35"/>
      <c r="F12" s="58" t="s">
        <v>199</v>
      </c>
      <c r="G12" s="58" t="s">
        <v>62</v>
      </c>
      <c r="H12" s="59" t="s">
        <v>63</v>
      </c>
      <c r="I12" s="58" t="s">
        <v>64</v>
      </c>
      <c r="J12" s="59" t="s">
        <v>65</v>
      </c>
      <c r="K12" s="58" t="s">
        <v>66</v>
      </c>
      <c r="L12" s="58" t="s">
        <v>92</v>
      </c>
      <c r="M12" s="58" t="s">
        <v>195</v>
      </c>
      <c r="N12" s="58" t="s">
        <v>196</v>
      </c>
      <c r="O12" s="58" t="s">
        <v>197</v>
      </c>
      <c r="P12" s="58" t="s">
        <v>198</v>
      </c>
      <c r="Q12" s="60" t="s">
        <v>67</v>
      </c>
      <c r="R12" s="48"/>
      <c r="S12" s="61"/>
      <c r="T12" s="61"/>
      <c r="U12" s="61"/>
      <c r="V12" s="61"/>
      <c r="W12" s="48"/>
    </row>
    <row r="13" spans="2:25" x14ac:dyDescent="0.35">
      <c r="B13" s="1" t="s">
        <v>68</v>
      </c>
      <c r="G13" s="56">
        <v>12</v>
      </c>
      <c r="H13" s="56">
        <v>12</v>
      </c>
      <c r="I13" s="56">
        <v>12</v>
      </c>
      <c r="J13" s="56">
        <v>12</v>
      </c>
      <c r="K13" s="56">
        <v>12</v>
      </c>
      <c r="L13" s="56"/>
      <c r="M13" s="56"/>
      <c r="N13" s="56"/>
      <c r="O13" s="56"/>
      <c r="P13" s="56"/>
      <c r="Q13" s="62"/>
      <c r="S13" s="47"/>
      <c r="T13" s="47"/>
      <c r="U13" s="47"/>
      <c r="V13" s="47"/>
    </row>
    <row r="14" spans="2:25" ht="6.65" customHeight="1" x14ac:dyDescent="0.35">
      <c r="Q14" s="62"/>
      <c r="S14" s="63"/>
      <c r="T14" s="63"/>
      <c r="U14" s="63"/>
      <c r="V14" s="63"/>
    </row>
    <row r="15" spans="2:25" x14ac:dyDescent="0.35">
      <c r="B15" s="2" t="s">
        <v>69</v>
      </c>
      <c r="E15" s="64"/>
      <c r="G15" s="65"/>
      <c r="H15" s="66"/>
      <c r="I15" s="67"/>
      <c r="J15" s="67"/>
      <c r="K15" s="67"/>
      <c r="L15" s="67"/>
      <c r="M15" s="67"/>
      <c r="N15" s="67"/>
      <c r="O15" s="67"/>
      <c r="P15" s="67"/>
      <c r="Q15" s="62"/>
      <c r="S15" s="61"/>
      <c r="T15" s="61"/>
      <c r="U15" s="61"/>
      <c r="V15" s="61"/>
    </row>
    <row r="16" spans="2:25" x14ac:dyDescent="0.35">
      <c r="B16" s="2"/>
      <c r="C16" s="1" t="s">
        <v>70</v>
      </c>
      <c r="E16" s="64"/>
      <c r="G16" s="66">
        <v>515280000</v>
      </c>
      <c r="H16" s="197">
        <f>G16-(G16*-I3)</f>
        <v>437988000</v>
      </c>
      <c r="I16" s="66">
        <f>H16</f>
        <v>437988000</v>
      </c>
      <c r="J16" s="66">
        <f>I16</f>
        <v>437988000</v>
      </c>
      <c r="K16" s="66">
        <f>J16</f>
        <v>437988000</v>
      </c>
      <c r="L16" s="66"/>
      <c r="M16" s="66"/>
      <c r="N16" s="66"/>
      <c r="O16" s="66"/>
      <c r="P16" s="66"/>
      <c r="Q16" s="68">
        <f>SUM(G16:K16)</f>
        <v>2267232000</v>
      </c>
      <c r="S16" s="61"/>
      <c r="T16" s="61"/>
      <c r="U16" s="61"/>
      <c r="V16" s="61"/>
    </row>
    <row r="17" spans="2:24" x14ac:dyDescent="0.35">
      <c r="B17" s="2"/>
      <c r="C17" s="1" t="s">
        <v>214</v>
      </c>
      <c r="E17" s="64"/>
      <c r="G17" s="66">
        <v>250000000</v>
      </c>
      <c r="H17" s="197">
        <f>G17+(G17*I5)</f>
        <v>212500000</v>
      </c>
      <c r="I17" s="66">
        <f>H17</f>
        <v>212500000</v>
      </c>
      <c r="J17" s="66">
        <f t="shared" ref="J17:K17" si="1">I17</f>
        <v>212500000</v>
      </c>
      <c r="K17" s="66">
        <f t="shared" si="1"/>
        <v>212500000</v>
      </c>
      <c r="L17" s="66"/>
      <c r="M17" s="66"/>
      <c r="N17" s="66"/>
      <c r="O17" s="66"/>
      <c r="P17" s="66"/>
      <c r="Q17" s="68">
        <f t="shared" ref="Q17:Q18" si="2">SUM(G17:K17)</f>
        <v>1100000000</v>
      </c>
      <c r="S17" s="61"/>
      <c r="T17" s="61"/>
      <c r="U17" s="61"/>
      <c r="V17" s="61"/>
    </row>
    <row r="18" spans="2:24" x14ac:dyDescent="0.35">
      <c r="B18" s="2"/>
      <c r="C18" s="1" t="s">
        <v>51</v>
      </c>
      <c r="E18" s="64"/>
      <c r="G18" s="66">
        <v>350064000</v>
      </c>
      <c r="H18" s="197">
        <f>G18+(G18*I4)</f>
        <v>297554400</v>
      </c>
      <c r="I18" s="198">
        <f>H18</f>
        <v>297554400</v>
      </c>
      <c r="J18" s="198">
        <f>I18</f>
        <v>297554400</v>
      </c>
      <c r="K18" s="198">
        <f>J18</f>
        <v>297554400</v>
      </c>
      <c r="L18" s="69"/>
      <c r="M18" s="69"/>
      <c r="N18" s="69"/>
      <c r="O18" s="69"/>
      <c r="P18" s="69"/>
      <c r="Q18" s="68">
        <f t="shared" si="2"/>
        <v>1540281600</v>
      </c>
      <c r="S18" s="61"/>
      <c r="T18" s="61"/>
      <c r="U18" s="61"/>
      <c r="V18" s="61"/>
    </row>
    <row r="19" spans="2:24" x14ac:dyDescent="0.35">
      <c r="B19" s="71" t="s">
        <v>71</v>
      </c>
      <c r="C19" s="71"/>
      <c r="D19" s="71"/>
      <c r="E19" s="309"/>
      <c r="F19" s="310"/>
      <c r="G19" s="72">
        <f>SUM(G16:G18)</f>
        <v>1115344000</v>
      </c>
      <c r="H19" s="72">
        <f>SUM(H16:H18)</f>
        <v>948042400</v>
      </c>
      <c r="I19" s="72">
        <f>SUM(I16:I18)</f>
        <v>948042400</v>
      </c>
      <c r="J19" s="72">
        <f>SUM(J16:J18)</f>
        <v>948042400</v>
      </c>
      <c r="K19" s="72">
        <f>SUM(K16:K18)</f>
        <v>948042400</v>
      </c>
      <c r="L19" s="72"/>
      <c r="M19" s="72"/>
      <c r="N19" s="72"/>
      <c r="O19" s="72"/>
      <c r="P19" s="72"/>
      <c r="Q19" s="73">
        <f>SUM(G19:K19)</f>
        <v>4907513600</v>
      </c>
      <c r="R19" s="61"/>
      <c r="S19" s="74"/>
      <c r="T19" s="74"/>
      <c r="U19" s="74"/>
      <c r="V19" s="74"/>
      <c r="W19" s="61"/>
      <c r="X19" s="47"/>
    </row>
    <row r="20" spans="2:24" x14ac:dyDescent="0.35">
      <c r="Q20" s="62"/>
      <c r="R20" s="47"/>
      <c r="S20" s="74"/>
      <c r="T20" s="74"/>
      <c r="U20" s="74"/>
      <c r="V20" s="74"/>
      <c r="W20" s="47"/>
      <c r="X20" s="47"/>
    </row>
    <row r="21" spans="2:24" x14ac:dyDescent="0.35">
      <c r="B21" s="2" t="s">
        <v>72</v>
      </c>
      <c r="E21" s="64"/>
      <c r="F21" s="64"/>
      <c r="G21" s="65"/>
      <c r="H21" s="64"/>
      <c r="I21" s="67"/>
      <c r="J21" s="67"/>
      <c r="K21" s="67"/>
      <c r="L21" s="67"/>
      <c r="M21" s="67"/>
      <c r="N21" s="67"/>
      <c r="O21" s="67"/>
      <c r="P21" s="67"/>
      <c r="Q21" s="75"/>
      <c r="R21" s="63"/>
      <c r="S21" s="76"/>
      <c r="T21" s="76"/>
      <c r="U21" s="76"/>
      <c r="V21" s="76"/>
      <c r="W21" s="47"/>
      <c r="X21" s="47"/>
    </row>
    <row r="22" spans="2:24" x14ac:dyDescent="0.35">
      <c r="C22" s="1" t="s">
        <v>73</v>
      </c>
      <c r="E22" s="77"/>
      <c r="G22" s="78">
        <v>1000000000</v>
      </c>
      <c r="H22" s="78"/>
      <c r="I22" s="78"/>
      <c r="J22" s="78"/>
      <c r="K22" s="78"/>
      <c r="L22" s="78"/>
      <c r="M22" s="78"/>
      <c r="N22" s="78"/>
      <c r="O22" s="78"/>
      <c r="P22" s="78"/>
      <c r="Q22" s="79">
        <f>SUM(G22:K22)</f>
        <v>1000000000</v>
      </c>
      <c r="R22" s="61" t="s">
        <v>37</v>
      </c>
      <c r="S22" s="61"/>
      <c r="T22" s="61"/>
      <c r="U22" s="61"/>
      <c r="V22" s="61"/>
      <c r="W22" s="80"/>
      <c r="X22" s="47"/>
    </row>
    <row r="23" spans="2:24" x14ac:dyDescent="0.35">
      <c r="C23" s="1" t="s">
        <v>74</v>
      </c>
      <c r="F23" s="81"/>
      <c r="G23" s="78">
        <v>155000000</v>
      </c>
      <c r="H23" s="78">
        <f>G23</f>
        <v>155000000</v>
      </c>
      <c r="I23" s="78">
        <f>H23</f>
        <v>155000000</v>
      </c>
      <c r="J23" s="78">
        <f>I23</f>
        <v>155000000</v>
      </c>
      <c r="K23" s="78">
        <f>J23</f>
        <v>155000000</v>
      </c>
      <c r="L23" s="78"/>
      <c r="M23" s="78"/>
      <c r="N23" s="78"/>
      <c r="O23" s="78"/>
      <c r="P23" s="78"/>
      <c r="Q23" s="79">
        <f>SUM(G23:K23)</f>
        <v>775000000</v>
      </c>
      <c r="R23" s="61"/>
      <c r="S23" s="82"/>
      <c r="T23" s="82"/>
      <c r="U23" s="82"/>
      <c r="V23" s="82"/>
      <c r="W23" s="80"/>
      <c r="X23" s="47"/>
    </row>
    <row r="24" spans="2:24" x14ac:dyDescent="0.35">
      <c r="C24" s="1" t="s">
        <v>75</v>
      </c>
      <c r="G24" s="83">
        <f>Parameter!L76</f>
        <v>63040000</v>
      </c>
      <c r="H24" s="83">
        <f>G24</f>
        <v>63040000</v>
      </c>
      <c r="I24" s="83">
        <f t="shared" ref="I24:K24" si="3">H24</f>
        <v>63040000</v>
      </c>
      <c r="J24" s="83">
        <f t="shared" si="3"/>
        <v>63040000</v>
      </c>
      <c r="K24" s="83">
        <f t="shared" si="3"/>
        <v>63040000</v>
      </c>
      <c r="L24" s="83"/>
      <c r="M24" s="83"/>
      <c r="N24" s="83"/>
      <c r="O24" s="83"/>
      <c r="P24" s="83"/>
      <c r="Q24" s="79">
        <f t="shared" ref="Q24:Q25" si="4">SUM(G24:K24)</f>
        <v>315200000</v>
      </c>
      <c r="R24" s="61"/>
      <c r="S24" s="82"/>
      <c r="T24" s="82"/>
      <c r="U24" s="82"/>
      <c r="V24" s="82"/>
      <c r="W24" s="80"/>
      <c r="X24" s="47"/>
    </row>
    <row r="25" spans="2:24" x14ac:dyDescent="0.35">
      <c r="B25" s="84"/>
      <c r="C25" s="84" t="s">
        <v>52</v>
      </c>
      <c r="D25" s="84"/>
      <c r="E25" s="84"/>
      <c r="F25" s="84"/>
      <c r="G25" s="200">
        <f>G19*$E$5</f>
        <v>55767200</v>
      </c>
      <c r="H25" s="200">
        <f>H19*$E$5</f>
        <v>47402120</v>
      </c>
      <c r="I25" s="200">
        <f>I19*$E$5</f>
        <v>47402120</v>
      </c>
      <c r="J25" s="200">
        <f>J19*$E$5</f>
        <v>47402120</v>
      </c>
      <c r="K25" s="200">
        <f>K19*$E$5</f>
        <v>47402120</v>
      </c>
      <c r="L25" s="189"/>
      <c r="M25" s="189"/>
      <c r="N25" s="189"/>
      <c r="O25" s="189"/>
      <c r="P25" s="189"/>
      <c r="Q25" s="79">
        <f t="shared" si="4"/>
        <v>245375680</v>
      </c>
      <c r="R25" s="70"/>
      <c r="S25" s="82"/>
      <c r="T25" s="82"/>
      <c r="U25" s="82"/>
      <c r="V25" s="82"/>
      <c r="W25" s="80"/>
      <c r="X25" s="47"/>
    </row>
    <row r="26" spans="2:24" s="2" customFormat="1" x14ac:dyDescent="0.35">
      <c r="B26" s="71" t="s">
        <v>76</v>
      </c>
      <c r="C26" s="71"/>
      <c r="D26" s="71"/>
      <c r="E26" s="71"/>
      <c r="F26" s="71"/>
      <c r="G26" s="72">
        <f>SUM(G22:G25)</f>
        <v>1273807200</v>
      </c>
      <c r="H26" s="72">
        <f t="shared" ref="H26:K26" si="5">SUM(H22:H25)</f>
        <v>265442120</v>
      </c>
      <c r="I26" s="72">
        <f t="shared" si="5"/>
        <v>265442120</v>
      </c>
      <c r="J26" s="72">
        <f>SUM(J22:J25)</f>
        <v>265442120</v>
      </c>
      <c r="K26" s="72">
        <f t="shared" si="5"/>
        <v>265442120</v>
      </c>
      <c r="L26" s="72"/>
      <c r="M26" s="72"/>
      <c r="N26" s="72"/>
      <c r="O26" s="72"/>
      <c r="P26" s="72"/>
      <c r="Q26" s="85">
        <f>SUM(Q22:Q25)</f>
        <v>2335575680</v>
      </c>
      <c r="R26" s="74"/>
      <c r="S26" s="86"/>
      <c r="T26" s="86"/>
      <c r="U26" s="86"/>
      <c r="V26" s="86"/>
      <c r="W26" s="74"/>
      <c r="X26" s="87"/>
    </row>
    <row r="27" spans="2:24" s="2" customFormat="1" x14ac:dyDescent="0.35">
      <c r="B27" s="2" t="s">
        <v>77</v>
      </c>
      <c r="G27" s="191">
        <f>G19-G26</f>
        <v>-158463200</v>
      </c>
      <c r="H27" s="88">
        <f>H19-H26</f>
        <v>682600280</v>
      </c>
      <c r="I27" s="88">
        <f t="shared" ref="I27:K27" si="6">I19-I26</f>
        <v>682600280</v>
      </c>
      <c r="J27" s="88">
        <f t="shared" si="6"/>
        <v>682600280</v>
      </c>
      <c r="K27" s="88">
        <f t="shared" si="6"/>
        <v>682600280</v>
      </c>
      <c r="L27" s="88"/>
      <c r="M27" s="88"/>
      <c r="N27" s="88"/>
      <c r="O27" s="88"/>
      <c r="P27" s="88"/>
      <c r="Q27" s="89">
        <f>Q19-Q26</f>
        <v>2571937920</v>
      </c>
      <c r="R27" s="74"/>
      <c r="S27" s="82"/>
      <c r="T27" s="82"/>
      <c r="U27" s="82"/>
      <c r="V27" s="82"/>
      <c r="W27" s="74"/>
      <c r="X27" s="87"/>
    </row>
    <row r="28" spans="2:24" s="2" customFormat="1" x14ac:dyDescent="0.35">
      <c r="B28" s="90" t="s">
        <v>78</v>
      </c>
      <c r="C28" s="91"/>
      <c r="D28" s="91"/>
      <c r="E28" s="91"/>
      <c r="F28" s="91"/>
      <c r="G28" s="92">
        <v>0</v>
      </c>
      <c r="H28" s="92">
        <f>H27/H19</f>
        <v>0.72001028645976173</v>
      </c>
      <c r="I28" s="92">
        <f t="shared" ref="I28:K28" si="7">I27/I19</f>
        <v>0.72001028645976173</v>
      </c>
      <c r="J28" s="92">
        <f t="shared" si="7"/>
        <v>0.72001028645976173</v>
      </c>
      <c r="K28" s="92">
        <f t="shared" si="7"/>
        <v>0.72001028645976173</v>
      </c>
      <c r="L28" s="92"/>
      <c r="M28" s="92"/>
      <c r="N28" s="92"/>
      <c r="O28" s="92"/>
      <c r="P28" s="92"/>
      <c r="Q28" s="93">
        <f>Q27/Q19</f>
        <v>0.52408166938141543</v>
      </c>
      <c r="R28" s="76"/>
      <c r="S28" s="47"/>
      <c r="T28" s="47"/>
      <c r="U28" s="47"/>
      <c r="V28" s="47"/>
      <c r="W28" s="76"/>
      <c r="X28" s="87"/>
    </row>
    <row r="29" spans="2:24" x14ac:dyDescent="0.35">
      <c r="B29" s="84" t="s">
        <v>79</v>
      </c>
      <c r="C29" s="84"/>
      <c r="D29" s="84"/>
      <c r="E29" s="84"/>
      <c r="F29" s="84"/>
      <c r="G29" s="94">
        <f>G51</f>
        <v>180272115.47420835</v>
      </c>
      <c r="H29" s="94">
        <f>H51</f>
        <v>180272115.47420835</v>
      </c>
      <c r="I29" s="94">
        <f>I51</f>
        <v>180272115.47420835</v>
      </c>
      <c r="J29" s="94">
        <f>J51</f>
        <v>180272115.47420835</v>
      </c>
      <c r="K29" s="94">
        <f>K51</f>
        <v>180272115.47420835</v>
      </c>
      <c r="L29" s="94"/>
      <c r="M29" s="94"/>
      <c r="N29" s="94"/>
      <c r="O29" s="94"/>
      <c r="P29" s="94"/>
      <c r="Q29" s="95">
        <f>SUM(G29:K29)</f>
        <v>901360577.37104177</v>
      </c>
      <c r="R29" s="61"/>
      <c r="S29" s="96"/>
      <c r="T29" s="96"/>
      <c r="U29" s="96"/>
      <c r="V29" s="96"/>
      <c r="W29" s="61"/>
      <c r="X29" s="47"/>
    </row>
    <row r="30" spans="2:24" x14ac:dyDescent="0.35">
      <c r="B30" s="1" t="s">
        <v>80</v>
      </c>
      <c r="G30" s="97">
        <f t="shared" ref="G30:Q30" si="8">G27-G29</f>
        <v>-338735315.47420835</v>
      </c>
      <c r="H30" s="97">
        <f t="shared" si="8"/>
        <v>502328164.52579165</v>
      </c>
      <c r="I30" s="97">
        <f t="shared" si="8"/>
        <v>502328164.52579165</v>
      </c>
      <c r="J30" s="97">
        <f t="shared" si="8"/>
        <v>502328164.52579165</v>
      </c>
      <c r="K30" s="97">
        <f t="shared" si="8"/>
        <v>502328164.52579165</v>
      </c>
      <c r="L30" s="97"/>
      <c r="M30" s="97"/>
      <c r="N30" s="97"/>
      <c r="O30" s="97"/>
      <c r="P30" s="97"/>
      <c r="Q30" s="98">
        <f t="shared" si="8"/>
        <v>1670577342.6289582</v>
      </c>
      <c r="R30" s="82"/>
      <c r="S30" s="96"/>
      <c r="T30" s="96"/>
      <c r="U30" s="96"/>
      <c r="V30" s="96"/>
      <c r="W30" s="82"/>
      <c r="X30" s="47"/>
    </row>
    <row r="31" spans="2:24" x14ac:dyDescent="0.35">
      <c r="B31" s="1" t="s">
        <v>81</v>
      </c>
      <c r="G31" s="99">
        <f>Parameter!M34</f>
        <v>45708841.409666672</v>
      </c>
      <c r="H31" s="99">
        <f>Parameter!N34</f>
        <v>65848471.109800011</v>
      </c>
      <c r="I31" s="99">
        <f>Parameter!O34</f>
        <v>48164228.969933338</v>
      </c>
      <c r="J31" s="99">
        <f>Parameter!P34</f>
        <v>33350319.966666669</v>
      </c>
      <c r="K31" s="99">
        <f>Parameter!Q34</f>
        <v>19878191.98</v>
      </c>
      <c r="L31" s="99"/>
      <c r="M31" s="99"/>
      <c r="N31" s="99"/>
      <c r="O31" s="99"/>
      <c r="P31" s="99"/>
      <c r="Q31" s="100">
        <f>SUM(G31:K31)</f>
        <v>212950053.43606669</v>
      </c>
      <c r="R31" s="82"/>
      <c r="S31" s="96"/>
      <c r="T31" s="96"/>
      <c r="U31" s="96"/>
      <c r="V31" s="96"/>
      <c r="W31" s="82"/>
      <c r="X31" s="47"/>
    </row>
    <row r="32" spans="2:24" x14ac:dyDescent="0.35">
      <c r="B32" s="1" t="s">
        <v>82</v>
      </c>
      <c r="G32" s="270">
        <f t="shared" ref="G32:K32" si="9">G30-G31</f>
        <v>-384444156.88387501</v>
      </c>
      <c r="H32" s="99">
        <f t="shared" si="9"/>
        <v>436479693.41599166</v>
      </c>
      <c r="I32" s="99">
        <f t="shared" si="9"/>
        <v>454163935.55585831</v>
      </c>
      <c r="J32" s="99">
        <f t="shared" si="9"/>
        <v>468977844.55912495</v>
      </c>
      <c r="K32" s="99">
        <f t="shared" si="9"/>
        <v>482449972.54579163</v>
      </c>
      <c r="L32" s="99"/>
      <c r="M32" s="99"/>
      <c r="N32" s="99"/>
      <c r="O32" s="99"/>
      <c r="P32" s="99"/>
      <c r="Q32" s="100">
        <f>SUM(G32:K32)</f>
        <v>1457627289.1928916</v>
      </c>
      <c r="R32" s="82"/>
      <c r="S32" s="101"/>
      <c r="T32" s="101"/>
      <c r="U32" s="101"/>
      <c r="V32" s="101"/>
      <c r="W32" s="82"/>
      <c r="X32" s="47"/>
    </row>
    <row r="33" spans="2:24" x14ac:dyDescent="0.35">
      <c r="B33" s="84" t="s">
        <v>83</v>
      </c>
      <c r="C33" s="84"/>
      <c r="D33" s="84"/>
      <c r="E33" s="84"/>
      <c r="F33" s="84"/>
      <c r="G33" s="102">
        <f>IF(G32&lt;0,0,G32*$E$3)</f>
        <v>0</v>
      </c>
      <c r="H33" s="102">
        <f>IF(H32&lt;0,0,H32*$E$3)</f>
        <v>8729593.8683198337</v>
      </c>
      <c r="I33" s="102">
        <f>IF(I32&lt;0,0,I32*$E$3)</f>
        <v>9083278.711117167</v>
      </c>
      <c r="J33" s="102">
        <f>IF(J32&lt;0,0,J32*$E$3)</f>
        <v>9379556.891182499</v>
      </c>
      <c r="K33" s="102">
        <f>IF(K32&lt;0,0,K32*$E$3)</f>
        <v>9648999.4509158321</v>
      </c>
      <c r="L33" s="102"/>
      <c r="M33" s="102"/>
      <c r="N33" s="102"/>
      <c r="O33" s="102"/>
      <c r="P33" s="102"/>
      <c r="Q33" s="103">
        <f>SUM(G33:K33)</f>
        <v>36841428.921535328</v>
      </c>
      <c r="R33" s="86"/>
      <c r="W33" s="96"/>
      <c r="X33" s="47"/>
    </row>
    <row r="34" spans="2:24" ht="16" thickBot="1" x14ac:dyDescent="0.4">
      <c r="B34" s="104" t="s">
        <v>84</v>
      </c>
      <c r="C34" s="104"/>
      <c r="D34" s="104"/>
      <c r="E34" s="104"/>
      <c r="F34" s="104"/>
      <c r="G34" s="105">
        <f>G32-G33</f>
        <v>-384444156.88387501</v>
      </c>
      <c r="H34" s="105">
        <f t="shared" ref="H34:J34" si="10">H32-H33</f>
        <v>427750099.54767185</v>
      </c>
      <c r="I34" s="105">
        <f t="shared" si="10"/>
        <v>445080656.84474117</v>
      </c>
      <c r="J34" s="105">
        <f t="shared" si="10"/>
        <v>459598287.66794246</v>
      </c>
      <c r="K34" s="105">
        <f>K32-K33</f>
        <v>472800973.09487581</v>
      </c>
      <c r="L34" s="105"/>
      <c r="M34" s="105"/>
      <c r="N34" s="105"/>
      <c r="O34" s="105"/>
      <c r="P34" s="105"/>
      <c r="Q34" s="106">
        <f>Q32-Q33</f>
        <v>1420785860.2713563</v>
      </c>
      <c r="R34" s="82"/>
      <c r="W34" s="82"/>
      <c r="X34" s="47"/>
    </row>
    <row r="35" spans="2:24" x14ac:dyDescent="0.35">
      <c r="Q35" s="62"/>
      <c r="R35" s="47"/>
      <c r="W35" s="47"/>
      <c r="X35" s="47"/>
    </row>
    <row r="36" spans="2:24" x14ac:dyDescent="0.35">
      <c r="B36" s="84" t="s">
        <v>85</v>
      </c>
      <c r="C36" s="84"/>
      <c r="D36" s="84"/>
      <c r="E36" s="84"/>
      <c r="F36" s="107"/>
      <c r="G36" s="107">
        <f>-G10+-G9</f>
        <v>-901360577.37104177</v>
      </c>
      <c r="H36" s="107">
        <f>-I9+-I10</f>
        <v>0</v>
      </c>
      <c r="I36" s="107">
        <f>-J9+-J10</f>
        <v>0</v>
      </c>
      <c r="J36" s="107">
        <f>-K9+-K10</f>
        <v>0</v>
      </c>
      <c r="K36" s="107">
        <f>-Q9+-Q10</f>
        <v>0</v>
      </c>
      <c r="L36" s="107"/>
      <c r="M36" s="107"/>
      <c r="N36" s="107"/>
      <c r="O36" s="107"/>
      <c r="P36" s="107"/>
      <c r="Q36" s="108"/>
      <c r="R36" s="96"/>
      <c r="W36" s="96"/>
      <c r="X36" s="47"/>
    </row>
    <row r="37" spans="2:24" x14ac:dyDescent="0.35">
      <c r="B37" s="1" t="s">
        <v>86</v>
      </c>
      <c r="F37" s="109">
        <f>F36</f>
        <v>0</v>
      </c>
      <c r="G37" s="109">
        <f>G36+G34+G29</f>
        <v>-1105532618.7807083</v>
      </c>
      <c r="H37" s="109">
        <f t="shared" ref="H37:J37" si="11">H36+H34+H29</f>
        <v>608022215.02188015</v>
      </c>
      <c r="I37" s="109">
        <f t="shared" si="11"/>
        <v>625352772.31894946</v>
      </c>
      <c r="J37" s="109">
        <f t="shared" si="11"/>
        <v>639870403.14215088</v>
      </c>
      <c r="K37" s="109">
        <f>K36+K34+K29</f>
        <v>653073088.56908417</v>
      </c>
      <c r="L37" s="109"/>
      <c r="M37" s="109"/>
      <c r="N37" s="109"/>
      <c r="O37" s="109"/>
      <c r="P37" s="109"/>
      <c r="Q37" s="110">
        <f>SUM(F37:K37)</f>
        <v>1420785860.2713563</v>
      </c>
      <c r="R37" s="96"/>
      <c r="S37" s="44"/>
      <c r="T37" s="56"/>
      <c r="U37" s="44"/>
      <c r="V37" s="56"/>
      <c r="W37" s="96"/>
      <c r="X37" s="47"/>
    </row>
    <row r="38" spans="2:24" x14ac:dyDescent="0.35">
      <c r="B38" s="1" t="s">
        <v>87</v>
      </c>
      <c r="F38" s="109">
        <f>F37</f>
        <v>0</v>
      </c>
      <c r="G38" s="109">
        <f>F38+G37</f>
        <v>-1105532618.7807083</v>
      </c>
      <c r="H38" s="109">
        <f t="shared" ref="H38:K38" si="12">G38+H37</f>
        <v>-497510403.75882816</v>
      </c>
      <c r="I38" s="109">
        <f t="shared" si="12"/>
        <v>127842368.5601213</v>
      </c>
      <c r="J38" s="109">
        <f t="shared" si="12"/>
        <v>767712771.70227218</v>
      </c>
      <c r="K38" s="109">
        <f t="shared" si="12"/>
        <v>1420785860.2713563</v>
      </c>
      <c r="L38" s="109"/>
      <c r="M38" s="109"/>
      <c r="N38" s="109"/>
      <c r="O38" s="109"/>
      <c r="P38" s="109"/>
      <c r="Q38" s="110"/>
      <c r="R38" s="96"/>
      <c r="S38" s="111"/>
      <c r="T38" s="111"/>
      <c r="U38" s="111"/>
      <c r="V38" s="111"/>
      <c r="W38" s="96"/>
      <c r="X38" s="47"/>
    </row>
    <row r="39" spans="2:24" x14ac:dyDescent="0.35">
      <c r="B39" s="1" t="s">
        <v>88</v>
      </c>
      <c r="F39" s="109"/>
      <c r="G39" s="101">
        <f>IF(AND(F38&lt;0,G38&gt;0),G44-(G38/G37),0)</f>
        <v>0</v>
      </c>
      <c r="H39" s="101">
        <f t="shared" ref="H39:K39" si="13">IF(AND(G38&lt;0,H38&gt;0),H44-(H38/H37),0)</f>
        <v>0</v>
      </c>
      <c r="I39" s="101">
        <f t="shared" si="13"/>
        <v>2.7955675992511351</v>
      </c>
      <c r="J39" s="101">
        <f t="shared" si="13"/>
        <v>0</v>
      </c>
      <c r="K39" s="101">
        <f t="shared" si="13"/>
        <v>0</v>
      </c>
      <c r="L39" s="101"/>
      <c r="M39" s="101"/>
      <c r="N39" s="101"/>
      <c r="O39" s="101"/>
      <c r="P39" s="101"/>
      <c r="Q39" s="112"/>
      <c r="R39" s="101"/>
      <c r="S39" s="113"/>
      <c r="T39" s="113"/>
      <c r="U39" s="113"/>
      <c r="V39" s="113"/>
      <c r="W39" s="101"/>
    </row>
    <row r="40" spans="2:24" x14ac:dyDescent="0.35">
      <c r="B40" s="114" t="s">
        <v>34</v>
      </c>
      <c r="C40" s="115"/>
      <c r="D40" s="115"/>
      <c r="E40" s="115"/>
      <c r="F40" s="116">
        <f>IRR(G37:K37)</f>
        <v>0.43028654567266544</v>
      </c>
      <c r="S40" s="113"/>
      <c r="T40" s="113"/>
      <c r="U40" s="113"/>
      <c r="V40" s="113"/>
    </row>
    <row r="41" spans="2:24" x14ac:dyDescent="0.35">
      <c r="B41" s="117" t="s">
        <v>35</v>
      </c>
      <c r="C41" s="51"/>
      <c r="D41" s="51"/>
      <c r="E41" s="51"/>
      <c r="F41" s="118">
        <f>NPV(E4,H37:K37)+G37</f>
        <v>890837133.78093433</v>
      </c>
      <c r="H41" s="119"/>
      <c r="I41" s="120"/>
      <c r="S41" s="113"/>
      <c r="T41" s="113"/>
      <c r="U41" s="113"/>
      <c r="V41" s="113"/>
    </row>
    <row r="42" spans="2:24" x14ac:dyDescent="0.35">
      <c r="B42" s="117" t="s">
        <v>36</v>
      </c>
      <c r="C42" s="51"/>
      <c r="D42" s="51"/>
      <c r="E42" s="51"/>
      <c r="F42" s="121">
        <f>Q28</f>
        <v>0.52408166938141543</v>
      </c>
      <c r="H42" s="69"/>
      <c r="S42" s="113"/>
      <c r="T42" s="113"/>
      <c r="U42" s="113"/>
      <c r="V42" s="113"/>
    </row>
    <row r="43" spans="2:24" x14ac:dyDescent="0.35">
      <c r="B43" s="122" t="s">
        <v>89</v>
      </c>
      <c r="C43" s="123"/>
      <c r="D43" s="123"/>
      <c r="E43" s="123"/>
      <c r="F43" s="124">
        <f>SUM(F39:K39)</f>
        <v>2.7955675992511351</v>
      </c>
      <c r="S43" s="113"/>
      <c r="T43" s="113"/>
      <c r="U43" s="113"/>
      <c r="V43" s="113"/>
    </row>
    <row r="44" spans="2:24" ht="9.65" customHeight="1" x14ac:dyDescent="0.35">
      <c r="G44" s="56">
        <v>1</v>
      </c>
      <c r="H44" s="44">
        <v>2</v>
      </c>
      <c r="I44" s="56">
        <v>3</v>
      </c>
      <c r="J44" s="44">
        <v>4</v>
      </c>
      <c r="K44" s="56">
        <v>5</v>
      </c>
      <c r="L44" s="56"/>
      <c r="M44" s="56"/>
      <c r="N44" s="56"/>
      <c r="O44" s="56"/>
      <c r="P44" s="56"/>
      <c r="Q44" s="44"/>
      <c r="R44" s="56"/>
      <c r="S44" s="125"/>
      <c r="T44" s="125"/>
      <c r="U44" s="125"/>
      <c r="V44" s="125"/>
    </row>
    <row r="45" spans="2:24" x14ac:dyDescent="0.35">
      <c r="B45" s="126" t="s">
        <v>90</v>
      </c>
      <c r="E45" s="111" t="s">
        <v>91</v>
      </c>
      <c r="G45" s="111" t="str">
        <f>G12</f>
        <v>Year 1</v>
      </c>
      <c r="H45" s="111" t="str">
        <f>H12</f>
        <v>Year 2</v>
      </c>
      <c r="I45" s="111" t="str">
        <f>I12</f>
        <v>Year 3</v>
      </c>
      <c r="J45" s="111" t="str">
        <f>J12</f>
        <v>Year 4</v>
      </c>
      <c r="K45" s="111" t="str">
        <f>K12</f>
        <v>Year 5</v>
      </c>
      <c r="L45" s="111"/>
      <c r="M45" s="111"/>
      <c r="N45" s="111"/>
      <c r="O45" s="111"/>
      <c r="P45" s="111"/>
      <c r="Q45" s="111"/>
      <c r="R45" s="111"/>
      <c r="W45" s="111"/>
    </row>
    <row r="46" spans="2:24" x14ac:dyDescent="0.35">
      <c r="D46" s="1" t="s">
        <v>62</v>
      </c>
      <c r="E46" s="1">
        <v>5</v>
      </c>
      <c r="G46" s="127">
        <f>SUM(G9:G10)/$E46</f>
        <v>180272115.47420835</v>
      </c>
      <c r="H46" s="113">
        <f>G46</f>
        <v>180272115.47420835</v>
      </c>
      <c r="I46" s="113">
        <f t="shared" ref="I46:K47" si="14">H46</f>
        <v>180272115.47420835</v>
      </c>
      <c r="J46" s="113">
        <f t="shared" si="14"/>
        <v>180272115.47420835</v>
      </c>
      <c r="K46" s="113">
        <f t="shared" si="14"/>
        <v>180272115.47420835</v>
      </c>
      <c r="L46" s="113"/>
      <c r="M46" s="113"/>
      <c r="N46" s="113"/>
      <c r="O46" s="113"/>
      <c r="P46" s="113"/>
      <c r="Q46" s="113"/>
      <c r="R46" s="113"/>
      <c r="W46" s="128"/>
    </row>
    <row r="47" spans="2:24" hidden="1" x14ac:dyDescent="0.35">
      <c r="D47" s="1" t="s">
        <v>64</v>
      </c>
      <c r="E47" s="1">
        <v>4</v>
      </c>
      <c r="H47" s="127">
        <f>I$10/$E47</f>
        <v>0</v>
      </c>
      <c r="J47" s="113">
        <f>H47</f>
        <v>0</v>
      </c>
      <c r="K47" s="113">
        <f t="shared" si="14"/>
        <v>0</v>
      </c>
      <c r="L47" s="113"/>
      <c r="M47" s="113"/>
      <c r="N47" s="113"/>
      <c r="O47" s="113"/>
      <c r="P47" s="113"/>
      <c r="Q47" s="113"/>
      <c r="R47" s="113"/>
      <c r="W47" s="128"/>
    </row>
    <row r="48" spans="2:24" hidden="1" x14ac:dyDescent="0.35">
      <c r="D48" s="1" t="s">
        <v>65</v>
      </c>
      <c r="E48" s="1">
        <v>3</v>
      </c>
      <c r="I48" s="127">
        <f>J$9/$E48</f>
        <v>0</v>
      </c>
      <c r="K48" s="113">
        <f>I48</f>
        <v>0</v>
      </c>
      <c r="L48" s="113"/>
      <c r="M48" s="113"/>
      <c r="N48" s="113"/>
      <c r="O48" s="113"/>
      <c r="P48" s="113"/>
      <c r="Q48" s="113"/>
      <c r="R48" s="113"/>
      <c r="W48" s="128"/>
    </row>
    <row r="49" spans="2:23" hidden="1" x14ac:dyDescent="0.35">
      <c r="D49" s="1" t="s">
        <v>66</v>
      </c>
      <c r="E49" s="1">
        <v>2</v>
      </c>
      <c r="J49" s="127"/>
      <c r="Q49" s="113"/>
      <c r="R49" s="113"/>
      <c r="W49" s="128"/>
    </row>
    <row r="50" spans="2:23" hidden="1" x14ac:dyDescent="0.35">
      <c r="D50" s="1" t="s">
        <v>92</v>
      </c>
      <c r="E50" s="1">
        <v>1</v>
      </c>
      <c r="K50" s="127"/>
      <c r="L50" s="127"/>
      <c r="M50" s="127"/>
      <c r="N50" s="127"/>
      <c r="O50" s="127"/>
      <c r="P50" s="127"/>
      <c r="Q50" s="113"/>
      <c r="R50" s="113"/>
      <c r="W50" s="128"/>
    </row>
    <row r="51" spans="2:23" ht="16" thickBot="1" x14ac:dyDescent="0.4">
      <c r="B51" s="129" t="s">
        <v>93</v>
      </c>
      <c r="C51" s="130"/>
      <c r="D51" s="130"/>
      <c r="E51" s="130"/>
      <c r="F51" s="130"/>
      <c r="G51" s="131">
        <f>SUM(G46:G49)</f>
        <v>180272115.47420835</v>
      </c>
      <c r="H51" s="131">
        <f>SUM(H46:H49)</f>
        <v>180272115.47420835</v>
      </c>
      <c r="I51" s="131">
        <f>SUM(I46:I49)</f>
        <v>180272115.47420835</v>
      </c>
      <c r="J51" s="131">
        <f>SUM(J46:J49)</f>
        <v>180272115.47420835</v>
      </c>
      <c r="K51" s="131">
        <f>SUM(K46:K49)</f>
        <v>180272115.47420835</v>
      </c>
      <c r="L51" s="190"/>
      <c r="M51" s="190"/>
      <c r="N51" s="190"/>
      <c r="O51" s="190"/>
      <c r="P51" s="190"/>
      <c r="Q51" s="125"/>
      <c r="R51" s="125"/>
      <c r="W51" s="125"/>
    </row>
    <row r="52" spans="2:23" ht="16" thickTop="1" x14ac:dyDescent="0.35">
      <c r="W52" s="120"/>
    </row>
    <row r="54" spans="2:23" x14ac:dyDescent="0.35">
      <c r="F54" s="1" t="s">
        <v>37</v>
      </c>
    </row>
  </sheetData>
  <mergeCells count="1">
    <mergeCell ref="E19:F19"/>
  </mergeCells>
  <phoneticPr fontId="26" type="noConversion"/>
  <pageMargins left="0.93" right="0.25" top="0.37" bottom="0.16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topLeftCell="G22" workbookViewId="0">
      <selection activeCell="M30" sqref="M30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4531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4.08984375" bestFit="1" customWidth="1"/>
  </cols>
  <sheetData>
    <row r="1" spans="1:20" x14ac:dyDescent="0.35">
      <c r="A1" s="145" t="s">
        <v>114</v>
      </c>
    </row>
    <row r="2" spans="1:20" x14ac:dyDescent="0.35">
      <c r="A2" s="146" t="s">
        <v>115</v>
      </c>
      <c r="B2" s="147">
        <v>5</v>
      </c>
      <c r="C2" s="148">
        <v>2014</v>
      </c>
      <c r="D2" s="148">
        <f>C2+1</f>
        <v>2015</v>
      </c>
      <c r="E2" s="148">
        <f t="shared" ref="E2:M2" si="0">D2+1</f>
        <v>2016</v>
      </c>
      <c r="F2" s="148">
        <f t="shared" si="0"/>
        <v>2017</v>
      </c>
      <c r="G2" s="148">
        <f t="shared" si="0"/>
        <v>2018</v>
      </c>
      <c r="H2" s="148">
        <f t="shared" si="0"/>
        <v>2019</v>
      </c>
      <c r="I2" s="148">
        <f t="shared" si="0"/>
        <v>2020</v>
      </c>
      <c r="J2" s="148">
        <f t="shared" si="0"/>
        <v>2021</v>
      </c>
      <c r="K2" s="148">
        <f t="shared" si="0"/>
        <v>2022</v>
      </c>
      <c r="L2" s="148">
        <f t="shared" si="0"/>
        <v>2023</v>
      </c>
      <c r="M2" s="148">
        <f t="shared" si="0"/>
        <v>2024</v>
      </c>
      <c r="N2" s="148">
        <f t="shared" ref="N2" si="1">M2+1</f>
        <v>2025</v>
      </c>
      <c r="O2" s="148">
        <f t="shared" ref="O2" si="2">N2+1</f>
        <v>2026</v>
      </c>
      <c r="P2" s="148">
        <f t="shared" ref="P2" si="3">O2+1</f>
        <v>2027</v>
      </c>
      <c r="Q2" s="148">
        <f t="shared" ref="Q2:R2" si="4">P2+1</f>
        <v>2028</v>
      </c>
      <c r="R2" s="148">
        <f t="shared" si="4"/>
        <v>2029</v>
      </c>
    </row>
    <row r="3" spans="1:20" x14ac:dyDescent="0.35">
      <c r="A3" s="149">
        <v>2014</v>
      </c>
      <c r="B3" t="s">
        <v>116</v>
      </c>
      <c r="C3" s="150">
        <v>492014563</v>
      </c>
      <c r="D3" s="151">
        <f>C3-C4</f>
        <v>393611650.39999998</v>
      </c>
      <c r="E3" s="151">
        <f>D3-C4</f>
        <v>295208737.79999995</v>
      </c>
      <c r="F3" s="151">
        <f>E3-C4</f>
        <v>196805825.19999996</v>
      </c>
      <c r="G3" s="151">
        <f>F3-C4</f>
        <v>98402912.599999964</v>
      </c>
      <c r="H3" s="151">
        <f>G3-C4</f>
        <v>0</v>
      </c>
      <c r="I3" s="151">
        <f>H3-$E$4</f>
        <v>0</v>
      </c>
      <c r="J3" s="151">
        <f>I3-$E$4</f>
        <v>0</v>
      </c>
      <c r="K3" s="151"/>
      <c r="P3" s="151"/>
      <c r="Q3" s="151"/>
      <c r="R3">
        <v>2013</v>
      </c>
      <c r="S3" s="150">
        <v>1726670811.6800001</v>
      </c>
    </row>
    <row r="4" spans="1:20" x14ac:dyDescent="0.35">
      <c r="A4" s="152"/>
      <c r="B4" t="s">
        <v>117</v>
      </c>
      <c r="C4" s="150">
        <f>C3/B2</f>
        <v>98402912.599999994</v>
      </c>
      <c r="D4" s="150"/>
      <c r="E4" s="150"/>
      <c r="R4">
        <v>2014</v>
      </c>
      <c r="S4" s="150">
        <v>422342499</v>
      </c>
    </row>
    <row r="5" spans="1:20" x14ac:dyDescent="0.35">
      <c r="A5" s="152"/>
      <c r="B5" t="s">
        <v>118</v>
      </c>
      <c r="C5" s="150">
        <f>(($C$3*IRR!E4*6)/12)</f>
        <v>24600728.150000002</v>
      </c>
      <c r="D5" s="151">
        <f>AVERAGE(C3:D3)*IRR!E4</f>
        <v>44281310.670000002</v>
      </c>
      <c r="E5" s="151">
        <f>AVERAGE(D3:E3)*IRR!E4</f>
        <v>34441019.409999996</v>
      </c>
      <c r="F5" s="151">
        <f>AVERAGE(E3:F3)*IRR!E4</f>
        <v>24600728.149999995</v>
      </c>
      <c r="G5" s="151">
        <f>AVERAGE(F3:G3)*IRR!E4</f>
        <v>14760436.889999999</v>
      </c>
      <c r="H5" s="151">
        <f>AVERAGE(G3:H3)*IRR!E4</f>
        <v>4920145.629999998</v>
      </c>
      <c r="I5" s="151">
        <f>AVERAGE($H$3:$I$3)*[3]IRR!$G$4</f>
        <v>0</v>
      </c>
      <c r="J5" s="151">
        <f>AVERAGE($I$3:$J$3)*[3]IRR!$G$4</f>
        <v>0</v>
      </c>
      <c r="K5" s="151"/>
      <c r="P5" s="151"/>
      <c r="Q5" s="151"/>
      <c r="R5">
        <v>2016</v>
      </c>
      <c r="S5" s="150">
        <v>10773000</v>
      </c>
      <c r="T5" s="151"/>
    </row>
    <row r="6" spans="1:20" x14ac:dyDescent="0.35">
      <c r="A6" s="149">
        <v>2015</v>
      </c>
      <c r="B6" t="s">
        <v>116</v>
      </c>
      <c r="C6" s="150"/>
      <c r="D6" s="151">
        <v>2224991492.7600002</v>
      </c>
      <c r="E6" s="151">
        <f>D6-D7</f>
        <v>1779993194.2080002</v>
      </c>
      <c r="F6" s="151">
        <f>E6-D7</f>
        <v>1334994895.6560001</v>
      </c>
      <c r="G6" s="151">
        <f>F6-D7</f>
        <v>889996597.10400009</v>
      </c>
      <c r="H6" s="151">
        <f>G6-D7</f>
        <v>444998298.55200005</v>
      </c>
      <c r="I6" s="151"/>
      <c r="J6" s="151"/>
      <c r="K6" s="151"/>
      <c r="R6">
        <v>2017</v>
      </c>
      <c r="S6" s="150">
        <v>102210600</v>
      </c>
    </row>
    <row r="7" spans="1:20" x14ac:dyDescent="0.35">
      <c r="A7" s="152"/>
      <c r="B7" t="s">
        <v>117</v>
      </c>
      <c r="C7" s="150"/>
      <c r="D7" s="151">
        <f>D6/B2</f>
        <v>444998298.55200005</v>
      </c>
      <c r="E7" s="151"/>
      <c r="F7" s="151"/>
      <c r="G7" s="151"/>
      <c r="H7" s="151"/>
      <c r="I7" s="151"/>
      <c r="J7" s="151"/>
      <c r="K7" s="151"/>
    </row>
    <row r="8" spans="1:20" x14ac:dyDescent="0.35">
      <c r="A8" s="152"/>
      <c r="B8" t="s">
        <v>118</v>
      </c>
      <c r="C8" s="150"/>
      <c r="D8" s="150">
        <f>((D6*IRR!E4*6)/12)</f>
        <v>111249574.63800001</v>
      </c>
      <c r="E8" s="151">
        <f>AVERAGE(D6:E6)*IRR!E4</f>
        <v>200249234.34840003</v>
      </c>
      <c r="F8" s="151">
        <f>AVERAGE(E6:F6)*IRR!E4</f>
        <v>155749404.49320003</v>
      </c>
      <c r="G8" s="151">
        <f>AVERAGE(F6:G6)*IRR!E4</f>
        <v>111249574.63800001</v>
      </c>
      <c r="H8" s="151">
        <f>AVERAGE(G6:H6)*IRR!E4</f>
        <v>66749744.782800011</v>
      </c>
      <c r="I8" s="151">
        <f>AVERAGE(H6:I6)*IRR!E4</f>
        <v>44499829.855200008</v>
      </c>
      <c r="J8" s="151"/>
      <c r="K8" s="151"/>
    </row>
    <row r="9" spans="1:20" x14ac:dyDescent="0.35">
      <c r="A9" s="149" t="s">
        <v>119</v>
      </c>
      <c r="B9" t="s">
        <v>116</v>
      </c>
      <c r="C9" s="150"/>
      <c r="D9" s="151"/>
      <c r="E9" s="151">
        <v>24080000</v>
      </c>
      <c r="F9" s="151">
        <f>E9-E10</f>
        <v>19264000</v>
      </c>
      <c r="G9" s="151">
        <f>F9-E10</f>
        <v>14448000</v>
      </c>
      <c r="H9" s="151">
        <f>G9-E10</f>
        <v>9632000</v>
      </c>
      <c r="I9" s="151">
        <f>H9-E10</f>
        <v>4816000</v>
      </c>
      <c r="J9" s="151">
        <f>I9-E10</f>
        <v>0</v>
      </c>
    </row>
    <row r="10" spans="1:20" x14ac:dyDescent="0.35">
      <c r="A10" s="152"/>
      <c r="B10" t="s">
        <v>117</v>
      </c>
      <c r="C10" s="150"/>
      <c r="D10" s="151"/>
      <c r="E10" s="151">
        <f>E9/B2</f>
        <v>4816000</v>
      </c>
      <c r="F10" s="151"/>
      <c r="G10" s="151"/>
      <c r="H10" s="151"/>
      <c r="I10" s="151"/>
      <c r="J10" s="151"/>
    </row>
    <row r="11" spans="1:20" x14ac:dyDescent="0.35">
      <c r="A11" s="152"/>
      <c r="B11" t="s">
        <v>118</v>
      </c>
      <c r="C11" s="150"/>
      <c r="D11" s="151"/>
      <c r="E11" s="150">
        <f>((E9*IRR!E4*6)/12)</f>
        <v>1204000</v>
      </c>
      <c r="F11" s="151">
        <f>AVERAGE(E9:F9)*IRR!$E$4</f>
        <v>2167200</v>
      </c>
      <c r="G11" s="151">
        <f>AVERAGE(F9:G9)*IRR!$E$4</f>
        <v>1685600</v>
      </c>
      <c r="H11" s="151">
        <f>AVERAGE(G9:H9)*IRR!$E$4</f>
        <v>1204000</v>
      </c>
      <c r="I11" s="151">
        <f>AVERAGE(H9:I9)*IRR!$E$4</f>
        <v>722400</v>
      </c>
      <c r="J11" s="151">
        <f>AVERAGE(I9:J9)*IRR!$E$4</f>
        <v>240800</v>
      </c>
    </row>
    <row r="12" spans="1:20" x14ac:dyDescent="0.35">
      <c r="A12" s="149" t="s">
        <v>120</v>
      </c>
      <c r="B12" t="s">
        <v>116</v>
      </c>
      <c r="C12" s="150"/>
      <c r="D12" s="151"/>
      <c r="E12" s="151"/>
      <c r="F12" s="151">
        <v>516781606</v>
      </c>
      <c r="G12" s="151">
        <f>F12-F13</f>
        <v>413425284.80000001</v>
      </c>
      <c r="H12" s="151">
        <f>G12-F13</f>
        <v>310068963.60000002</v>
      </c>
      <c r="I12" s="151">
        <f>H12-F13</f>
        <v>206712642.40000004</v>
      </c>
      <c r="J12" s="151">
        <f>I12-F13</f>
        <v>103356321.20000003</v>
      </c>
      <c r="K12" s="151">
        <f>J12-F13</f>
        <v>0</v>
      </c>
    </row>
    <row r="13" spans="1:20" x14ac:dyDescent="0.35">
      <c r="B13" t="s">
        <v>117</v>
      </c>
      <c r="C13" s="150"/>
      <c r="D13" s="151"/>
      <c r="E13" s="151"/>
      <c r="F13" s="151">
        <f>F12/B2</f>
        <v>103356321.2</v>
      </c>
      <c r="G13" s="151"/>
      <c r="H13" s="151"/>
      <c r="I13" s="151"/>
      <c r="J13" s="151"/>
      <c r="K13" s="151"/>
    </row>
    <row r="14" spans="1:20" x14ac:dyDescent="0.35">
      <c r="B14" t="s">
        <v>118</v>
      </c>
      <c r="C14" s="150"/>
      <c r="D14" s="151"/>
      <c r="E14" s="150"/>
      <c r="F14" s="150">
        <f>((F12*IRR!E4*6)/12)</f>
        <v>25839080.300000001</v>
      </c>
      <c r="G14" s="151">
        <f>AVERAGE(F12:G12)*IRR!$E$4</f>
        <v>46510344.539999999</v>
      </c>
      <c r="H14" s="151">
        <f>AVERAGE(G12:H12)*IRR!$E$4</f>
        <v>36174712.420000009</v>
      </c>
      <c r="I14" s="151">
        <f>AVERAGE(H12:I12)*IRR!$E$4</f>
        <v>25839080.300000004</v>
      </c>
      <c r="J14" s="151">
        <f>AVERAGE(I12:J12)*IRR!$E$4</f>
        <v>15503448.180000005</v>
      </c>
      <c r="K14" s="151">
        <f>AVERAGE(J12:K12)*IRR!$E$4</f>
        <v>5167816.0600000024</v>
      </c>
    </row>
    <row r="15" spans="1:20" x14ac:dyDescent="0.35">
      <c r="A15" s="149">
        <v>2018</v>
      </c>
      <c r="B15" t="s">
        <v>116</v>
      </c>
      <c r="C15" s="150"/>
      <c r="D15" s="151"/>
      <c r="E15" s="151"/>
      <c r="F15" s="151"/>
      <c r="G15" s="151">
        <v>83627240</v>
      </c>
      <c r="H15" s="151">
        <f>G15-G16</f>
        <v>66901792</v>
      </c>
      <c r="I15" s="151">
        <f>H15-G16</f>
        <v>50176344</v>
      </c>
      <c r="J15" s="151">
        <f>I15-G16</f>
        <v>33450896</v>
      </c>
      <c r="K15" s="151">
        <f>J15-G16</f>
        <v>16725448</v>
      </c>
      <c r="L15" s="151">
        <f>K15-G16</f>
        <v>0</v>
      </c>
    </row>
    <row r="16" spans="1:20" x14ac:dyDescent="0.35">
      <c r="B16" t="s">
        <v>117</v>
      </c>
      <c r="C16" s="150"/>
      <c r="D16" s="151"/>
      <c r="E16" s="151"/>
      <c r="F16" s="151"/>
      <c r="G16" s="151">
        <f>G15/B2</f>
        <v>16725448</v>
      </c>
      <c r="H16" s="151"/>
      <c r="I16" s="151"/>
      <c r="J16" s="151"/>
      <c r="K16" s="151"/>
      <c r="L16" s="151"/>
    </row>
    <row r="17" spans="1:18" x14ac:dyDescent="0.35">
      <c r="B17" t="s">
        <v>118</v>
      </c>
      <c r="C17" s="150"/>
      <c r="D17" s="151"/>
      <c r="E17" s="150"/>
      <c r="F17" s="151"/>
      <c r="G17" s="150">
        <f>((G15*IRR!E4*6)/12)</f>
        <v>4181362</v>
      </c>
      <c r="H17" s="151">
        <f>AVERAGE(G15:H15)*IRR!$E$4</f>
        <v>7526451.6000000006</v>
      </c>
      <c r="I17" s="151">
        <f>AVERAGE(H15:I15)*IRR!$E$4</f>
        <v>5853906.8000000007</v>
      </c>
      <c r="J17" s="151">
        <f>AVERAGE(I15:J15)*IRR!$E$4</f>
        <v>4181362</v>
      </c>
      <c r="K17" s="151">
        <f>AVERAGE(J15:K15)*IRR!$E$4</f>
        <v>2508817.2000000002</v>
      </c>
      <c r="L17" s="151">
        <f>AVERAGE(K15:L15)*IRR!$E$4</f>
        <v>836272.4</v>
      </c>
    </row>
    <row r="18" spans="1:18" x14ac:dyDescent="0.35">
      <c r="A18" s="149">
        <v>2019</v>
      </c>
      <c r="B18" t="s">
        <v>116</v>
      </c>
      <c r="C18" s="150"/>
      <c r="D18" s="151"/>
      <c r="E18" s="151"/>
      <c r="F18" s="151"/>
      <c r="H18" s="151">
        <v>7396000</v>
      </c>
      <c r="I18" s="151">
        <f>H18-H19</f>
        <v>5916800</v>
      </c>
      <c r="J18" s="151">
        <f>I18-H19</f>
        <v>4437600</v>
      </c>
      <c r="K18" s="151">
        <f>J18-H19</f>
        <v>2958400</v>
      </c>
      <c r="L18" s="151">
        <f>K18-H19</f>
        <v>1479200</v>
      </c>
      <c r="M18" s="151">
        <f>L18-H19</f>
        <v>0</v>
      </c>
    </row>
    <row r="19" spans="1:18" x14ac:dyDescent="0.35">
      <c r="B19" t="s">
        <v>117</v>
      </c>
      <c r="C19" s="150"/>
      <c r="D19" s="151"/>
      <c r="E19" s="151"/>
      <c r="F19" s="151"/>
      <c r="H19" s="151">
        <f>H18/B2</f>
        <v>1479200</v>
      </c>
      <c r="I19" s="151"/>
      <c r="J19" s="151"/>
      <c r="K19" s="151"/>
      <c r="L19" s="151"/>
      <c r="M19" s="151"/>
    </row>
    <row r="20" spans="1:18" x14ac:dyDescent="0.35">
      <c r="B20" t="s">
        <v>118</v>
      </c>
      <c r="C20" s="150"/>
      <c r="D20" s="151"/>
      <c r="E20" s="150"/>
      <c r="F20" s="151"/>
      <c r="H20" s="150">
        <f>((H18*IRR!E4*6)/12)</f>
        <v>369800</v>
      </c>
      <c r="I20" s="151">
        <f>AVERAGE(H18:I18)*IRR!$E$4</f>
        <v>665640</v>
      </c>
      <c r="J20" s="151">
        <f>AVERAGE(I18:J18)*IRR!$E$4</f>
        <v>517720</v>
      </c>
      <c r="K20" s="151">
        <f>AVERAGE(J18:K18)*IRR!$E$4</f>
        <v>369800</v>
      </c>
      <c r="L20" s="151">
        <f>AVERAGE(K18:L18)*IRR!$E$4</f>
        <v>221880</v>
      </c>
      <c r="M20" s="151">
        <f>AVERAGE(L18:M18)*IRR!$E$4</f>
        <v>73960</v>
      </c>
    </row>
    <row r="21" spans="1:18" x14ac:dyDescent="0.35">
      <c r="A21" s="149">
        <v>2020</v>
      </c>
      <c r="B21" t="s">
        <v>116</v>
      </c>
      <c r="C21" s="150"/>
      <c r="D21" s="151"/>
      <c r="E21" s="151"/>
      <c r="F21" s="151"/>
      <c r="I21" s="151">
        <v>152855212</v>
      </c>
      <c r="J21" s="151">
        <f>I21-I22</f>
        <v>122284169.59999999</v>
      </c>
      <c r="K21" s="151">
        <f>J21-I22</f>
        <v>91713127.199999988</v>
      </c>
      <c r="L21" s="151">
        <f>K21-I22</f>
        <v>61142084.79999999</v>
      </c>
      <c r="M21" s="151">
        <f>L21-I22</f>
        <v>30571042.399999991</v>
      </c>
      <c r="N21" s="151">
        <f>M21-I22</f>
        <v>0</v>
      </c>
    </row>
    <row r="22" spans="1:18" x14ac:dyDescent="0.35">
      <c r="B22" t="s">
        <v>117</v>
      </c>
      <c r="C22" s="150"/>
      <c r="D22" s="151"/>
      <c r="E22" s="151"/>
      <c r="F22" s="151"/>
      <c r="I22" s="151">
        <f>I21/B2</f>
        <v>30571042.399999999</v>
      </c>
      <c r="J22" s="151"/>
      <c r="K22" s="151"/>
      <c r="L22" s="151"/>
      <c r="M22" s="151"/>
      <c r="N22" s="151"/>
    </row>
    <row r="23" spans="1:18" x14ac:dyDescent="0.35">
      <c r="B23" t="s">
        <v>118</v>
      </c>
      <c r="C23" s="150"/>
      <c r="D23" s="151"/>
      <c r="E23" s="150"/>
      <c r="F23" s="151"/>
      <c r="I23" s="150">
        <f>((I21*IRR!E4*6)/12)</f>
        <v>7642760.6000000006</v>
      </c>
      <c r="J23" s="151">
        <f>AVERAGE(I21:J21)*IRR!$E$4</f>
        <v>13756969.080000002</v>
      </c>
      <c r="K23" s="151">
        <f>AVERAGE(J21:K21)*IRR!$E$4</f>
        <v>10699864.84</v>
      </c>
      <c r="L23" s="151">
        <f>AVERAGE(K21:L21)*IRR!$E$4</f>
        <v>7642760.5999999987</v>
      </c>
      <c r="M23" s="151">
        <f>AVERAGE(L21:M21)*IRR!$E$4</f>
        <v>4585656.3599999994</v>
      </c>
      <c r="N23" s="151">
        <f>AVERAGE(M21:N21)*IRR!$E$4</f>
        <v>1528552.1199999996</v>
      </c>
    </row>
    <row r="24" spans="1:18" x14ac:dyDescent="0.35">
      <c r="A24" s="149">
        <v>2021</v>
      </c>
      <c r="B24" t="s">
        <v>116</v>
      </c>
      <c r="C24" s="150"/>
      <c r="D24" s="151"/>
      <c r="E24" s="151"/>
      <c r="F24" s="151"/>
      <c r="J24" s="151">
        <v>134178101.65999997</v>
      </c>
      <c r="K24" s="151">
        <f>J24-J25</f>
        <v>107342481.32799998</v>
      </c>
      <c r="L24" s="151">
        <f>K24-J25</f>
        <v>80506860.995999992</v>
      </c>
      <c r="M24" s="151">
        <f>L24-J25</f>
        <v>53671240.663999997</v>
      </c>
      <c r="N24" s="151">
        <f>M24-J25</f>
        <v>26835620.332000002</v>
      </c>
      <c r="O24" s="151">
        <f>N24-J25</f>
        <v>0</v>
      </c>
    </row>
    <row r="25" spans="1:18" x14ac:dyDescent="0.35">
      <c r="B25" t="s">
        <v>117</v>
      </c>
      <c r="C25" s="150"/>
      <c r="D25" s="151"/>
      <c r="E25" s="151"/>
      <c r="F25" s="151"/>
      <c r="J25" s="151">
        <f>J24/B2</f>
        <v>26835620.331999995</v>
      </c>
      <c r="K25" s="151"/>
      <c r="L25" s="151"/>
      <c r="M25" s="151"/>
      <c r="N25" s="151"/>
      <c r="O25" s="151"/>
    </row>
    <row r="26" spans="1:18" x14ac:dyDescent="0.35">
      <c r="B26" t="s">
        <v>118</v>
      </c>
      <c r="C26" s="150"/>
      <c r="D26" s="151"/>
      <c r="E26" s="150"/>
      <c r="F26" s="151"/>
      <c r="J26" s="150">
        <f>((J24*IRR!E4*6)/12)</f>
        <v>6708905.0829999996</v>
      </c>
      <c r="K26" s="151">
        <f>AVERAGE(J24:K24)*IRR!$E$4</f>
        <v>12076029.149399998</v>
      </c>
      <c r="L26" s="151">
        <f>AVERAGE(K24:L24)*IRR!$E$4</f>
        <v>9392467.1161999982</v>
      </c>
      <c r="M26" s="151">
        <f>AVERAGE(L24:M24)*IRR!$E$4</f>
        <v>6708905.0830000006</v>
      </c>
      <c r="N26" s="151">
        <f>AVERAGE(M24:N24)*IRR!$E$4</f>
        <v>4025343.0497999997</v>
      </c>
      <c r="O26" s="151">
        <f>AVERAGE(N24:O24)*IRR!$E$4</f>
        <v>1341781.0166000002</v>
      </c>
    </row>
    <row r="27" spans="1:18" x14ac:dyDescent="0.35">
      <c r="A27" s="149">
        <v>2023</v>
      </c>
      <c r="B27" t="s">
        <v>116</v>
      </c>
      <c r="C27" s="150"/>
      <c r="D27" s="151"/>
      <c r="E27" s="151"/>
      <c r="F27" s="151"/>
      <c r="L27" s="151">
        <v>16500000</v>
      </c>
      <c r="M27" s="151">
        <f>L27-L28</f>
        <v>13200000</v>
      </c>
      <c r="N27" s="151">
        <f>M27-L28</f>
        <v>9900000</v>
      </c>
      <c r="O27" s="151">
        <f>N27-L28</f>
        <v>6600000</v>
      </c>
      <c r="P27" s="151">
        <f>O27-L28</f>
        <v>3300000</v>
      </c>
      <c r="Q27" s="151">
        <f>P27-L28</f>
        <v>0</v>
      </c>
    </row>
    <row r="28" spans="1:18" x14ac:dyDescent="0.35">
      <c r="B28" t="s">
        <v>117</v>
      </c>
      <c r="C28" s="150"/>
      <c r="D28" s="151"/>
      <c r="E28" s="151"/>
      <c r="F28" s="151"/>
      <c r="L28" s="151">
        <f>L27/B2</f>
        <v>3300000</v>
      </c>
      <c r="M28" s="151"/>
      <c r="N28" s="151"/>
      <c r="O28" s="151"/>
      <c r="P28" s="151"/>
      <c r="Q28" s="151"/>
    </row>
    <row r="29" spans="1:18" x14ac:dyDescent="0.35">
      <c r="B29" t="s">
        <v>118</v>
      </c>
      <c r="C29" s="150"/>
      <c r="D29" s="151"/>
      <c r="E29" s="150"/>
      <c r="F29" s="151"/>
      <c r="L29" s="150">
        <f>((L27*IRR!E4*6)/12)</f>
        <v>825000</v>
      </c>
      <c r="M29" s="151">
        <f>AVERAGE(L27:M27)*IRR!$E$4</f>
        <v>1485000</v>
      </c>
      <c r="N29" s="151">
        <f>AVERAGE(M27:N27)*IRR!$E$4</f>
        <v>1155000</v>
      </c>
      <c r="O29" s="151">
        <f>AVERAGE(N27:O27)*IRR!$E$4</f>
        <v>825000</v>
      </c>
      <c r="P29" s="151">
        <f>AVERAGE(O27:P27)*IRR!$E$4</f>
        <v>495000</v>
      </c>
      <c r="Q29" s="151">
        <f>AVERAGE(P27:Q27)*IRR!$E$4</f>
        <v>165000</v>
      </c>
    </row>
    <row r="30" spans="1:18" x14ac:dyDescent="0.35">
      <c r="A30">
        <v>2024</v>
      </c>
      <c r="B30" t="s">
        <v>116</v>
      </c>
      <c r="C30" s="150"/>
      <c r="D30" s="151"/>
      <c r="E30" s="150"/>
      <c r="F30" s="151"/>
      <c r="L30" s="150"/>
      <c r="M30" s="151">
        <f>IRR!G9</f>
        <v>657106399.33333337</v>
      </c>
      <c r="N30" s="151">
        <f>M30-M31</f>
        <v>525685119.4666667</v>
      </c>
      <c r="O30" s="151">
        <f>N30-M31</f>
        <v>394263839.60000002</v>
      </c>
      <c r="P30" s="151">
        <f>O30-M31</f>
        <v>262842559.73333335</v>
      </c>
      <c r="Q30" s="151">
        <f>P30-M31</f>
        <v>131421279.86666667</v>
      </c>
      <c r="R30" s="151">
        <f>Q30-M31</f>
        <v>0</v>
      </c>
    </row>
    <row r="31" spans="1:18" x14ac:dyDescent="0.35">
      <c r="B31" t="s">
        <v>117</v>
      </c>
      <c r="C31" s="150"/>
      <c r="D31" s="151"/>
      <c r="E31" s="150"/>
      <c r="F31" s="151"/>
      <c r="L31" s="150"/>
      <c r="M31" s="151">
        <f>M30/B2</f>
        <v>131421279.86666667</v>
      </c>
      <c r="N31" s="151"/>
      <c r="O31" s="151"/>
      <c r="P31" s="151"/>
      <c r="Q31" s="151"/>
    </row>
    <row r="32" spans="1:18" x14ac:dyDescent="0.35">
      <c r="B32" t="s">
        <v>118</v>
      </c>
      <c r="C32" s="150"/>
      <c r="D32" s="151"/>
      <c r="E32" s="150"/>
      <c r="F32" s="151"/>
      <c r="L32" s="150"/>
      <c r="M32" s="150">
        <f>((M30*IRR!E4*6)/12)</f>
        <v>32855319.966666669</v>
      </c>
      <c r="N32" s="151">
        <f>AVERAGE(M30:N30)*IRR!$E$4</f>
        <v>59139575.940000013</v>
      </c>
      <c r="O32" s="151">
        <f>AVERAGE(N30:O30)*IRR!$E$4</f>
        <v>45997447.953333341</v>
      </c>
      <c r="P32" s="151">
        <f>AVERAGE(O30:P30)*IRR!$E$4</f>
        <v>32855319.966666669</v>
      </c>
      <c r="Q32" s="151">
        <f>AVERAGE(P30:Q30)*IRR!$E$4</f>
        <v>19713191.98</v>
      </c>
      <c r="R32" s="151">
        <f>AVERAGE(Q30:R30)*IRR!$E$4</f>
        <v>6571063.9933333341</v>
      </c>
    </row>
    <row r="33" spans="1:18" x14ac:dyDescent="0.35">
      <c r="C33" s="150"/>
      <c r="D33" s="151"/>
      <c r="E33" s="151"/>
      <c r="F33" s="151"/>
      <c r="G33" s="151"/>
      <c r="H33" s="151"/>
      <c r="I33" s="151"/>
      <c r="J33" s="151"/>
      <c r="K33" s="151"/>
    </row>
    <row r="34" spans="1:18" x14ac:dyDescent="0.35">
      <c r="A34" s="146"/>
      <c r="B34" s="153" t="s">
        <v>121</v>
      </c>
      <c r="C34" s="154">
        <f t="shared" ref="C34:L34" si="5">C5+C8+C11+C14+C17+C20+C23+C26+C29+C32</f>
        <v>24600728.150000002</v>
      </c>
      <c r="D34" s="154">
        <f t="shared" si="5"/>
        <v>155530885.30800003</v>
      </c>
      <c r="E34" s="154">
        <f t="shared" si="5"/>
        <v>235894253.75840002</v>
      </c>
      <c r="F34" s="154">
        <f t="shared" si="5"/>
        <v>208356412.94320005</v>
      </c>
      <c r="G34" s="154">
        <f t="shared" si="5"/>
        <v>178387318.06800002</v>
      </c>
      <c r="H34" s="154">
        <f t="shared" si="5"/>
        <v>116944854.43280002</v>
      </c>
      <c r="I34" s="154">
        <f t="shared" si="5"/>
        <v>85223617.555199996</v>
      </c>
      <c r="J34" s="154">
        <f t="shared" si="5"/>
        <v>40909204.343000002</v>
      </c>
      <c r="K34" s="154">
        <f t="shared" si="5"/>
        <v>30822327.249399997</v>
      </c>
      <c r="L34" s="154">
        <f t="shared" si="5"/>
        <v>18918380.116199996</v>
      </c>
      <c r="M34" s="154">
        <f t="shared" ref="M34:Q34" si="6">M5+M8+M11+M14+M17+M20+M23+M26+M29+M32</f>
        <v>45708841.409666672</v>
      </c>
      <c r="N34" s="154">
        <f t="shared" si="6"/>
        <v>65848471.109800011</v>
      </c>
      <c r="O34" s="154">
        <f t="shared" si="6"/>
        <v>48164228.969933338</v>
      </c>
      <c r="P34" s="154">
        <f t="shared" si="6"/>
        <v>33350319.966666669</v>
      </c>
      <c r="Q34" s="154">
        <f t="shared" si="6"/>
        <v>19878191.98</v>
      </c>
      <c r="R34" s="154">
        <f>R5+R8+R11+R14+R17+R20+R23+R26+R29+R32</f>
        <v>6573079.9933333341</v>
      </c>
    </row>
    <row r="35" spans="1:18" x14ac:dyDescent="0.35">
      <c r="B35" s="150"/>
      <c r="C35" s="151"/>
      <c r="D35" s="151"/>
      <c r="E35" s="151"/>
      <c r="F35" s="151"/>
      <c r="G35" s="151"/>
      <c r="H35" s="151"/>
      <c r="I35" s="151"/>
      <c r="J35" s="151"/>
      <c r="K35" s="151"/>
    </row>
    <row r="36" spans="1:18" x14ac:dyDescent="0.35">
      <c r="A36" s="155"/>
      <c r="B36" s="155"/>
      <c r="C36" s="155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</row>
    <row r="37" spans="1:18" x14ac:dyDescent="0.35">
      <c r="A37" s="145" t="s">
        <v>122</v>
      </c>
    </row>
    <row r="38" spans="1:18" x14ac:dyDescent="0.35">
      <c r="A38" t="s">
        <v>123</v>
      </c>
      <c r="B38" t="s">
        <v>124</v>
      </c>
      <c r="C38" s="156">
        <v>50000000</v>
      </c>
    </row>
    <row r="39" spans="1:18" x14ac:dyDescent="0.35">
      <c r="A39" t="s">
        <v>125</v>
      </c>
      <c r="B39" t="s">
        <v>124</v>
      </c>
      <c r="C39" s="156">
        <v>20000000</v>
      </c>
    </row>
    <row r="40" spans="1:18" x14ac:dyDescent="0.35">
      <c r="A40" t="s">
        <v>126</v>
      </c>
      <c r="B40" s="157" t="s">
        <v>127</v>
      </c>
      <c r="C40" s="156"/>
    </row>
    <row r="41" spans="1:18" x14ac:dyDescent="0.35">
      <c r="A41" t="s">
        <v>128</v>
      </c>
      <c r="B41" s="157" t="s">
        <v>127</v>
      </c>
      <c r="C41" s="156"/>
    </row>
    <row r="43" spans="1:18" x14ac:dyDescent="0.35">
      <c r="A43" s="158" t="s">
        <v>52</v>
      </c>
      <c r="B43" s="154">
        <f>C38</f>
        <v>50000000</v>
      </c>
      <c r="C43" s="159">
        <f>B43+C44</f>
        <v>51000000</v>
      </c>
      <c r="D43" s="159">
        <f>C43+D45</f>
        <v>52020000</v>
      </c>
      <c r="E43" s="159">
        <f t="shared" ref="E43:K43" si="7">D43+E45</f>
        <v>53060400</v>
      </c>
      <c r="F43" s="159">
        <f t="shared" si="7"/>
        <v>54121608</v>
      </c>
      <c r="G43" s="159">
        <f t="shared" si="7"/>
        <v>55204040.159999996</v>
      </c>
      <c r="H43" s="159">
        <f t="shared" si="7"/>
        <v>56308120.963199995</v>
      </c>
      <c r="I43" s="159">
        <f t="shared" si="7"/>
        <v>57434283.382463992</v>
      </c>
      <c r="J43" s="159">
        <f t="shared" si="7"/>
        <v>58582969.050113268</v>
      </c>
      <c r="K43" s="159">
        <f t="shared" si="7"/>
        <v>59754628.43111553</v>
      </c>
    </row>
    <row r="44" spans="1:18" x14ac:dyDescent="0.35">
      <c r="A44" s="160">
        <v>0.02</v>
      </c>
      <c r="B44" s="158"/>
      <c r="C44" s="159">
        <f>C45</f>
        <v>1000000</v>
      </c>
      <c r="D44" s="159">
        <f>C44+D45</f>
        <v>2020000</v>
      </c>
      <c r="E44" s="159">
        <f t="shared" ref="E44:K44" si="8">D44+E45</f>
        <v>3060400</v>
      </c>
      <c r="F44" s="159">
        <f t="shared" si="8"/>
        <v>4121608</v>
      </c>
      <c r="G44" s="159">
        <f t="shared" si="8"/>
        <v>5204040.16</v>
      </c>
      <c r="H44" s="159">
        <f t="shared" si="8"/>
        <v>6308120.9632000001</v>
      </c>
      <c r="I44" s="159">
        <f t="shared" si="8"/>
        <v>7434283.382464</v>
      </c>
      <c r="J44" s="159">
        <f t="shared" si="8"/>
        <v>8582969.0501132794</v>
      </c>
      <c r="K44" s="159">
        <f t="shared" si="8"/>
        <v>9754628.4311155453</v>
      </c>
    </row>
    <row r="45" spans="1:18" x14ac:dyDescent="0.35">
      <c r="A45" s="158"/>
      <c r="B45" s="158"/>
      <c r="C45" s="159">
        <f t="shared" ref="C45:K45" si="9">B43*$A$44</f>
        <v>1000000</v>
      </c>
      <c r="D45" s="159">
        <f t="shared" si="9"/>
        <v>1020000</v>
      </c>
      <c r="E45" s="159">
        <f t="shared" si="9"/>
        <v>1040400</v>
      </c>
      <c r="F45" s="159">
        <f t="shared" si="9"/>
        <v>1061208</v>
      </c>
      <c r="G45" s="159">
        <f t="shared" si="9"/>
        <v>1082432.1599999999</v>
      </c>
      <c r="H45" s="159">
        <f t="shared" si="9"/>
        <v>1104080.8032</v>
      </c>
      <c r="I45" s="159">
        <f t="shared" si="9"/>
        <v>1126162.4192639999</v>
      </c>
      <c r="J45" s="159">
        <f t="shared" si="9"/>
        <v>1148685.6676492798</v>
      </c>
      <c r="K45" s="159">
        <f t="shared" si="9"/>
        <v>1171659.3810022655</v>
      </c>
    </row>
    <row r="46" spans="1:18" x14ac:dyDescent="0.35">
      <c r="C46" s="151"/>
      <c r="D46" s="151"/>
      <c r="E46" s="151"/>
      <c r="F46" s="151"/>
      <c r="G46" s="151"/>
      <c r="H46" s="151"/>
      <c r="I46" s="151"/>
      <c r="J46" s="151"/>
      <c r="K46" s="151"/>
    </row>
    <row r="47" spans="1:18" x14ac:dyDescent="0.35">
      <c r="A47" s="155"/>
      <c r="B47" s="155"/>
      <c r="C47" s="161"/>
      <c r="D47" s="161"/>
      <c r="E47" s="161"/>
      <c r="F47" s="161"/>
      <c r="G47" s="161"/>
      <c r="H47" s="161"/>
      <c r="I47" s="161"/>
      <c r="J47" s="161"/>
      <c r="K47" s="161"/>
      <c r="L47" s="155"/>
      <c r="M47" s="155"/>
      <c r="N47" s="155"/>
      <c r="O47" s="155"/>
    </row>
    <row r="48" spans="1:18" x14ac:dyDescent="0.35">
      <c r="A48" s="145" t="s">
        <v>129</v>
      </c>
      <c r="C48" s="151"/>
      <c r="D48" s="151"/>
      <c r="E48" s="151"/>
      <c r="F48" s="151"/>
      <c r="G48" s="151"/>
      <c r="H48" s="151"/>
      <c r="I48" s="151"/>
      <c r="J48" s="151"/>
      <c r="K48" s="151"/>
    </row>
    <row r="49" spans="1:11" x14ac:dyDescent="0.35">
      <c r="A49" t="s">
        <v>130</v>
      </c>
      <c r="C49" s="151"/>
      <c r="D49" s="151"/>
      <c r="E49" s="151"/>
      <c r="F49" s="151"/>
      <c r="G49" s="151"/>
      <c r="H49" s="151"/>
      <c r="I49" s="151"/>
      <c r="J49" s="151"/>
      <c r="K49" s="151"/>
    </row>
    <row r="50" spans="1:11" x14ac:dyDescent="0.35">
      <c r="A50" t="s">
        <v>131</v>
      </c>
      <c r="C50" s="151"/>
      <c r="D50" s="151"/>
      <c r="E50" s="151"/>
      <c r="F50" s="151"/>
      <c r="G50" s="151"/>
      <c r="H50" s="151"/>
      <c r="I50" s="151"/>
      <c r="J50" s="151"/>
      <c r="K50" s="151"/>
    </row>
    <row r="51" spans="1:11" x14ac:dyDescent="0.35">
      <c r="A51" t="s">
        <v>132</v>
      </c>
      <c r="C51" s="151"/>
      <c r="D51" s="151"/>
      <c r="E51" s="151"/>
      <c r="F51" s="151"/>
      <c r="G51" s="151"/>
      <c r="H51" s="151"/>
      <c r="I51" s="151"/>
      <c r="J51" s="151"/>
      <c r="K51" s="151"/>
    </row>
    <row r="52" spans="1:11" x14ac:dyDescent="0.35">
      <c r="A52" t="s">
        <v>133</v>
      </c>
      <c r="C52" s="151"/>
      <c r="D52" s="151"/>
      <c r="E52" s="151"/>
      <c r="F52" s="151"/>
      <c r="G52" s="151"/>
      <c r="H52" s="151"/>
      <c r="I52" s="151"/>
      <c r="J52" s="151"/>
      <c r="K52" s="151"/>
    </row>
    <row r="53" spans="1:11" x14ac:dyDescent="0.35">
      <c r="A53" s="162" t="s">
        <v>134</v>
      </c>
      <c r="B53" s="163"/>
      <c r="C53" s="164"/>
      <c r="D53" s="151"/>
      <c r="E53" s="151"/>
      <c r="F53" s="151"/>
      <c r="G53" s="151"/>
      <c r="H53" s="151"/>
      <c r="I53" s="151"/>
      <c r="J53" s="151"/>
      <c r="K53" s="151"/>
    </row>
    <row r="54" spans="1:11" x14ac:dyDescent="0.35">
      <c r="C54" s="151"/>
      <c r="D54" s="151"/>
      <c r="E54" s="151"/>
      <c r="F54" s="151"/>
      <c r="G54" s="151"/>
      <c r="H54" s="151"/>
      <c r="I54" s="151"/>
      <c r="J54" s="151"/>
      <c r="K54" s="151"/>
    </row>
    <row r="55" spans="1:11" x14ac:dyDescent="0.35">
      <c r="A55" s="165" t="s">
        <v>135</v>
      </c>
      <c r="B55" s="148" t="s">
        <v>136</v>
      </c>
      <c r="D55" s="165" t="s">
        <v>137</v>
      </c>
      <c r="E55" s="148" t="s">
        <v>138</v>
      </c>
      <c r="G55" s="316" t="s">
        <v>133</v>
      </c>
      <c r="H55" s="317"/>
      <c r="J55" s="148" t="s">
        <v>139</v>
      </c>
      <c r="K55" s="148" t="s">
        <v>140</v>
      </c>
    </row>
    <row r="56" spans="1:11" x14ac:dyDescent="0.35">
      <c r="A56" t="s">
        <v>141</v>
      </c>
      <c r="B56" s="150">
        <v>16800000</v>
      </c>
      <c r="D56" t="s">
        <v>142</v>
      </c>
      <c r="E56" s="150">
        <v>7000000</v>
      </c>
      <c r="G56" t="s">
        <v>143</v>
      </c>
      <c r="H56" s="150">
        <v>10000000</v>
      </c>
      <c r="J56" t="s">
        <v>141</v>
      </c>
      <c r="K56" s="150">
        <v>4000000</v>
      </c>
    </row>
    <row r="57" spans="1:11" x14ac:dyDescent="0.35">
      <c r="A57" t="s">
        <v>144</v>
      </c>
      <c r="B57" s="150"/>
      <c r="G57" t="s">
        <v>145</v>
      </c>
      <c r="H57" s="150">
        <v>12000000</v>
      </c>
      <c r="J57" t="s">
        <v>144</v>
      </c>
      <c r="K57" s="150">
        <v>3000000</v>
      </c>
    </row>
    <row r="58" spans="1:11" x14ac:dyDescent="0.35">
      <c r="A58" t="s">
        <v>146</v>
      </c>
      <c r="B58" s="150">
        <v>15600000</v>
      </c>
      <c r="G58" t="s">
        <v>147</v>
      </c>
      <c r="H58" s="150">
        <v>14000000</v>
      </c>
      <c r="J58" t="s">
        <v>146</v>
      </c>
      <c r="K58" s="150">
        <v>2500000</v>
      </c>
    </row>
    <row r="59" spans="1:11" x14ac:dyDescent="0.35">
      <c r="A59" t="s">
        <v>148</v>
      </c>
      <c r="B59" s="150">
        <v>15000000</v>
      </c>
      <c r="G59" t="s">
        <v>149</v>
      </c>
      <c r="H59" s="150">
        <v>14000000</v>
      </c>
      <c r="J59" t="s">
        <v>148</v>
      </c>
      <c r="K59" s="150">
        <v>2000000</v>
      </c>
    </row>
    <row r="60" spans="1:11" x14ac:dyDescent="0.35">
      <c r="A60" t="s">
        <v>150</v>
      </c>
      <c r="B60" s="150">
        <v>15000000</v>
      </c>
      <c r="G60" t="s">
        <v>141</v>
      </c>
      <c r="H60" s="150">
        <v>17000000</v>
      </c>
      <c r="J60" t="s">
        <v>150</v>
      </c>
      <c r="K60" s="150">
        <v>1850000</v>
      </c>
    </row>
    <row r="61" spans="1:11" x14ac:dyDescent="0.35">
      <c r="A61" t="s">
        <v>151</v>
      </c>
      <c r="B61" s="150">
        <v>12000000</v>
      </c>
      <c r="G61" t="s">
        <v>152</v>
      </c>
      <c r="H61" s="150">
        <v>14000000</v>
      </c>
      <c r="J61" t="s">
        <v>151</v>
      </c>
      <c r="K61" s="150">
        <v>1200000</v>
      </c>
    </row>
    <row r="62" spans="1:11" x14ac:dyDescent="0.35">
      <c r="A62" t="s">
        <v>152</v>
      </c>
      <c r="B62" s="150">
        <v>16800000</v>
      </c>
      <c r="J62" t="s">
        <v>152</v>
      </c>
      <c r="K62" s="150">
        <v>2000000</v>
      </c>
    </row>
    <row r="63" spans="1:11" x14ac:dyDescent="0.35">
      <c r="A63" t="s">
        <v>153</v>
      </c>
      <c r="B63" s="150">
        <v>15720000</v>
      </c>
      <c r="J63" t="s">
        <v>153</v>
      </c>
      <c r="K63" s="150">
        <v>3500000</v>
      </c>
    </row>
    <row r="64" spans="1:11" x14ac:dyDescent="0.35">
      <c r="A64" t="s">
        <v>154</v>
      </c>
      <c r="J64" t="s">
        <v>154</v>
      </c>
      <c r="K64" s="150">
        <v>2800000</v>
      </c>
    </row>
    <row r="65" spans="1:15" x14ac:dyDescent="0.35">
      <c r="A65" t="s">
        <v>155</v>
      </c>
      <c r="B65">
        <v>0</v>
      </c>
    </row>
    <row r="67" spans="1:15" x14ac:dyDescent="0.35">
      <c r="C67" s="151"/>
      <c r="D67" s="151"/>
      <c r="E67" s="151"/>
      <c r="F67" s="151"/>
      <c r="G67" s="151"/>
      <c r="H67" s="151"/>
      <c r="I67" s="151"/>
      <c r="J67" s="151"/>
      <c r="K67" s="151"/>
    </row>
    <row r="68" spans="1:15" ht="14.4" customHeight="1" x14ac:dyDescent="0.35">
      <c r="A68" s="318" t="s">
        <v>132</v>
      </c>
      <c r="B68" s="320" t="s">
        <v>102</v>
      </c>
      <c r="C68" s="320" t="s">
        <v>156</v>
      </c>
      <c r="D68" s="321" t="s">
        <v>157</v>
      </c>
      <c r="E68" s="166" t="s">
        <v>158</v>
      </c>
      <c r="F68" s="166" t="s">
        <v>159</v>
      </c>
      <c r="G68" s="166" t="s">
        <v>160</v>
      </c>
      <c r="H68" s="167" t="s">
        <v>161</v>
      </c>
      <c r="I68" s="311" t="s">
        <v>162</v>
      </c>
      <c r="J68" s="311" t="s">
        <v>163</v>
      </c>
    </row>
    <row r="69" spans="1:15" x14ac:dyDescent="0.35">
      <c r="A69" s="319"/>
      <c r="B69" s="320"/>
      <c r="C69" s="320"/>
      <c r="D69" s="321"/>
      <c r="E69" s="168">
        <v>1</v>
      </c>
      <c r="F69" s="169">
        <v>1</v>
      </c>
      <c r="G69" s="169">
        <v>1</v>
      </c>
      <c r="H69" s="170">
        <f>Summary!H9</f>
        <v>241</v>
      </c>
      <c r="I69" s="312"/>
      <c r="J69" s="312"/>
    </row>
    <row r="70" spans="1:15" x14ac:dyDescent="0.35">
      <c r="A70" s="313" t="s">
        <v>164</v>
      </c>
      <c r="B70" s="158" t="s">
        <v>139</v>
      </c>
      <c r="C70" s="171">
        <f>K63</f>
        <v>3500000</v>
      </c>
      <c r="D70" s="158" t="s">
        <v>158</v>
      </c>
      <c r="E70" s="148">
        <f>E69</f>
        <v>1</v>
      </c>
      <c r="F70" s="148"/>
      <c r="G70" s="148"/>
      <c r="H70" s="172"/>
      <c r="I70" s="173">
        <f>E70*C70</f>
        <v>3500000</v>
      </c>
    </row>
    <row r="71" spans="1:15" x14ac:dyDescent="0.35">
      <c r="A71" s="314"/>
      <c r="B71" s="158" t="s">
        <v>165</v>
      </c>
      <c r="C71" s="174">
        <v>600000</v>
      </c>
      <c r="D71" s="158" t="s">
        <v>158</v>
      </c>
      <c r="E71" s="148">
        <f>E69</f>
        <v>1</v>
      </c>
      <c r="F71" s="148"/>
      <c r="G71" s="148"/>
      <c r="H71" s="172"/>
      <c r="I71" s="174">
        <f>C71*E71</f>
        <v>600000</v>
      </c>
    </row>
    <row r="72" spans="1:15" x14ac:dyDescent="0.35">
      <c r="A72" s="315"/>
      <c r="B72" s="158" t="s">
        <v>164</v>
      </c>
      <c r="C72" s="174">
        <v>200000</v>
      </c>
      <c r="D72" s="158" t="s">
        <v>166</v>
      </c>
      <c r="E72" s="148"/>
      <c r="F72" s="148">
        <f>F69</f>
        <v>1</v>
      </c>
      <c r="G72" s="148"/>
      <c r="H72" s="172"/>
      <c r="I72" s="174">
        <f>F72*C72</f>
        <v>200000</v>
      </c>
    </row>
    <row r="73" spans="1:15" x14ac:dyDescent="0.35">
      <c r="A73" s="158" t="s">
        <v>167</v>
      </c>
      <c r="B73" s="158" t="s">
        <v>167</v>
      </c>
      <c r="C73" s="174">
        <v>450000</v>
      </c>
      <c r="D73" s="158" t="s">
        <v>160</v>
      </c>
      <c r="E73" s="148">
        <f>E69</f>
        <v>1</v>
      </c>
      <c r="F73" s="148"/>
      <c r="G73" s="148">
        <f>G69</f>
        <v>1</v>
      </c>
      <c r="H73" s="172">
        <f>IF($H$69&lt;=120,2,IF($H$69&gt;220,4,3))</f>
        <v>4</v>
      </c>
      <c r="I73" s="174">
        <f>G73*C73*H73</f>
        <v>1800000</v>
      </c>
    </row>
    <row r="74" spans="1:15" x14ac:dyDescent="0.35">
      <c r="A74" s="158" t="s">
        <v>168</v>
      </c>
      <c r="B74" s="158" t="s">
        <v>168</v>
      </c>
      <c r="C74" s="174">
        <v>120000</v>
      </c>
      <c r="D74" s="158" t="s">
        <v>158</v>
      </c>
      <c r="E74" s="148">
        <f>E69</f>
        <v>1</v>
      </c>
      <c r="F74" s="148"/>
      <c r="G74" s="148"/>
      <c r="H74" s="172">
        <f>IF($H$69&lt;=120,2,IF($H$69&gt;220,4,3))</f>
        <v>4</v>
      </c>
      <c r="I74" s="174">
        <f>H74*C74*E74</f>
        <v>480000</v>
      </c>
    </row>
    <row r="75" spans="1:15" x14ac:dyDescent="0.35">
      <c r="I75" s="175">
        <f>SUM(I70:I74)</f>
        <v>6580000</v>
      </c>
      <c r="J75" s="176">
        <f>I75*2</f>
        <v>13160000</v>
      </c>
      <c r="K75" t="s">
        <v>169</v>
      </c>
    </row>
    <row r="76" spans="1:15" x14ac:dyDescent="0.35">
      <c r="J76" s="175">
        <f>I75*4</f>
        <v>26320000</v>
      </c>
      <c r="K76" t="s">
        <v>170</v>
      </c>
      <c r="L76" s="199">
        <f>J76+B63+E56*3</f>
        <v>63040000</v>
      </c>
    </row>
    <row r="77" spans="1:15" x14ac:dyDescent="0.35">
      <c r="K77" s="151"/>
    </row>
    <row r="79" spans="1:15" x14ac:dyDescent="0.35">
      <c r="A79" s="155"/>
      <c r="B79" s="155"/>
      <c r="C79" s="161"/>
      <c r="D79" s="161"/>
      <c r="E79" s="161"/>
      <c r="F79" s="161"/>
      <c r="G79" s="161"/>
      <c r="H79" s="161"/>
      <c r="I79" s="161"/>
      <c r="J79" s="161"/>
      <c r="K79" s="161"/>
      <c r="L79" s="155"/>
      <c r="M79" s="155"/>
      <c r="N79" s="155"/>
      <c r="O79" s="155"/>
    </row>
    <row r="80" spans="1:15" x14ac:dyDescent="0.35">
      <c r="A80" s="145" t="s">
        <v>171</v>
      </c>
    </row>
    <row r="82" spans="1:15" x14ac:dyDescent="0.35">
      <c r="A82" s="158" t="s">
        <v>171</v>
      </c>
      <c r="B82" s="151"/>
    </row>
    <row r="83" spans="1:15" x14ac:dyDescent="0.35">
      <c r="A83" t="s">
        <v>172</v>
      </c>
    </row>
    <row r="84" spans="1:15" x14ac:dyDescent="0.35">
      <c r="A84" t="s">
        <v>173</v>
      </c>
      <c r="B84" s="150">
        <v>36000000</v>
      </c>
    </row>
    <row r="85" spans="1:15" x14ac:dyDescent="0.35">
      <c r="A85" t="s">
        <v>174</v>
      </c>
      <c r="B85" s="150">
        <v>42000000</v>
      </c>
    </row>
    <row r="86" spans="1:15" x14ac:dyDescent="0.35">
      <c r="A86" t="s">
        <v>175</v>
      </c>
      <c r="B86" s="150">
        <v>48000000</v>
      </c>
    </row>
    <row r="88" spans="1:15" x14ac:dyDescent="0.35">
      <c r="A88" t="s">
        <v>176</v>
      </c>
    </row>
    <row r="89" spans="1:15" x14ac:dyDescent="0.35">
      <c r="A89" t="s">
        <v>177</v>
      </c>
      <c r="B89" s="150">
        <v>75000000</v>
      </c>
    </row>
    <row r="90" spans="1:15" x14ac:dyDescent="0.35">
      <c r="A90" t="s">
        <v>175</v>
      </c>
      <c r="B90" s="150">
        <v>95000000</v>
      </c>
    </row>
    <row r="92" spans="1:15" x14ac:dyDescent="0.35">
      <c r="A92" s="155"/>
      <c r="B92" s="155"/>
      <c r="C92" s="161"/>
      <c r="D92" s="161"/>
      <c r="E92" s="161"/>
      <c r="F92" s="161"/>
      <c r="G92" s="161"/>
      <c r="H92" s="161"/>
      <c r="I92" s="161"/>
      <c r="J92" s="161"/>
      <c r="K92" s="161"/>
      <c r="L92" s="155"/>
      <c r="M92" s="155"/>
      <c r="N92" s="155"/>
      <c r="O92" s="155"/>
    </row>
    <row r="93" spans="1:15" x14ac:dyDescent="0.35">
      <c r="A93" s="145" t="s">
        <v>178</v>
      </c>
    </row>
    <row r="95" spans="1:15" x14ac:dyDescent="0.35">
      <c r="A95" t="s">
        <v>179</v>
      </c>
      <c r="C95" s="177">
        <v>150000000</v>
      </c>
    </row>
    <row r="96" spans="1:15" x14ac:dyDescent="0.35">
      <c r="A96" t="s">
        <v>180</v>
      </c>
      <c r="C96" s="177">
        <v>200000000</v>
      </c>
    </row>
    <row r="97" spans="1:15" x14ac:dyDescent="0.35">
      <c r="A97" t="s">
        <v>181</v>
      </c>
      <c r="C97" s="177">
        <v>85000000</v>
      </c>
    </row>
    <row r="98" spans="1:15" x14ac:dyDescent="0.35">
      <c r="A98" t="s">
        <v>182</v>
      </c>
      <c r="C98" s="177">
        <v>150000000</v>
      </c>
    </row>
    <row r="99" spans="1:15" x14ac:dyDescent="0.35">
      <c r="A99" t="s">
        <v>183</v>
      </c>
      <c r="C99" s="177">
        <v>50000000</v>
      </c>
    </row>
    <row r="101" spans="1:15" x14ac:dyDescent="0.35">
      <c r="A101" s="155"/>
      <c r="B101" s="155"/>
      <c r="C101" s="161"/>
      <c r="D101" s="161"/>
      <c r="E101" s="161"/>
      <c r="F101" s="161"/>
      <c r="G101" s="161"/>
      <c r="H101" s="161"/>
      <c r="I101" s="161"/>
      <c r="J101" s="161"/>
      <c r="K101" s="161"/>
      <c r="L101" s="155"/>
      <c r="M101" s="155"/>
      <c r="N101" s="155"/>
      <c r="O101" s="155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8542D-E203-46BE-A1AA-95461C8D4DC0}">
  <dimension ref="A1:D20"/>
  <sheetViews>
    <sheetView workbookViewId="0">
      <selection sqref="A1:D21"/>
    </sheetView>
  </sheetViews>
  <sheetFormatPr defaultRowHeight="14.5" x14ac:dyDescent="0.35"/>
  <cols>
    <col min="2" max="2" width="23.81640625" bestFit="1" customWidth="1"/>
    <col min="3" max="4" width="43.453125" bestFit="1" customWidth="1"/>
  </cols>
  <sheetData>
    <row r="1" spans="1:4" ht="21" x14ac:dyDescent="0.5">
      <c r="A1" s="132"/>
      <c r="B1" s="132"/>
      <c r="C1" s="133" t="s">
        <v>94</v>
      </c>
      <c r="D1" s="132"/>
    </row>
    <row r="2" spans="1:4" x14ac:dyDescent="0.35">
      <c r="A2" s="132"/>
      <c r="B2" s="132"/>
      <c r="C2" s="132"/>
      <c r="D2" s="132"/>
    </row>
    <row r="3" spans="1:4" x14ac:dyDescent="0.35">
      <c r="A3" s="134" t="s">
        <v>95</v>
      </c>
      <c r="B3" s="134"/>
      <c r="C3" s="134" t="s">
        <v>212</v>
      </c>
      <c r="D3" s="132"/>
    </row>
    <row r="4" spans="1:4" x14ac:dyDescent="0.35">
      <c r="A4" s="134" t="s">
        <v>96</v>
      </c>
      <c r="B4" s="134"/>
      <c r="C4" s="134"/>
      <c r="D4" s="132"/>
    </row>
    <row r="5" spans="1:4" x14ac:dyDescent="0.35">
      <c r="A5" s="134" t="s">
        <v>97</v>
      </c>
      <c r="B5" s="134"/>
      <c r="C5" s="134"/>
      <c r="D5" s="132"/>
    </row>
    <row r="6" spans="1:4" x14ac:dyDescent="0.35">
      <c r="A6" s="134" t="s">
        <v>98</v>
      </c>
      <c r="B6" s="134"/>
      <c r="C6" s="134" t="s">
        <v>99</v>
      </c>
      <c r="D6" s="132"/>
    </row>
    <row r="7" spans="1:4" x14ac:dyDescent="0.35">
      <c r="A7" s="134" t="s">
        <v>100</v>
      </c>
      <c r="B7" s="134"/>
      <c r="C7" s="134" t="s">
        <v>218</v>
      </c>
      <c r="D7" s="132"/>
    </row>
    <row r="8" spans="1:4" x14ac:dyDescent="0.35">
      <c r="A8" s="132"/>
      <c r="B8" s="132"/>
      <c r="C8" s="132"/>
      <c r="D8" s="132"/>
    </row>
    <row r="9" spans="1:4" x14ac:dyDescent="0.35">
      <c r="A9" s="324" t="s">
        <v>101</v>
      </c>
      <c r="B9" s="325" t="s">
        <v>102</v>
      </c>
      <c r="C9" s="325" t="s">
        <v>103</v>
      </c>
      <c r="D9" s="325" t="s">
        <v>24</v>
      </c>
    </row>
    <row r="10" spans="1:4" x14ac:dyDescent="0.35">
      <c r="A10" s="324"/>
      <c r="B10" s="326"/>
      <c r="C10" s="326"/>
      <c r="D10" s="326"/>
    </row>
    <row r="11" spans="1:4" x14ac:dyDescent="0.35">
      <c r="A11" s="135" t="s">
        <v>104</v>
      </c>
      <c r="B11" s="136" t="s">
        <v>105</v>
      </c>
      <c r="C11" s="137" t="s">
        <v>9</v>
      </c>
      <c r="D11" s="136" t="s">
        <v>9</v>
      </c>
    </row>
    <row r="12" spans="1:4" x14ac:dyDescent="0.35">
      <c r="A12" s="135" t="s">
        <v>106</v>
      </c>
      <c r="B12" s="136" t="s">
        <v>107</v>
      </c>
      <c r="C12" s="134" t="s">
        <v>218</v>
      </c>
      <c r="D12" s="138" t="s">
        <v>218</v>
      </c>
    </row>
    <row r="13" spans="1:4" x14ac:dyDescent="0.35">
      <c r="A13" s="135" t="s">
        <v>108</v>
      </c>
      <c r="B13" s="136" t="s">
        <v>109</v>
      </c>
      <c r="C13" s="136" t="s">
        <v>222</v>
      </c>
      <c r="D13" s="136" t="s">
        <v>221</v>
      </c>
    </row>
    <row r="14" spans="1:4" x14ac:dyDescent="0.35">
      <c r="A14" s="327">
        <v>4</v>
      </c>
      <c r="B14" s="136" t="s">
        <v>110</v>
      </c>
      <c r="C14" s="139" t="s">
        <v>219</v>
      </c>
      <c r="D14" s="140" t="s">
        <v>219</v>
      </c>
    </row>
    <row r="15" spans="1:4" x14ac:dyDescent="0.35">
      <c r="A15" s="328"/>
      <c r="B15" s="136"/>
      <c r="C15" s="139" t="s">
        <v>220</v>
      </c>
      <c r="D15" s="140" t="s">
        <v>220</v>
      </c>
    </row>
    <row r="16" spans="1:4" x14ac:dyDescent="0.35">
      <c r="A16" s="141">
        <v>5</v>
      </c>
      <c r="B16" s="142" t="s">
        <v>111</v>
      </c>
      <c r="C16" s="136" t="s">
        <v>215</v>
      </c>
      <c r="D16" s="136" t="s">
        <v>215</v>
      </c>
    </row>
    <row r="17" spans="1:4" x14ac:dyDescent="0.35">
      <c r="A17" s="143"/>
      <c r="B17" s="144"/>
      <c r="C17" s="136" t="s">
        <v>216</v>
      </c>
      <c r="D17" s="136" t="s">
        <v>216</v>
      </c>
    </row>
    <row r="18" spans="1:4" x14ac:dyDescent="0.35">
      <c r="A18" s="143"/>
      <c r="B18" s="144"/>
      <c r="C18" s="136" t="s">
        <v>217</v>
      </c>
      <c r="D18" s="136" t="s">
        <v>217</v>
      </c>
    </row>
    <row r="19" spans="1:4" x14ac:dyDescent="0.35">
      <c r="A19" s="143"/>
      <c r="B19" s="144"/>
      <c r="C19" s="137" t="s">
        <v>223</v>
      </c>
      <c r="D19" s="196"/>
    </row>
    <row r="20" spans="1:4" x14ac:dyDescent="0.35">
      <c r="A20" s="135" t="s">
        <v>112</v>
      </c>
      <c r="B20" s="136" t="s">
        <v>113</v>
      </c>
      <c r="C20" s="322" t="s">
        <v>308</v>
      </c>
      <c r="D20" s="323"/>
    </row>
  </sheetData>
  <mergeCells count="6">
    <mergeCell ref="C20:D20"/>
    <mergeCell ref="A9:A10"/>
    <mergeCell ref="B9:B10"/>
    <mergeCell ref="C9:C10"/>
    <mergeCell ref="D9:D10"/>
    <mergeCell ref="A14:A15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8E21E-26F4-41E7-8B2F-5D18453D3713}">
  <dimension ref="A2:M21"/>
  <sheetViews>
    <sheetView workbookViewId="0">
      <selection activeCell="A2" sqref="A2:F21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36328125" bestFit="1" customWidth="1"/>
  </cols>
  <sheetData>
    <row r="2" spans="1:13" x14ac:dyDescent="0.35">
      <c r="A2" s="329" t="s">
        <v>309</v>
      </c>
      <c r="B2" s="329"/>
      <c r="C2" s="329"/>
      <c r="D2" s="329"/>
      <c r="E2" s="329"/>
      <c r="F2" s="329"/>
      <c r="G2" s="132"/>
      <c r="H2" s="132"/>
      <c r="I2" s="132"/>
      <c r="J2" s="132"/>
      <c r="K2" s="132"/>
      <c r="L2" s="132"/>
      <c r="M2" s="132"/>
    </row>
    <row r="3" spans="1:13" x14ac:dyDescent="0.35">
      <c r="A3" s="178" t="s">
        <v>184</v>
      </c>
      <c r="B3" s="178" t="s">
        <v>185</v>
      </c>
      <c r="C3" s="178" t="s">
        <v>186</v>
      </c>
      <c r="D3" s="179"/>
      <c r="G3" s="132"/>
      <c r="H3" s="132"/>
      <c r="I3" s="132"/>
      <c r="J3" s="132"/>
      <c r="K3" s="132"/>
      <c r="L3" s="132"/>
      <c r="M3" s="132"/>
    </row>
    <row r="4" spans="1:13" x14ac:dyDescent="0.35">
      <c r="A4" s="136" t="s">
        <v>187</v>
      </c>
      <c r="B4" s="180">
        <v>43831</v>
      </c>
      <c r="C4" s="180">
        <v>45657</v>
      </c>
      <c r="D4" s="181"/>
      <c r="E4" s="181"/>
      <c r="F4" s="181"/>
      <c r="G4" s="181"/>
      <c r="H4" s="132"/>
      <c r="I4" s="132"/>
      <c r="J4" s="132"/>
      <c r="K4" s="132"/>
      <c r="L4" s="132"/>
      <c r="M4" s="132"/>
    </row>
    <row r="5" spans="1:13" x14ac:dyDescent="0.35">
      <c r="A5" s="136" t="s">
        <v>188</v>
      </c>
      <c r="B5" s="180">
        <v>43929</v>
      </c>
      <c r="C5" s="180">
        <v>45754</v>
      </c>
      <c r="D5" s="181"/>
      <c r="E5" s="182"/>
      <c r="F5" s="182"/>
      <c r="G5" s="132"/>
      <c r="H5" s="132"/>
      <c r="I5" s="132"/>
      <c r="J5" s="132"/>
      <c r="K5" s="132"/>
      <c r="L5" s="132"/>
      <c r="M5" s="132"/>
    </row>
    <row r="6" spans="1:13" x14ac:dyDescent="0.35">
      <c r="A6" s="136" t="s">
        <v>189</v>
      </c>
      <c r="B6" s="180">
        <v>44007</v>
      </c>
      <c r="C6" s="180">
        <v>45924</v>
      </c>
      <c r="D6" s="181"/>
      <c r="E6" s="182"/>
      <c r="F6" s="182"/>
      <c r="G6" s="132"/>
      <c r="H6" s="132"/>
      <c r="I6" s="132"/>
      <c r="J6" s="132"/>
      <c r="K6" s="132"/>
      <c r="L6" s="132"/>
      <c r="M6" s="132"/>
    </row>
    <row r="7" spans="1:13" x14ac:dyDescent="0.35">
      <c r="A7" s="136" t="s">
        <v>190</v>
      </c>
      <c r="B7" s="180">
        <v>45515</v>
      </c>
      <c r="C7" s="180">
        <v>47340</v>
      </c>
      <c r="D7" s="181"/>
      <c r="G7" s="132"/>
      <c r="H7" s="132"/>
      <c r="I7" s="132"/>
      <c r="J7" s="132"/>
      <c r="K7" s="132"/>
      <c r="L7" s="132"/>
      <c r="M7" s="132"/>
    </row>
    <row r="8" spans="1:13" x14ac:dyDescent="0.35">
      <c r="A8" s="132"/>
      <c r="G8" s="132"/>
      <c r="H8" s="132"/>
      <c r="I8" s="132"/>
      <c r="J8" s="132"/>
      <c r="K8" s="132"/>
      <c r="L8" s="132"/>
      <c r="M8" s="132"/>
    </row>
    <row r="9" spans="1:13" x14ac:dyDescent="0.35">
      <c r="A9" s="132"/>
      <c r="B9" s="178" t="s">
        <v>185</v>
      </c>
      <c r="C9" s="178" t="s">
        <v>186</v>
      </c>
      <c r="D9" s="178" t="s">
        <v>191</v>
      </c>
      <c r="E9" s="181"/>
      <c r="F9" s="181"/>
      <c r="G9" s="132"/>
      <c r="H9" s="132"/>
      <c r="I9" s="132"/>
      <c r="J9" s="132"/>
      <c r="K9" s="132"/>
      <c r="L9" s="132"/>
      <c r="M9" s="132"/>
    </row>
    <row r="10" spans="1:13" x14ac:dyDescent="0.35">
      <c r="A10" s="132" t="s">
        <v>316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</row>
    <row r="11" spans="1:13" x14ac:dyDescent="0.35">
      <c r="A11" s="132" t="s">
        <v>187</v>
      </c>
      <c r="B11" s="183">
        <v>45515</v>
      </c>
      <c r="C11" s="271">
        <v>47340</v>
      </c>
      <c r="D11" s="184">
        <f>C11-B11</f>
        <v>1825</v>
      </c>
      <c r="E11" s="185">
        <v>515280000</v>
      </c>
      <c r="F11" s="186">
        <f>E11/365*D11</f>
        <v>2576400000</v>
      </c>
      <c r="G11" s="132"/>
      <c r="H11" s="132"/>
      <c r="I11" s="132"/>
      <c r="J11" s="132"/>
      <c r="K11" s="132"/>
      <c r="L11" s="132"/>
      <c r="M11" s="132"/>
    </row>
    <row r="12" spans="1:13" x14ac:dyDescent="0.35">
      <c r="A12" s="132" t="s">
        <v>188</v>
      </c>
      <c r="B12" s="183">
        <v>45515</v>
      </c>
      <c r="C12" s="271">
        <v>47340</v>
      </c>
      <c r="D12" s="184">
        <f t="shared" ref="D12:D19" si="0">C12-B12</f>
        <v>1825</v>
      </c>
      <c r="E12" s="185">
        <v>350064000</v>
      </c>
      <c r="F12" s="186">
        <f>E12/365*D12</f>
        <v>1750320000</v>
      </c>
      <c r="G12" s="132"/>
      <c r="H12" s="132"/>
      <c r="I12" s="132"/>
      <c r="J12" s="132"/>
      <c r="K12" s="132"/>
      <c r="L12" s="132"/>
      <c r="M12" s="132"/>
    </row>
    <row r="13" spans="1:13" x14ac:dyDescent="0.35">
      <c r="A13" s="132" t="s">
        <v>189</v>
      </c>
      <c r="B13" s="183">
        <v>45515</v>
      </c>
      <c r="C13" s="271">
        <v>47340</v>
      </c>
      <c r="D13" s="184">
        <f t="shared" si="0"/>
        <v>1825</v>
      </c>
      <c r="E13" s="185">
        <v>250000000</v>
      </c>
      <c r="F13" s="186">
        <f t="shared" ref="F13" si="1">E13/365*D13</f>
        <v>1250000000</v>
      </c>
      <c r="G13" s="132"/>
      <c r="H13" s="132"/>
      <c r="I13" s="132"/>
      <c r="J13" s="132"/>
      <c r="K13" s="132"/>
      <c r="L13" s="132"/>
      <c r="M13" s="132"/>
    </row>
    <row r="14" spans="1:13" x14ac:dyDescent="0.35">
      <c r="A14" s="132" t="s">
        <v>314</v>
      </c>
      <c r="B14" s="183">
        <v>45515</v>
      </c>
      <c r="C14" s="271">
        <v>47340</v>
      </c>
      <c r="D14" s="184">
        <f t="shared" si="0"/>
        <v>1825</v>
      </c>
      <c r="E14" s="185">
        <f>155000000/2</f>
        <v>77500000</v>
      </c>
      <c r="F14" s="186">
        <f>-E14/365*D14</f>
        <v>-387500000</v>
      </c>
      <c r="G14" s="132"/>
      <c r="H14" s="132"/>
      <c r="I14" s="132"/>
      <c r="J14" s="132"/>
      <c r="K14" s="132"/>
      <c r="L14" s="132"/>
      <c r="M14" s="132"/>
    </row>
    <row r="15" spans="1:13" x14ac:dyDescent="0.35">
      <c r="A15" s="132" t="s">
        <v>315</v>
      </c>
      <c r="B15" s="183">
        <v>45515</v>
      </c>
      <c r="C15" s="271">
        <v>47340</v>
      </c>
      <c r="D15" s="184">
        <f t="shared" si="0"/>
        <v>1825</v>
      </c>
      <c r="E15" s="185">
        <f>155000000/2</f>
        <v>77500000</v>
      </c>
      <c r="F15" s="186">
        <f>-E15/365*D15</f>
        <v>-387500000</v>
      </c>
      <c r="G15" s="132"/>
      <c r="H15" s="132"/>
      <c r="I15" s="132"/>
      <c r="J15" s="132"/>
      <c r="K15" s="132"/>
      <c r="L15" s="132"/>
      <c r="M15" s="132"/>
    </row>
    <row r="16" spans="1:13" x14ac:dyDescent="0.35">
      <c r="A16" s="132" t="s">
        <v>192</v>
      </c>
      <c r="B16" s="271">
        <v>45515</v>
      </c>
      <c r="C16" s="271">
        <v>47340</v>
      </c>
      <c r="D16" s="184">
        <f t="shared" si="0"/>
        <v>1825</v>
      </c>
      <c r="E16" s="185">
        <v>200000000</v>
      </c>
      <c r="F16" s="186">
        <f>-E16/365*D16</f>
        <v>-1000000000</v>
      </c>
      <c r="G16" s="132"/>
      <c r="H16" s="132"/>
      <c r="I16" s="132"/>
      <c r="J16" s="132"/>
      <c r="K16" s="132"/>
      <c r="L16" s="132"/>
      <c r="M16" s="132"/>
    </row>
    <row r="17" spans="1:13" x14ac:dyDescent="0.35">
      <c r="A17" s="132" t="s">
        <v>311</v>
      </c>
      <c r="B17" s="183">
        <v>45515</v>
      </c>
      <c r="C17" s="271">
        <v>47340</v>
      </c>
      <c r="D17" s="184">
        <f t="shared" si="0"/>
        <v>1825</v>
      </c>
      <c r="E17" s="185">
        <f>63040000/3</f>
        <v>21013333.333333332</v>
      </c>
      <c r="F17" s="186">
        <f t="shared" ref="F17:F19" si="2">-E17/365*D17</f>
        <v>-105066666.66666666</v>
      </c>
      <c r="G17" s="132"/>
      <c r="H17" s="132"/>
      <c r="I17" s="132"/>
      <c r="J17" s="132"/>
      <c r="K17" s="132"/>
      <c r="L17" s="132"/>
      <c r="M17" s="132"/>
    </row>
    <row r="18" spans="1:13" x14ac:dyDescent="0.35">
      <c r="A18" s="132" t="s">
        <v>312</v>
      </c>
      <c r="B18" s="183">
        <v>45515</v>
      </c>
      <c r="C18" s="271">
        <v>47340</v>
      </c>
      <c r="D18" s="184">
        <f t="shared" si="0"/>
        <v>1825</v>
      </c>
      <c r="E18" s="185">
        <f t="shared" ref="E18:E19" si="3">63040000/3</f>
        <v>21013333.333333332</v>
      </c>
      <c r="F18" s="186">
        <f t="shared" si="2"/>
        <v>-105066666.66666666</v>
      </c>
      <c r="G18" s="132"/>
      <c r="H18" s="132"/>
      <c r="I18" s="132"/>
      <c r="J18" s="132"/>
      <c r="K18" s="132"/>
      <c r="L18" s="132"/>
      <c r="M18" s="132"/>
    </row>
    <row r="19" spans="1:13" x14ac:dyDescent="0.35">
      <c r="A19" s="132" t="s">
        <v>313</v>
      </c>
      <c r="B19" s="183">
        <v>45515</v>
      </c>
      <c r="C19" s="271">
        <v>47340</v>
      </c>
      <c r="D19" s="184">
        <f t="shared" si="0"/>
        <v>1825</v>
      </c>
      <c r="E19" s="185">
        <f t="shared" si="3"/>
        <v>21013333.333333332</v>
      </c>
      <c r="F19" s="186">
        <f t="shared" si="2"/>
        <v>-105066666.66666666</v>
      </c>
      <c r="G19" s="132"/>
      <c r="H19" s="132"/>
      <c r="I19" s="132"/>
      <c r="J19" s="132"/>
      <c r="K19" s="132"/>
      <c r="L19" s="132"/>
      <c r="M19" s="132"/>
    </row>
    <row r="20" spans="1:13" x14ac:dyDescent="0.35">
      <c r="A20" s="132" t="s">
        <v>193</v>
      </c>
      <c r="B20" s="132"/>
      <c r="C20" s="132"/>
      <c r="D20" s="132"/>
      <c r="E20" s="187">
        <v>100000000</v>
      </c>
      <c r="F20" s="188"/>
      <c r="G20" s="132"/>
      <c r="H20" s="132"/>
      <c r="I20" s="132"/>
      <c r="J20" s="132"/>
      <c r="K20" s="132"/>
      <c r="L20" s="132"/>
      <c r="M20" s="132"/>
    </row>
    <row r="21" spans="1:13" x14ac:dyDescent="0.35">
      <c r="A21" s="132" t="s">
        <v>194</v>
      </c>
      <c r="B21" s="132"/>
      <c r="C21" s="132"/>
      <c r="D21" s="132"/>
      <c r="E21" s="132"/>
      <c r="F21" s="186">
        <f>SUM(F11:F20)</f>
        <v>3486520000.0000005</v>
      </c>
      <c r="G21" s="132"/>
      <c r="H21" s="132"/>
      <c r="I21" s="132"/>
      <c r="J21" s="132"/>
      <c r="K21" s="132"/>
      <c r="L21" s="132"/>
      <c r="M21" s="132"/>
    </row>
  </sheetData>
  <mergeCells count="1">
    <mergeCell ref="A2:F2"/>
  </mergeCells>
  <pageMargins left="0.25" right="0.16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81DA1-8958-424F-9411-E77CD448DD7F}">
  <sheetPr>
    <tabColor theme="1"/>
    <pageSetUpPr fitToPage="1"/>
  </sheetPr>
  <dimension ref="A1:J62"/>
  <sheetViews>
    <sheetView view="pageBreakPreview" zoomScale="70" zoomScaleNormal="70" zoomScaleSheetLayoutView="70" zoomScalePageLayoutView="80" workbookViewId="0">
      <pane ySplit="5" topLeftCell="A48" activePane="bottomLeft" state="frozen"/>
      <selection pane="bottomLeft" activeCell="G31" sqref="G31"/>
    </sheetView>
  </sheetViews>
  <sheetFormatPr defaultColWidth="0.90625" defaultRowHeight="15.5" x14ac:dyDescent="0.35"/>
  <cols>
    <col min="1" max="1" width="0.90625" style="203" customWidth="1"/>
    <col min="2" max="2" width="6.90625" style="203" customWidth="1"/>
    <col min="3" max="3" width="91.6328125" style="267" customWidth="1"/>
    <col min="4" max="4" width="8.6328125" style="203" bestFit="1" customWidth="1"/>
    <col min="5" max="5" width="9.6328125" style="203" bestFit="1" customWidth="1"/>
    <col min="6" max="8" width="20.36328125" style="203" customWidth="1"/>
    <col min="9" max="9" width="24.08984375" style="202" customWidth="1"/>
    <col min="10" max="10" width="65" style="203" customWidth="1"/>
    <col min="11" max="209" width="9.08984375" style="203" customWidth="1"/>
    <col min="210" max="257" width="0.90625" style="203"/>
    <col min="258" max="258" width="6.90625" style="203" customWidth="1"/>
    <col min="259" max="259" width="100.90625" style="203" customWidth="1"/>
    <col min="260" max="260" width="8.6328125" style="203" bestFit="1" customWidth="1"/>
    <col min="261" max="261" width="9.6328125" style="203" bestFit="1" customWidth="1"/>
    <col min="262" max="264" width="20.36328125" style="203" customWidth="1"/>
    <col min="265" max="265" width="24.08984375" style="203" customWidth="1"/>
    <col min="266" max="266" width="52.54296875" style="203" bestFit="1" customWidth="1"/>
    <col min="267" max="465" width="9.08984375" style="203" customWidth="1"/>
    <col min="466" max="513" width="0.90625" style="203"/>
    <col min="514" max="514" width="6.90625" style="203" customWidth="1"/>
    <col min="515" max="515" width="100.90625" style="203" customWidth="1"/>
    <col min="516" max="516" width="8.6328125" style="203" bestFit="1" customWidth="1"/>
    <col min="517" max="517" width="9.6328125" style="203" bestFit="1" customWidth="1"/>
    <col min="518" max="520" width="20.36328125" style="203" customWidth="1"/>
    <col min="521" max="521" width="24.08984375" style="203" customWidth="1"/>
    <col min="522" max="522" width="52.54296875" style="203" bestFit="1" customWidth="1"/>
    <col min="523" max="721" width="9.08984375" style="203" customWidth="1"/>
    <col min="722" max="769" width="0.90625" style="203"/>
    <col min="770" max="770" width="6.90625" style="203" customWidth="1"/>
    <col min="771" max="771" width="100.90625" style="203" customWidth="1"/>
    <col min="772" max="772" width="8.6328125" style="203" bestFit="1" customWidth="1"/>
    <col min="773" max="773" width="9.6328125" style="203" bestFit="1" customWidth="1"/>
    <col min="774" max="776" width="20.36328125" style="203" customWidth="1"/>
    <col min="777" max="777" width="24.08984375" style="203" customWidth="1"/>
    <col min="778" max="778" width="52.54296875" style="203" bestFit="1" customWidth="1"/>
    <col min="779" max="977" width="9.08984375" style="203" customWidth="1"/>
    <col min="978" max="1025" width="0.90625" style="203"/>
    <col min="1026" max="1026" width="6.90625" style="203" customWidth="1"/>
    <col min="1027" max="1027" width="100.90625" style="203" customWidth="1"/>
    <col min="1028" max="1028" width="8.6328125" style="203" bestFit="1" customWidth="1"/>
    <col min="1029" max="1029" width="9.6328125" style="203" bestFit="1" customWidth="1"/>
    <col min="1030" max="1032" width="20.36328125" style="203" customWidth="1"/>
    <col min="1033" max="1033" width="24.08984375" style="203" customWidth="1"/>
    <col min="1034" max="1034" width="52.54296875" style="203" bestFit="1" customWidth="1"/>
    <col min="1035" max="1233" width="9.08984375" style="203" customWidth="1"/>
    <col min="1234" max="1281" width="0.90625" style="203"/>
    <col min="1282" max="1282" width="6.90625" style="203" customWidth="1"/>
    <col min="1283" max="1283" width="100.90625" style="203" customWidth="1"/>
    <col min="1284" max="1284" width="8.6328125" style="203" bestFit="1" customWidth="1"/>
    <col min="1285" max="1285" width="9.6328125" style="203" bestFit="1" customWidth="1"/>
    <col min="1286" max="1288" width="20.36328125" style="203" customWidth="1"/>
    <col min="1289" max="1289" width="24.08984375" style="203" customWidth="1"/>
    <col min="1290" max="1290" width="52.54296875" style="203" bestFit="1" customWidth="1"/>
    <col min="1291" max="1489" width="9.08984375" style="203" customWidth="1"/>
    <col min="1490" max="1537" width="0.90625" style="203"/>
    <col min="1538" max="1538" width="6.90625" style="203" customWidth="1"/>
    <col min="1539" max="1539" width="100.90625" style="203" customWidth="1"/>
    <col min="1540" max="1540" width="8.6328125" style="203" bestFit="1" customWidth="1"/>
    <col min="1541" max="1541" width="9.6328125" style="203" bestFit="1" customWidth="1"/>
    <col min="1542" max="1544" width="20.36328125" style="203" customWidth="1"/>
    <col min="1545" max="1545" width="24.08984375" style="203" customWidth="1"/>
    <col min="1546" max="1546" width="52.54296875" style="203" bestFit="1" customWidth="1"/>
    <col min="1547" max="1745" width="9.08984375" style="203" customWidth="1"/>
    <col min="1746" max="1793" width="0.90625" style="203"/>
    <col min="1794" max="1794" width="6.90625" style="203" customWidth="1"/>
    <col min="1795" max="1795" width="100.90625" style="203" customWidth="1"/>
    <col min="1796" max="1796" width="8.6328125" style="203" bestFit="1" customWidth="1"/>
    <col min="1797" max="1797" width="9.6328125" style="203" bestFit="1" customWidth="1"/>
    <col min="1798" max="1800" width="20.36328125" style="203" customWidth="1"/>
    <col min="1801" max="1801" width="24.08984375" style="203" customWidth="1"/>
    <col min="1802" max="1802" width="52.54296875" style="203" bestFit="1" customWidth="1"/>
    <col min="1803" max="2001" width="9.08984375" style="203" customWidth="1"/>
    <col min="2002" max="2049" width="0.90625" style="203"/>
    <col min="2050" max="2050" width="6.90625" style="203" customWidth="1"/>
    <col min="2051" max="2051" width="100.90625" style="203" customWidth="1"/>
    <col min="2052" max="2052" width="8.6328125" style="203" bestFit="1" customWidth="1"/>
    <col min="2053" max="2053" width="9.6328125" style="203" bestFit="1" customWidth="1"/>
    <col min="2054" max="2056" width="20.36328125" style="203" customWidth="1"/>
    <col min="2057" max="2057" width="24.08984375" style="203" customWidth="1"/>
    <col min="2058" max="2058" width="52.54296875" style="203" bestFit="1" customWidth="1"/>
    <col min="2059" max="2257" width="9.08984375" style="203" customWidth="1"/>
    <col min="2258" max="2305" width="0.90625" style="203"/>
    <col min="2306" max="2306" width="6.90625" style="203" customWidth="1"/>
    <col min="2307" max="2307" width="100.90625" style="203" customWidth="1"/>
    <col min="2308" max="2308" width="8.6328125" style="203" bestFit="1" customWidth="1"/>
    <col min="2309" max="2309" width="9.6328125" style="203" bestFit="1" customWidth="1"/>
    <col min="2310" max="2312" width="20.36328125" style="203" customWidth="1"/>
    <col min="2313" max="2313" width="24.08984375" style="203" customWidth="1"/>
    <col min="2314" max="2314" width="52.54296875" style="203" bestFit="1" customWidth="1"/>
    <col min="2315" max="2513" width="9.08984375" style="203" customWidth="1"/>
    <col min="2514" max="2561" width="0.90625" style="203"/>
    <col min="2562" max="2562" width="6.90625" style="203" customWidth="1"/>
    <col min="2563" max="2563" width="100.90625" style="203" customWidth="1"/>
    <col min="2564" max="2564" width="8.6328125" style="203" bestFit="1" customWidth="1"/>
    <col min="2565" max="2565" width="9.6328125" style="203" bestFit="1" customWidth="1"/>
    <col min="2566" max="2568" width="20.36328125" style="203" customWidth="1"/>
    <col min="2569" max="2569" width="24.08984375" style="203" customWidth="1"/>
    <col min="2570" max="2570" width="52.54296875" style="203" bestFit="1" customWidth="1"/>
    <col min="2571" max="2769" width="9.08984375" style="203" customWidth="1"/>
    <col min="2770" max="2817" width="0.90625" style="203"/>
    <col min="2818" max="2818" width="6.90625" style="203" customWidth="1"/>
    <col min="2819" max="2819" width="100.90625" style="203" customWidth="1"/>
    <col min="2820" max="2820" width="8.6328125" style="203" bestFit="1" customWidth="1"/>
    <col min="2821" max="2821" width="9.6328125" style="203" bestFit="1" customWidth="1"/>
    <col min="2822" max="2824" width="20.36328125" style="203" customWidth="1"/>
    <col min="2825" max="2825" width="24.08984375" style="203" customWidth="1"/>
    <col min="2826" max="2826" width="52.54296875" style="203" bestFit="1" customWidth="1"/>
    <col min="2827" max="3025" width="9.08984375" style="203" customWidth="1"/>
    <col min="3026" max="3073" width="0.90625" style="203"/>
    <col min="3074" max="3074" width="6.90625" style="203" customWidth="1"/>
    <col min="3075" max="3075" width="100.90625" style="203" customWidth="1"/>
    <col min="3076" max="3076" width="8.6328125" style="203" bestFit="1" customWidth="1"/>
    <col min="3077" max="3077" width="9.6328125" style="203" bestFit="1" customWidth="1"/>
    <col min="3078" max="3080" width="20.36328125" style="203" customWidth="1"/>
    <col min="3081" max="3081" width="24.08984375" style="203" customWidth="1"/>
    <col min="3082" max="3082" width="52.54296875" style="203" bestFit="1" customWidth="1"/>
    <col min="3083" max="3281" width="9.08984375" style="203" customWidth="1"/>
    <col min="3282" max="3329" width="0.90625" style="203"/>
    <col min="3330" max="3330" width="6.90625" style="203" customWidth="1"/>
    <col min="3331" max="3331" width="100.90625" style="203" customWidth="1"/>
    <col min="3332" max="3332" width="8.6328125" style="203" bestFit="1" customWidth="1"/>
    <col min="3333" max="3333" width="9.6328125" style="203" bestFit="1" customWidth="1"/>
    <col min="3334" max="3336" width="20.36328125" style="203" customWidth="1"/>
    <col min="3337" max="3337" width="24.08984375" style="203" customWidth="1"/>
    <col min="3338" max="3338" width="52.54296875" style="203" bestFit="1" customWidth="1"/>
    <col min="3339" max="3537" width="9.08984375" style="203" customWidth="1"/>
    <col min="3538" max="3585" width="0.90625" style="203"/>
    <col min="3586" max="3586" width="6.90625" style="203" customWidth="1"/>
    <col min="3587" max="3587" width="100.90625" style="203" customWidth="1"/>
    <col min="3588" max="3588" width="8.6328125" style="203" bestFit="1" customWidth="1"/>
    <col min="3589" max="3589" width="9.6328125" style="203" bestFit="1" customWidth="1"/>
    <col min="3590" max="3592" width="20.36328125" style="203" customWidth="1"/>
    <col min="3593" max="3593" width="24.08984375" style="203" customWidth="1"/>
    <col min="3594" max="3594" width="52.54296875" style="203" bestFit="1" customWidth="1"/>
    <col min="3595" max="3793" width="9.08984375" style="203" customWidth="1"/>
    <col min="3794" max="3841" width="0.90625" style="203"/>
    <col min="3842" max="3842" width="6.90625" style="203" customWidth="1"/>
    <col min="3843" max="3843" width="100.90625" style="203" customWidth="1"/>
    <col min="3844" max="3844" width="8.6328125" style="203" bestFit="1" customWidth="1"/>
    <col min="3845" max="3845" width="9.6328125" style="203" bestFit="1" customWidth="1"/>
    <col min="3846" max="3848" width="20.36328125" style="203" customWidth="1"/>
    <col min="3849" max="3849" width="24.08984375" style="203" customWidth="1"/>
    <col min="3850" max="3850" width="52.54296875" style="203" bestFit="1" customWidth="1"/>
    <col min="3851" max="4049" width="9.08984375" style="203" customWidth="1"/>
    <col min="4050" max="4097" width="0.90625" style="203"/>
    <col min="4098" max="4098" width="6.90625" style="203" customWidth="1"/>
    <col min="4099" max="4099" width="100.90625" style="203" customWidth="1"/>
    <col min="4100" max="4100" width="8.6328125" style="203" bestFit="1" customWidth="1"/>
    <col min="4101" max="4101" width="9.6328125" style="203" bestFit="1" customWidth="1"/>
    <col min="4102" max="4104" width="20.36328125" style="203" customWidth="1"/>
    <col min="4105" max="4105" width="24.08984375" style="203" customWidth="1"/>
    <col min="4106" max="4106" width="52.54296875" style="203" bestFit="1" customWidth="1"/>
    <col min="4107" max="4305" width="9.08984375" style="203" customWidth="1"/>
    <col min="4306" max="4353" width="0.90625" style="203"/>
    <col min="4354" max="4354" width="6.90625" style="203" customWidth="1"/>
    <col min="4355" max="4355" width="100.90625" style="203" customWidth="1"/>
    <col min="4356" max="4356" width="8.6328125" style="203" bestFit="1" customWidth="1"/>
    <col min="4357" max="4357" width="9.6328125" style="203" bestFit="1" customWidth="1"/>
    <col min="4358" max="4360" width="20.36328125" style="203" customWidth="1"/>
    <col min="4361" max="4361" width="24.08984375" style="203" customWidth="1"/>
    <col min="4362" max="4362" width="52.54296875" style="203" bestFit="1" customWidth="1"/>
    <col min="4363" max="4561" width="9.08984375" style="203" customWidth="1"/>
    <col min="4562" max="4609" width="0.90625" style="203"/>
    <col min="4610" max="4610" width="6.90625" style="203" customWidth="1"/>
    <col min="4611" max="4611" width="100.90625" style="203" customWidth="1"/>
    <col min="4612" max="4612" width="8.6328125" style="203" bestFit="1" customWidth="1"/>
    <col min="4613" max="4613" width="9.6328125" style="203" bestFit="1" customWidth="1"/>
    <col min="4614" max="4616" width="20.36328125" style="203" customWidth="1"/>
    <col min="4617" max="4617" width="24.08984375" style="203" customWidth="1"/>
    <col min="4618" max="4618" width="52.54296875" style="203" bestFit="1" customWidth="1"/>
    <col min="4619" max="4817" width="9.08984375" style="203" customWidth="1"/>
    <col min="4818" max="4865" width="0.90625" style="203"/>
    <col min="4866" max="4866" width="6.90625" style="203" customWidth="1"/>
    <col min="4867" max="4867" width="100.90625" style="203" customWidth="1"/>
    <col min="4868" max="4868" width="8.6328125" style="203" bestFit="1" customWidth="1"/>
    <col min="4869" max="4869" width="9.6328125" style="203" bestFit="1" customWidth="1"/>
    <col min="4870" max="4872" width="20.36328125" style="203" customWidth="1"/>
    <col min="4873" max="4873" width="24.08984375" style="203" customWidth="1"/>
    <col min="4874" max="4874" width="52.54296875" style="203" bestFit="1" customWidth="1"/>
    <col min="4875" max="5073" width="9.08984375" style="203" customWidth="1"/>
    <col min="5074" max="5121" width="0.90625" style="203"/>
    <col min="5122" max="5122" width="6.90625" style="203" customWidth="1"/>
    <col min="5123" max="5123" width="100.90625" style="203" customWidth="1"/>
    <col min="5124" max="5124" width="8.6328125" style="203" bestFit="1" customWidth="1"/>
    <col min="5125" max="5125" width="9.6328125" style="203" bestFit="1" customWidth="1"/>
    <col min="5126" max="5128" width="20.36328125" style="203" customWidth="1"/>
    <col min="5129" max="5129" width="24.08984375" style="203" customWidth="1"/>
    <col min="5130" max="5130" width="52.54296875" style="203" bestFit="1" customWidth="1"/>
    <col min="5131" max="5329" width="9.08984375" style="203" customWidth="1"/>
    <col min="5330" max="5377" width="0.90625" style="203"/>
    <col min="5378" max="5378" width="6.90625" style="203" customWidth="1"/>
    <col min="5379" max="5379" width="100.90625" style="203" customWidth="1"/>
    <col min="5380" max="5380" width="8.6328125" style="203" bestFit="1" customWidth="1"/>
    <col min="5381" max="5381" width="9.6328125" style="203" bestFit="1" customWidth="1"/>
    <col min="5382" max="5384" width="20.36328125" style="203" customWidth="1"/>
    <col min="5385" max="5385" width="24.08984375" style="203" customWidth="1"/>
    <col min="5386" max="5386" width="52.54296875" style="203" bestFit="1" customWidth="1"/>
    <col min="5387" max="5585" width="9.08984375" style="203" customWidth="1"/>
    <col min="5586" max="5633" width="0.90625" style="203"/>
    <col min="5634" max="5634" width="6.90625" style="203" customWidth="1"/>
    <col min="5635" max="5635" width="100.90625" style="203" customWidth="1"/>
    <col min="5636" max="5636" width="8.6328125" style="203" bestFit="1" customWidth="1"/>
    <col min="5637" max="5637" width="9.6328125" style="203" bestFit="1" customWidth="1"/>
    <col min="5638" max="5640" width="20.36328125" style="203" customWidth="1"/>
    <col min="5641" max="5641" width="24.08984375" style="203" customWidth="1"/>
    <col min="5642" max="5642" width="52.54296875" style="203" bestFit="1" customWidth="1"/>
    <col min="5643" max="5841" width="9.08984375" style="203" customWidth="1"/>
    <col min="5842" max="5889" width="0.90625" style="203"/>
    <col min="5890" max="5890" width="6.90625" style="203" customWidth="1"/>
    <col min="5891" max="5891" width="100.90625" style="203" customWidth="1"/>
    <col min="5892" max="5892" width="8.6328125" style="203" bestFit="1" customWidth="1"/>
    <col min="5893" max="5893" width="9.6328125" style="203" bestFit="1" customWidth="1"/>
    <col min="5894" max="5896" width="20.36328125" style="203" customWidth="1"/>
    <col min="5897" max="5897" width="24.08984375" style="203" customWidth="1"/>
    <col min="5898" max="5898" width="52.54296875" style="203" bestFit="1" customWidth="1"/>
    <col min="5899" max="6097" width="9.08984375" style="203" customWidth="1"/>
    <col min="6098" max="6145" width="0.90625" style="203"/>
    <col min="6146" max="6146" width="6.90625" style="203" customWidth="1"/>
    <col min="6147" max="6147" width="100.90625" style="203" customWidth="1"/>
    <col min="6148" max="6148" width="8.6328125" style="203" bestFit="1" customWidth="1"/>
    <col min="6149" max="6149" width="9.6328125" style="203" bestFit="1" customWidth="1"/>
    <col min="6150" max="6152" width="20.36328125" style="203" customWidth="1"/>
    <col min="6153" max="6153" width="24.08984375" style="203" customWidth="1"/>
    <col min="6154" max="6154" width="52.54296875" style="203" bestFit="1" customWidth="1"/>
    <col min="6155" max="6353" width="9.08984375" style="203" customWidth="1"/>
    <col min="6354" max="6401" width="0.90625" style="203"/>
    <col min="6402" max="6402" width="6.90625" style="203" customWidth="1"/>
    <col min="6403" max="6403" width="100.90625" style="203" customWidth="1"/>
    <col min="6404" max="6404" width="8.6328125" style="203" bestFit="1" customWidth="1"/>
    <col min="6405" max="6405" width="9.6328125" style="203" bestFit="1" customWidth="1"/>
    <col min="6406" max="6408" width="20.36328125" style="203" customWidth="1"/>
    <col min="6409" max="6409" width="24.08984375" style="203" customWidth="1"/>
    <col min="6410" max="6410" width="52.54296875" style="203" bestFit="1" customWidth="1"/>
    <col min="6411" max="6609" width="9.08984375" style="203" customWidth="1"/>
    <col min="6610" max="6657" width="0.90625" style="203"/>
    <col min="6658" max="6658" width="6.90625" style="203" customWidth="1"/>
    <col min="6659" max="6659" width="100.90625" style="203" customWidth="1"/>
    <col min="6660" max="6660" width="8.6328125" style="203" bestFit="1" customWidth="1"/>
    <col min="6661" max="6661" width="9.6328125" style="203" bestFit="1" customWidth="1"/>
    <col min="6662" max="6664" width="20.36328125" style="203" customWidth="1"/>
    <col min="6665" max="6665" width="24.08984375" style="203" customWidth="1"/>
    <col min="6666" max="6666" width="52.54296875" style="203" bestFit="1" customWidth="1"/>
    <col min="6667" max="6865" width="9.08984375" style="203" customWidth="1"/>
    <col min="6866" max="6913" width="0.90625" style="203"/>
    <col min="6914" max="6914" width="6.90625" style="203" customWidth="1"/>
    <col min="6915" max="6915" width="100.90625" style="203" customWidth="1"/>
    <col min="6916" max="6916" width="8.6328125" style="203" bestFit="1" customWidth="1"/>
    <col min="6917" max="6917" width="9.6328125" style="203" bestFit="1" customWidth="1"/>
    <col min="6918" max="6920" width="20.36328125" style="203" customWidth="1"/>
    <col min="6921" max="6921" width="24.08984375" style="203" customWidth="1"/>
    <col min="6922" max="6922" width="52.54296875" style="203" bestFit="1" customWidth="1"/>
    <col min="6923" max="7121" width="9.08984375" style="203" customWidth="1"/>
    <col min="7122" max="7169" width="0.90625" style="203"/>
    <col min="7170" max="7170" width="6.90625" style="203" customWidth="1"/>
    <col min="7171" max="7171" width="100.90625" style="203" customWidth="1"/>
    <col min="7172" max="7172" width="8.6328125" style="203" bestFit="1" customWidth="1"/>
    <col min="7173" max="7173" width="9.6328125" style="203" bestFit="1" customWidth="1"/>
    <col min="7174" max="7176" width="20.36328125" style="203" customWidth="1"/>
    <col min="7177" max="7177" width="24.08984375" style="203" customWidth="1"/>
    <col min="7178" max="7178" width="52.54296875" style="203" bestFit="1" customWidth="1"/>
    <col min="7179" max="7377" width="9.08984375" style="203" customWidth="1"/>
    <col min="7378" max="7425" width="0.90625" style="203"/>
    <col min="7426" max="7426" width="6.90625" style="203" customWidth="1"/>
    <col min="7427" max="7427" width="100.90625" style="203" customWidth="1"/>
    <col min="7428" max="7428" width="8.6328125" style="203" bestFit="1" customWidth="1"/>
    <col min="7429" max="7429" width="9.6328125" style="203" bestFit="1" customWidth="1"/>
    <col min="7430" max="7432" width="20.36328125" style="203" customWidth="1"/>
    <col min="7433" max="7433" width="24.08984375" style="203" customWidth="1"/>
    <col min="7434" max="7434" width="52.54296875" style="203" bestFit="1" customWidth="1"/>
    <col min="7435" max="7633" width="9.08984375" style="203" customWidth="1"/>
    <col min="7634" max="7681" width="0.90625" style="203"/>
    <col min="7682" max="7682" width="6.90625" style="203" customWidth="1"/>
    <col min="7683" max="7683" width="100.90625" style="203" customWidth="1"/>
    <col min="7684" max="7684" width="8.6328125" style="203" bestFit="1" customWidth="1"/>
    <col min="7685" max="7685" width="9.6328125" style="203" bestFit="1" customWidth="1"/>
    <col min="7686" max="7688" width="20.36328125" style="203" customWidth="1"/>
    <col min="7689" max="7689" width="24.08984375" style="203" customWidth="1"/>
    <col min="7690" max="7690" width="52.54296875" style="203" bestFit="1" customWidth="1"/>
    <col min="7691" max="7889" width="9.08984375" style="203" customWidth="1"/>
    <col min="7890" max="7937" width="0.90625" style="203"/>
    <col min="7938" max="7938" width="6.90625" style="203" customWidth="1"/>
    <col min="7939" max="7939" width="100.90625" style="203" customWidth="1"/>
    <col min="7940" max="7940" width="8.6328125" style="203" bestFit="1" customWidth="1"/>
    <col min="7941" max="7941" width="9.6328125" style="203" bestFit="1" customWidth="1"/>
    <col min="7942" max="7944" width="20.36328125" style="203" customWidth="1"/>
    <col min="7945" max="7945" width="24.08984375" style="203" customWidth="1"/>
    <col min="7946" max="7946" width="52.54296875" style="203" bestFit="1" customWidth="1"/>
    <col min="7947" max="8145" width="9.08984375" style="203" customWidth="1"/>
    <col min="8146" max="8193" width="0.90625" style="203"/>
    <col min="8194" max="8194" width="6.90625" style="203" customWidth="1"/>
    <col min="8195" max="8195" width="100.90625" style="203" customWidth="1"/>
    <col min="8196" max="8196" width="8.6328125" style="203" bestFit="1" customWidth="1"/>
    <col min="8197" max="8197" width="9.6328125" style="203" bestFit="1" customWidth="1"/>
    <col min="8198" max="8200" width="20.36328125" style="203" customWidth="1"/>
    <col min="8201" max="8201" width="24.08984375" style="203" customWidth="1"/>
    <col min="8202" max="8202" width="52.54296875" style="203" bestFit="1" customWidth="1"/>
    <col min="8203" max="8401" width="9.08984375" style="203" customWidth="1"/>
    <col min="8402" max="8449" width="0.90625" style="203"/>
    <col min="8450" max="8450" width="6.90625" style="203" customWidth="1"/>
    <col min="8451" max="8451" width="100.90625" style="203" customWidth="1"/>
    <col min="8452" max="8452" width="8.6328125" style="203" bestFit="1" customWidth="1"/>
    <col min="8453" max="8453" width="9.6328125" style="203" bestFit="1" customWidth="1"/>
    <col min="8454" max="8456" width="20.36328125" style="203" customWidth="1"/>
    <col min="8457" max="8457" width="24.08984375" style="203" customWidth="1"/>
    <col min="8458" max="8458" width="52.54296875" style="203" bestFit="1" customWidth="1"/>
    <col min="8459" max="8657" width="9.08984375" style="203" customWidth="1"/>
    <col min="8658" max="8705" width="0.90625" style="203"/>
    <col min="8706" max="8706" width="6.90625" style="203" customWidth="1"/>
    <col min="8707" max="8707" width="100.90625" style="203" customWidth="1"/>
    <col min="8708" max="8708" width="8.6328125" style="203" bestFit="1" customWidth="1"/>
    <col min="8709" max="8709" width="9.6328125" style="203" bestFit="1" customWidth="1"/>
    <col min="8710" max="8712" width="20.36328125" style="203" customWidth="1"/>
    <col min="8713" max="8713" width="24.08984375" style="203" customWidth="1"/>
    <col min="8714" max="8714" width="52.54296875" style="203" bestFit="1" customWidth="1"/>
    <col min="8715" max="8913" width="9.08984375" style="203" customWidth="1"/>
    <col min="8914" max="8961" width="0.90625" style="203"/>
    <col min="8962" max="8962" width="6.90625" style="203" customWidth="1"/>
    <col min="8963" max="8963" width="100.90625" style="203" customWidth="1"/>
    <col min="8964" max="8964" width="8.6328125" style="203" bestFit="1" customWidth="1"/>
    <col min="8965" max="8965" width="9.6328125" style="203" bestFit="1" customWidth="1"/>
    <col min="8966" max="8968" width="20.36328125" style="203" customWidth="1"/>
    <col min="8969" max="8969" width="24.08984375" style="203" customWidth="1"/>
    <col min="8970" max="8970" width="52.54296875" style="203" bestFit="1" customWidth="1"/>
    <col min="8971" max="9169" width="9.08984375" style="203" customWidth="1"/>
    <col min="9170" max="9217" width="0.90625" style="203"/>
    <col min="9218" max="9218" width="6.90625" style="203" customWidth="1"/>
    <col min="9219" max="9219" width="100.90625" style="203" customWidth="1"/>
    <col min="9220" max="9220" width="8.6328125" style="203" bestFit="1" customWidth="1"/>
    <col min="9221" max="9221" width="9.6328125" style="203" bestFit="1" customWidth="1"/>
    <col min="9222" max="9224" width="20.36328125" style="203" customWidth="1"/>
    <col min="9225" max="9225" width="24.08984375" style="203" customWidth="1"/>
    <col min="9226" max="9226" width="52.54296875" style="203" bestFit="1" customWidth="1"/>
    <col min="9227" max="9425" width="9.08984375" style="203" customWidth="1"/>
    <col min="9426" max="9473" width="0.90625" style="203"/>
    <col min="9474" max="9474" width="6.90625" style="203" customWidth="1"/>
    <col min="9475" max="9475" width="100.90625" style="203" customWidth="1"/>
    <col min="9476" max="9476" width="8.6328125" style="203" bestFit="1" customWidth="1"/>
    <col min="9477" max="9477" width="9.6328125" style="203" bestFit="1" customWidth="1"/>
    <col min="9478" max="9480" width="20.36328125" style="203" customWidth="1"/>
    <col min="9481" max="9481" width="24.08984375" style="203" customWidth="1"/>
    <col min="9482" max="9482" width="52.54296875" style="203" bestFit="1" customWidth="1"/>
    <col min="9483" max="9681" width="9.08984375" style="203" customWidth="1"/>
    <col min="9682" max="9729" width="0.90625" style="203"/>
    <col min="9730" max="9730" width="6.90625" style="203" customWidth="1"/>
    <col min="9731" max="9731" width="100.90625" style="203" customWidth="1"/>
    <col min="9732" max="9732" width="8.6328125" style="203" bestFit="1" customWidth="1"/>
    <col min="9733" max="9733" width="9.6328125" style="203" bestFit="1" customWidth="1"/>
    <col min="9734" max="9736" width="20.36328125" style="203" customWidth="1"/>
    <col min="9737" max="9737" width="24.08984375" style="203" customWidth="1"/>
    <col min="9738" max="9738" width="52.54296875" style="203" bestFit="1" customWidth="1"/>
    <col min="9739" max="9937" width="9.08984375" style="203" customWidth="1"/>
    <col min="9938" max="9985" width="0.90625" style="203"/>
    <col min="9986" max="9986" width="6.90625" style="203" customWidth="1"/>
    <col min="9987" max="9987" width="100.90625" style="203" customWidth="1"/>
    <col min="9988" max="9988" width="8.6328125" style="203" bestFit="1" customWidth="1"/>
    <col min="9989" max="9989" width="9.6328125" style="203" bestFit="1" customWidth="1"/>
    <col min="9990" max="9992" width="20.36328125" style="203" customWidth="1"/>
    <col min="9993" max="9993" width="24.08984375" style="203" customWidth="1"/>
    <col min="9994" max="9994" width="52.54296875" style="203" bestFit="1" customWidth="1"/>
    <col min="9995" max="10193" width="9.08984375" style="203" customWidth="1"/>
    <col min="10194" max="10241" width="0.90625" style="203"/>
    <col min="10242" max="10242" width="6.90625" style="203" customWidth="1"/>
    <col min="10243" max="10243" width="100.90625" style="203" customWidth="1"/>
    <col min="10244" max="10244" width="8.6328125" style="203" bestFit="1" customWidth="1"/>
    <col min="10245" max="10245" width="9.6328125" style="203" bestFit="1" customWidth="1"/>
    <col min="10246" max="10248" width="20.36328125" style="203" customWidth="1"/>
    <col min="10249" max="10249" width="24.08984375" style="203" customWidth="1"/>
    <col min="10250" max="10250" width="52.54296875" style="203" bestFit="1" customWidth="1"/>
    <col min="10251" max="10449" width="9.08984375" style="203" customWidth="1"/>
    <col min="10450" max="10497" width="0.90625" style="203"/>
    <col min="10498" max="10498" width="6.90625" style="203" customWidth="1"/>
    <col min="10499" max="10499" width="100.90625" style="203" customWidth="1"/>
    <col min="10500" max="10500" width="8.6328125" style="203" bestFit="1" customWidth="1"/>
    <col min="10501" max="10501" width="9.6328125" style="203" bestFit="1" customWidth="1"/>
    <col min="10502" max="10504" width="20.36328125" style="203" customWidth="1"/>
    <col min="10505" max="10505" width="24.08984375" style="203" customWidth="1"/>
    <col min="10506" max="10506" width="52.54296875" style="203" bestFit="1" customWidth="1"/>
    <col min="10507" max="10705" width="9.08984375" style="203" customWidth="1"/>
    <col min="10706" max="10753" width="0.90625" style="203"/>
    <col min="10754" max="10754" width="6.90625" style="203" customWidth="1"/>
    <col min="10755" max="10755" width="100.90625" style="203" customWidth="1"/>
    <col min="10756" max="10756" width="8.6328125" style="203" bestFit="1" customWidth="1"/>
    <col min="10757" max="10757" width="9.6328125" style="203" bestFit="1" customWidth="1"/>
    <col min="10758" max="10760" width="20.36328125" style="203" customWidth="1"/>
    <col min="10761" max="10761" width="24.08984375" style="203" customWidth="1"/>
    <col min="10762" max="10762" width="52.54296875" style="203" bestFit="1" customWidth="1"/>
    <col min="10763" max="10961" width="9.08984375" style="203" customWidth="1"/>
    <col min="10962" max="11009" width="0.90625" style="203"/>
    <col min="11010" max="11010" width="6.90625" style="203" customWidth="1"/>
    <col min="11011" max="11011" width="100.90625" style="203" customWidth="1"/>
    <col min="11012" max="11012" width="8.6328125" style="203" bestFit="1" customWidth="1"/>
    <col min="11013" max="11013" width="9.6328125" style="203" bestFit="1" customWidth="1"/>
    <col min="11014" max="11016" width="20.36328125" style="203" customWidth="1"/>
    <col min="11017" max="11017" width="24.08984375" style="203" customWidth="1"/>
    <col min="11018" max="11018" width="52.54296875" style="203" bestFit="1" customWidth="1"/>
    <col min="11019" max="11217" width="9.08984375" style="203" customWidth="1"/>
    <col min="11218" max="11265" width="0.90625" style="203"/>
    <col min="11266" max="11266" width="6.90625" style="203" customWidth="1"/>
    <col min="11267" max="11267" width="100.90625" style="203" customWidth="1"/>
    <col min="11268" max="11268" width="8.6328125" style="203" bestFit="1" customWidth="1"/>
    <col min="11269" max="11269" width="9.6328125" style="203" bestFit="1" customWidth="1"/>
    <col min="11270" max="11272" width="20.36328125" style="203" customWidth="1"/>
    <col min="11273" max="11273" width="24.08984375" style="203" customWidth="1"/>
    <col min="11274" max="11274" width="52.54296875" style="203" bestFit="1" customWidth="1"/>
    <col min="11275" max="11473" width="9.08984375" style="203" customWidth="1"/>
    <col min="11474" max="11521" width="0.90625" style="203"/>
    <col min="11522" max="11522" width="6.90625" style="203" customWidth="1"/>
    <col min="11523" max="11523" width="100.90625" style="203" customWidth="1"/>
    <col min="11524" max="11524" width="8.6328125" style="203" bestFit="1" customWidth="1"/>
    <col min="11525" max="11525" width="9.6328125" style="203" bestFit="1" customWidth="1"/>
    <col min="11526" max="11528" width="20.36328125" style="203" customWidth="1"/>
    <col min="11529" max="11529" width="24.08984375" style="203" customWidth="1"/>
    <col min="11530" max="11530" width="52.54296875" style="203" bestFit="1" customWidth="1"/>
    <col min="11531" max="11729" width="9.08984375" style="203" customWidth="1"/>
    <col min="11730" max="11777" width="0.90625" style="203"/>
    <col min="11778" max="11778" width="6.90625" style="203" customWidth="1"/>
    <col min="11779" max="11779" width="100.90625" style="203" customWidth="1"/>
    <col min="11780" max="11780" width="8.6328125" style="203" bestFit="1" customWidth="1"/>
    <col min="11781" max="11781" width="9.6328125" style="203" bestFit="1" customWidth="1"/>
    <col min="11782" max="11784" width="20.36328125" style="203" customWidth="1"/>
    <col min="11785" max="11785" width="24.08984375" style="203" customWidth="1"/>
    <col min="11786" max="11786" width="52.54296875" style="203" bestFit="1" customWidth="1"/>
    <col min="11787" max="11985" width="9.08984375" style="203" customWidth="1"/>
    <col min="11986" max="12033" width="0.90625" style="203"/>
    <col min="12034" max="12034" width="6.90625" style="203" customWidth="1"/>
    <col min="12035" max="12035" width="100.90625" style="203" customWidth="1"/>
    <col min="12036" max="12036" width="8.6328125" style="203" bestFit="1" customWidth="1"/>
    <col min="12037" max="12037" width="9.6328125" style="203" bestFit="1" customWidth="1"/>
    <col min="12038" max="12040" width="20.36328125" style="203" customWidth="1"/>
    <col min="12041" max="12041" width="24.08984375" style="203" customWidth="1"/>
    <col min="12042" max="12042" width="52.54296875" style="203" bestFit="1" customWidth="1"/>
    <col min="12043" max="12241" width="9.08984375" style="203" customWidth="1"/>
    <col min="12242" max="12289" width="0.90625" style="203"/>
    <col min="12290" max="12290" width="6.90625" style="203" customWidth="1"/>
    <col min="12291" max="12291" width="100.90625" style="203" customWidth="1"/>
    <col min="12292" max="12292" width="8.6328125" style="203" bestFit="1" customWidth="1"/>
    <col min="12293" max="12293" width="9.6328125" style="203" bestFit="1" customWidth="1"/>
    <col min="12294" max="12296" width="20.36328125" style="203" customWidth="1"/>
    <col min="12297" max="12297" width="24.08984375" style="203" customWidth="1"/>
    <col min="12298" max="12298" width="52.54296875" style="203" bestFit="1" customWidth="1"/>
    <col min="12299" max="12497" width="9.08984375" style="203" customWidth="1"/>
    <col min="12498" max="12545" width="0.90625" style="203"/>
    <col min="12546" max="12546" width="6.90625" style="203" customWidth="1"/>
    <col min="12547" max="12547" width="100.90625" style="203" customWidth="1"/>
    <col min="12548" max="12548" width="8.6328125" style="203" bestFit="1" customWidth="1"/>
    <col min="12549" max="12549" width="9.6328125" style="203" bestFit="1" customWidth="1"/>
    <col min="12550" max="12552" width="20.36328125" style="203" customWidth="1"/>
    <col min="12553" max="12553" width="24.08984375" style="203" customWidth="1"/>
    <col min="12554" max="12554" width="52.54296875" style="203" bestFit="1" customWidth="1"/>
    <col min="12555" max="12753" width="9.08984375" style="203" customWidth="1"/>
    <col min="12754" max="12801" width="0.90625" style="203"/>
    <col min="12802" max="12802" width="6.90625" style="203" customWidth="1"/>
    <col min="12803" max="12803" width="100.90625" style="203" customWidth="1"/>
    <col min="12804" max="12804" width="8.6328125" style="203" bestFit="1" customWidth="1"/>
    <col min="12805" max="12805" width="9.6328125" style="203" bestFit="1" customWidth="1"/>
    <col min="12806" max="12808" width="20.36328125" style="203" customWidth="1"/>
    <col min="12809" max="12809" width="24.08984375" style="203" customWidth="1"/>
    <col min="12810" max="12810" width="52.54296875" style="203" bestFit="1" customWidth="1"/>
    <col min="12811" max="13009" width="9.08984375" style="203" customWidth="1"/>
    <col min="13010" max="13057" width="0.90625" style="203"/>
    <col min="13058" max="13058" width="6.90625" style="203" customWidth="1"/>
    <col min="13059" max="13059" width="100.90625" style="203" customWidth="1"/>
    <col min="13060" max="13060" width="8.6328125" style="203" bestFit="1" customWidth="1"/>
    <col min="13061" max="13061" width="9.6328125" style="203" bestFit="1" customWidth="1"/>
    <col min="13062" max="13064" width="20.36328125" style="203" customWidth="1"/>
    <col min="13065" max="13065" width="24.08984375" style="203" customWidth="1"/>
    <col min="13066" max="13066" width="52.54296875" style="203" bestFit="1" customWidth="1"/>
    <col min="13067" max="13265" width="9.08984375" style="203" customWidth="1"/>
    <col min="13266" max="13313" width="0.90625" style="203"/>
    <col min="13314" max="13314" width="6.90625" style="203" customWidth="1"/>
    <col min="13315" max="13315" width="100.90625" style="203" customWidth="1"/>
    <col min="13316" max="13316" width="8.6328125" style="203" bestFit="1" customWidth="1"/>
    <col min="13317" max="13317" width="9.6328125" style="203" bestFit="1" customWidth="1"/>
    <col min="13318" max="13320" width="20.36328125" style="203" customWidth="1"/>
    <col min="13321" max="13321" width="24.08984375" style="203" customWidth="1"/>
    <col min="13322" max="13322" width="52.54296875" style="203" bestFit="1" customWidth="1"/>
    <col min="13323" max="13521" width="9.08984375" style="203" customWidth="1"/>
    <col min="13522" max="13569" width="0.90625" style="203"/>
    <col min="13570" max="13570" width="6.90625" style="203" customWidth="1"/>
    <col min="13571" max="13571" width="100.90625" style="203" customWidth="1"/>
    <col min="13572" max="13572" width="8.6328125" style="203" bestFit="1" customWidth="1"/>
    <col min="13573" max="13573" width="9.6328125" style="203" bestFit="1" customWidth="1"/>
    <col min="13574" max="13576" width="20.36328125" style="203" customWidth="1"/>
    <col min="13577" max="13577" width="24.08984375" style="203" customWidth="1"/>
    <col min="13578" max="13578" width="52.54296875" style="203" bestFit="1" customWidth="1"/>
    <col min="13579" max="13777" width="9.08984375" style="203" customWidth="1"/>
    <col min="13778" max="13825" width="0.90625" style="203"/>
    <col min="13826" max="13826" width="6.90625" style="203" customWidth="1"/>
    <col min="13827" max="13827" width="100.90625" style="203" customWidth="1"/>
    <col min="13828" max="13828" width="8.6328125" style="203" bestFit="1" customWidth="1"/>
    <col min="13829" max="13829" width="9.6328125" style="203" bestFit="1" customWidth="1"/>
    <col min="13830" max="13832" width="20.36328125" style="203" customWidth="1"/>
    <col min="13833" max="13833" width="24.08984375" style="203" customWidth="1"/>
    <col min="13834" max="13834" width="52.54296875" style="203" bestFit="1" customWidth="1"/>
    <col min="13835" max="14033" width="9.08984375" style="203" customWidth="1"/>
    <col min="14034" max="14081" width="0.90625" style="203"/>
    <col min="14082" max="14082" width="6.90625" style="203" customWidth="1"/>
    <col min="14083" max="14083" width="100.90625" style="203" customWidth="1"/>
    <col min="14084" max="14084" width="8.6328125" style="203" bestFit="1" customWidth="1"/>
    <col min="14085" max="14085" width="9.6328125" style="203" bestFit="1" customWidth="1"/>
    <col min="14086" max="14088" width="20.36328125" style="203" customWidth="1"/>
    <col min="14089" max="14089" width="24.08984375" style="203" customWidth="1"/>
    <col min="14090" max="14090" width="52.54296875" style="203" bestFit="1" customWidth="1"/>
    <col min="14091" max="14289" width="9.08984375" style="203" customWidth="1"/>
    <col min="14290" max="14337" width="0.90625" style="203"/>
    <col min="14338" max="14338" width="6.90625" style="203" customWidth="1"/>
    <col min="14339" max="14339" width="100.90625" style="203" customWidth="1"/>
    <col min="14340" max="14340" width="8.6328125" style="203" bestFit="1" customWidth="1"/>
    <col min="14341" max="14341" width="9.6328125" style="203" bestFit="1" customWidth="1"/>
    <col min="14342" max="14344" width="20.36328125" style="203" customWidth="1"/>
    <col min="14345" max="14345" width="24.08984375" style="203" customWidth="1"/>
    <col min="14346" max="14346" width="52.54296875" style="203" bestFit="1" customWidth="1"/>
    <col min="14347" max="14545" width="9.08984375" style="203" customWidth="1"/>
    <col min="14546" max="14593" width="0.90625" style="203"/>
    <col min="14594" max="14594" width="6.90625" style="203" customWidth="1"/>
    <col min="14595" max="14595" width="100.90625" style="203" customWidth="1"/>
    <col min="14596" max="14596" width="8.6328125" style="203" bestFit="1" customWidth="1"/>
    <col min="14597" max="14597" width="9.6328125" style="203" bestFit="1" customWidth="1"/>
    <col min="14598" max="14600" width="20.36328125" style="203" customWidth="1"/>
    <col min="14601" max="14601" width="24.08984375" style="203" customWidth="1"/>
    <col min="14602" max="14602" width="52.54296875" style="203" bestFit="1" customWidth="1"/>
    <col min="14603" max="14801" width="9.08984375" style="203" customWidth="1"/>
    <col min="14802" max="14849" width="0.90625" style="203"/>
    <col min="14850" max="14850" width="6.90625" style="203" customWidth="1"/>
    <col min="14851" max="14851" width="100.90625" style="203" customWidth="1"/>
    <col min="14852" max="14852" width="8.6328125" style="203" bestFit="1" customWidth="1"/>
    <col min="14853" max="14853" width="9.6328125" style="203" bestFit="1" customWidth="1"/>
    <col min="14854" max="14856" width="20.36328125" style="203" customWidth="1"/>
    <col min="14857" max="14857" width="24.08984375" style="203" customWidth="1"/>
    <col min="14858" max="14858" width="52.54296875" style="203" bestFit="1" customWidth="1"/>
    <col min="14859" max="15057" width="9.08984375" style="203" customWidth="1"/>
    <col min="15058" max="15105" width="0.90625" style="203"/>
    <col min="15106" max="15106" width="6.90625" style="203" customWidth="1"/>
    <col min="15107" max="15107" width="100.90625" style="203" customWidth="1"/>
    <col min="15108" max="15108" width="8.6328125" style="203" bestFit="1" customWidth="1"/>
    <col min="15109" max="15109" width="9.6328125" style="203" bestFit="1" customWidth="1"/>
    <col min="15110" max="15112" width="20.36328125" style="203" customWidth="1"/>
    <col min="15113" max="15113" width="24.08984375" style="203" customWidth="1"/>
    <col min="15114" max="15114" width="52.54296875" style="203" bestFit="1" customWidth="1"/>
    <col min="15115" max="15313" width="9.08984375" style="203" customWidth="1"/>
    <col min="15314" max="15361" width="0.90625" style="203"/>
    <col min="15362" max="15362" width="6.90625" style="203" customWidth="1"/>
    <col min="15363" max="15363" width="100.90625" style="203" customWidth="1"/>
    <col min="15364" max="15364" width="8.6328125" style="203" bestFit="1" customWidth="1"/>
    <col min="15365" max="15365" width="9.6328125" style="203" bestFit="1" customWidth="1"/>
    <col min="15366" max="15368" width="20.36328125" style="203" customWidth="1"/>
    <col min="15369" max="15369" width="24.08984375" style="203" customWidth="1"/>
    <col min="15370" max="15370" width="52.54296875" style="203" bestFit="1" customWidth="1"/>
    <col min="15371" max="15569" width="9.08984375" style="203" customWidth="1"/>
    <col min="15570" max="15617" width="0.90625" style="203"/>
    <col min="15618" max="15618" width="6.90625" style="203" customWidth="1"/>
    <col min="15619" max="15619" width="100.90625" style="203" customWidth="1"/>
    <col min="15620" max="15620" width="8.6328125" style="203" bestFit="1" customWidth="1"/>
    <col min="15621" max="15621" width="9.6328125" style="203" bestFit="1" customWidth="1"/>
    <col min="15622" max="15624" width="20.36328125" style="203" customWidth="1"/>
    <col min="15625" max="15625" width="24.08984375" style="203" customWidth="1"/>
    <col min="15626" max="15626" width="52.54296875" style="203" bestFit="1" customWidth="1"/>
    <col min="15627" max="15825" width="9.08984375" style="203" customWidth="1"/>
    <col min="15826" max="15873" width="0.90625" style="203"/>
    <col min="15874" max="15874" width="6.90625" style="203" customWidth="1"/>
    <col min="15875" max="15875" width="100.90625" style="203" customWidth="1"/>
    <col min="15876" max="15876" width="8.6328125" style="203" bestFit="1" customWidth="1"/>
    <col min="15877" max="15877" width="9.6328125" style="203" bestFit="1" customWidth="1"/>
    <col min="15878" max="15880" width="20.36328125" style="203" customWidth="1"/>
    <col min="15881" max="15881" width="24.08984375" style="203" customWidth="1"/>
    <col min="15882" max="15882" width="52.54296875" style="203" bestFit="1" customWidth="1"/>
    <col min="15883" max="16081" width="9.08984375" style="203" customWidth="1"/>
    <col min="16082" max="16129" width="0.90625" style="203"/>
    <col min="16130" max="16130" width="6.90625" style="203" customWidth="1"/>
    <col min="16131" max="16131" width="100.90625" style="203" customWidth="1"/>
    <col min="16132" max="16132" width="8.6328125" style="203" bestFit="1" customWidth="1"/>
    <col min="16133" max="16133" width="9.6328125" style="203" bestFit="1" customWidth="1"/>
    <col min="16134" max="16136" width="20.36328125" style="203" customWidth="1"/>
    <col min="16137" max="16137" width="24.08984375" style="203" customWidth="1"/>
    <col min="16138" max="16138" width="52.54296875" style="203" bestFit="1" customWidth="1"/>
    <col min="16139" max="16337" width="9.08984375" style="203" customWidth="1"/>
    <col min="16338" max="16384" width="0.90625" style="203"/>
  </cols>
  <sheetData>
    <row r="1" spans="2:10" ht="19.5" x14ac:dyDescent="0.35">
      <c r="B1" s="330" t="s">
        <v>228</v>
      </c>
      <c r="C1" s="330"/>
      <c r="D1" s="330"/>
      <c r="E1" s="330"/>
      <c r="F1" s="330"/>
      <c r="G1" s="330"/>
      <c r="H1" s="201"/>
      <c r="J1" s="201"/>
    </row>
    <row r="2" spans="2:10" x14ac:dyDescent="0.35">
      <c r="B2" s="331" t="s">
        <v>229</v>
      </c>
      <c r="C2" s="331"/>
      <c r="D2" s="331"/>
      <c r="E2" s="331"/>
      <c r="F2" s="331"/>
      <c r="G2" s="331"/>
      <c r="H2" s="201"/>
      <c r="J2" s="201"/>
    </row>
    <row r="3" spans="2:10" x14ac:dyDescent="0.35">
      <c r="B3" s="204" t="s">
        <v>230</v>
      </c>
      <c r="C3" s="205"/>
      <c r="D3" s="206"/>
      <c r="E3" s="206"/>
      <c r="F3" s="206"/>
      <c r="G3" s="206"/>
      <c r="H3" s="201"/>
      <c r="J3" s="201"/>
    </row>
    <row r="4" spans="2:10" ht="16.5" customHeight="1" x14ac:dyDescent="0.35">
      <c r="B4" s="207"/>
      <c r="C4" s="208"/>
      <c r="D4" s="209"/>
      <c r="E4" s="209"/>
      <c r="F4" s="209"/>
      <c r="G4" s="209"/>
      <c r="H4" s="201"/>
      <c r="J4" s="201"/>
    </row>
    <row r="5" spans="2:10" ht="58.5" customHeight="1" x14ac:dyDescent="0.35">
      <c r="B5" s="210" t="s">
        <v>231</v>
      </c>
      <c r="C5" s="210" t="s">
        <v>232</v>
      </c>
      <c r="D5" s="210" t="s">
        <v>233</v>
      </c>
      <c r="E5" s="210" t="s">
        <v>234</v>
      </c>
      <c r="F5" s="210" t="s">
        <v>235</v>
      </c>
      <c r="G5" s="210" t="s">
        <v>236</v>
      </c>
      <c r="H5" s="210" t="s">
        <v>237</v>
      </c>
      <c r="I5" s="211" t="s">
        <v>238</v>
      </c>
      <c r="J5" s="210" t="s">
        <v>239</v>
      </c>
    </row>
    <row r="6" spans="2:10" s="218" customFormat="1" ht="21" customHeight="1" x14ac:dyDescent="0.3">
      <c r="B6" s="212" t="s">
        <v>240</v>
      </c>
      <c r="C6" s="213" t="s">
        <v>241</v>
      </c>
      <c r="D6" s="212"/>
      <c r="E6" s="214"/>
      <c r="F6" s="215"/>
      <c r="G6" s="215"/>
      <c r="H6" s="212"/>
      <c r="I6" s="216"/>
      <c r="J6" s="217"/>
    </row>
    <row r="7" spans="2:10" s="201" customFormat="1" ht="13" x14ac:dyDescent="0.35">
      <c r="B7" s="219" t="s">
        <v>242</v>
      </c>
      <c r="C7" s="220" t="s">
        <v>243</v>
      </c>
      <c r="D7" s="221"/>
      <c r="E7" s="221"/>
      <c r="F7" s="221"/>
      <c r="G7" s="221"/>
      <c r="H7" s="221"/>
      <c r="I7" s="222"/>
      <c r="J7" s="223"/>
    </row>
    <row r="8" spans="2:10" s="231" customFormat="1" ht="13" x14ac:dyDescent="0.35">
      <c r="B8" s="224">
        <v>1</v>
      </c>
      <c r="C8" s="225" t="s">
        <v>244</v>
      </c>
      <c r="D8" s="226" t="s">
        <v>245</v>
      </c>
      <c r="E8" s="227">
        <v>19</v>
      </c>
      <c r="F8" s="228">
        <v>235000</v>
      </c>
      <c r="G8" s="228">
        <v>20000</v>
      </c>
      <c r="H8" s="229">
        <f>F8+G8</f>
        <v>255000</v>
      </c>
      <c r="I8" s="229">
        <f>E8*H8</f>
        <v>4845000</v>
      </c>
      <c r="J8" s="230"/>
    </row>
    <row r="9" spans="2:10" s="201" customFormat="1" ht="13" x14ac:dyDescent="0.35">
      <c r="B9" s="219" t="s">
        <v>246</v>
      </c>
      <c r="C9" s="232" t="s">
        <v>247</v>
      </c>
      <c r="D9" s="221"/>
      <c r="E9" s="233"/>
      <c r="F9" s="234"/>
      <c r="G9" s="235"/>
      <c r="H9" s="236"/>
      <c r="I9" s="222"/>
      <c r="J9" s="223"/>
    </row>
    <row r="10" spans="2:10" s="231" customFormat="1" ht="15.75" customHeight="1" x14ac:dyDescent="0.35">
      <c r="B10" s="224">
        <v>1</v>
      </c>
      <c r="C10" s="225" t="s">
        <v>248</v>
      </c>
      <c r="D10" s="226" t="s">
        <v>245</v>
      </c>
      <c r="E10" s="227">
        <v>23</v>
      </c>
      <c r="F10" s="228">
        <v>290000</v>
      </c>
      <c r="G10" s="228">
        <v>20000</v>
      </c>
      <c r="H10" s="229">
        <f t="shared" ref="H10:H12" si="0">F10+G10</f>
        <v>310000</v>
      </c>
      <c r="I10" s="229">
        <f>E10*H10</f>
        <v>7130000</v>
      </c>
      <c r="J10" s="237"/>
    </row>
    <row r="11" spans="2:10" s="231" customFormat="1" ht="13" x14ac:dyDescent="0.35">
      <c r="B11" s="224">
        <v>2</v>
      </c>
      <c r="C11" s="225" t="s">
        <v>249</v>
      </c>
      <c r="D11" s="226" t="s">
        <v>245</v>
      </c>
      <c r="E11" s="227">
        <v>28</v>
      </c>
      <c r="F11" s="228">
        <v>300000</v>
      </c>
      <c r="G11" s="228">
        <v>20000</v>
      </c>
      <c r="H11" s="229">
        <f t="shared" si="0"/>
        <v>320000</v>
      </c>
      <c r="I11" s="229">
        <f>E11*H11</f>
        <v>8960000</v>
      </c>
      <c r="J11" s="237"/>
    </row>
    <row r="12" spans="2:10" s="231" customFormat="1" ht="13" x14ac:dyDescent="0.35">
      <c r="B12" s="224">
        <v>3</v>
      </c>
      <c r="C12" s="225" t="s">
        <v>250</v>
      </c>
      <c r="D12" s="226" t="s">
        <v>245</v>
      </c>
      <c r="E12" s="227">
        <v>18</v>
      </c>
      <c r="F12" s="228">
        <v>340000</v>
      </c>
      <c r="G12" s="228">
        <v>20000</v>
      </c>
      <c r="H12" s="229">
        <f t="shared" si="0"/>
        <v>360000</v>
      </c>
      <c r="I12" s="229">
        <f>E12*H12</f>
        <v>6480000</v>
      </c>
      <c r="J12" s="237"/>
    </row>
    <row r="13" spans="2:10" s="201" customFormat="1" ht="13" x14ac:dyDescent="0.35">
      <c r="B13" s="219" t="s">
        <v>251</v>
      </c>
      <c r="C13" s="232" t="s">
        <v>252</v>
      </c>
      <c r="D13" s="221"/>
      <c r="E13" s="233"/>
      <c r="F13" s="234"/>
      <c r="G13" s="238"/>
      <c r="H13" s="236"/>
      <c r="I13" s="222"/>
      <c r="J13" s="223"/>
    </row>
    <row r="14" spans="2:10" s="231" customFormat="1" ht="26" x14ac:dyDescent="0.35">
      <c r="B14" s="224">
        <v>1</v>
      </c>
      <c r="C14" s="225" t="s">
        <v>253</v>
      </c>
      <c r="D14" s="226" t="s">
        <v>245</v>
      </c>
      <c r="E14" s="227">
        <v>6</v>
      </c>
      <c r="F14" s="228">
        <v>8500000</v>
      </c>
      <c r="G14" s="228">
        <v>20000</v>
      </c>
      <c r="H14" s="229">
        <f t="shared" ref="H14:H15" si="1">F14+G14</f>
        <v>8520000</v>
      </c>
      <c r="I14" s="229">
        <f>E14*H14</f>
        <v>51120000</v>
      </c>
      <c r="J14" s="237" t="s">
        <v>254</v>
      </c>
    </row>
    <row r="15" spans="2:10" s="231" customFormat="1" ht="13" x14ac:dyDescent="0.35">
      <c r="B15" s="224">
        <v>2</v>
      </c>
      <c r="C15" s="225" t="s">
        <v>255</v>
      </c>
      <c r="D15" s="226" t="s">
        <v>245</v>
      </c>
      <c r="E15" s="227">
        <v>1</v>
      </c>
      <c r="F15" s="228">
        <v>6000000</v>
      </c>
      <c r="G15" s="228">
        <v>20000</v>
      </c>
      <c r="H15" s="229">
        <f t="shared" si="1"/>
        <v>6020000</v>
      </c>
      <c r="I15" s="229">
        <f>E15*H15</f>
        <v>6020000</v>
      </c>
      <c r="J15" s="237" t="s">
        <v>256</v>
      </c>
    </row>
    <row r="16" spans="2:10" s="201" customFormat="1" ht="13" x14ac:dyDescent="0.35">
      <c r="B16" s="219" t="s">
        <v>257</v>
      </c>
      <c r="C16" s="232" t="s">
        <v>258</v>
      </c>
      <c r="D16" s="221"/>
      <c r="E16" s="233"/>
      <c r="F16" s="234"/>
      <c r="G16" s="238"/>
      <c r="H16" s="236"/>
      <c r="I16" s="222"/>
      <c r="J16" s="223"/>
    </row>
    <row r="17" spans="2:10" s="231" customFormat="1" ht="13" x14ac:dyDescent="0.35">
      <c r="B17" s="224">
        <v>1</v>
      </c>
      <c r="C17" s="239" t="s">
        <v>259</v>
      </c>
      <c r="D17" s="226" t="s">
        <v>245</v>
      </c>
      <c r="E17" s="227">
        <v>16</v>
      </c>
      <c r="F17" s="228">
        <v>67200</v>
      </c>
      <c r="G17" s="228">
        <v>20000</v>
      </c>
      <c r="H17" s="229">
        <f t="shared" ref="H17:H19" si="2">F17+G17</f>
        <v>87200</v>
      </c>
      <c r="I17" s="229">
        <f t="shared" ref="I17:I24" si="3">E17*H17</f>
        <v>1395200</v>
      </c>
      <c r="J17" s="237"/>
    </row>
    <row r="18" spans="2:10" s="231" customFormat="1" ht="13" x14ac:dyDescent="0.35">
      <c r="B18" s="224">
        <v>2</v>
      </c>
      <c r="C18" s="239" t="s">
        <v>260</v>
      </c>
      <c r="D18" s="226" t="s">
        <v>245</v>
      </c>
      <c r="E18" s="227">
        <v>86</v>
      </c>
      <c r="F18" s="228">
        <v>103950</v>
      </c>
      <c r="G18" s="228">
        <v>20000</v>
      </c>
      <c r="H18" s="229">
        <f t="shared" si="2"/>
        <v>123950</v>
      </c>
      <c r="I18" s="229">
        <f t="shared" si="3"/>
        <v>10659700</v>
      </c>
      <c r="J18" s="237"/>
    </row>
    <row r="19" spans="2:10" s="231" customFormat="1" ht="13" x14ac:dyDescent="0.35">
      <c r="B19" s="224">
        <v>3</v>
      </c>
      <c r="C19" s="239" t="s">
        <v>261</v>
      </c>
      <c r="D19" s="226" t="s">
        <v>245</v>
      </c>
      <c r="E19" s="227">
        <v>8</v>
      </c>
      <c r="F19" s="228">
        <v>210000</v>
      </c>
      <c r="G19" s="228">
        <v>20000</v>
      </c>
      <c r="H19" s="229">
        <f t="shared" si="2"/>
        <v>230000</v>
      </c>
      <c r="I19" s="229">
        <f t="shared" si="3"/>
        <v>1840000</v>
      </c>
      <c r="J19" s="237"/>
    </row>
    <row r="20" spans="2:10" s="201" customFormat="1" ht="13" x14ac:dyDescent="0.35">
      <c r="B20" s="219" t="s">
        <v>262</v>
      </c>
      <c r="C20" s="232" t="s">
        <v>263</v>
      </c>
      <c r="D20" s="221"/>
      <c r="E20" s="233"/>
      <c r="F20" s="234"/>
      <c r="G20" s="238"/>
      <c r="H20" s="236"/>
      <c r="I20" s="222"/>
      <c r="J20" s="223"/>
    </row>
    <row r="21" spans="2:10" s="231" customFormat="1" ht="13" x14ac:dyDescent="0.35">
      <c r="B21" s="224">
        <v>1</v>
      </c>
      <c r="C21" s="239" t="s">
        <v>264</v>
      </c>
      <c r="D21" s="226" t="s">
        <v>245</v>
      </c>
      <c r="E21" s="227">
        <v>21</v>
      </c>
      <c r="F21" s="228">
        <v>110000</v>
      </c>
      <c r="G21" s="228">
        <v>20000</v>
      </c>
      <c r="H21" s="229">
        <f t="shared" ref="H21:H22" si="4">F21+G21</f>
        <v>130000</v>
      </c>
      <c r="I21" s="229">
        <f t="shared" si="3"/>
        <v>2730000</v>
      </c>
      <c r="J21" s="237"/>
    </row>
    <row r="22" spans="2:10" s="231" customFormat="1" ht="13" x14ac:dyDescent="0.35">
      <c r="B22" s="224">
        <v>2</v>
      </c>
      <c r="C22" s="239" t="s">
        <v>265</v>
      </c>
      <c r="D22" s="226" t="s">
        <v>245</v>
      </c>
      <c r="E22" s="227">
        <v>7</v>
      </c>
      <c r="F22" s="228">
        <v>200000</v>
      </c>
      <c r="G22" s="228">
        <v>20000</v>
      </c>
      <c r="H22" s="229">
        <f t="shared" si="4"/>
        <v>220000</v>
      </c>
      <c r="I22" s="229">
        <f t="shared" si="3"/>
        <v>1540000</v>
      </c>
      <c r="J22" s="237"/>
    </row>
    <row r="23" spans="2:10" s="201" customFormat="1" ht="13" x14ac:dyDescent="0.35">
      <c r="B23" s="240" t="s">
        <v>266</v>
      </c>
      <c r="C23" s="220" t="s">
        <v>267</v>
      </c>
      <c r="D23" s="221"/>
      <c r="E23" s="241"/>
      <c r="F23" s="242"/>
      <c r="G23" s="242"/>
      <c r="H23" s="236"/>
      <c r="I23" s="222"/>
      <c r="J23" s="223"/>
    </row>
    <row r="24" spans="2:10" s="231" customFormat="1" ht="13" x14ac:dyDescent="0.35">
      <c r="B24" s="243">
        <v>1</v>
      </c>
      <c r="C24" s="244" t="s">
        <v>268</v>
      </c>
      <c r="D24" s="226" t="s">
        <v>269</v>
      </c>
      <c r="E24" s="227">
        <v>149</v>
      </c>
      <c r="F24" s="228">
        <v>29000</v>
      </c>
      <c r="G24" s="245">
        <v>16000</v>
      </c>
      <c r="H24" s="229">
        <f t="shared" ref="H24:H26" si="5">F24+G24</f>
        <v>45000</v>
      </c>
      <c r="I24" s="229">
        <f t="shared" si="3"/>
        <v>6705000</v>
      </c>
      <c r="J24" s="237"/>
    </row>
    <row r="25" spans="2:10" s="231" customFormat="1" ht="13" x14ac:dyDescent="0.35">
      <c r="B25" s="243">
        <v>2</v>
      </c>
      <c r="C25" s="244" t="s">
        <v>270</v>
      </c>
      <c r="D25" s="226" t="s">
        <v>269</v>
      </c>
      <c r="E25" s="227">
        <v>1759</v>
      </c>
      <c r="F25" s="228">
        <v>65000</v>
      </c>
      <c r="G25" s="245">
        <v>18000</v>
      </c>
      <c r="H25" s="229">
        <f t="shared" si="5"/>
        <v>83000</v>
      </c>
      <c r="I25" s="229">
        <f>E25*H25</f>
        <v>145997000</v>
      </c>
      <c r="J25" s="237"/>
    </row>
    <row r="26" spans="2:10" s="231" customFormat="1" ht="13" x14ac:dyDescent="0.35">
      <c r="B26" s="243">
        <v>3</v>
      </c>
      <c r="C26" s="244" t="s">
        <v>271</v>
      </c>
      <c r="D26" s="226" t="s">
        <v>269</v>
      </c>
      <c r="E26" s="227">
        <v>356</v>
      </c>
      <c r="F26" s="228">
        <v>145000</v>
      </c>
      <c r="G26" s="245">
        <v>16500</v>
      </c>
      <c r="H26" s="229">
        <f t="shared" si="5"/>
        <v>161500</v>
      </c>
      <c r="I26" s="229">
        <f>E26*H26</f>
        <v>57494000</v>
      </c>
      <c r="J26" s="237"/>
    </row>
    <row r="27" spans="2:10" s="218" customFormat="1" ht="21" customHeight="1" x14ac:dyDescent="0.3">
      <c r="B27" s="212" t="s">
        <v>272</v>
      </c>
      <c r="C27" s="213" t="s">
        <v>273</v>
      </c>
      <c r="D27" s="212"/>
      <c r="E27" s="214"/>
      <c r="F27" s="215"/>
      <c r="G27" s="215"/>
      <c r="H27" s="212"/>
      <c r="I27" s="216"/>
      <c r="J27" s="217"/>
    </row>
    <row r="28" spans="2:10" s="201" customFormat="1" ht="13" x14ac:dyDescent="0.35">
      <c r="B28" s="240" t="s">
        <v>242</v>
      </c>
      <c r="C28" s="220" t="s">
        <v>274</v>
      </c>
      <c r="D28" s="221"/>
      <c r="E28" s="241"/>
      <c r="F28" s="242"/>
      <c r="G28" s="242"/>
      <c r="H28" s="236"/>
      <c r="I28" s="222"/>
      <c r="J28" s="223"/>
    </row>
    <row r="29" spans="2:10" s="250" customFormat="1" ht="15.9" customHeight="1" x14ac:dyDescent="0.3">
      <c r="B29" s="246">
        <v>1</v>
      </c>
      <c r="C29" s="247" t="s">
        <v>275</v>
      </c>
      <c r="D29" s="246" t="s">
        <v>245</v>
      </c>
      <c r="E29" s="272">
        <v>3</v>
      </c>
      <c r="F29" s="228">
        <v>110000</v>
      </c>
      <c r="G29" s="248">
        <v>5000</v>
      </c>
      <c r="H29" s="229">
        <f t="shared" ref="H29:H31" si="6">F29+G29</f>
        <v>115000</v>
      </c>
      <c r="I29" s="229">
        <f>E29*H29</f>
        <v>345000</v>
      </c>
      <c r="J29" s="249"/>
    </row>
    <row r="30" spans="2:10" s="250" customFormat="1" ht="15.9" customHeight="1" x14ac:dyDescent="0.3">
      <c r="B30" s="246">
        <v>2</v>
      </c>
      <c r="C30" s="247" t="s">
        <v>276</v>
      </c>
      <c r="D30" s="246" t="s">
        <v>245</v>
      </c>
      <c r="E30" s="272">
        <v>1</v>
      </c>
      <c r="F30" s="228">
        <v>150000</v>
      </c>
      <c r="G30" s="248">
        <v>5666</v>
      </c>
      <c r="H30" s="229">
        <f t="shared" si="6"/>
        <v>155666</v>
      </c>
      <c r="I30" s="229">
        <f>E30*H30</f>
        <v>155666</v>
      </c>
      <c r="J30" s="249"/>
    </row>
    <row r="31" spans="2:10" s="250" customFormat="1" ht="15.9" customHeight="1" x14ac:dyDescent="0.3">
      <c r="B31" s="246">
        <v>3</v>
      </c>
      <c r="C31" s="247" t="s">
        <v>277</v>
      </c>
      <c r="D31" s="246" t="s">
        <v>245</v>
      </c>
      <c r="E31" s="272">
        <v>3</v>
      </c>
      <c r="F31" s="228">
        <v>175000</v>
      </c>
      <c r="G31" s="248">
        <v>5000</v>
      </c>
      <c r="H31" s="229">
        <f t="shared" si="6"/>
        <v>180000</v>
      </c>
      <c r="I31" s="229">
        <f>E31*H31</f>
        <v>540000</v>
      </c>
      <c r="J31" s="249"/>
    </row>
    <row r="32" spans="2:10" s="201" customFormat="1" ht="13" x14ac:dyDescent="0.35">
      <c r="B32" s="240" t="s">
        <v>246</v>
      </c>
      <c r="C32" s="220" t="s">
        <v>278</v>
      </c>
      <c r="D32" s="221"/>
      <c r="E32" s="241"/>
      <c r="F32" s="242"/>
      <c r="G32" s="242"/>
      <c r="H32" s="236"/>
      <c r="I32" s="222"/>
      <c r="J32" s="223"/>
    </row>
    <row r="33" spans="2:10" s="250" customFormat="1" ht="15.9" customHeight="1" x14ac:dyDescent="0.3">
      <c r="B33" s="251">
        <v>1</v>
      </c>
      <c r="C33" s="239" t="s">
        <v>279</v>
      </c>
      <c r="D33" s="226" t="s">
        <v>245</v>
      </c>
      <c r="E33" s="252">
        <v>50</v>
      </c>
      <c r="F33" s="228">
        <v>8000</v>
      </c>
      <c r="G33" s="228">
        <v>10000</v>
      </c>
      <c r="H33" s="229">
        <f t="shared" ref="H33:H41" si="7">F33+G33</f>
        <v>18000</v>
      </c>
      <c r="I33" s="229">
        <f t="shared" ref="I33:I40" si="8">E33*H33</f>
        <v>900000</v>
      </c>
      <c r="J33" s="249"/>
    </row>
    <row r="34" spans="2:10" s="250" customFormat="1" ht="15.9" customHeight="1" x14ac:dyDescent="0.3">
      <c r="B34" s="251">
        <v>2</v>
      </c>
      <c r="C34" s="239" t="s">
        <v>280</v>
      </c>
      <c r="D34" s="226" t="s">
        <v>245</v>
      </c>
      <c r="E34" s="252">
        <v>586</v>
      </c>
      <c r="F34" s="228">
        <v>10000</v>
      </c>
      <c r="G34" s="228">
        <v>10000</v>
      </c>
      <c r="H34" s="229">
        <f t="shared" si="7"/>
        <v>20000</v>
      </c>
      <c r="I34" s="229">
        <f t="shared" si="8"/>
        <v>11720000</v>
      </c>
      <c r="J34" s="249"/>
    </row>
    <row r="35" spans="2:10" s="250" customFormat="1" ht="15.9" customHeight="1" x14ac:dyDescent="0.3">
      <c r="B35" s="251">
        <v>3</v>
      </c>
      <c r="C35" s="239" t="s">
        <v>281</v>
      </c>
      <c r="D35" s="226" t="s">
        <v>245</v>
      </c>
      <c r="E35" s="252">
        <f>E26/3</f>
        <v>118.66666666666667</v>
      </c>
      <c r="F35" s="228">
        <v>15000</v>
      </c>
      <c r="G35" s="228">
        <v>10000</v>
      </c>
      <c r="H35" s="229">
        <f t="shared" si="7"/>
        <v>25000</v>
      </c>
      <c r="I35" s="229">
        <f>E35*H35</f>
        <v>2966666.666666667</v>
      </c>
      <c r="J35" s="249"/>
    </row>
    <row r="36" spans="2:10" s="250" customFormat="1" ht="15.9" customHeight="1" x14ac:dyDescent="0.3">
      <c r="B36" s="251">
        <v>4</v>
      </c>
      <c r="C36" s="253" t="s">
        <v>282</v>
      </c>
      <c r="D36" s="226" t="s">
        <v>245</v>
      </c>
      <c r="E36" s="226">
        <v>19</v>
      </c>
      <c r="F36" s="228">
        <v>125000</v>
      </c>
      <c r="G36" s="228">
        <v>20000</v>
      </c>
      <c r="H36" s="229">
        <f t="shared" si="7"/>
        <v>145000</v>
      </c>
      <c r="I36" s="229">
        <f t="shared" si="8"/>
        <v>2755000</v>
      </c>
      <c r="J36" s="249"/>
    </row>
    <row r="37" spans="2:10" s="250" customFormat="1" ht="15.9" customHeight="1" x14ac:dyDescent="0.3">
      <c r="B37" s="251">
        <v>5</v>
      </c>
      <c r="C37" s="253" t="s">
        <v>283</v>
      </c>
      <c r="D37" s="226" t="s">
        <v>245</v>
      </c>
      <c r="E37" s="226">
        <f>E10+E11+E12</f>
        <v>69</v>
      </c>
      <c r="F37" s="248">
        <v>125000</v>
      </c>
      <c r="G37" s="228">
        <v>20000</v>
      </c>
      <c r="H37" s="229">
        <f t="shared" si="7"/>
        <v>145000</v>
      </c>
      <c r="I37" s="229">
        <f t="shared" si="8"/>
        <v>10005000</v>
      </c>
      <c r="J37" s="249"/>
    </row>
    <row r="38" spans="2:10" s="250" customFormat="1" ht="15.9" customHeight="1" x14ac:dyDescent="0.3">
      <c r="B38" s="251">
        <v>6</v>
      </c>
      <c r="C38" s="253" t="s">
        <v>284</v>
      </c>
      <c r="D38" s="226" t="s">
        <v>245</v>
      </c>
      <c r="E38" s="226">
        <v>35</v>
      </c>
      <c r="F38" s="254"/>
      <c r="G38" s="228">
        <v>250000</v>
      </c>
      <c r="H38" s="229">
        <f t="shared" si="7"/>
        <v>250000</v>
      </c>
      <c r="I38" s="229">
        <f t="shared" si="8"/>
        <v>8750000</v>
      </c>
      <c r="J38" s="255"/>
    </row>
    <row r="39" spans="2:10" s="250" customFormat="1" ht="15.9" customHeight="1" x14ac:dyDescent="0.3">
      <c r="B39" s="251">
        <v>7</v>
      </c>
      <c r="C39" s="253" t="s">
        <v>285</v>
      </c>
      <c r="D39" s="226" t="s">
        <v>245</v>
      </c>
      <c r="E39" s="226">
        <v>15</v>
      </c>
      <c r="F39" s="254"/>
      <c r="G39" s="228">
        <v>250000</v>
      </c>
      <c r="H39" s="229">
        <f t="shared" si="7"/>
        <v>250000</v>
      </c>
      <c r="I39" s="229">
        <f t="shared" si="8"/>
        <v>3750000</v>
      </c>
      <c r="J39" s="255"/>
    </row>
    <row r="40" spans="2:10" s="250" customFormat="1" ht="15.9" customHeight="1" x14ac:dyDescent="0.3">
      <c r="B40" s="251">
        <v>8</v>
      </c>
      <c r="C40" s="253" t="s">
        <v>286</v>
      </c>
      <c r="D40" s="226" t="s">
        <v>287</v>
      </c>
      <c r="E40" s="226">
        <v>1</v>
      </c>
      <c r="F40" s="254"/>
      <c r="G40" s="254">
        <v>3000000</v>
      </c>
      <c r="H40" s="229">
        <f t="shared" si="7"/>
        <v>3000000</v>
      </c>
      <c r="I40" s="229">
        <f t="shared" si="8"/>
        <v>3000000</v>
      </c>
      <c r="J40" s="255"/>
    </row>
    <row r="41" spans="2:10" s="250" customFormat="1" ht="15.9" customHeight="1" x14ac:dyDescent="0.3">
      <c r="B41" s="251">
        <v>9</v>
      </c>
      <c r="C41" s="253" t="s">
        <v>288</v>
      </c>
      <c r="D41" s="226" t="s">
        <v>287</v>
      </c>
      <c r="E41" s="226">
        <v>1</v>
      </c>
      <c r="F41" s="254"/>
      <c r="G41" s="254">
        <v>2500000</v>
      </c>
      <c r="H41" s="229">
        <f t="shared" si="7"/>
        <v>2500000</v>
      </c>
      <c r="I41" s="229">
        <f>E41*H41</f>
        <v>2500000</v>
      </c>
      <c r="J41" s="255"/>
    </row>
    <row r="42" spans="2:10" s="250" customFormat="1" ht="15.9" customHeight="1" x14ac:dyDescent="0.3">
      <c r="B42" s="251"/>
      <c r="C42" s="253" t="s">
        <v>289</v>
      </c>
      <c r="D42" s="226"/>
      <c r="E42" s="226"/>
      <c r="F42" s="254"/>
      <c r="G42" s="254"/>
      <c r="H42" s="229"/>
      <c r="I42" s="229"/>
      <c r="J42" s="255"/>
    </row>
    <row r="43" spans="2:10" s="250" customFormat="1" ht="15.9" customHeight="1" x14ac:dyDescent="0.3">
      <c r="B43" s="251"/>
      <c r="C43" s="253" t="s">
        <v>290</v>
      </c>
      <c r="D43" s="226"/>
      <c r="E43" s="226"/>
      <c r="F43" s="254"/>
      <c r="G43" s="254"/>
      <c r="H43" s="229"/>
      <c r="I43" s="229"/>
      <c r="J43" s="255"/>
    </row>
    <row r="44" spans="2:10" s="250" customFormat="1" ht="15.9" customHeight="1" x14ac:dyDescent="0.3">
      <c r="B44" s="251"/>
      <c r="C44" s="253" t="s">
        <v>291</v>
      </c>
      <c r="D44" s="226"/>
      <c r="E44" s="226"/>
      <c r="F44" s="254"/>
      <c r="G44" s="254"/>
      <c r="H44" s="229"/>
      <c r="I44" s="229"/>
      <c r="J44" s="255"/>
    </row>
    <row r="45" spans="2:10" s="250" customFormat="1" ht="15.9" customHeight="1" x14ac:dyDescent="0.3">
      <c r="B45" s="251"/>
      <c r="C45" s="253" t="s">
        <v>292</v>
      </c>
      <c r="D45" s="226"/>
      <c r="E45" s="226"/>
      <c r="F45" s="254"/>
      <c r="G45" s="254"/>
      <c r="H45" s="229"/>
      <c r="I45" s="229"/>
      <c r="J45" s="255"/>
    </row>
    <row r="46" spans="2:10" s="250" customFormat="1" ht="15.9" customHeight="1" x14ac:dyDescent="0.3">
      <c r="B46" s="251"/>
      <c r="C46" s="253" t="s">
        <v>293</v>
      </c>
      <c r="D46" s="226"/>
      <c r="E46" s="226"/>
      <c r="F46" s="254"/>
      <c r="G46" s="254"/>
      <c r="H46" s="229"/>
      <c r="I46" s="229"/>
      <c r="J46" s="255"/>
    </row>
    <row r="47" spans="2:10" s="218" customFormat="1" ht="21" customHeight="1" x14ac:dyDescent="0.3">
      <c r="B47" s="212" t="s">
        <v>294</v>
      </c>
      <c r="C47" s="213" t="s">
        <v>295</v>
      </c>
      <c r="D47" s="212"/>
      <c r="E47" s="214"/>
      <c r="F47" s="256"/>
      <c r="G47" s="256"/>
      <c r="H47" s="257"/>
      <c r="I47" s="216"/>
      <c r="J47" s="217"/>
    </row>
    <row r="48" spans="2:10" s="250" customFormat="1" ht="15.9" customHeight="1" x14ac:dyDescent="0.3">
      <c r="B48" s="251">
        <v>1</v>
      </c>
      <c r="C48" s="253" t="s">
        <v>296</v>
      </c>
      <c r="D48" s="226" t="s">
        <v>287</v>
      </c>
      <c r="E48" s="226">
        <v>1</v>
      </c>
      <c r="F48" s="228">
        <v>0</v>
      </c>
      <c r="G48" s="228">
        <v>5000000</v>
      </c>
      <c r="H48" s="229">
        <f t="shared" ref="H48:H50" si="9">F48+G48</f>
        <v>5000000</v>
      </c>
      <c r="I48" s="229">
        <f>E48*H48</f>
        <v>5000000</v>
      </c>
      <c r="J48" s="249"/>
    </row>
    <row r="49" spans="1:10" s="250" customFormat="1" ht="15.9" customHeight="1" x14ac:dyDescent="0.3">
      <c r="B49" s="251">
        <v>2</v>
      </c>
      <c r="C49" s="253" t="s">
        <v>297</v>
      </c>
      <c r="D49" s="226" t="s">
        <v>287</v>
      </c>
      <c r="E49" s="226">
        <v>1</v>
      </c>
      <c r="F49" s="228">
        <v>0</v>
      </c>
      <c r="G49" s="228">
        <v>5000000</v>
      </c>
      <c r="H49" s="229">
        <f t="shared" si="9"/>
        <v>5000000</v>
      </c>
      <c r="I49" s="229">
        <f>E49*H49</f>
        <v>5000000</v>
      </c>
      <c r="J49" s="249" t="s">
        <v>298</v>
      </c>
    </row>
    <row r="50" spans="1:10" s="250" customFormat="1" ht="15.9" customHeight="1" x14ac:dyDescent="0.3">
      <c r="B50" s="251">
        <v>3</v>
      </c>
      <c r="C50" s="253" t="s">
        <v>299</v>
      </c>
      <c r="D50" s="226" t="s">
        <v>287</v>
      </c>
      <c r="E50" s="226">
        <v>1</v>
      </c>
      <c r="F50" s="228">
        <v>0</v>
      </c>
      <c r="G50" s="228">
        <v>40000000</v>
      </c>
      <c r="H50" s="229">
        <f t="shared" si="9"/>
        <v>40000000</v>
      </c>
      <c r="I50" s="229">
        <f>E50*H50</f>
        <v>40000000</v>
      </c>
      <c r="J50" s="249" t="s">
        <v>300</v>
      </c>
    </row>
    <row r="51" spans="1:10" s="250" customFormat="1" ht="15.9" customHeight="1" x14ac:dyDescent="0.3">
      <c r="B51" s="251"/>
      <c r="C51" s="253" t="s">
        <v>301</v>
      </c>
      <c r="D51" s="226"/>
      <c r="E51" s="226"/>
      <c r="F51" s="228"/>
      <c r="G51" s="228"/>
      <c r="H51" s="229"/>
      <c r="I51" s="229">
        <f>E51*H51</f>
        <v>0</v>
      </c>
      <c r="J51" s="258" t="s">
        <v>302</v>
      </c>
    </row>
    <row r="52" spans="1:10" s="250" customFormat="1" ht="15.9" customHeight="1" x14ac:dyDescent="0.3">
      <c r="B52" s="251"/>
      <c r="C52" s="253" t="s">
        <v>303</v>
      </c>
      <c r="D52" s="226"/>
      <c r="E52" s="226"/>
      <c r="F52" s="228"/>
      <c r="G52" s="228"/>
      <c r="H52" s="229"/>
      <c r="I52" s="229"/>
      <c r="J52" s="249"/>
    </row>
    <row r="53" spans="1:10" s="250" customFormat="1" ht="15.9" customHeight="1" x14ac:dyDescent="0.3">
      <c r="B53" s="251">
        <v>4</v>
      </c>
      <c r="C53" s="253" t="s">
        <v>304</v>
      </c>
      <c r="D53" s="226" t="s">
        <v>287</v>
      </c>
      <c r="E53" s="226">
        <v>1</v>
      </c>
      <c r="F53" s="228">
        <v>0</v>
      </c>
      <c r="G53" s="228">
        <v>3000000</v>
      </c>
      <c r="H53" s="229">
        <f t="shared" ref="H53:H54" si="10">F53+G53</f>
        <v>3000000</v>
      </c>
      <c r="I53" s="229"/>
      <c r="J53" s="249" t="s">
        <v>305</v>
      </c>
    </row>
    <row r="54" spans="1:10" s="250" customFormat="1" ht="15.9" customHeight="1" x14ac:dyDescent="0.3">
      <c r="B54" s="251">
        <v>5</v>
      </c>
      <c r="C54" s="253" t="s">
        <v>306</v>
      </c>
      <c r="D54" s="226" t="s">
        <v>287</v>
      </c>
      <c r="E54" s="226">
        <v>1</v>
      </c>
      <c r="F54" s="228"/>
      <c r="G54" s="228">
        <v>15000000</v>
      </c>
      <c r="H54" s="229">
        <f t="shared" si="10"/>
        <v>15000000</v>
      </c>
      <c r="I54" s="229">
        <f>E54*H54</f>
        <v>15000000</v>
      </c>
      <c r="J54" s="249"/>
    </row>
    <row r="55" spans="1:10" s="218" customFormat="1" ht="26.25" customHeight="1" x14ac:dyDescent="0.3">
      <c r="B55" s="259"/>
      <c r="C55" s="260"/>
      <c r="D55" s="259"/>
      <c r="E55" s="261"/>
      <c r="F55" s="262"/>
      <c r="G55" s="262"/>
      <c r="H55" s="263"/>
      <c r="I55" s="264">
        <f>SUM(I6:I54)</f>
        <v>425303232.66666669</v>
      </c>
      <c r="J55" s="265"/>
    </row>
    <row r="56" spans="1:10" s="202" customFormat="1" ht="13" x14ac:dyDescent="0.35">
      <c r="A56" s="201"/>
      <c r="B56" s="201"/>
      <c r="C56" s="266"/>
      <c r="D56" s="201"/>
      <c r="E56" s="201"/>
      <c r="F56" s="201"/>
      <c r="G56" s="201"/>
      <c r="J56" s="201"/>
    </row>
    <row r="59" spans="1:10" x14ac:dyDescent="0.35">
      <c r="H59" s="268" t="s">
        <v>307</v>
      </c>
      <c r="I59" s="269">
        <f>I55/19</f>
        <v>22384380.666666668</v>
      </c>
    </row>
    <row r="62" spans="1:10" x14ac:dyDescent="0.35">
      <c r="H62" s="273">
        <v>425303233</v>
      </c>
      <c r="I62" s="202">
        <f>I55-H62</f>
        <v>-0.33333331346511841</v>
      </c>
    </row>
  </sheetData>
  <mergeCells count="2">
    <mergeCell ref="B1:G1"/>
    <mergeCell ref="B2:G2"/>
  </mergeCells>
  <pageMargins left="0.70866141732283472" right="0.70866141732283472" top="0.35433070866141736" bottom="0.74803149606299213" header="0.31496062992125984" footer="0.31496062992125984"/>
  <pageSetup paperSize="8" scale="72" fitToHeight="0" orientation="landscape" r:id="rId1"/>
  <headerFooter>
    <oddFooter>&amp;L&amp;"+,Italic"&amp;14PT. Infrastruktur Bisnis Sejahtera&amp;C&amp;"+,Italic"&amp;14Page &amp;P of &amp;N&amp;R&amp;"+,Italic"&amp;14Sign Here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1B7A3-6CA0-481C-8285-6C2BF6694204}">
  <sheetPr>
    <tabColor theme="1"/>
    <pageSetUpPr fitToPage="1"/>
  </sheetPr>
  <dimension ref="A1:J26"/>
  <sheetViews>
    <sheetView view="pageBreakPreview" zoomScale="70" zoomScaleNormal="70" zoomScaleSheetLayoutView="70" zoomScalePageLayoutView="80" workbookViewId="0">
      <pane ySplit="5" topLeftCell="A12" activePane="bottomLeft" state="frozen"/>
      <selection pane="bottomLeft" activeCell="C16" sqref="C16"/>
    </sheetView>
  </sheetViews>
  <sheetFormatPr defaultColWidth="0.90625" defaultRowHeight="15.5" x14ac:dyDescent="0.35"/>
  <cols>
    <col min="1" max="1" width="0.90625" style="203" customWidth="1"/>
    <col min="2" max="2" width="6.90625" style="203" customWidth="1"/>
    <col min="3" max="3" width="91.6328125" style="267" customWidth="1"/>
    <col min="4" max="4" width="8.6328125" style="203" bestFit="1" customWidth="1"/>
    <col min="5" max="5" width="9.6328125" style="203" bestFit="1" customWidth="1"/>
    <col min="6" max="8" width="20.36328125" style="203" customWidth="1"/>
    <col min="9" max="9" width="24.08984375" style="202" customWidth="1"/>
    <col min="10" max="10" width="65" style="203" customWidth="1"/>
    <col min="11" max="209" width="9.08984375" style="203" customWidth="1"/>
    <col min="210" max="257" width="0.90625" style="203"/>
    <col min="258" max="258" width="6.90625" style="203" customWidth="1"/>
    <col min="259" max="259" width="100.90625" style="203" customWidth="1"/>
    <col min="260" max="260" width="8.6328125" style="203" bestFit="1" customWidth="1"/>
    <col min="261" max="261" width="9.6328125" style="203" bestFit="1" customWidth="1"/>
    <col min="262" max="264" width="20.36328125" style="203" customWidth="1"/>
    <col min="265" max="265" width="24.08984375" style="203" customWidth="1"/>
    <col min="266" max="266" width="52.54296875" style="203" bestFit="1" customWidth="1"/>
    <col min="267" max="465" width="9.08984375" style="203" customWidth="1"/>
    <col min="466" max="513" width="0.90625" style="203"/>
    <col min="514" max="514" width="6.90625" style="203" customWidth="1"/>
    <col min="515" max="515" width="100.90625" style="203" customWidth="1"/>
    <col min="516" max="516" width="8.6328125" style="203" bestFit="1" customWidth="1"/>
    <col min="517" max="517" width="9.6328125" style="203" bestFit="1" customWidth="1"/>
    <col min="518" max="520" width="20.36328125" style="203" customWidth="1"/>
    <col min="521" max="521" width="24.08984375" style="203" customWidth="1"/>
    <col min="522" max="522" width="52.54296875" style="203" bestFit="1" customWidth="1"/>
    <col min="523" max="721" width="9.08984375" style="203" customWidth="1"/>
    <col min="722" max="769" width="0.90625" style="203"/>
    <col min="770" max="770" width="6.90625" style="203" customWidth="1"/>
    <col min="771" max="771" width="100.90625" style="203" customWidth="1"/>
    <col min="772" max="772" width="8.6328125" style="203" bestFit="1" customWidth="1"/>
    <col min="773" max="773" width="9.6328125" style="203" bestFit="1" customWidth="1"/>
    <col min="774" max="776" width="20.36328125" style="203" customWidth="1"/>
    <col min="777" max="777" width="24.08984375" style="203" customWidth="1"/>
    <col min="778" max="778" width="52.54296875" style="203" bestFit="1" customWidth="1"/>
    <col min="779" max="977" width="9.08984375" style="203" customWidth="1"/>
    <col min="978" max="1025" width="0.90625" style="203"/>
    <col min="1026" max="1026" width="6.90625" style="203" customWidth="1"/>
    <col min="1027" max="1027" width="100.90625" style="203" customWidth="1"/>
    <col min="1028" max="1028" width="8.6328125" style="203" bestFit="1" customWidth="1"/>
    <col min="1029" max="1029" width="9.6328125" style="203" bestFit="1" customWidth="1"/>
    <col min="1030" max="1032" width="20.36328125" style="203" customWidth="1"/>
    <col min="1033" max="1033" width="24.08984375" style="203" customWidth="1"/>
    <col min="1034" max="1034" width="52.54296875" style="203" bestFit="1" customWidth="1"/>
    <col min="1035" max="1233" width="9.08984375" style="203" customWidth="1"/>
    <col min="1234" max="1281" width="0.90625" style="203"/>
    <col min="1282" max="1282" width="6.90625" style="203" customWidth="1"/>
    <col min="1283" max="1283" width="100.90625" style="203" customWidth="1"/>
    <col min="1284" max="1284" width="8.6328125" style="203" bestFit="1" customWidth="1"/>
    <col min="1285" max="1285" width="9.6328125" style="203" bestFit="1" customWidth="1"/>
    <col min="1286" max="1288" width="20.36328125" style="203" customWidth="1"/>
    <col min="1289" max="1289" width="24.08984375" style="203" customWidth="1"/>
    <col min="1290" max="1290" width="52.54296875" style="203" bestFit="1" customWidth="1"/>
    <col min="1291" max="1489" width="9.08984375" style="203" customWidth="1"/>
    <col min="1490" max="1537" width="0.90625" style="203"/>
    <col min="1538" max="1538" width="6.90625" style="203" customWidth="1"/>
    <col min="1539" max="1539" width="100.90625" style="203" customWidth="1"/>
    <col min="1540" max="1540" width="8.6328125" style="203" bestFit="1" customWidth="1"/>
    <col min="1541" max="1541" width="9.6328125" style="203" bestFit="1" customWidth="1"/>
    <col min="1542" max="1544" width="20.36328125" style="203" customWidth="1"/>
    <col min="1545" max="1545" width="24.08984375" style="203" customWidth="1"/>
    <col min="1546" max="1546" width="52.54296875" style="203" bestFit="1" customWidth="1"/>
    <col min="1547" max="1745" width="9.08984375" style="203" customWidth="1"/>
    <col min="1746" max="1793" width="0.90625" style="203"/>
    <col min="1794" max="1794" width="6.90625" style="203" customWidth="1"/>
    <col min="1795" max="1795" width="100.90625" style="203" customWidth="1"/>
    <col min="1796" max="1796" width="8.6328125" style="203" bestFit="1" customWidth="1"/>
    <col min="1797" max="1797" width="9.6328125" style="203" bestFit="1" customWidth="1"/>
    <col min="1798" max="1800" width="20.36328125" style="203" customWidth="1"/>
    <col min="1801" max="1801" width="24.08984375" style="203" customWidth="1"/>
    <col min="1802" max="1802" width="52.54296875" style="203" bestFit="1" customWidth="1"/>
    <col min="1803" max="2001" width="9.08984375" style="203" customWidth="1"/>
    <col min="2002" max="2049" width="0.90625" style="203"/>
    <col min="2050" max="2050" width="6.90625" style="203" customWidth="1"/>
    <col min="2051" max="2051" width="100.90625" style="203" customWidth="1"/>
    <col min="2052" max="2052" width="8.6328125" style="203" bestFit="1" customWidth="1"/>
    <col min="2053" max="2053" width="9.6328125" style="203" bestFit="1" customWidth="1"/>
    <col min="2054" max="2056" width="20.36328125" style="203" customWidth="1"/>
    <col min="2057" max="2057" width="24.08984375" style="203" customWidth="1"/>
    <col min="2058" max="2058" width="52.54296875" style="203" bestFit="1" customWidth="1"/>
    <col min="2059" max="2257" width="9.08984375" style="203" customWidth="1"/>
    <col min="2258" max="2305" width="0.90625" style="203"/>
    <col min="2306" max="2306" width="6.90625" style="203" customWidth="1"/>
    <col min="2307" max="2307" width="100.90625" style="203" customWidth="1"/>
    <col min="2308" max="2308" width="8.6328125" style="203" bestFit="1" customWidth="1"/>
    <col min="2309" max="2309" width="9.6328125" style="203" bestFit="1" customWidth="1"/>
    <col min="2310" max="2312" width="20.36328125" style="203" customWidth="1"/>
    <col min="2313" max="2313" width="24.08984375" style="203" customWidth="1"/>
    <col min="2314" max="2314" width="52.54296875" style="203" bestFit="1" customWidth="1"/>
    <col min="2315" max="2513" width="9.08984375" style="203" customWidth="1"/>
    <col min="2514" max="2561" width="0.90625" style="203"/>
    <col min="2562" max="2562" width="6.90625" style="203" customWidth="1"/>
    <col min="2563" max="2563" width="100.90625" style="203" customWidth="1"/>
    <col min="2564" max="2564" width="8.6328125" style="203" bestFit="1" customWidth="1"/>
    <col min="2565" max="2565" width="9.6328125" style="203" bestFit="1" customWidth="1"/>
    <col min="2566" max="2568" width="20.36328125" style="203" customWidth="1"/>
    <col min="2569" max="2569" width="24.08984375" style="203" customWidth="1"/>
    <col min="2570" max="2570" width="52.54296875" style="203" bestFit="1" customWidth="1"/>
    <col min="2571" max="2769" width="9.08984375" style="203" customWidth="1"/>
    <col min="2770" max="2817" width="0.90625" style="203"/>
    <col min="2818" max="2818" width="6.90625" style="203" customWidth="1"/>
    <col min="2819" max="2819" width="100.90625" style="203" customWidth="1"/>
    <col min="2820" max="2820" width="8.6328125" style="203" bestFit="1" customWidth="1"/>
    <col min="2821" max="2821" width="9.6328125" style="203" bestFit="1" customWidth="1"/>
    <col min="2822" max="2824" width="20.36328125" style="203" customWidth="1"/>
    <col min="2825" max="2825" width="24.08984375" style="203" customWidth="1"/>
    <col min="2826" max="2826" width="52.54296875" style="203" bestFit="1" customWidth="1"/>
    <col min="2827" max="3025" width="9.08984375" style="203" customWidth="1"/>
    <col min="3026" max="3073" width="0.90625" style="203"/>
    <col min="3074" max="3074" width="6.90625" style="203" customWidth="1"/>
    <col min="3075" max="3075" width="100.90625" style="203" customWidth="1"/>
    <col min="3076" max="3076" width="8.6328125" style="203" bestFit="1" customWidth="1"/>
    <col min="3077" max="3077" width="9.6328125" style="203" bestFit="1" customWidth="1"/>
    <col min="3078" max="3080" width="20.36328125" style="203" customWidth="1"/>
    <col min="3081" max="3081" width="24.08984375" style="203" customWidth="1"/>
    <col min="3082" max="3082" width="52.54296875" style="203" bestFit="1" customWidth="1"/>
    <col min="3083" max="3281" width="9.08984375" style="203" customWidth="1"/>
    <col min="3282" max="3329" width="0.90625" style="203"/>
    <col min="3330" max="3330" width="6.90625" style="203" customWidth="1"/>
    <col min="3331" max="3331" width="100.90625" style="203" customWidth="1"/>
    <col min="3332" max="3332" width="8.6328125" style="203" bestFit="1" customWidth="1"/>
    <col min="3333" max="3333" width="9.6328125" style="203" bestFit="1" customWidth="1"/>
    <col min="3334" max="3336" width="20.36328125" style="203" customWidth="1"/>
    <col min="3337" max="3337" width="24.08984375" style="203" customWidth="1"/>
    <col min="3338" max="3338" width="52.54296875" style="203" bestFit="1" customWidth="1"/>
    <col min="3339" max="3537" width="9.08984375" style="203" customWidth="1"/>
    <col min="3538" max="3585" width="0.90625" style="203"/>
    <col min="3586" max="3586" width="6.90625" style="203" customWidth="1"/>
    <col min="3587" max="3587" width="100.90625" style="203" customWidth="1"/>
    <col min="3588" max="3588" width="8.6328125" style="203" bestFit="1" customWidth="1"/>
    <col min="3589" max="3589" width="9.6328125" style="203" bestFit="1" customWidth="1"/>
    <col min="3590" max="3592" width="20.36328125" style="203" customWidth="1"/>
    <col min="3593" max="3593" width="24.08984375" style="203" customWidth="1"/>
    <col min="3594" max="3594" width="52.54296875" style="203" bestFit="1" customWidth="1"/>
    <col min="3595" max="3793" width="9.08984375" style="203" customWidth="1"/>
    <col min="3794" max="3841" width="0.90625" style="203"/>
    <col min="3842" max="3842" width="6.90625" style="203" customWidth="1"/>
    <col min="3843" max="3843" width="100.90625" style="203" customWidth="1"/>
    <col min="3844" max="3844" width="8.6328125" style="203" bestFit="1" customWidth="1"/>
    <col min="3845" max="3845" width="9.6328125" style="203" bestFit="1" customWidth="1"/>
    <col min="3846" max="3848" width="20.36328125" style="203" customWidth="1"/>
    <col min="3849" max="3849" width="24.08984375" style="203" customWidth="1"/>
    <col min="3850" max="3850" width="52.54296875" style="203" bestFit="1" customWidth="1"/>
    <col min="3851" max="4049" width="9.08984375" style="203" customWidth="1"/>
    <col min="4050" max="4097" width="0.90625" style="203"/>
    <col min="4098" max="4098" width="6.90625" style="203" customWidth="1"/>
    <col min="4099" max="4099" width="100.90625" style="203" customWidth="1"/>
    <col min="4100" max="4100" width="8.6328125" style="203" bestFit="1" customWidth="1"/>
    <col min="4101" max="4101" width="9.6328125" style="203" bestFit="1" customWidth="1"/>
    <col min="4102" max="4104" width="20.36328125" style="203" customWidth="1"/>
    <col min="4105" max="4105" width="24.08984375" style="203" customWidth="1"/>
    <col min="4106" max="4106" width="52.54296875" style="203" bestFit="1" customWidth="1"/>
    <col min="4107" max="4305" width="9.08984375" style="203" customWidth="1"/>
    <col min="4306" max="4353" width="0.90625" style="203"/>
    <col min="4354" max="4354" width="6.90625" style="203" customWidth="1"/>
    <col min="4355" max="4355" width="100.90625" style="203" customWidth="1"/>
    <col min="4356" max="4356" width="8.6328125" style="203" bestFit="1" customWidth="1"/>
    <col min="4357" max="4357" width="9.6328125" style="203" bestFit="1" customWidth="1"/>
    <col min="4358" max="4360" width="20.36328125" style="203" customWidth="1"/>
    <col min="4361" max="4361" width="24.08984375" style="203" customWidth="1"/>
    <col min="4362" max="4362" width="52.54296875" style="203" bestFit="1" customWidth="1"/>
    <col min="4363" max="4561" width="9.08984375" style="203" customWidth="1"/>
    <col min="4562" max="4609" width="0.90625" style="203"/>
    <col min="4610" max="4610" width="6.90625" style="203" customWidth="1"/>
    <col min="4611" max="4611" width="100.90625" style="203" customWidth="1"/>
    <col min="4612" max="4612" width="8.6328125" style="203" bestFit="1" customWidth="1"/>
    <col min="4613" max="4613" width="9.6328125" style="203" bestFit="1" customWidth="1"/>
    <col min="4614" max="4616" width="20.36328125" style="203" customWidth="1"/>
    <col min="4617" max="4617" width="24.08984375" style="203" customWidth="1"/>
    <col min="4618" max="4618" width="52.54296875" style="203" bestFit="1" customWidth="1"/>
    <col min="4619" max="4817" width="9.08984375" style="203" customWidth="1"/>
    <col min="4818" max="4865" width="0.90625" style="203"/>
    <col min="4866" max="4866" width="6.90625" style="203" customWidth="1"/>
    <col min="4867" max="4867" width="100.90625" style="203" customWidth="1"/>
    <col min="4868" max="4868" width="8.6328125" style="203" bestFit="1" customWidth="1"/>
    <col min="4869" max="4869" width="9.6328125" style="203" bestFit="1" customWidth="1"/>
    <col min="4870" max="4872" width="20.36328125" style="203" customWidth="1"/>
    <col min="4873" max="4873" width="24.08984375" style="203" customWidth="1"/>
    <col min="4874" max="4874" width="52.54296875" style="203" bestFit="1" customWidth="1"/>
    <col min="4875" max="5073" width="9.08984375" style="203" customWidth="1"/>
    <col min="5074" max="5121" width="0.90625" style="203"/>
    <col min="5122" max="5122" width="6.90625" style="203" customWidth="1"/>
    <col min="5123" max="5123" width="100.90625" style="203" customWidth="1"/>
    <col min="5124" max="5124" width="8.6328125" style="203" bestFit="1" customWidth="1"/>
    <col min="5125" max="5125" width="9.6328125" style="203" bestFit="1" customWidth="1"/>
    <col min="5126" max="5128" width="20.36328125" style="203" customWidth="1"/>
    <col min="5129" max="5129" width="24.08984375" style="203" customWidth="1"/>
    <col min="5130" max="5130" width="52.54296875" style="203" bestFit="1" customWidth="1"/>
    <col min="5131" max="5329" width="9.08984375" style="203" customWidth="1"/>
    <col min="5330" max="5377" width="0.90625" style="203"/>
    <col min="5378" max="5378" width="6.90625" style="203" customWidth="1"/>
    <col min="5379" max="5379" width="100.90625" style="203" customWidth="1"/>
    <col min="5380" max="5380" width="8.6328125" style="203" bestFit="1" customWidth="1"/>
    <col min="5381" max="5381" width="9.6328125" style="203" bestFit="1" customWidth="1"/>
    <col min="5382" max="5384" width="20.36328125" style="203" customWidth="1"/>
    <col min="5385" max="5385" width="24.08984375" style="203" customWidth="1"/>
    <col min="5386" max="5386" width="52.54296875" style="203" bestFit="1" customWidth="1"/>
    <col min="5387" max="5585" width="9.08984375" style="203" customWidth="1"/>
    <col min="5586" max="5633" width="0.90625" style="203"/>
    <col min="5634" max="5634" width="6.90625" style="203" customWidth="1"/>
    <col min="5635" max="5635" width="100.90625" style="203" customWidth="1"/>
    <col min="5636" max="5636" width="8.6328125" style="203" bestFit="1" customWidth="1"/>
    <col min="5637" max="5637" width="9.6328125" style="203" bestFit="1" customWidth="1"/>
    <col min="5638" max="5640" width="20.36328125" style="203" customWidth="1"/>
    <col min="5641" max="5641" width="24.08984375" style="203" customWidth="1"/>
    <col min="5642" max="5642" width="52.54296875" style="203" bestFit="1" customWidth="1"/>
    <col min="5643" max="5841" width="9.08984375" style="203" customWidth="1"/>
    <col min="5842" max="5889" width="0.90625" style="203"/>
    <col min="5890" max="5890" width="6.90625" style="203" customWidth="1"/>
    <col min="5891" max="5891" width="100.90625" style="203" customWidth="1"/>
    <col min="5892" max="5892" width="8.6328125" style="203" bestFit="1" customWidth="1"/>
    <col min="5893" max="5893" width="9.6328125" style="203" bestFit="1" customWidth="1"/>
    <col min="5894" max="5896" width="20.36328125" style="203" customWidth="1"/>
    <col min="5897" max="5897" width="24.08984375" style="203" customWidth="1"/>
    <col min="5898" max="5898" width="52.54296875" style="203" bestFit="1" customWidth="1"/>
    <col min="5899" max="6097" width="9.08984375" style="203" customWidth="1"/>
    <col min="6098" max="6145" width="0.90625" style="203"/>
    <col min="6146" max="6146" width="6.90625" style="203" customWidth="1"/>
    <col min="6147" max="6147" width="100.90625" style="203" customWidth="1"/>
    <col min="6148" max="6148" width="8.6328125" style="203" bestFit="1" customWidth="1"/>
    <col min="6149" max="6149" width="9.6328125" style="203" bestFit="1" customWidth="1"/>
    <col min="6150" max="6152" width="20.36328125" style="203" customWidth="1"/>
    <col min="6153" max="6153" width="24.08984375" style="203" customWidth="1"/>
    <col min="6154" max="6154" width="52.54296875" style="203" bestFit="1" customWidth="1"/>
    <col min="6155" max="6353" width="9.08984375" style="203" customWidth="1"/>
    <col min="6354" max="6401" width="0.90625" style="203"/>
    <col min="6402" max="6402" width="6.90625" style="203" customWidth="1"/>
    <col min="6403" max="6403" width="100.90625" style="203" customWidth="1"/>
    <col min="6404" max="6404" width="8.6328125" style="203" bestFit="1" customWidth="1"/>
    <col min="6405" max="6405" width="9.6328125" style="203" bestFit="1" customWidth="1"/>
    <col min="6406" max="6408" width="20.36328125" style="203" customWidth="1"/>
    <col min="6409" max="6409" width="24.08984375" style="203" customWidth="1"/>
    <col min="6410" max="6410" width="52.54296875" style="203" bestFit="1" customWidth="1"/>
    <col min="6411" max="6609" width="9.08984375" style="203" customWidth="1"/>
    <col min="6610" max="6657" width="0.90625" style="203"/>
    <col min="6658" max="6658" width="6.90625" style="203" customWidth="1"/>
    <col min="6659" max="6659" width="100.90625" style="203" customWidth="1"/>
    <col min="6660" max="6660" width="8.6328125" style="203" bestFit="1" customWidth="1"/>
    <col min="6661" max="6661" width="9.6328125" style="203" bestFit="1" customWidth="1"/>
    <col min="6662" max="6664" width="20.36328125" style="203" customWidth="1"/>
    <col min="6665" max="6665" width="24.08984375" style="203" customWidth="1"/>
    <col min="6666" max="6666" width="52.54296875" style="203" bestFit="1" customWidth="1"/>
    <col min="6667" max="6865" width="9.08984375" style="203" customWidth="1"/>
    <col min="6866" max="6913" width="0.90625" style="203"/>
    <col min="6914" max="6914" width="6.90625" style="203" customWidth="1"/>
    <col min="6915" max="6915" width="100.90625" style="203" customWidth="1"/>
    <col min="6916" max="6916" width="8.6328125" style="203" bestFit="1" customWidth="1"/>
    <col min="6917" max="6917" width="9.6328125" style="203" bestFit="1" customWidth="1"/>
    <col min="6918" max="6920" width="20.36328125" style="203" customWidth="1"/>
    <col min="6921" max="6921" width="24.08984375" style="203" customWidth="1"/>
    <col min="6922" max="6922" width="52.54296875" style="203" bestFit="1" customWidth="1"/>
    <col min="6923" max="7121" width="9.08984375" style="203" customWidth="1"/>
    <col min="7122" max="7169" width="0.90625" style="203"/>
    <col min="7170" max="7170" width="6.90625" style="203" customWidth="1"/>
    <col min="7171" max="7171" width="100.90625" style="203" customWidth="1"/>
    <col min="7172" max="7172" width="8.6328125" style="203" bestFit="1" customWidth="1"/>
    <col min="7173" max="7173" width="9.6328125" style="203" bestFit="1" customWidth="1"/>
    <col min="7174" max="7176" width="20.36328125" style="203" customWidth="1"/>
    <col min="7177" max="7177" width="24.08984375" style="203" customWidth="1"/>
    <col min="7178" max="7178" width="52.54296875" style="203" bestFit="1" customWidth="1"/>
    <col min="7179" max="7377" width="9.08984375" style="203" customWidth="1"/>
    <col min="7378" max="7425" width="0.90625" style="203"/>
    <col min="7426" max="7426" width="6.90625" style="203" customWidth="1"/>
    <col min="7427" max="7427" width="100.90625" style="203" customWidth="1"/>
    <col min="7428" max="7428" width="8.6328125" style="203" bestFit="1" customWidth="1"/>
    <col min="7429" max="7429" width="9.6328125" style="203" bestFit="1" customWidth="1"/>
    <col min="7430" max="7432" width="20.36328125" style="203" customWidth="1"/>
    <col min="7433" max="7433" width="24.08984375" style="203" customWidth="1"/>
    <col min="7434" max="7434" width="52.54296875" style="203" bestFit="1" customWidth="1"/>
    <col min="7435" max="7633" width="9.08984375" style="203" customWidth="1"/>
    <col min="7634" max="7681" width="0.90625" style="203"/>
    <col min="7682" max="7682" width="6.90625" style="203" customWidth="1"/>
    <col min="7683" max="7683" width="100.90625" style="203" customWidth="1"/>
    <col min="7684" max="7684" width="8.6328125" style="203" bestFit="1" customWidth="1"/>
    <col min="7685" max="7685" width="9.6328125" style="203" bestFit="1" customWidth="1"/>
    <col min="7686" max="7688" width="20.36328125" style="203" customWidth="1"/>
    <col min="7689" max="7689" width="24.08984375" style="203" customWidth="1"/>
    <col min="7690" max="7690" width="52.54296875" style="203" bestFit="1" customWidth="1"/>
    <col min="7691" max="7889" width="9.08984375" style="203" customWidth="1"/>
    <col min="7890" max="7937" width="0.90625" style="203"/>
    <col min="7938" max="7938" width="6.90625" style="203" customWidth="1"/>
    <col min="7939" max="7939" width="100.90625" style="203" customWidth="1"/>
    <col min="7940" max="7940" width="8.6328125" style="203" bestFit="1" customWidth="1"/>
    <col min="7941" max="7941" width="9.6328125" style="203" bestFit="1" customWidth="1"/>
    <col min="7942" max="7944" width="20.36328125" style="203" customWidth="1"/>
    <col min="7945" max="7945" width="24.08984375" style="203" customWidth="1"/>
    <col min="7946" max="7946" width="52.54296875" style="203" bestFit="1" customWidth="1"/>
    <col min="7947" max="8145" width="9.08984375" style="203" customWidth="1"/>
    <col min="8146" max="8193" width="0.90625" style="203"/>
    <col min="8194" max="8194" width="6.90625" style="203" customWidth="1"/>
    <col min="8195" max="8195" width="100.90625" style="203" customWidth="1"/>
    <col min="8196" max="8196" width="8.6328125" style="203" bestFit="1" customWidth="1"/>
    <col min="8197" max="8197" width="9.6328125" style="203" bestFit="1" customWidth="1"/>
    <col min="8198" max="8200" width="20.36328125" style="203" customWidth="1"/>
    <col min="8201" max="8201" width="24.08984375" style="203" customWidth="1"/>
    <col min="8202" max="8202" width="52.54296875" style="203" bestFit="1" customWidth="1"/>
    <col min="8203" max="8401" width="9.08984375" style="203" customWidth="1"/>
    <col min="8402" max="8449" width="0.90625" style="203"/>
    <col min="8450" max="8450" width="6.90625" style="203" customWidth="1"/>
    <col min="8451" max="8451" width="100.90625" style="203" customWidth="1"/>
    <col min="8452" max="8452" width="8.6328125" style="203" bestFit="1" customWidth="1"/>
    <col min="8453" max="8453" width="9.6328125" style="203" bestFit="1" customWidth="1"/>
    <col min="8454" max="8456" width="20.36328125" style="203" customWidth="1"/>
    <col min="8457" max="8457" width="24.08984375" style="203" customWidth="1"/>
    <col min="8458" max="8458" width="52.54296875" style="203" bestFit="1" customWidth="1"/>
    <col min="8459" max="8657" width="9.08984375" style="203" customWidth="1"/>
    <col min="8658" max="8705" width="0.90625" style="203"/>
    <col min="8706" max="8706" width="6.90625" style="203" customWidth="1"/>
    <col min="8707" max="8707" width="100.90625" style="203" customWidth="1"/>
    <col min="8708" max="8708" width="8.6328125" style="203" bestFit="1" customWidth="1"/>
    <col min="8709" max="8709" width="9.6328125" style="203" bestFit="1" customWidth="1"/>
    <col min="8710" max="8712" width="20.36328125" style="203" customWidth="1"/>
    <col min="8713" max="8713" width="24.08984375" style="203" customWidth="1"/>
    <col min="8714" max="8714" width="52.54296875" style="203" bestFit="1" customWidth="1"/>
    <col min="8715" max="8913" width="9.08984375" style="203" customWidth="1"/>
    <col min="8914" max="8961" width="0.90625" style="203"/>
    <col min="8962" max="8962" width="6.90625" style="203" customWidth="1"/>
    <col min="8963" max="8963" width="100.90625" style="203" customWidth="1"/>
    <col min="8964" max="8964" width="8.6328125" style="203" bestFit="1" customWidth="1"/>
    <col min="8965" max="8965" width="9.6328125" style="203" bestFit="1" customWidth="1"/>
    <col min="8966" max="8968" width="20.36328125" style="203" customWidth="1"/>
    <col min="8969" max="8969" width="24.08984375" style="203" customWidth="1"/>
    <col min="8970" max="8970" width="52.54296875" style="203" bestFit="1" customWidth="1"/>
    <col min="8971" max="9169" width="9.08984375" style="203" customWidth="1"/>
    <col min="9170" max="9217" width="0.90625" style="203"/>
    <col min="9218" max="9218" width="6.90625" style="203" customWidth="1"/>
    <col min="9219" max="9219" width="100.90625" style="203" customWidth="1"/>
    <col min="9220" max="9220" width="8.6328125" style="203" bestFit="1" customWidth="1"/>
    <col min="9221" max="9221" width="9.6328125" style="203" bestFit="1" customWidth="1"/>
    <col min="9222" max="9224" width="20.36328125" style="203" customWidth="1"/>
    <col min="9225" max="9225" width="24.08984375" style="203" customWidth="1"/>
    <col min="9226" max="9226" width="52.54296875" style="203" bestFit="1" customWidth="1"/>
    <col min="9227" max="9425" width="9.08984375" style="203" customWidth="1"/>
    <col min="9426" max="9473" width="0.90625" style="203"/>
    <col min="9474" max="9474" width="6.90625" style="203" customWidth="1"/>
    <col min="9475" max="9475" width="100.90625" style="203" customWidth="1"/>
    <col min="9476" max="9476" width="8.6328125" style="203" bestFit="1" customWidth="1"/>
    <col min="9477" max="9477" width="9.6328125" style="203" bestFit="1" customWidth="1"/>
    <col min="9478" max="9480" width="20.36328125" style="203" customWidth="1"/>
    <col min="9481" max="9481" width="24.08984375" style="203" customWidth="1"/>
    <col min="9482" max="9482" width="52.54296875" style="203" bestFit="1" customWidth="1"/>
    <col min="9483" max="9681" width="9.08984375" style="203" customWidth="1"/>
    <col min="9682" max="9729" width="0.90625" style="203"/>
    <col min="9730" max="9730" width="6.90625" style="203" customWidth="1"/>
    <col min="9731" max="9731" width="100.90625" style="203" customWidth="1"/>
    <col min="9732" max="9732" width="8.6328125" style="203" bestFit="1" customWidth="1"/>
    <col min="9733" max="9733" width="9.6328125" style="203" bestFit="1" customWidth="1"/>
    <col min="9734" max="9736" width="20.36328125" style="203" customWidth="1"/>
    <col min="9737" max="9737" width="24.08984375" style="203" customWidth="1"/>
    <col min="9738" max="9738" width="52.54296875" style="203" bestFit="1" customWidth="1"/>
    <col min="9739" max="9937" width="9.08984375" style="203" customWidth="1"/>
    <col min="9938" max="9985" width="0.90625" style="203"/>
    <col min="9986" max="9986" width="6.90625" style="203" customWidth="1"/>
    <col min="9987" max="9987" width="100.90625" style="203" customWidth="1"/>
    <col min="9988" max="9988" width="8.6328125" style="203" bestFit="1" customWidth="1"/>
    <col min="9989" max="9989" width="9.6328125" style="203" bestFit="1" customWidth="1"/>
    <col min="9990" max="9992" width="20.36328125" style="203" customWidth="1"/>
    <col min="9993" max="9993" width="24.08984375" style="203" customWidth="1"/>
    <col min="9994" max="9994" width="52.54296875" style="203" bestFit="1" customWidth="1"/>
    <col min="9995" max="10193" width="9.08984375" style="203" customWidth="1"/>
    <col min="10194" max="10241" width="0.90625" style="203"/>
    <col min="10242" max="10242" width="6.90625" style="203" customWidth="1"/>
    <col min="10243" max="10243" width="100.90625" style="203" customWidth="1"/>
    <col min="10244" max="10244" width="8.6328125" style="203" bestFit="1" customWidth="1"/>
    <col min="10245" max="10245" width="9.6328125" style="203" bestFit="1" customWidth="1"/>
    <col min="10246" max="10248" width="20.36328125" style="203" customWidth="1"/>
    <col min="10249" max="10249" width="24.08984375" style="203" customWidth="1"/>
    <col min="10250" max="10250" width="52.54296875" style="203" bestFit="1" customWidth="1"/>
    <col min="10251" max="10449" width="9.08984375" style="203" customWidth="1"/>
    <col min="10450" max="10497" width="0.90625" style="203"/>
    <col min="10498" max="10498" width="6.90625" style="203" customWidth="1"/>
    <col min="10499" max="10499" width="100.90625" style="203" customWidth="1"/>
    <col min="10500" max="10500" width="8.6328125" style="203" bestFit="1" customWidth="1"/>
    <col min="10501" max="10501" width="9.6328125" style="203" bestFit="1" customWidth="1"/>
    <col min="10502" max="10504" width="20.36328125" style="203" customWidth="1"/>
    <col min="10505" max="10505" width="24.08984375" style="203" customWidth="1"/>
    <col min="10506" max="10506" width="52.54296875" style="203" bestFit="1" customWidth="1"/>
    <col min="10507" max="10705" width="9.08984375" style="203" customWidth="1"/>
    <col min="10706" max="10753" width="0.90625" style="203"/>
    <col min="10754" max="10754" width="6.90625" style="203" customWidth="1"/>
    <col min="10755" max="10755" width="100.90625" style="203" customWidth="1"/>
    <col min="10756" max="10756" width="8.6328125" style="203" bestFit="1" customWidth="1"/>
    <col min="10757" max="10757" width="9.6328125" style="203" bestFit="1" customWidth="1"/>
    <col min="10758" max="10760" width="20.36328125" style="203" customWidth="1"/>
    <col min="10761" max="10761" width="24.08984375" style="203" customWidth="1"/>
    <col min="10762" max="10762" width="52.54296875" style="203" bestFit="1" customWidth="1"/>
    <col min="10763" max="10961" width="9.08984375" style="203" customWidth="1"/>
    <col min="10962" max="11009" width="0.90625" style="203"/>
    <col min="11010" max="11010" width="6.90625" style="203" customWidth="1"/>
    <col min="11011" max="11011" width="100.90625" style="203" customWidth="1"/>
    <col min="11012" max="11012" width="8.6328125" style="203" bestFit="1" customWidth="1"/>
    <col min="11013" max="11013" width="9.6328125" style="203" bestFit="1" customWidth="1"/>
    <col min="11014" max="11016" width="20.36328125" style="203" customWidth="1"/>
    <col min="11017" max="11017" width="24.08984375" style="203" customWidth="1"/>
    <col min="11018" max="11018" width="52.54296875" style="203" bestFit="1" customWidth="1"/>
    <col min="11019" max="11217" width="9.08984375" style="203" customWidth="1"/>
    <col min="11218" max="11265" width="0.90625" style="203"/>
    <col min="11266" max="11266" width="6.90625" style="203" customWidth="1"/>
    <col min="11267" max="11267" width="100.90625" style="203" customWidth="1"/>
    <col min="11268" max="11268" width="8.6328125" style="203" bestFit="1" customWidth="1"/>
    <col min="11269" max="11269" width="9.6328125" style="203" bestFit="1" customWidth="1"/>
    <col min="11270" max="11272" width="20.36328125" style="203" customWidth="1"/>
    <col min="11273" max="11273" width="24.08984375" style="203" customWidth="1"/>
    <col min="11274" max="11274" width="52.54296875" style="203" bestFit="1" customWidth="1"/>
    <col min="11275" max="11473" width="9.08984375" style="203" customWidth="1"/>
    <col min="11474" max="11521" width="0.90625" style="203"/>
    <col min="11522" max="11522" width="6.90625" style="203" customWidth="1"/>
    <col min="11523" max="11523" width="100.90625" style="203" customWidth="1"/>
    <col min="11524" max="11524" width="8.6328125" style="203" bestFit="1" customWidth="1"/>
    <col min="11525" max="11525" width="9.6328125" style="203" bestFit="1" customWidth="1"/>
    <col min="11526" max="11528" width="20.36328125" style="203" customWidth="1"/>
    <col min="11529" max="11529" width="24.08984375" style="203" customWidth="1"/>
    <col min="11530" max="11530" width="52.54296875" style="203" bestFit="1" customWidth="1"/>
    <col min="11531" max="11729" width="9.08984375" style="203" customWidth="1"/>
    <col min="11730" max="11777" width="0.90625" style="203"/>
    <col min="11778" max="11778" width="6.90625" style="203" customWidth="1"/>
    <col min="11779" max="11779" width="100.90625" style="203" customWidth="1"/>
    <col min="11780" max="11780" width="8.6328125" style="203" bestFit="1" customWidth="1"/>
    <col min="11781" max="11781" width="9.6328125" style="203" bestFit="1" customWidth="1"/>
    <col min="11782" max="11784" width="20.36328125" style="203" customWidth="1"/>
    <col min="11785" max="11785" width="24.08984375" style="203" customWidth="1"/>
    <col min="11786" max="11786" width="52.54296875" style="203" bestFit="1" customWidth="1"/>
    <col min="11787" max="11985" width="9.08984375" style="203" customWidth="1"/>
    <col min="11986" max="12033" width="0.90625" style="203"/>
    <col min="12034" max="12034" width="6.90625" style="203" customWidth="1"/>
    <col min="12035" max="12035" width="100.90625" style="203" customWidth="1"/>
    <col min="12036" max="12036" width="8.6328125" style="203" bestFit="1" customWidth="1"/>
    <col min="12037" max="12037" width="9.6328125" style="203" bestFit="1" customWidth="1"/>
    <col min="12038" max="12040" width="20.36328125" style="203" customWidth="1"/>
    <col min="12041" max="12041" width="24.08984375" style="203" customWidth="1"/>
    <col min="12042" max="12042" width="52.54296875" style="203" bestFit="1" customWidth="1"/>
    <col min="12043" max="12241" width="9.08984375" style="203" customWidth="1"/>
    <col min="12242" max="12289" width="0.90625" style="203"/>
    <col min="12290" max="12290" width="6.90625" style="203" customWidth="1"/>
    <col min="12291" max="12291" width="100.90625" style="203" customWidth="1"/>
    <col min="12292" max="12292" width="8.6328125" style="203" bestFit="1" customWidth="1"/>
    <col min="12293" max="12293" width="9.6328125" style="203" bestFit="1" customWidth="1"/>
    <col min="12294" max="12296" width="20.36328125" style="203" customWidth="1"/>
    <col min="12297" max="12297" width="24.08984375" style="203" customWidth="1"/>
    <col min="12298" max="12298" width="52.54296875" style="203" bestFit="1" customWidth="1"/>
    <col min="12299" max="12497" width="9.08984375" style="203" customWidth="1"/>
    <col min="12498" max="12545" width="0.90625" style="203"/>
    <col min="12546" max="12546" width="6.90625" style="203" customWidth="1"/>
    <col min="12547" max="12547" width="100.90625" style="203" customWidth="1"/>
    <col min="12548" max="12548" width="8.6328125" style="203" bestFit="1" customWidth="1"/>
    <col min="12549" max="12549" width="9.6328125" style="203" bestFit="1" customWidth="1"/>
    <col min="12550" max="12552" width="20.36328125" style="203" customWidth="1"/>
    <col min="12553" max="12553" width="24.08984375" style="203" customWidth="1"/>
    <col min="12554" max="12554" width="52.54296875" style="203" bestFit="1" customWidth="1"/>
    <col min="12555" max="12753" width="9.08984375" style="203" customWidth="1"/>
    <col min="12754" max="12801" width="0.90625" style="203"/>
    <col min="12802" max="12802" width="6.90625" style="203" customWidth="1"/>
    <col min="12803" max="12803" width="100.90625" style="203" customWidth="1"/>
    <col min="12804" max="12804" width="8.6328125" style="203" bestFit="1" customWidth="1"/>
    <col min="12805" max="12805" width="9.6328125" style="203" bestFit="1" customWidth="1"/>
    <col min="12806" max="12808" width="20.36328125" style="203" customWidth="1"/>
    <col min="12809" max="12809" width="24.08984375" style="203" customWidth="1"/>
    <col min="12810" max="12810" width="52.54296875" style="203" bestFit="1" customWidth="1"/>
    <col min="12811" max="13009" width="9.08984375" style="203" customWidth="1"/>
    <col min="13010" max="13057" width="0.90625" style="203"/>
    <col min="13058" max="13058" width="6.90625" style="203" customWidth="1"/>
    <col min="13059" max="13059" width="100.90625" style="203" customWidth="1"/>
    <col min="13060" max="13060" width="8.6328125" style="203" bestFit="1" customWidth="1"/>
    <col min="13061" max="13061" width="9.6328125" style="203" bestFit="1" customWidth="1"/>
    <col min="13062" max="13064" width="20.36328125" style="203" customWidth="1"/>
    <col min="13065" max="13065" width="24.08984375" style="203" customWidth="1"/>
    <col min="13066" max="13066" width="52.54296875" style="203" bestFit="1" customWidth="1"/>
    <col min="13067" max="13265" width="9.08984375" style="203" customWidth="1"/>
    <col min="13266" max="13313" width="0.90625" style="203"/>
    <col min="13314" max="13314" width="6.90625" style="203" customWidth="1"/>
    <col min="13315" max="13315" width="100.90625" style="203" customWidth="1"/>
    <col min="13316" max="13316" width="8.6328125" style="203" bestFit="1" customWidth="1"/>
    <col min="13317" max="13317" width="9.6328125" style="203" bestFit="1" customWidth="1"/>
    <col min="13318" max="13320" width="20.36328125" style="203" customWidth="1"/>
    <col min="13321" max="13321" width="24.08984375" style="203" customWidth="1"/>
    <col min="13322" max="13322" width="52.54296875" style="203" bestFit="1" customWidth="1"/>
    <col min="13323" max="13521" width="9.08984375" style="203" customWidth="1"/>
    <col min="13522" max="13569" width="0.90625" style="203"/>
    <col min="13570" max="13570" width="6.90625" style="203" customWidth="1"/>
    <col min="13571" max="13571" width="100.90625" style="203" customWidth="1"/>
    <col min="13572" max="13572" width="8.6328125" style="203" bestFit="1" customWidth="1"/>
    <col min="13573" max="13573" width="9.6328125" style="203" bestFit="1" customWidth="1"/>
    <col min="13574" max="13576" width="20.36328125" style="203" customWidth="1"/>
    <col min="13577" max="13577" width="24.08984375" style="203" customWidth="1"/>
    <col min="13578" max="13578" width="52.54296875" style="203" bestFit="1" customWidth="1"/>
    <col min="13579" max="13777" width="9.08984375" style="203" customWidth="1"/>
    <col min="13778" max="13825" width="0.90625" style="203"/>
    <col min="13826" max="13826" width="6.90625" style="203" customWidth="1"/>
    <col min="13827" max="13827" width="100.90625" style="203" customWidth="1"/>
    <col min="13828" max="13828" width="8.6328125" style="203" bestFit="1" customWidth="1"/>
    <col min="13829" max="13829" width="9.6328125" style="203" bestFit="1" customWidth="1"/>
    <col min="13830" max="13832" width="20.36328125" style="203" customWidth="1"/>
    <col min="13833" max="13833" width="24.08984375" style="203" customWidth="1"/>
    <col min="13834" max="13834" width="52.54296875" style="203" bestFit="1" customWidth="1"/>
    <col min="13835" max="14033" width="9.08984375" style="203" customWidth="1"/>
    <col min="14034" max="14081" width="0.90625" style="203"/>
    <col min="14082" max="14082" width="6.90625" style="203" customWidth="1"/>
    <col min="14083" max="14083" width="100.90625" style="203" customWidth="1"/>
    <col min="14084" max="14084" width="8.6328125" style="203" bestFit="1" customWidth="1"/>
    <col min="14085" max="14085" width="9.6328125" style="203" bestFit="1" customWidth="1"/>
    <col min="14086" max="14088" width="20.36328125" style="203" customWidth="1"/>
    <col min="14089" max="14089" width="24.08984375" style="203" customWidth="1"/>
    <col min="14090" max="14090" width="52.54296875" style="203" bestFit="1" customWidth="1"/>
    <col min="14091" max="14289" width="9.08984375" style="203" customWidth="1"/>
    <col min="14290" max="14337" width="0.90625" style="203"/>
    <col min="14338" max="14338" width="6.90625" style="203" customWidth="1"/>
    <col min="14339" max="14339" width="100.90625" style="203" customWidth="1"/>
    <col min="14340" max="14340" width="8.6328125" style="203" bestFit="1" customWidth="1"/>
    <col min="14341" max="14341" width="9.6328125" style="203" bestFit="1" customWidth="1"/>
    <col min="14342" max="14344" width="20.36328125" style="203" customWidth="1"/>
    <col min="14345" max="14345" width="24.08984375" style="203" customWidth="1"/>
    <col min="14346" max="14346" width="52.54296875" style="203" bestFit="1" customWidth="1"/>
    <col min="14347" max="14545" width="9.08984375" style="203" customWidth="1"/>
    <col min="14546" max="14593" width="0.90625" style="203"/>
    <col min="14594" max="14594" width="6.90625" style="203" customWidth="1"/>
    <col min="14595" max="14595" width="100.90625" style="203" customWidth="1"/>
    <col min="14596" max="14596" width="8.6328125" style="203" bestFit="1" customWidth="1"/>
    <col min="14597" max="14597" width="9.6328125" style="203" bestFit="1" customWidth="1"/>
    <col min="14598" max="14600" width="20.36328125" style="203" customWidth="1"/>
    <col min="14601" max="14601" width="24.08984375" style="203" customWidth="1"/>
    <col min="14602" max="14602" width="52.54296875" style="203" bestFit="1" customWidth="1"/>
    <col min="14603" max="14801" width="9.08984375" style="203" customWidth="1"/>
    <col min="14802" max="14849" width="0.90625" style="203"/>
    <col min="14850" max="14850" width="6.90625" style="203" customWidth="1"/>
    <col min="14851" max="14851" width="100.90625" style="203" customWidth="1"/>
    <col min="14852" max="14852" width="8.6328125" style="203" bestFit="1" customWidth="1"/>
    <col min="14853" max="14853" width="9.6328125" style="203" bestFit="1" customWidth="1"/>
    <col min="14854" max="14856" width="20.36328125" style="203" customWidth="1"/>
    <col min="14857" max="14857" width="24.08984375" style="203" customWidth="1"/>
    <col min="14858" max="14858" width="52.54296875" style="203" bestFit="1" customWidth="1"/>
    <col min="14859" max="15057" width="9.08984375" style="203" customWidth="1"/>
    <col min="15058" max="15105" width="0.90625" style="203"/>
    <col min="15106" max="15106" width="6.90625" style="203" customWidth="1"/>
    <col min="15107" max="15107" width="100.90625" style="203" customWidth="1"/>
    <col min="15108" max="15108" width="8.6328125" style="203" bestFit="1" customWidth="1"/>
    <col min="15109" max="15109" width="9.6328125" style="203" bestFit="1" customWidth="1"/>
    <col min="15110" max="15112" width="20.36328125" style="203" customWidth="1"/>
    <col min="15113" max="15113" width="24.08984375" style="203" customWidth="1"/>
    <col min="15114" max="15114" width="52.54296875" style="203" bestFit="1" customWidth="1"/>
    <col min="15115" max="15313" width="9.08984375" style="203" customWidth="1"/>
    <col min="15314" max="15361" width="0.90625" style="203"/>
    <col min="15362" max="15362" width="6.90625" style="203" customWidth="1"/>
    <col min="15363" max="15363" width="100.90625" style="203" customWidth="1"/>
    <col min="15364" max="15364" width="8.6328125" style="203" bestFit="1" customWidth="1"/>
    <col min="15365" max="15365" width="9.6328125" style="203" bestFit="1" customWidth="1"/>
    <col min="15366" max="15368" width="20.36328125" style="203" customWidth="1"/>
    <col min="15369" max="15369" width="24.08984375" style="203" customWidth="1"/>
    <col min="15370" max="15370" width="52.54296875" style="203" bestFit="1" customWidth="1"/>
    <col min="15371" max="15569" width="9.08984375" style="203" customWidth="1"/>
    <col min="15570" max="15617" width="0.90625" style="203"/>
    <col min="15618" max="15618" width="6.90625" style="203" customWidth="1"/>
    <col min="15619" max="15619" width="100.90625" style="203" customWidth="1"/>
    <col min="15620" max="15620" width="8.6328125" style="203" bestFit="1" customWidth="1"/>
    <col min="15621" max="15621" width="9.6328125" style="203" bestFit="1" customWidth="1"/>
    <col min="15622" max="15624" width="20.36328125" style="203" customWidth="1"/>
    <col min="15625" max="15625" width="24.08984375" style="203" customWidth="1"/>
    <col min="15626" max="15626" width="52.54296875" style="203" bestFit="1" customWidth="1"/>
    <col min="15627" max="15825" width="9.08984375" style="203" customWidth="1"/>
    <col min="15826" max="15873" width="0.90625" style="203"/>
    <col min="15874" max="15874" width="6.90625" style="203" customWidth="1"/>
    <col min="15875" max="15875" width="100.90625" style="203" customWidth="1"/>
    <col min="15876" max="15876" width="8.6328125" style="203" bestFit="1" customWidth="1"/>
    <col min="15877" max="15877" width="9.6328125" style="203" bestFit="1" customWidth="1"/>
    <col min="15878" max="15880" width="20.36328125" style="203" customWidth="1"/>
    <col min="15881" max="15881" width="24.08984375" style="203" customWidth="1"/>
    <col min="15882" max="15882" width="52.54296875" style="203" bestFit="1" customWidth="1"/>
    <col min="15883" max="16081" width="9.08984375" style="203" customWidth="1"/>
    <col min="16082" max="16129" width="0.90625" style="203"/>
    <col min="16130" max="16130" width="6.90625" style="203" customWidth="1"/>
    <col min="16131" max="16131" width="100.90625" style="203" customWidth="1"/>
    <col min="16132" max="16132" width="8.6328125" style="203" bestFit="1" customWidth="1"/>
    <col min="16133" max="16133" width="9.6328125" style="203" bestFit="1" customWidth="1"/>
    <col min="16134" max="16136" width="20.36328125" style="203" customWidth="1"/>
    <col min="16137" max="16137" width="24.08984375" style="203" customWidth="1"/>
    <col min="16138" max="16138" width="52.54296875" style="203" bestFit="1" customWidth="1"/>
    <col min="16139" max="16337" width="9.08984375" style="203" customWidth="1"/>
    <col min="16338" max="16384" width="0.90625" style="203"/>
  </cols>
  <sheetData>
    <row r="1" spans="2:10" ht="19.5" x14ac:dyDescent="0.35">
      <c r="B1" s="330" t="s">
        <v>317</v>
      </c>
      <c r="C1" s="330"/>
      <c r="D1" s="330"/>
      <c r="E1" s="330"/>
      <c r="F1" s="330"/>
      <c r="G1" s="330"/>
      <c r="H1" s="201"/>
      <c r="J1" s="201"/>
    </row>
    <row r="2" spans="2:10" x14ac:dyDescent="0.35">
      <c r="B2" s="331" t="s">
        <v>318</v>
      </c>
      <c r="C2" s="331"/>
      <c r="D2" s="331"/>
      <c r="E2" s="331"/>
      <c r="F2" s="331"/>
      <c r="G2" s="331"/>
      <c r="H2" s="201"/>
      <c r="J2" s="201"/>
    </row>
    <row r="3" spans="2:10" x14ac:dyDescent="0.35">
      <c r="B3" s="204" t="s">
        <v>230</v>
      </c>
      <c r="C3" s="205"/>
      <c r="D3" s="206"/>
      <c r="E3" s="206"/>
      <c r="F3" s="206"/>
      <c r="G3" s="206"/>
      <c r="H3" s="201"/>
      <c r="J3" s="201"/>
    </row>
    <row r="4" spans="2:10" ht="16.5" customHeight="1" x14ac:dyDescent="0.35">
      <c r="B4" s="207"/>
      <c r="C4" s="208"/>
      <c r="D4" s="209"/>
      <c r="E4" s="209"/>
      <c r="F4" s="209"/>
      <c r="G4" s="209"/>
      <c r="H4" s="201"/>
      <c r="J4" s="201"/>
    </row>
    <row r="5" spans="2:10" ht="58.5" customHeight="1" x14ac:dyDescent="0.35">
      <c r="B5" s="210" t="s">
        <v>231</v>
      </c>
      <c r="C5" s="210" t="s">
        <v>232</v>
      </c>
      <c r="D5" s="210" t="s">
        <v>233</v>
      </c>
      <c r="E5" s="210" t="s">
        <v>234</v>
      </c>
      <c r="F5" s="210" t="s">
        <v>235</v>
      </c>
      <c r="G5" s="210" t="s">
        <v>236</v>
      </c>
      <c r="H5" s="210" t="s">
        <v>237</v>
      </c>
      <c r="I5" s="211" t="s">
        <v>238</v>
      </c>
      <c r="J5" s="210" t="s">
        <v>239</v>
      </c>
    </row>
    <row r="6" spans="2:10" s="218" customFormat="1" ht="21" customHeight="1" x14ac:dyDescent="0.3">
      <c r="B6" s="212" t="s">
        <v>240</v>
      </c>
      <c r="C6" s="213" t="s">
        <v>241</v>
      </c>
      <c r="D6" s="212"/>
      <c r="E6" s="214"/>
      <c r="F6" s="215"/>
      <c r="G6" s="215"/>
      <c r="H6" s="212"/>
      <c r="I6" s="216"/>
      <c r="J6" s="217"/>
    </row>
    <row r="7" spans="2:10" s="201" customFormat="1" ht="13" x14ac:dyDescent="0.35">
      <c r="B7" s="219" t="s">
        <v>257</v>
      </c>
      <c r="C7" s="232" t="s">
        <v>258</v>
      </c>
      <c r="D7" s="221"/>
      <c r="E7" s="233"/>
      <c r="F7" s="234"/>
      <c r="G7" s="238"/>
      <c r="H7" s="236"/>
      <c r="I7" s="222"/>
      <c r="J7" s="223"/>
    </row>
    <row r="8" spans="2:10" s="231" customFormat="1" ht="13" x14ac:dyDescent="0.35">
      <c r="B8" s="274">
        <v>1</v>
      </c>
      <c r="C8" s="275" t="s">
        <v>260</v>
      </c>
      <c r="D8" s="276" t="s">
        <v>245</v>
      </c>
      <c r="E8" s="277">
        <v>90</v>
      </c>
      <c r="F8" s="278">
        <v>103950</v>
      </c>
      <c r="G8" s="278">
        <v>20000</v>
      </c>
      <c r="H8" s="279">
        <f t="shared" ref="H8:H9" si="0">F8+G8</f>
        <v>123950</v>
      </c>
      <c r="I8" s="279">
        <f>E8*H8</f>
        <v>11155500</v>
      </c>
      <c r="J8" s="280"/>
    </row>
    <row r="9" spans="2:10" s="231" customFormat="1" ht="13" x14ac:dyDescent="0.35">
      <c r="B9" s="274">
        <v>2</v>
      </c>
      <c r="C9" s="275" t="s">
        <v>261</v>
      </c>
      <c r="D9" s="276" t="s">
        <v>245</v>
      </c>
      <c r="E9" s="277">
        <v>32</v>
      </c>
      <c r="F9" s="278">
        <v>210000</v>
      </c>
      <c r="G9" s="278">
        <v>20000</v>
      </c>
      <c r="H9" s="279">
        <f t="shared" si="0"/>
        <v>230000</v>
      </c>
      <c r="I9" s="279">
        <f>E9*H9</f>
        <v>7360000</v>
      </c>
      <c r="J9" s="280"/>
    </row>
    <row r="10" spans="2:10" s="201" customFormat="1" ht="13" x14ac:dyDescent="0.35">
      <c r="B10" s="219" t="s">
        <v>262</v>
      </c>
      <c r="C10" s="232" t="s">
        <v>263</v>
      </c>
      <c r="D10" s="221"/>
      <c r="E10" s="233"/>
      <c r="F10" s="234"/>
      <c r="G10" s="238"/>
      <c r="H10" s="236"/>
      <c r="I10" s="222"/>
      <c r="J10" s="223"/>
    </row>
    <row r="11" spans="2:10" s="231" customFormat="1" ht="13" x14ac:dyDescent="0.35">
      <c r="B11" s="274">
        <v>1</v>
      </c>
      <c r="C11" s="275" t="s">
        <v>319</v>
      </c>
      <c r="D11" s="276" t="s">
        <v>245</v>
      </c>
      <c r="E11" s="277">
        <v>6</v>
      </c>
      <c r="F11" s="278">
        <v>110000</v>
      </c>
      <c r="G11" s="278">
        <v>20000</v>
      </c>
      <c r="H11" s="279">
        <f t="shared" ref="H11:H12" si="1">F11+G11</f>
        <v>130000</v>
      </c>
      <c r="I11" s="279">
        <f>E11*H11</f>
        <v>780000</v>
      </c>
      <c r="J11" s="280"/>
    </row>
    <row r="12" spans="2:10" s="231" customFormat="1" ht="13" x14ac:dyDescent="0.35">
      <c r="B12" s="274">
        <v>2</v>
      </c>
      <c r="C12" s="281" t="s">
        <v>320</v>
      </c>
      <c r="D12" s="276" t="s">
        <v>245</v>
      </c>
      <c r="E12" s="277">
        <v>88</v>
      </c>
      <c r="F12" s="278">
        <v>110000</v>
      </c>
      <c r="G12" s="278">
        <v>20000</v>
      </c>
      <c r="H12" s="279">
        <f t="shared" si="1"/>
        <v>130000</v>
      </c>
      <c r="I12" s="279">
        <f>E12*H12</f>
        <v>11440000</v>
      </c>
      <c r="J12" s="280"/>
    </row>
    <row r="13" spans="2:10" s="201" customFormat="1" ht="13" x14ac:dyDescent="0.35">
      <c r="B13" s="240" t="s">
        <v>266</v>
      </c>
      <c r="C13" s="220" t="s">
        <v>267</v>
      </c>
      <c r="D13" s="221"/>
      <c r="E13" s="241"/>
      <c r="F13" s="242"/>
      <c r="G13" s="242"/>
      <c r="H13" s="236"/>
      <c r="I13" s="222"/>
      <c r="J13" s="223"/>
    </row>
    <row r="14" spans="2:10" s="231" customFormat="1" ht="13" x14ac:dyDescent="0.35">
      <c r="B14" s="282">
        <v>1</v>
      </c>
      <c r="C14" s="283" t="s">
        <v>270</v>
      </c>
      <c r="D14" s="276" t="s">
        <v>269</v>
      </c>
      <c r="E14" s="277">
        <v>325</v>
      </c>
      <c r="F14" s="278">
        <v>65000</v>
      </c>
      <c r="G14" s="284">
        <v>18000</v>
      </c>
      <c r="H14" s="279">
        <f t="shared" ref="H14:H15" si="2">F14+G14</f>
        <v>83000</v>
      </c>
      <c r="I14" s="279">
        <f>E14*H14</f>
        <v>26975000</v>
      </c>
      <c r="J14" s="280"/>
    </row>
    <row r="15" spans="2:10" s="231" customFormat="1" ht="13" x14ac:dyDescent="0.35">
      <c r="B15" s="282">
        <v>2</v>
      </c>
      <c r="C15" s="283" t="s">
        <v>271</v>
      </c>
      <c r="D15" s="276" t="s">
        <v>269</v>
      </c>
      <c r="E15" s="277">
        <v>924</v>
      </c>
      <c r="F15" s="278">
        <v>145000</v>
      </c>
      <c r="G15" s="284">
        <v>16500</v>
      </c>
      <c r="H15" s="279">
        <f t="shared" si="2"/>
        <v>161500</v>
      </c>
      <c r="I15" s="279">
        <f>E15*H15</f>
        <v>149226000</v>
      </c>
      <c r="J15" s="280"/>
    </row>
    <row r="16" spans="2:10" s="218" customFormat="1" ht="21" customHeight="1" x14ac:dyDescent="0.3">
      <c r="B16" s="212" t="s">
        <v>272</v>
      </c>
      <c r="C16" s="213" t="s">
        <v>273</v>
      </c>
      <c r="D16" s="212"/>
      <c r="E16" s="214"/>
      <c r="F16" s="215"/>
      <c r="G16" s="215"/>
      <c r="H16" s="212"/>
      <c r="I16" s="216"/>
      <c r="J16" s="217"/>
    </row>
    <row r="17" spans="1:10" s="201" customFormat="1" ht="13" x14ac:dyDescent="0.35">
      <c r="B17" s="240" t="s">
        <v>246</v>
      </c>
      <c r="C17" s="220" t="s">
        <v>278</v>
      </c>
      <c r="D17" s="221"/>
      <c r="E17" s="241"/>
      <c r="F17" s="242"/>
      <c r="G17" s="242"/>
      <c r="H17" s="236"/>
      <c r="I17" s="222"/>
      <c r="J17" s="223"/>
    </row>
    <row r="18" spans="1:10" s="250" customFormat="1" ht="15.9" customHeight="1" x14ac:dyDescent="0.3">
      <c r="B18" s="285">
        <v>1</v>
      </c>
      <c r="C18" s="275" t="s">
        <v>280</v>
      </c>
      <c r="D18" s="276" t="s">
        <v>245</v>
      </c>
      <c r="E18" s="286">
        <f>E14/3</f>
        <v>108.33333333333333</v>
      </c>
      <c r="F18" s="278">
        <v>10000</v>
      </c>
      <c r="G18" s="278">
        <v>10000</v>
      </c>
      <c r="H18" s="279">
        <f t="shared" ref="H18:H19" si="3">F18+G18</f>
        <v>20000</v>
      </c>
      <c r="I18" s="279">
        <f>E18*H18</f>
        <v>2166666.6666666665</v>
      </c>
      <c r="J18" s="287"/>
    </row>
    <row r="19" spans="1:10" s="250" customFormat="1" ht="15.9" customHeight="1" x14ac:dyDescent="0.3">
      <c r="B19" s="285">
        <v>2</v>
      </c>
      <c r="C19" s="275" t="s">
        <v>281</v>
      </c>
      <c r="D19" s="276" t="s">
        <v>245</v>
      </c>
      <c r="E19" s="286">
        <f>E15/3</f>
        <v>308</v>
      </c>
      <c r="F19" s="278">
        <v>15000</v>
      </c>
      <c r="G19" s="278">
        <v>10000</v>
      </c>
      <c r="H19" s="279">
        <f t="shared" si="3"/>
        <v>25000</v>
      </c>
      <c r="I19" s="279">
        <f>E19*H19</f>
        <v>7700000</v>
      </c>
      <c r="J19" s="287"/>
    </row>
    <row r="20" spans="1:10" s="218" customFormat="1" ht="21" customHeight="1" x14ac:dyDescent="0.3">
      <c r="B20" s="212" t="s">
        <v>294</v>
      </c>
      <c r="C20" s="213" t="s">
        <v>295</v>
      </c>
      <c r="D20" s="212"/>
      <c r="E20" s="214"/>
      <c r="F20" s="256"/>
      <c r="G20" s="256"/>
      <c r="H20" s="257"/>
      <c r="I20" s="216"/>
      <c r="J20" s="217"/>
    </row>
    <row r="21" spans="1:10" s="250" customFormat="1" ht="15.9" customHeight="1" x14ac:dyDescent="0.3">
      <c r="B21" s="285">
        <v>1</v>
      </c>
      <c r="C21" s="288" t="s">
        <v>306</v>
      </c>
      <c r="D21" s="276" t="s">
        <v>287</v>
      </c>
      <c r="E21" s="276">
        <v>1</v>
      </c>
      <c r="F21" s="278"/>
      <c r="G21" s="278">
        <v>15000000</v>
      </c>
      <c r="H21" s="279">
        <f t="shared" ref="H21" si="4">F21+G21</f>
        <v>15000000</v>
      </c>
      <c r="I21" s="279">
        <f>E21*H21</f>
        <v>15000000</v>
      </c>
      <c r="J21" s="287"/>
    </row>
    <row r="22" spans="1:10" s="218" customFormat="1" ht="26.25" customHeight="1" x14ac:dyDescent="0.3">
      <c r="B22" s="259"/>
      <c r="C22" s="260"/>
      <c r="D22" s="259"/>
      <c r="E22" s="261"/>
      <c r="F22" s="262"/>
      <c r="G22" s="262"/>
      <c r="H22" s="263"/>
      <c r="I22" s="289">
        <f>SUM(I6:I21)</f>
        <v>231803166.66666666</v>
      </c>
      <c r="J22" s="265"/>
    </row>
    <row r="23" spans="1:10" s="202" customFormat="1" ht="13" x14ac:dyDescent="0.35">
      <c r="A23" s="201"/>
      <c r="B23" s="201"/>
      <c r="C23" s="266"/>
      <c r="D23" s="201"/>
      <c r="E23" s="201"/>
      <c r="F23" s="201"/>
      <c r="G23" s="201"/>
      <c r="J23" s="201"/>
    </row>
    <row r="26" spans="1:10" x14ac:dyDescent="0.35">
      <c r="H26" s="268" t="s">
        <v>307</v>
      </c>
      <c r="I26" s="269">
        <f>I22/19</f>
        <v>12200166.666666666</v>
      </c>
    </row>
  </sheetData>
  <mergeCells count="2">
    <mergeCell ref="B1:G1"/>
    <mergeCell ref="B2:G2"/>
  </mergeCells>
  <pageMargins left="0.70866141732283472" right="0.70866141732283472" top="0.35433070866141736" bottom="0.74803149606299213" header="0.31496062992125984" footer="0.31496062992125984"/>
  <pageSetup paperSize="8" scale="72" fitToHeight="0" orientation="landscape" r:id="rId1"/>
  <headerFooter>
    <oddFooter>&amp;L&amp;"+,Italic"&amp;14PT. Infrastruktur Bisnis Sejahtera&amp;C&amp;"+,Italic"&amp;14Page &amp;P of &amp;N&amp;R&amp;"+,Italic"&amp;14Sign Here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8</vt:i4>
      </vt:variant>
    </vt:vector>
  </HeadingPairs>
  <TitlesOfParts>
    <vt:vector size="15" baseType="lpstr">
      <vt:lpstr>Summary</vt:lpstr>
      <vt:lpstr>IRR</vt:lpstr>
      <vt:lpstr>Parameter</vt:lpstr>
      <vt:lpstr>SummaryBR</vt:lpstr>
      <vt:lpstr>Analisa</vt:lpstr>
      <vt:lpstr>BoQ RECTIFICATION MCP (2)</vt:lpstr>
      <vt:lpstr>BoQ Add Material RECTIFIMCP</vt:lpstr>
      <vt:lpstr>Analisa!Print_Area</vt:lpstr>
      <vt:lpstr>'BoQ Add Material RECTIFIMCP'!Print_Area</vt:lpstr>
      <vt:lpstr>'BoQ RECTIFICATION MCP (2)'!Print_Area</vt:lpstr>
      <vt:lpstr>IRR!Print_Area</vt:lpstr>
      <vt:lpstr>Summary!Print_Area</vt:lpstr>
      <vt:lpstr>SummaryBR!Print_Area</vt:lpstr>
      <vt:lpstr>'BoQ Add Material RECTIFIMCP'!Print_Titles</vt:lpstr>
      <vt:lpstr>'BoQ RECTIFICATION MCP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2024-06-05T13:25:50Z</cp:lastPrinted>
  <dcterms:created xsi:type="dcterms:W3CDTF">2024-01-30T02:49:52Z</dcterms:created>
  <dcterms:modified xsi:type="dcterms:W3CDTF">2024-10-15T06:59:17Z</dcterms:modified>
</cp:coreProperties>
</file>