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St Regis\"/>
    </mc:Choice>
  </mc:AlternateContent>
  <xr:revisionPtr revIDLastSave="0" documentId="13_ncr:1_{6260545C-FF79-4DD1-9827-DF0B696E4195}" xr6:coauthVersionLast="36" xr6:coauthVersionMax="47" xr10:uidLastSave="{00000000-0000-0000-0000-000000000000}"/>
  <bookViews>
    <workbookView xWindow="0" yWindow="0" windowWidth="19200" windowHeight="7550" tabRatio="919" firstSheet="2" activeTab="2" xr2:uid="{00000000-000D-0000-FFFF-FFFF00000000}"/>
  </bookViews>
  <sheets>
    <sheet name="Summary" sheetId="6" state="hidden" r:id="rId1"/>
    <sheet name="IRR" sheetId="1" state="hidden" r:id="rId2"/>
    <sheet name="Summary (2)" sheetId="19" r:id="rId3"/>
    <sheet name="IRR (2)" sheetId="18" r:id="rId4"/>
    <sheet name="PARAMETER" sheetId="2" r:id="rId5"/>
    <sheet name="SummaryBR" sheetId="16" r:id="rId6"/>
    <sheet name="Analisa" sheetId="17" r:id="rId7"/>
  </sheets>
  <externalReferences>
    <externalReference r:id="rId8"/>
    <externalReference r:id="rId9"/>
    <externalReference r:id="rId10"/>
  </externalReferences>
  <definedNames>
    <definedName name="_xlnm.Print_Area" localSheetId="6">Analisa!$A$2:$F$20</definedName>
    <definedName name="_xlnm.Print_Area" localSheetId="1">IRR!$B$1:$L$50</definedName>
    <definedName name="_xlnm.Print_Area" localSheetId="3">'IRR (2)'!$B$1:$L$53</definedName>
    <definedName name="_xlnm.Print_Area" localSheetId="0">Summary!$B$1:$N$36</definedName>
    <definedName name="_xlnm.Print_Area" localSheetId="2">'Summary (2)'!$B$1:$O$35</definedName>
    <definedName name="_xlnm.Print_Area" localSheetId="5">SummaryBR!$A$1:$D$19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" i="18" l="1"/>
  <c r="L25" i="18" l="1"/>
  <c r="F16" i="17" l="1"/>
  <c r="F17" i="17"/>
  <c r="F18" i="17"/>
  <c r="F12" i="17"/>
  <c r="F13" i="17"/>
  <c r="D13" i="17"/>
  <c r="D14" i="17"/>
  <c r="D15" i="17"/>
  <c r="D16" i="17"/>
  <c r="D17" i="17"/>
  <c r="D18" i="17"/>
  <c r="D12" i="17"/>
  <c r="M7" i="19"/>
  <c r="M6" i="19"/>
  <c r="D14" i="16"/>
  <c r="C14" i="16"/>
  <c r="M12" i="19"/>
  <c r="D8" i="2"/>
  <c r="G48" i="18"/>
  <c r="F38" i="18"/>
  <c r="I18" i="18" l="1"/>
  <c r="N20" i="2" l="1"/>
  <c r="D7" i="2"/>
  <c r="E6" i="2" s="1"/>
  <c r="G17" i="2"/>
  <c r="G16" i="2"/>
  <c r="H15" i="2" s="1"/>
  <c r="F14" i="2"/>
  <c r="F13" i="2"/>
  <c r="G12" i="2" s="1"/>
  <c r="E11" i="2"/>
  <c r="E10" i="2"/>
  <c r="F9" i="2" s="1"/>
  <c r="F11" i="2" s="1"/>
  <c r="E8" i="2" l="1"/>
  <c r="F6" i="2"/>
  <c r="H17" i="2"/>
  <c r="G9" i="2"/>
  <c r="H9" i="2" s="1"/>
  <c r="I9" i="2" s="1"/>
  <c r="J9" i="2" s="1"/>
  <c r="H12" i="2"/>
  <c r="G14" i="2"/>
  <c r="G6" i="2" l="1"/>
  <c r="F8" i="2"/>
  <c r="H14" i="2"/>
  <c r="H6" i="2" l="1"/>
  <c r="H8" i="2"/>
  <c r="G8" i="2"/>
  <c r="G26" i="18"/>
  <c r="J18" i="18"/>
  <c r="K18" i="18" s="1"/>
  <c r="L18" i="18" l="1"/>
  <c r="J19" i="18"/>
  <c r="K19" i="18" s="1"/>
  <c r="I6" i="2"/>
  <c r="J8" i="2" s="1"/>
  <c r="I8" i="2"/>
  <c r="L19" i="18" l="1"/>
  <c r="I12" i="2"/>
  <c r="C5" i="2"/>
  <c r="C20" i="2" s="1"/>
  <c r="I15" i="2"/>
  <c r="C4" i="2"/>
  <c r="D3" i="2" s="1"/>
  <c r="D2" i="2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I17" i="2" l="1"/>
  <c r="I14" i="2"/>
  <c r="D5" i="2"/>
  <c r="D20" i="2" s="1"/>
  <c r="J15" i="2"/>
  <c r="J12" i="2"/>
  <c r="E3" i="2"/>
  <c r="K15" i="2" l="1"/>
  <c r="J14" i="2"/>
  <c r="J17" i="2"/>
  <c r="E5" i="2"/>
  <c r="E20" i="2" s="1"/>
  <c r="G11" i="2"/>
  <c r="K12" i="2"/>
  <c r="L14" i="2" s="1"/>
  <c r="F3" i="2"/>
  <c r="L15" i="2" l="1"/>
  <c r="M17" i="2" s="1"/>
  <c r="M20" i="2" s="1"/>
  <c r="K17" i="2"/>
  <c r="K14" i="2"/>
  <c r="K20" i="2" s="1"/>
  <c r="J33" i="18" s="1"/>
  <c r="R20" i="2"/>
  <c r="F5" i="2"/>
  <c r="F20" i="2" s="1"/>
  <c r="O20" i="2"/>
  <c r="H11" i="2"/>
  <c r="I11" i="2"/>
  <c r="I20" i="2" s="1"/>
  <c r="H33" i="18" s="1"/>
  <c r="G3" i="2"/>
  <c r="L17" i="2" l="1"/>
  <c r="L20" i="2" s="1"/>
  <c r="K33" i="18" s="1"/>
  <c r="S20" i="2"/>
  <c r="H3" i="2"/>
  <c r="H5" i="2" s="1"/>
  <c r="H20" i="2" s="1"/>
  <c r="G33" i="18" s="1"/>
  <c r="G5" i="2"/>
  <c r="G20" i="2" s="1"/>
  <c r="Q20" i="2"/>
  <c r="P20" i="2"/>
  <c r="J11" i="2"/>
  <c r="J20" i="2" s="1"/>
  <c r="I33" i="18" s="1"/>
  <c r="L33" i="18" l="1"/>
  <c r="M10" i="19"/>
  <c r="B24" i="2"/>
  <c r="B27" i="2" s="1"/>
  <c r="G53" i="18"/>
  <c r="G31" i="18" s="1"/>
  <c r="I50" i="18"/>
  <c r="K50" i="18" s="1"/>
  <c r="H49" i="18"/>
  <c r="J49" i="18" s="1"/>
  <c r="K49" i="18" s="1"/>
  <c r="K47" i="18"/>
  <c r="J47" i="18"/>
  <c r="I47" i="18"/>
  <c r="H47" i="18"/>
  <c r="G47" i="18"/>
  <c r="K38" i="18"/>
  <c r="J38" i="18"/>
  <c r="I38" i="18"/>
  <c r="H38" i="18"/>
  <c r="H26" i="18"/>
  <c r="L24" i="18"/>
  <c r="L23" i="18"/>
  <c r="M13" i="19" s="1"/>
  <c r="G20" i="18"/>
  <c r="G27" i="18" s="1"/>
  <c r="F15" i="17"/>
  <c r="D11" i="17"/>
  <c r="F11" i="17" s="1"/>
  <c r="F39" i="18" l="1"/>
  <c r="I26" i="18"/>
  <c r="H48" i="18"/>
  <c r="F14" i="17"/>
  <c r="F20" i="17" s="1"/>
  <c r="F40" i="18" l="1"/>
  <c r="H20" i="18"/>
  <c r="H53" i="18"/>
  <c r="H31" i="18" s="1"/>
  <c r="I48" i="18"/>
  <c r="G28" i="18"/>
  <c r="G29" i="18" s="1"/>
  <c r="G32" i="18" s="1"/>
  <c r="J26" i="18"/>
  <c r="H23" i="1"/>
  <c r="I23" i="1" s="1"/>
  <c r="J23" i="1" s="1"/>
  <c r="K23" i="1" s="1"/>
  <c r="K41" i="2"/>
  <c r="D34" i="2"/>
  <c r="H27" i="18" l="1"/>
  <c r="K26" i="18"/>
  <c r="L26" i="18" s="1"/>
  <c r="I53" i="18"/>
  <c r="I31" i="18" s="1"/>
  <c r="J48" i="18"/>
  <c r="I20" i="18"/>
  <c r="I27" i="18" l="1"/>
  <c r="I28" i="18" s="1"/>
  <c r="I29" i="18" s="1"/>
  <c r="J53" i="18"/>
  <c r="J31" i="18" s="1"/>
  <c r="K48" i="18"/>
  <c r="K53" i="18" s="1"/>
  <c r="K31" i="18" s="1"/>
  <c r="J20" i="18"/>
  <c r="H28" i="18"/>
  <c r="H29" i="18" s="1"/>
  <c r="G16" i="1"/>
  <c r="H16" i="1" s="1"/>
  <c r="I16" i="1" s="1"/>
  <c r="J16" i="1" s="1"/>
  <c r="K16" i="1" s="1"/>
  <c r="L48" i="18" l="1"/>
  <c r="L53" i="18" s="1"/>
  <c r="K20" i="18"/>
  <c r="K27" i="18" s="1"/>
  <c r="K28" i="18" s="1"/>
  <c r="L17" i="18"/>
  <c r="I30" i="18"/>
  <c r="I32" i="18"/>
  <c r="J27" i="18"/>
  <c r="J28" i="18" s="1"/>
  <c r="J29" i="18" s="1"/>
  <c r="H30" i="18"/>
  <c r="H32" i="18"/>
  <c r="L31" i="18"/>
  <c r="K29" i="18" l="1"/>
  <c r="K32" i="18" s="1"/>
  <c r="L20" i="18"/>
  <c r="M15" i="19" s="1"/>
  <c r="J30" i="18"/>
  <c r="J32" i="18"/>
  <c r="L27" i="18"/>
  <c r="L28" i="18" s="1"/>
  <c r="G45" i="1"/>
  <c r="L23" i="1"/>
  <c r="L22" i="1"/>
  <c r="G18" i="1"/>
  <c r="G24" i="1" s="1"/>
  <c r="G25" i="1" s="1"/>
  <c r="K30" i="18" l="1"/>
  <c r="L29" i="18"/>
  <c r="L32" i="18" s="1"/>
  <c r="M14" i="19"/>
  <c r="H18" i="1"/>
  <c r="I18" i="1"/>
  <c r="J18" i="1"/>
  <c r="K18" i="1"/>
  <c r="L30" i="18" l="1"/>
  <c r="F44" i="18" s="1"/>
  <c r="M18" i="19" s="1"/>
  <c r="L18" i="1"/>
  <c r="L21" i="1" l="1"/>
  <c r="K35" i="1"/>
  <c r="J35" i="1"/>
  <c r="H24" i="1" l="1"/>
  <c r="H25" i="1" s="1"/>
  <c r="K24" i="1" l="1"/>
  <c r="K25" i="1" s="1"/>
  <c r="I24" i="1"/>
  <c r="I25" i="1" s="1"/>
  <c r="J24" i="1"/>
  <c r="J25" i="1" s="1"/>
  <c r="L24" i="1" l="1"/>
  <c r="L25" i="1" s="1"/>
  <c r="J26" i="1"/>
  <c r="J27" i="1" s="1"/>
  <c r="K26" i="1"/>
  <c r="K27" i="1" s="1"/>
  <c r="I26" i="1"/>
  <c r="I27" i="1" s="1"/>
  <c r="G50" i="1"/>
  <c r="H46" i="1"/>
  <c r="M10" i="6" l="1"/>
  <c r="I38" i="2"/>
  <c r="F38" i="2"/>
  <c r="I37" i="2"/>
  <c r="H37" i="2"/>
  <c r="F37" i="2"/>
  <c r="G36" i="2"/>
  <c r="J36" i="2" s="1"/>
  <c r="I35" i="2"/>
  <c r="F35" i="2"/>
  <c r="J35" i="2" s="1"/>
  <c r="F34" i="2"/>
  <c r="J34" i="2" s="1"/>
  <c r="J38" i="2" l="1"/>
  <c r="J37" i="2"/>
  <c r="J39" i="2" s="1"/>
  <c r="K39" i="2" s="1"/>
  <c r="K45" i="2" s="1"/>
  <c r="G35" i="1" l="1"/>
  <c r="H35" i="1"/>
  <c r="I35" i="1"/>
  <c r="F35" i="1"/>
  <c r="M8" i="6" l="1"/>
  <c r="B26" i="2" l="1"/>
  <c r="C24" i="2" s="1"/>
  <c r="G30" i="1" l="1"/>
  <c r="C27" i="2"/>
  <c r="D24" i="2"/>
  <c r="H30" i="1" l="1"/>
  <c r="H34" i="18"/>
  <c r="H35" i="18" s="1"/>
  <c r="G34" i="18"/>
  <c r="D27" i="2"/>
  <c r="E24" i="2"/>
  <c r="G35" i="18" l="1"/>
  <c r="G36" i="18" s="1"/>
  <c r="G39" i="18" s="1"/>
  <c r="G40" i="18" s="1"/>
  <c r="I30" i="1"/>
  <c r="H36" i="18"/>
  <c r="H39" i="18" s="1"/>
  <c r="E27" i="2"/>
  <c r="F24" i="2"/>
  <c r="H40" i="18" l="1"/>
  <c r="J30" i="1"/>
  <c r="J34" i="18"/>
  <c r="J35" i="18" s="1"/>
  <c r="J36" i="18" s="1"/>
  <c r="J39" i="18" s="1"/>
  <c r="I34" i="18"/>
  <c r="F27" i="2"/>
  <c r="G24" i="2"/>
  <c r="G27" i="2" s="1"/>
  <c r="K30" i="1" l="1"/>
  <c r="I35" i="18"/>
  <c r="H24" i="2"/>
  <c r="H27" i="2" s="1"/>
  <c r="K34" i="18" l="1"/>
  <c r="G41" i="18"/>
  <c r="H41" i="18"/>
  <c r="I36" i="18"/>
  <c r="I39" i="18" s="1"/>
  <c r="I24" i="2"/>
  <c r="I27" i="2" s="1"/>
  <c r="L34" i="18" l="1"/>
  <c r="I40" i="18"/>
  <c r="K35" i="18"/>
  <c r="K36" i="18" s="1"/>
  <c r="J24" i="2"/>
  <c r="J27" i="2" s="1"/>
  <c r="K39" i="18" l="1"/>
  <c r="L35" i="18"/>
  <c r="L36" i="18" s="1"/>
  <c r="I41" i="18"/>
  <c r="J40" i="18"/>
  <c r="K24" i="2"/>
  <c r="K27" i="2" s="1"/>
  <c r="L39" i="18" l="1"/>
  <c r="F42" i="18"/>
  <c r="M16" i="19" s="1"/>
  <c r="F43" i="18"/>
  <c r="M17" i="19" s="1"/>
  <c r="J41" i="18"/>
  <c r="K40" i="18"/>
  <c r="K41" i="18" s="1"/>
  <c r="J46" i="1"/>
  <c r="K46" i="1" s="1"/>
  <c r="G28" i="1"/>
  <c r="F45" i="18" l="1"/>
  <c r="M19" i="19" s="1"/>
  <c r="H45" i="1"/>
  <c r="H50" i="1" s="1"/>
  <c r="I47" i="1"/>
  <c r="I45" i="1" l="1"/>
  <c r="I50" i="1" s="1"/>
  <c r="I28" i="1" s="1"/>
  <c r="J45" i="1" l="1"/>
  <c r="J50" i="1" s="1"/>
  <c r="J28" i="1" s="1"/>
  <c r="M12" i="6" l="1"/>
  <c r="K45" i="1"/>
  <c r="F36" i="1" l="1"/>
  <c r="K47" i="1"/>
  <c r="K50" i="1" l="1"/>
  <c r="K28" i="1" s="1"/>
  <c r="H28" i="1"/>
  <c r="I44" i="1"/>
  <c r="J44" i="1"/>
  <c r="K44" i="1"/>
  <c r="H26" i="1" l="1"/>
  <c r="H27" i="1" s="1"/>
  <c r="F37" i="1"/>
  <c r="M11" i="6" l="1"/>
  <c r="H29" i="1"/>
  <c r="H31" i="1" s="1"/>
  <c r="I29" i="1"/>
  <c r="G26" i="1"/>
  <c r="H32" i="1" l="1"/>
  <c r="H33" i="1" s="1"/>
  <c r="H36" i="1" s="1"/>
  <c r="L26" i="1"/>
  <c r="L27" i="1" s="1"/>
  <c r="F41" i="1" s="1"/>
  <c r="I31" i="1"/>
  <c r="G29" i="1"/>
  <c r="G31" i="1" s="1"/>
  <c r="G32" i="1" s="1"/>
  <c r="G33" i="1" s="1"/>
  <c r="J29" i="1"/>
  <c r="H44" i="1"/>
  <c r="G44" i="1"/>
  <c r="I32" i="1" l="1"/>
  <c r="I33" i="1" s="1"/>
  <c r="I36" i="1" s="1"/>
  <c r="M16" i="6"/>
  <c r="G36" i="1"/>
  <c r="J31" i="1"/>
  <c r="G37" i="1" l="1"/>
  <c r="J32" i="1"/>
  <c r="J33" i="1" s="1"/>
  <c r="J36" i="1" s="1"/>
  <c r="L28" i="1"/>
  <c r="G38" i="1" l="1"/>
  <c r="H37" i="1"/>
  <c r="H38" i="1" s="1"/>
  <c r="L30" i="1"/>
  <c r="K29" i="1"/>
  <c r="I37" i="1" l="1"/>
  <c r="J37" i="1" s="1"/>
  <c r="J38" i="1" s="1"/>
  <c r="K31" i="1"/>
  <c r="L29" i="1"/>
  <c r="I38" i="1" l="1"/>
  <c r="L31" i="1"/>
  <c r="K32" i="1"/>
  <c r="K33" i="1" s="1"/>
  <c r="K36" i="1" s="1"/>
  <c r="L36" i="1" s="1"/>
  <c r="F40" i="1" l="1"/>
  <c r="F39" i="1"/>
  <c r="K37" i="1"/>
  <c r="K38" i="1" s="1"/>
  <c r="L32" i="1"/>
  <c r="L33" i="1" s="1"/>
  <c r="M14" i="6" l="1"/>
  <c r="M15" i="6"/>
  <c r="F42" i="1"/>
  <c r="M17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33" authorId="0" shapeId="0" xr:uid="{C1FA89FE-681E-48C0-8FAE-AFB4C7772DF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<sst xmlns="http://schemas.openxmlformats.org/spreadsheetml/2006/main" count="385" uniqueCount="225">
  <si>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</si>
  <si>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</si>
  <si>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</si>
  <si>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</si>
  <si>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</si>
  <si>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</si>
  <si>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</si>
  <si>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</si>
  <si>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</si>
  <si>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</si>
  <si>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</si>
  <si>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</si>
  <si>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</si>
  <si>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</si>
  <si>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</si>
  <si>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</si>
  <si>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</si>
  <si>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</si>
  <si>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</si>
  <si>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</si>
  <si>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</si>
  <si>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</si>
  <si>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</si>
  <si>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</si>
  <si>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</si>
  <si>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</si>
  <si>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</si>
  <si>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</si>
  <si>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</si>
  <si>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</si>
  <si>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</si>
  <si>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</si>
  <si>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</si>
  <si>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</si>
  <si>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</si>
  <si>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</si>
  <si>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</si>
  <si>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</si>
  <si>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</si>
  <si>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</si>
  <si>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</si>
  <si>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</si>
  <si>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</si>
  <si>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</si>
  <si>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</si>
  <si>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</si>
  <si>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</si>
  <si>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</si>
  <si>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</si>
  <si>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</si>
  <si>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</si>
  <si>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</si>
  <si>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</si>
  <si>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</si>
  <si>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</si>
  <si>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</si>
  <si>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</si>
  <si>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</si>
  <si>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</si>
  <si>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</si>
  <si>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</si>
  <si>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</si>
  <si>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</si>
  <si>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</si>
  <si>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</si>
  <si>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</si>
  <si>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</si>
  <si>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</si>
  <si>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</si>
  <si>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</si>
  <si>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</si>
  <si>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</si>
  <si>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Capex</t>
  </si>
  <si>
    <t>Total floor</t>
  </si>
  <si>
    <t>Cable FO (Core)</t>
  </si>
  <si>
    <t>Total Opex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</si>
  <si>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</si>
  <si>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</si>
  <si>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</si>
  <si>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</si>
  <si>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</si>
  <si>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</si>
  <si>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</si>
  <si>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</si>
  <si>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</si>
  <si>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Revenue</t>
  </si>
  <si>
    <t>Target Achieved by Commercial:</t>
  </si>
  <si>
    <t xml:space="preserve">Tanggal P&amp;L:  </t>
  </si>
  <si>
    <t>IBS / DAS</t>
  </si>
  <si>
    <t>Prepared by</t>
  </si>
  <si>
    <t>Alfredo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</si>
  <si>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</si>
  <si>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</si>
  <si>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</si>
  <si>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</si>
  <si>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</si>
  <si>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</si>
  <si>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</si>
  <si>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</si>
  <si>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</si>
  <si>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</si>
  <si>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</si>
  <si>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</si>
  <si>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</si>
  <si>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</si>
  <si>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</si>
  <si>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</si>
  <si>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</si>
  <si>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</si>
  <si>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</si>
  <si>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</si>
  <si>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</si>
  <si>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</si>
  <si>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</si>
  <si>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</si>
  <si>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</si>
  <si>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</si>
  <si>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</si>
  <si>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</si>
  <si>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</si>
  <si>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</si>
  <si>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</si>
  <si>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</si>
  <si>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</si>
  <si>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</si>
  <si>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</si>
  <si>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</si>
  <si>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</si>
  <si>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</si>
  <si>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</si>
  <si>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</si>
  <si>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</si>
  <si>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</si>
  <si>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Renewal</t>
  </si>
  <si>
    <t>Operator</t>
  </si>
  <si>
    <t>Lease to BM</t>
  </si>
  <si>
    <t>Erosion</t>
  </si>
  <si>
    <t>Jembatan Merah Plaza</t>
  </si>
  <si>
    <t>Surabaya</t>
  </si>
  <si>
    <t>JL. Taman Jayenggrono 2-4</t>
  </si>
  <si>
    <t>Mall</t>
  </si>
  <si>
    <t>0023/03/IRR/IBC/X/2023</t>
  </si>
  <si>
    <t>JEMBATAN MERAH PLAZA</t>
  </si>
  <si>
    <t xml:space="preserve">Periode </t>
  </si>
  <si>
    <t>Start</t>
  </si>
  <si>
    <t>End</t>
  </si>
  <si>
    <t>Sewa BM</t>
  </si>
  <si>
    <t>Days</t>
  </si>
  <si>
    <t xml:space="preserve">Sewa BM </t>
  </si>
  <si>
    <t>Antisipasi Add Capex and Pole</t>
  </si>
  <si>
    <t>Profit</t>
  </si>
  <si>
    <t>SUMMARY REVIEW</t>
  </si>
  <si>
    <t>Nama Site</t>
  </si>
  <si>
    <t>Alamat Pemilik</t>
  </si>
  <si>
    <t>Nama Pemilik</t>
  </si>
  <si>
    <t>Telp</t>
  </si>
  <si>
    <t>Objek Sewa</t>
  </si>
  <si>
    <t>Scoper of Lease</t>
  </si>
  <si>
    <t>Obyek Sewa</t>
  </si>
  <si>
    <t>Periode Sewa</t>
  </si>
  <si>
    <t xml:space="preserve"> Harga sewa/ masa</t>
  </si>
  <si>
    <t>Harga Sewa/ thn</t>
  </si>
  <si>
    <t>Operator Join</t>
  </si>
  <si>
    <t>Kenaikan/Penurunan Harga</t>
  </si>
  <si>
    <t>Area roof Toop</t>
  </si>
  <si>
    <t>No</t>
  </si>
  <si>
    <t>Keterangan</t>
  </si>
  <si>
    <t>Existing</t>
  </si>
  <si>
    <t>1</t>
  </si>
  <si>
    <t>2</t>
  </si>
  <si>
    <t>3</t>
  </si>
  <si>
    <t>4</t>
  </si>
  <si>
    <t>5</t>
  </si>
  <si>
    <t>6</t>
  </si>
  <si>
    <t>Citra K</t>
  </si>
  <si>
    <t>PERHITUNGAN INTEREST EXPENSE based CAPEX</t>
  </si>
  <si>
    <t>Capex tahun</t>
  </si>
  <si>
    <t>Interest Exp</t>
  </si>
  <si>
    <t>Total COGS Rent</t>
  </si>
  <si>
    <t>Total COGS Others</t>
  </si>
  <si>
    <t>Total Capex New CME</t>
  </si>
  <si>
    <t>Operator join</t>
  </si>
  <si>
    <t>Rev.Change</t>
  </si>
  <si>
    <t>-</t>
  </si>
  <si>
    <t>St Regis</t>
  </si>
  <si>
    <t>Jl. Gatot Subroto No.18, RT.6/RW.1, Daerah Khusus Ibukota Jakarta 12710</t>
  </si>
  <si>
    <t>DKI Jakarta</t>
  </si>
  <si>
    <t>Office dan Hotel</t>
  </si>
  <si>
    <t>0010/IRR/IBC/IV/2024</t>
  </si>
  <si>
    <t>No.</t>
  </si>
  <si>
    <t>Operator TSEL Office &amp; Hotel</t>
  </si>
  <si>
    <t>Operator IOH Office &amp; Hotel</t>
  </si>
  <si>
    <t>Operator XL Office Only</t>
  </si>
  <si>
    <t>Antena Asset Office</t>
  </si>
  <si>
    <t>Antena Asset Hotel</t>
  </si>
  <si>
    <t>2025 IOH</t>
  </si>
  <si>
    <t>St Regis Office and Hotel</t>
  </si>
  <si>
    <t>Capital Place/ St. Regis</t>
  </si>
  <si>
    <t>PT. Mora Telematika Indonesia</t>
  </si>
  <si>
    <t>Jl. Panataran no.9</t>
  </si>
  <si>
    <t>Omni+Pole+RBS</t>
  </si>
  <si>
    <t>27Okt2016 sd 26Okt21 (5th)</t>
  </si>
  <si>
    <t>Penurunan Harga 73,68%</t>
  </si>
  <si>
    <t>27Okt21 sd 26Okt2026 (5thn)</t>
  </si>
  <si>
    <t>St. Regis Office and Hotel</t>
  </si>
  <si>
    <t>Rev Tsel</t>
  </si>
  <si>
    <t>Rev XL</t>
  </si>
  <si>
    <t>Capex DAS Office</t>
  </si>
  <si>
    <t>Capex /antenna Office</t>
  </si>
  <si>
    <t>Tsel 12Jul'23 sd 11Jul'28</t>
  </si>
  <si>
    <t>IOH 21Des'21 sd 20Des'24</t>
  </si>
  <si>
    <t>XL Office Only  8Des'20 sd 7Des'25</t>
  </si>
  <si>
    <t>Tsel 12Jul'18 sd 11Jul'23</t>
  </si>
  <si>
    <t>XL 1Jan'19 sd 7Des'20</t>
  </si>
  <si>
    <t>Rev IOH</t>
  </si>
  <si>
    <t>Optimis &gt;&gt; Jika Sewa BM diperpanjang 5 th, Operator tetap pada Periode Existing MAsing2, maka:</t>
  </si>
  <si>
    <t>OM-IOH</t>
  </si>
  <si>
    <t>OM-Tsel</t>
  </si>
  <si>
    <t>OM-XL</t>
  </si>
  <si>
    <t>Listrik-Tsel</t>
  </si>
  <si>
    <t>Isat 12Jan'17 sd 11Jan'22 Drop</t>
  </si>
  <si>
    <t>BV 31DEs2021 Hotel</t>
  </si>
  <si>
    <t>BV 31DEs2021 Office</t>
  </si>
  <si>
    <t>Total Capex BV 31DEs21</t>
  </si>
  <si>
    <t>BW Tsel 100Mbps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</si>
</sst>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&quot;Rp&quot;* #,##0.00_);_(&quot;Rp&quot;* \(#,##0.00\);_(&quot;Rp&quot;* &quot;-&quot;??_);_(@_)"/>
    <numFmt numFmtId="167" formatCode="_(* #,##0.00_);_(* \(#,##0.00\);_(* &quot;-&quot;??_);_(@_)"/>
    <numFmt numFmtId="168" formatCode="_(* #,##0_);_(* \(#,##0\);_(* &quot;-&quot;??_);_(@_)"/>
    <numFmt numFmtId="169" formatCode="_(* #,##0.0_);_(* \(#,##0.0\);_(* &quot;-&quot;??_);_(@_)"/>
    <numFmt numFmtId="170" formatCode="_-* #,##0.0_-;\-* #,##0.0_-;_-* &quot;-&quot;_-;_-@_-"/>
    <numFmt numFmtId="171" formatCode="_ * #,##0_ ;_ * \-#,##0_ ;_ * &quot;-&quot;_ ;_ @_ "/>
    <numFmt numFmtId="172" formatCode="_(&quot;$&quot;* #,##0.00_);_(&quot;$&quot;* \(#,##0.00\);_(&quot;$&quot;* &quot;-&quot;??_);_(@_)"/>
    <numFmt numFmtId="173" formatCode="_([$Rp-421]* #,##0_);_([$Rp-421]* \(#,##0\);_([$Rp-421]* &quot;-&quot;??_);_(@_)"/>
    <numFmt numFmtId="174" formatCode="[$-C09]dd\-mmm\-yy;@"/>
    <numFmt numFmtId="175" formatCode="#,###&quot;/thn&quot;"/>
    <numFmt numFmtId="176" formatCode="#,###&quot;/pole&quot;"/>
  </numFmts>
  <fonts count="3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2">
    <xf numFmtId="0" fontId="0" fillId="0" borderId="0"/>
    <xf numFmtId="167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0" fillId="0" borderId="0"/>
    <xf numFmtId="0" fontId="25" fillId="0" borderId="0"/>
    <xf numFmtId="167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12" fillId="0" borderId="0" applyFont="0" applyFill="0" applyBorder="0" applyAlignment="0" applyProtection="0"/>
    <xf numFmtId="167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2" fillId="0" borderId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30" fillId="0" borderId="0"/>
    <xf numFmtId="0" fontId="30" fillId="0" borderId="0"/>
    <xf numFmtId="167" fontId="30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31" fillId="0" borderId="0">
      <alignment vertical="center"/>
    </xf>
    <xf numFmtId="171" fontId="30" fillId="0" borderId="0" applyFont="0" applyFill="0" applyBorder="0" applyAlignment="0" applyProtection="0">
      <alignment vertical="center"/>
    </xf>
    <xf numFmtId="172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30" fillId="0" borderId="0"/>
    <xf numFmtId="173" fontId="30" fillId="0" borderId="0"/>
    <xf numFmtId="172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3" fillId="0" borderId="0"/>
    <xf numFmtId="0" fontId="25" fillId="0" borderId="0"/>
    <xf numFmtId="165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</cellStyleXfs>
  <cellXfs count="261">
    <xf numFmtId="0" fontId="0" fillId="0" borderId="0" xfId="0"/>
    <xf numFmtId="0" fontId="13" fillId="0" borderId="0" xfId="0" applyFont="1"/>
    <xf numFmtId="0" fontId="0" fillId="0" borderId="0" xfId="0" applyAlignment="1">
      <alignment vertical="center"/>
    </xf>
    <xf numFmtId="0" fontId="14" fillId="0" borderId="0" xfId="0" applyFont="1"/>
    <xf numFmtId="0" fontId="0" fillId="3" borderId="0" xfId="0" applyFill="1"/>
    <xf numFmtId="9" fontId="15" fillId="0" borderId="0" xfId="2" applyNumberFormat="1" applyFont="1"/>
    <xf numFmtId="10" fontId="15" fillId="0" borderId="0" xfId="2" applyNumberFormat="1" applyFont="1"/>
    <xf numFmtId="0" fontId="0" fillId="0" borderId="1" xfId="0" applyBorder="1"/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7" fontId="19" fillId="0" borderId="0" xfId="1" applyFont="1"/>
    <xf numFmtId="41" fontId="0" fillId="0" borderId="2" xfId="2" applyFont="1" applyBorder="1" applyAlignment="1">
      <alignment vertical="center"/>
    </xf>
    <xf numFmtId="41" fontId="13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6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8" fontId="18" fillId="0" borderId="0" xfId="1" applyNumberFormat="1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8" fontId="0" fillId="0" borderId="0" xfId="0" applyNumberFormat="1" applyAlignment="1">
      <alignment vertical="center"/>
    </xf>
    <xf numFmtId="168" fontId="0" fillId="0" borderId="0" xfId="0" applyNumberFormat="1"/>
    <xf numFmtId="0" fontId="13" fillId="0" borderId="4" xfId="0" applyFont="1" applyBorder="1"/>
    <xf numFmtId="0" fontId="0" fillId="0" borderId="4" xfId="0" applyBorder="1"/>
    <xf numFmtId="168" fontId="13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168" fontId="13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7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3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41" fontId="23" fillId="0" borderId="9" xfId="0" applyNumberFormat="1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9" fontId="23" fillId="0" borderId="11" xfId="1" applyNumberFormat="1" applyFont="1" applyBorder="1"/>
    <xf numFmtId="0" fontId="13" fillId="0" borderId="12" xfId="0" applyFont="1" applyBorder="1"/>
    <xf numFmtId="41" fontId="13" fillId="0" borderId="12" xfId="0" applyNumberFormat="1" applyFont="1" applyBorder="1" applyAlignment="1">
      <alignment vertical="center"/>
    </xf>
    <xf numFmtId="168" fontId="12" fillId="0" borderId="0" xfId="17" applyNumberFormat="1" applyFont="1"/>
    <xf numFmtId="41" fontId="0" fillId="0" borderId="0" xfId="2" applyFont="1" applyAlignment="1">
      <alignment vertical="center"/>
    </xf>
    <xf numFmtId="41" fontId="12" fillId="0" borderId="0" xfId="2" applyFont="1" applyFill="1"/>
    <xf numFmtId="168" fontId="0" fillId="4" borderId="0" xfId="0" applyNumberFormat="1" applyFill="1" applyAlignment="1">
      <alignment vertical="center"/>
    </xf>
    <xf numFmtId="0" fontId="23" fillId="5" borderId="1" xfId="0" applyFont="1" applyFill="1" applyBorder="1" applyAlignment="1">
      <alignment horizontal="center"/>
    </xf>
    <xf numFmtId="0" fontId="16" fillId="5" borderId="0" xfId="0" applyFont="1" applyFill="1"/>
    <xf numFmtId="41" fontId="23" fillId="5" borderId="12" xfId="0" applyNumberFormat="1" applyFont="1" applyFill="1" applyBorder="1" applyAlignment="1">
      <alignment vertical="center"/>
    </xf>
    <xf numFmtId="167" fontId="24" fillId="5" borderId="0" xfId="1" applyFont="1" applyFill="1"/>
    <xf numFmtId="41" fontId="16" fillId="5" borderId="0" xfId="0" applyNumberFormat="1" applyFont="1" applyFill="1" applyBorder="1" applyAlignment="1">
      <alignment vertical="center"/>
    </xf>
    <xf numFmtId="41" fontId="13" fillId="5" borderId="0" xfId="0" applyNumberFormat="1" applyFont="1" applyFill="1" applyAlignment="1">
      <alignment vertical="center"/>
    </xf>
    <xf numFmtId="9" fontId="20" fillId="5" borderId="0" xfId="3" applyFont="1" applyFill="1" applyAlignment="1">
      <alignment vertical="center"/>
    </xf>
    <xf numFmtId="41" fontId="16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7" fontId="0" fillId="5" borderId="2" xfId="1" applyFont="1" applyFill="1" applyBorder="1"/>
    <xf numFmtId="38" fontId="0" fillId="5" borderId="0" xfId="0" applyNumberFormat="1" applyFill="1"/>
    <xf numFmtId="168" fontId="18" fillId="5" borderId="0" xfId="1" applyNumberFormat="1" applyFont="1" applyFill="1"/>
    <xf numFmtId="0" fontId="16" fillId="0" borderId="0" xfId="0" applyFont="1"/>
    <xf numFmtId="41" fontId="23" fillId="0" borderId="4" xfId="0" applyNumberFormat="1" applyFont="1" applyBorder="1"/>
    <xf numFmtId="41" fontId="23" fillId="0" borderId="0" xfId="0" applyNumberFormat="1" applyFont="1" applyBorder="1"/>
    <xf numFmtId="41" fontId="13" fillId="5" borderId="12" xfId="0" applyNumberFormat="1" applyFont="1" applyFill="1" applyBorder="1" applyAlignment="1">
      <alignment vertical="center"/>
    </xf>
    <xf numFmtId="41" fontId="23" fillId="0" borderId="0" xfId="0" applyNumberFormat="1" applyFont="1" applyFill="1" applyBorder="1"/>
    <xf numFmtId="41" fontId="23" fillId="0" borderId="0" xfId="0" applyNumberFormat="1" applyFont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41" fontId="0" fillId="5" borderId="0" xfId="2" applyFont="1" applyFill="1" applyBorder="1"/>
    <xf numFmtId="9" fontId="23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3" fillId="0" borderId="0" xfId="0" applyFont="1" applyBorder="1"/>
    <xf numFmtId="0" fontId="27" fillId="0" borderId="0" xfId="0" applyFont="1"/>
    <xf numFmtId="0" fontId="0" fillId="0" borderId="0" xfId="0" applyFont="1" applyBorder="1"/>
    <xf numFmtId="0" fontId="26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3" fillId="0" borderId="19" xfId="2" applyNumberFormat="1" applyFont="1" applyBorder="1"/>
    <xf numFmtId="9" fontId="13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3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3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3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6" fillId="0" borderId="0" xfId="0" applyFont="1" applyBorder="1" applyAlignment="1"/>
    <xf numFmtId="14" fontId="26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8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8" fontId="0" fillId="0" borderId="0" xfId="19" applyNumberFormat="1" applyFont="1" applyFill="1" applyBorder="1" applyAlignment="1" applyProtection="1">
      <alignment horizontal="center"/>
      <protection locked="0"/>
    </xf>
    <xf numFmtId="168" fontId="0" fillId="0" borderId="0" xfId="19" applyNumberFormat="1" applyFont="1" applyBorder="1"/>
    <xf numFmtId="0" fontId="13" fillId="0" borderId="23" xfId="0" applyFont="1" applyBorder="1" applyAlignment="1">
      <alignment horizontal="left"/>
    </xf>
    <xf numFmtId="0" fontId="0" fillId="0" borderId="23" xfId="0" applyFont="1" applyBorder="1"/>
    <xf numFmtId="0" fontId="13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8" fontId="0" fillId="7" borderId="24" xfId="0" applyNumberFormat="1" applyFill="1" applyBorder="1"/>
    <xf numFmtId="168" fontId="0" fillId="0" borderId="24" xfId="0" applyNumberFormat="1" applyBorder="1" applyAlignment="1">
      <alignment horizontal="center"/>
    </xf>
    <xf numFmtId="168" fontId="0" fillId="0" borderId="24" xfId="1" applyNumberFormat="1" applyFont="1" applyBorder="1"/>
    <xf numFmtId="168" fontId="0" fillId="0" borderId="24" xfId="0" applyNumberFormat="1" applyBorder="1"/>
    <xf numFmtId="168" fontId="0" fillId="8" borderId="24" xfId="1" applyNumberFormat="1" applyFont="1" applyFill="1" applyBorder="1"/>
    <xf numFmtId="41" fontId="13" fillId="0" borderId="18" xfId="2" applyFont="1" applyBorder="1"/>
    <xf numFmtId="170" fontId="13" fillId="0" borderId="22" xfId="2" applyNumberFormat="1" applyFont="1" applyBorder="1"/>
    <xf numFmtId="41" fontId="16" fillId="0" borderId="0" xfId="2" applyFont="1" applyAlignment="1">
      <alignment vertical="center"/>
    </xf>
    <xf numFmtId="9" fontId="0" fillId="0" borderId="0" xfId="0" applyNumberFormat="1"/>
    <xf numFmtId="0" fontId="0" fillId="0" borderId="0" xfId="0" applyAlignment="1">
      <alignment horizontal="left"/>
    </xf>
    <xf numFmtId="0" fontId="25" fillId="0" borderId="24" xfId="34" applyFont="1" applyBorder="1" applyAlignment="1">
      <alignment horizontal="center"/>
    </xf>
    <xf numFmtId="0" fontId="25" fillId="0" borderId="0" xfId="34" applyFont="1" applyBorder="1" applyAlignment="1">
      <alignment horizontal="center"/>
    </xf>
    <xf numFmtId="0" fontId="3" fillId="0" borderId="0" xfId="35"/>
    <xf numFmtId="0" fontId="25" fillId="0" borderId="24" xfId="34" applyFont="1" applyBorder="1"/>
    <xf numFmtId="174" fontId="25" fillId="0" borderId="24" xfId="34" applyNumberFormat="1" applyFont="1" applyBorder="1" applyAlignment="1">
      <alignment horizontal="center"/>
    </xf>
    <xf numFmtId="174" fontId="25" fillId="0" borderId="0" xfId="34" applyNumberFormat="1" applyFont="1" applyBorder="1"/>
    <xf numFmtId="0" fontId="32" fillId="0" borderId="0" xfId="36" applyFont="1" applyBorder="1" applyAlignment="1">
      <alignment horizontal="center"/>
    </xf>
    <xf numFmtId="0" fontId="32" fillId="0" borderId="0" xfId="36" applyFont="1" applyFill="1" applyBorder="1" applyAlignment="1">
      <alignment horizontal="center"/>
    </xf>
    <xf numFmtId="0" fontId="25" fillId="0" borderId="0" xfId="34" applyFont="1" applyBorder="1"/>
    <xf numFmtId="0" fontId="25" fillId="0" borderId="0" xfId="34" applyFont="1"/>
    <xf numFmtId="174" fontId="25" fillId="0" borderId="0" xfId="34" applyNumberFormat="1" applyFont="1"/>
    <xf numFmtId="0" fontId="25" fillId="0" borderId="0" xfId="34" applyFont="1" applyFill="1"/>
    <xf numFmtId="165" fontId="25" fillId="0" borderId="0" xfId="37" applyFont="1" applyFill="1" applyBorder="1"/>
    <xf numFmtId="175" fontId="25" fillId="0" borderId="0" xfId="38" applyNumberFormat="1" applyFont="1" applyFill="1"/>
    <xf numFmtId="165" fontId="25" fillId="0" borderId="0" xfId="34" applyNumberFormat="1" applyFont="1" applyFill="1"/>
    <xf numFmtId="176" fontId="25" fillId="0" borderId="0" xfId="37" applyNumberFormat="1" applyFont="1" applyFill="1"/>
    <xf numFmtId="41" fontId="25" fillId="0" borderId="2" xfId="38" applyFont="1" applyFill="1" applyBorder="1"/>
    <xf numFmtId="0" fontId="33" fillId="9" borderId="24" xfId="0" applyFont="1" applyFill="1" applyBorder="1" applyAlignment="1">
      <alignment horizontal="center"/>
    </xf>
    <xf numFmtId="41" fontId="0" fillId="0" borderId="24" xfId="2" applyFont="1" applyBorder="1"/>
    <xf numFmtId="0" fontId="0" fillId="0" borderId="24" xfId="0" quotePrefix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24" xfId="0" applyBorder="1" applyAlignment="1">
      <alignment horizontal="center"/>
    </xf>
    <xf numFmtId="0" fontId="35" fillId="0" borderId="0" xfId="0" applyFont="1" applyAlignment="1">
      <alignment horizontal="right"/>
    </xf>
    <xf numFmtId="0" fontId="12" fillId="0" borderId="0" xfId="17"/>
    <xf numFmtId="0" fontId="32" fillId="0" borderId="0" xfId="0" applyFont="1"/>
    <xf numFmtId="0" fontId="0" fillId="0" borderId="25" xfId="0" applyBorder="1"/>
    <xf numFmtId="0" fontId="0" fillId="0" borderId="24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41" fontId="0" fillId="0" borderId="0" xfId="39" applyFon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39" applyFont="1" applyBorder="1"/>
    <xf numFmtId="0" fontId="0" fillId="10" borderId="0" xfId="0" applyFill="1"/>
    <xf numFmtId="38" fontId="23" fillId="0" borderId="9" xfId="0" applyNumberFormat="1" applyFont="1" applyBorder="1"/>
    <xf numFmtId="41" fontId="0" fillId="0" borderId="0" xfId="39" applyFont="1" applyBorder="1"/>
    <xf numFmtId="0" fontId="13" fillId="0" borderId="0" xfId="0" applyFont="1" applyAlignment="1">
      <alignment horizontal="right"/>
    </xf>
    <xf numFmtId="0" fontId="0" fillId="0" borderId="3" xfId="0" applyFill="1" applyBorder="1"/>
    <xf numFmtId="0" fontId="0" fillId="0" borderId="3" xfId="0" applyBorder="1"/>
    <xf numFmtId="38" fontId="16" fillId="0" borderId="3" xfId="0" applyNumberFormat="1" applyFont="1" applyBorder="1" applyAlignment="1">
      <alignment vertical="center"/>
    </xf>
    <xf numFmtId="0" fontId="0" fillId="0" borderId="2" xfId="0" applyFill="1" applyBorder="1"/>
    <xf numFmtId="41" fontId="12" fillId="0" borderId="2" xfId="2" applyFont="1" applyFill="1" applyBorder="1"/>
    <xf numFmtId="0" fontId="0" fillId="0" borderId="27" xfId="0" applyFill="1" applyBorder="1"/>
    <xf numFmtId="0" fontId="23" fillId="5" borderId="30" xfId="0" applyFont="1" applyFill="1" applyBorder="1" applyAlignment="1">
      <alignment horizontal="center"/>
    </xf>
    <xf numFmtId="0" fontId="16" fillId="5" borderId="27" xfId="0" applyFont="1" applyFill="1" applyBorder="1"/>
    <xf numFmtId="41" fontId="16" fillId="5" borderId="27" xfId="0" applyNumberFormat="1" applyFont="1" applyFill="1" applyBorder="1"/>
    <xf numFmtId="41" fontId="23" fillId="5" borderId="24" xfId="0" applyNumberFormat="1" applyFont="1" applyFill="1" applyBorder="1" applyAlignment="1">
      <alignment vertical="center"/>
    </xf>
    <xf numFmtId="167" fontId="24" fillId="5" borderId="27" xfId="1" applyFont="1" applyFill="1" applyBorder="1"/>
    <xf numFmtId="41" fontId="16" fillId="5" borderId="27" xfId="0" applyNumberFormat="1" applyFont="1" applyFill="1" applyBorder="1" applyAlignment="1">
      <alignment vertical="center"/>
    </xf>
    <xf numFmtId="41" fontId="13" fillId="5" borderId="24" xfId="0" applyNumberFormat="1" applyFont="1" applyFill="1" applyBorder="1" applyAlignment="1">
      <alignment vertical="center"/>
    </xf>
    <xf numFmtId="41" fontId="13" fillId="5" borderId="27" xfId="0" applyNumberFormat="1" applyFont="1" applyFill="1" applyBorder="1" applyAlignment="1">
      <alignment vertical="center"/>
    </xf>
    <xf numFmtId="9" fontId="20" fillId="5" borderId="27" xfId="3" applyFont="1" applyFill="1" applyBorder="1" applyAlignment="1">
      <alignment vertical="center"/>
    </xf>
    <xf numFmtId="41" fontId="16" fillId="5" borderId="28" xfId="0" applyNumberFormat="1" applyFont="1" applyFill="1" applyBorder="1" applyAlignment="1">
      <alignment vertical="center"/>
    </xf>
    <xf numFmtId="38" fontId="0" fillId="5" borderId="26" xfId="0" applyNumberFormat="1" applyFill="1" applyBorder="1" applyAlignment="1">
      <alignment vertical="center"/>
    </xf>
    <xf numFmtId="41" fontId="0" fillId="5" borderId="28" xfId="2" applyFont="1" applyFill="1" applyBorder="1"/>
    <xf numFmtId="41" fontId="0" fillId="5" borderId="27" xfId="2" applyFont="1" applyFill="1" applyBorder="1"/>
    <xf numFmtId="38" fontId="0" fillId="5" borderId="31" xfId="0" applyNumberFormat="1" applyFill="1" applyBorder="1" applyAlignment="1">
      <alignment vertical="center"/>
    </xf>
    <xf numFmtId="167" fontId="0" fillId="5" borderId="28" xfId="1" applyFont="1" applyFill="1" applyBorder="1"/>
    <xf numFmtId="38" fontId="0" fillId="5" borderId="27" xfId="0" applyNumberFormat="1" applyFill="1" applyBorder="1"/>
    <xf numFmtId="168" fontId="18" fillId="5" borderId="27" xfId="1" applyNumberFormat="1" applyFont="1" applyFill="1" applyBorder="1"/>
    <xf numFmtId="0" fontId="0" fillId="0" borderId="27" xfId="0" applyBorder="1"/>
    <xf numFmtId="0" fontId="0" fillId="0" borderId="27" xfId="0" applyBorder="1" applyAlignment="1">
      <alignment horizontal="center"/>
    </xf>
    <xf numFmtId="0" fontId="23" fillId="0" borderId="30" xfId="0" applyFont="1" applyFill="1" applyBorder="1" applyAlignment="1">
      <alignment horizontal="center"/>
    </xf>
    <xf numFmtId="41" fontId="23" fillId="0" borderId="27" xfId="0" applyNumberFormat="1" applyFont="1" applyFill="1" applyBorder="1" applyAlignment="1">
      <alignment vertical="center"/>
    </xf>
    <xf numFmtId="168" fontId="0" fillId="0" borderId="27" xfId="0" applyNumberFormat="1" applyBorder="1" applyAlignment="1">
      <alignment vertical="center"/>
    </xf>
    <xf numFmtId="168" fontId="13" fillId="0" borderId="32" xfId="0" applyNumberFormat="1" applyFont="1" applyBorder="1" applyAlignment="1">
      <alignment vertical="center"/>
    </xf>
    <xf numFmtId="38" fontId="23" fillId="0" borderId="18" xfId="2" applyNumberFormat="1" applyFont="1" applyBorder="1"/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41" fontId="23" fillId="0" borderId="33" xfId="0" applyNumberFormat="1" applyFont="1" applyBorder="1"/>
    <xf numFmtId="0" fontId="0" fillId="0" borderId="3" xfId="0" applyBorder="1" applyAlignment="1">
      <alignment horizontal="center"/>
    </xf>
    <xf numFmtId="41" fontId="13" fillId="0" borderId="3" xfId="2" applyFont="1" applyBorder="1" applyAlignment="1">
      <alignment horizontal="center"/>
    </xf>
    <xf numFmtId="9" fontId="36" fillId="0" borderId="0" xfId="3" applyFont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3" fillId="0" borderId="17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13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3" fillId="0" borderId="20" xfId="0" applyFont="1" applyFill="1" applyBorder="1" applyAlignment="1" applyProtection="1">
      <alignment horizontal="left" indent="1"/>
    </xf>
    <xf numFmtId="0" fontId="13" fillId="0" borderId="0" xfId="0" applyFont="1" applyFill="1" applyBorder="1" applyAlignment="1" applyProtection="1">
      <alignment horizontal="left" indent="1"/>
    </xf>
    <xf numFmtId="0" fontId="13" fillId="0" borderId="21" xfId="0" applyFont="1" applyFill="1" applyBorder="1" applyAlignment="1" applyProtection="1">
      <alignment horizontal="left" indent="1"/>
    </xf>
    <xf numFmtId="0" fontId="13" fillId="0" borderId="1" xfId="0" applyFont="1" applyFill="1" applyBorder="1" applyAlignment="1" applyProtection="1">
      <alignment horizontal="left" indent="1"/>
    </xf>
    <xf numFmtId="0" fontId="13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3" fillId="0" borderId="16" xfId="0" applyFont="1" applyFill="1" applyBorder="1" applyAlignment="1" applyProtection="1">
      <alignment horizontal="left" indent="1"/>
    </xf>
    <xf numFmtId="0" fontId="13" fillId="0" borderId="17" xfId="0" applyFont="1" applyFill="1" applyBorder="1" applyAlignment="1" applyProtection="1">
      <alignment horizontal="left" indent="1"/>
    </xf>
    <xf numFmtId="41" fontId="13" fillId="0" borderId="12" xfId="0" applyNumberFormat="1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" fillId="0" borderId="17" xfId="13" applyFont="1" applyBorder="1" applyAlignment="1">
      <alignment horizontal="left" indent="1"/>
    </xf>
    <xf numFmtId="0" fontId="9" fillId="0" borderId="17" xfId="13" applyBorder="1" applyAlignment="1">
      <alignment horizontal="left" indent="1"/>
    </xf>
    <xf numFmtId="0" fontId="0" fillId="0" borderId="18" xfId="0" applyFont="1" applyBorder="1" applyAlignment="1">
      <alignment horizontal="left" vertical="justify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25" fillId="0" borderId="24" xfId="34" applyFont="1" applyBorder="1" applyAlignment="1">
      <alignment horizontal="center"/>
    </xf>
  </cellXfs>
  <cellStyles count="42">
    <cellStyle name="=C:\WINNT35\SYSTEM32\COMMAND.COM" xfId="30" xr:uid="{200B183A-EA3D-43F5-8C07-A1F8841FAAA0}"/>
    <cellStyle name="0,0_x000a__x000a_NA_x000a__x000a_" xfId="31" xr:uid="{9C09A984-6ACF-4F92-89FA-7C861071BC3E}"/>
    <cellStyle name="Comma" xfId="1" builtinId="3"/>
    <cellStyle name="Comma [0]" xfId="2" builtinId="6"/>
    <cellStyle name="Comma [0] 2" xfId="9" xr:uid="{00000000-0005-0000-0000-000002000000}"/>
    <cellStyle name="Comma [0] 3" xfId="26" xr:uid="{CC3C83E2-E4D2-4509-AA61-852D6FEB7857}"/>
    <cellStyle name="Comma [0] 3 2 2" xfId="37" xr:uid="{5AD20F49-6D41-4C55-906F-503FBCB1ADD7}"/>
    <cellStyle name="Comma [0] 3 2 2 2" xfId="38" xr:uid="{E3468FD9-8298-4A26-82E0-A24F0AA740CC}"/>
    <cellStyle name="Comma [0] 4" xfId="39" xr:uid="{B0DE1B1A-246B-4141-AAE1-9FBE95824890}"/>
    <cellStyle name="Comma 2" xfId="7" xr:uid="{00000000-0005-0000-0000-000003000000}"/>
    <cellStyle name="Comma 2 3" xfId="22" xr:uid="{B2E8A81F-FC31-4A36-8EE9-F063B4A55E5E}"/>
    <cellStyle name="Comma 3" xfId="10" xr:uid="{00000000-0005-0000-0000-000004000000}"/>
    <cellStyle name="Comma 3 2" xfId="11" xr:uid="{00000000-0005-0000-0000-000005000000}"/>
    <cellStyle name="Comma 4" xfId="12" xr:uid="{00000000-0005-0000-0000-000006000000}"/>
    <cellStyle name="Comma 5" xfId="18" xr:uid="{ACE2A53B-E5FE-4F73-ADD9-169627CB313D}"/>
    <cellStyle name="Comma 5 2" xfId="19" xr:uid="{DBB744D5-E770-4328-88DD-89F844C5A7AD}"/>
    <cellStyle name="Currency [0] 2" xfId="23" xr:uid="{271EFADE-9CFB-429C-8FE6-D77DC5B2E4E9}"/>
    <cellStyle name="Currency [0] 3" xfId="28" xr:uid="{AFDF2B19-FA17-48C7-ABD2-1819F873BA0B}"/>
    <cellStyle name="Currency [0] 4" xfId="33" xr:uid="{D3F6D3DF-87E4-4A98-A206-7C2EA25B74A0}"/>
    <cellStyle name="Currency 2" xfId="27" xr:uid="{CDBC25C0-25BB-4F1D-AB63-A9175F4237E9}"/>
    <cellStyle name="Currency 3" xfId="32" xr:uid="{C36705CC-D929-4D4A-B89B-EEB533A697CB}"/>
    <cellStyle name="Currency 4" xfId="41" xr:uid="{AA17E993-6A18-412C-A1EC-CBC83C4EF5CA}"/>
    <cellStyle name="Normal" xfId="0" builtinId="0"/>
    <cellStyle name="Normal 2" xfId="5" xr:uid="{00000000-0005-0000-0000-000008000000}"/>
    <cellStyle name="Normal 2 2" xfId="6" xr:uid="{00000000-0005-0000-0000-000009000000}"/>
    <cellStyle name="Normal 2 2 2 2 3" xfId="17" xr:uid="{14775402-98CB-443A-B2F6-42DDCDFB1FF0}"/>
    <cellStyle name="Normal 2 7" xfId="20" xr:uid="{218E9C26-901A-4997-929E-918414F82382}"/>
    <cellStyle name="Normal 3" xfId="13" xr:uid="{00000000-0005-0000-0000-00000A000000}"/>
    <cellStyle name="Normal 3 2" xfId="14" xr:uid="{00000000-0005-0000-0000-00000B000000}"/>
    <cellStyle name="Normal 3 3" xfId="21" xr:uid="{74D2797F-2B28-4FBA-AC0E-EB965329E2EF}"/>
    <cellStyle name="Normal 4" xfId="24" xr:uid="{989437A8-6F5E-40D9-9FDA-F58FB35F477F}"/>
    <cellStyle name="Normal 5" xfId="25" xr:uid="{FD69ED28-DC86-41CA-8C93-7667EABECA1D}"/>
    <cellStyle name="Normal 5 2" xfId="35" xr:uid="{44653900-42A1-4189-AFCB-611852CE85E8}"/>
    <cellStyle name="Normal 6" xfId="29" xr:uid="{315E9113-1BE9-4358-9CA6-FF34F3B5CDA5}"/>
    <cellStyle name="Normal 7" xfId="34" xr:uid="{45BCB5D8-86A6-44BD-A4AD-9D340F8C0291}"/>
    <cellStyle name="Normal 7 3" xfId="36" xr:uid="{1EFEC70C-1770-4C57-9F20-9BDA0F760101}"/>
    <cellStyle name="Normal 8" xfId="40" xr:uid="{5FBB7042-D066-4031-B5EE-983CC8C31125}"/>
    <cellStyle name="Percent" xfId="3" builtinId="5"/>
    <cellStyle name="Percent 2" xfId="8" xr:uid="{00000000-0005-0000-0000-00000D000000}"/>
    <cellStyle name="Percent 2 2" xfId="4" xr:uid="{00000000-0005-0000-0000-00000E000000}"/>
    <cellStyle name="Percent 3" xfId="15" xr:uid="{00000000-0005-0000-0000-00000F000000}"/>
    <cellStyle name="Percent 3 2" xfId="16" xr:uid="{00000000-0005-0000-0000-000010000000}"/>
  </cellStyles>
  <dxfs count="2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195943</xdr:colOff>
      <xdr:row>25</xdr:row>
      <xdr:rowOff>185056</xdr:rowOff>
    </xdr:from>
    <xdr:to>
      <xdr:col>13</xdr:col>
      <xdr:colOff>88272</xdr:colOff>
      <xdr:row>36</xdr:row>
      <xdr:rowOff>16327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7846EB20-F20D-4219-95D5-EF59F2580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943" y="4963885"/>
          <a:ext cx="9417329" cy="19866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8CB4BA14-08B4-4F27-BFD6-73FA9E95BD62}"/>
            </a:ext>
          </a:extLst>
        </xdr:cNvPr>
        <xdr:cNvCxnSpPr/>
      </xdr:nvCxnSpPr>
      <xdr:spPr>
        <a:xfrm flipV="1">
          <a:off x="7463166" y="447610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CE4339BF-91EF-4BB0-BB63-25D271619018}"/>
            </a:ext>
          </a:extLst>
        </xdr:cNvPr>
        <xdr:cNvGrpSpPr/>
      </xdr:nvGrpSpPr>
      <xdr:grpSpPr>
        <a:xfrm>
          <a:off x="611415" y="5471998"/>
          <a:ext cx="8851899" cy="164988"/>
          <a:chOff x="570986" y="5042917"/>
          <a:chExt cx="14774690" cy="343744"/>
        </a:xfrm>
      </xdr:grpSpPr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BC17A938-C4B4-434E-8E44-15B784F4B19B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9C3FFC37-791F-44B4-9BFB-801066657A97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B53486BC-F922-44F4-B1A3-26EEDBEA8279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77AFE947-F068-4086-939D-8F6E247EDD0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3AB51A49-3D02-40C0-A2EB-B43F04D91F24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197EC23E-A4F0-47F8-B4AD-89E1AB24832C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38B98B08-4914-49B4-9015-BD17A2CA131D}"/>
            </a:ext>
          </a:extLst>
        </xdr:cNvPr>
        <xdr:cNvGrpSpPr/>
      </xdr:nvGrpSpPr>
      <xdr:grpSpPr>
        <a:xfrm>
          <a:off x="623161" y="6753608"/>
          <a:ext cx="9049613" cy="174695"/>
          <a:chOff x="722947" y="7327377"/>
          <a:chExt cx="10285884" cy="0"/>
        </a:xfrm>
      </xdr:grpSpPr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7298EBA4-EB5E-4DAD-AE50-E75694E6BFD9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9C3594FD-FD87-4F70-B1BB-D22C8F37A9D7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7FB6E0F9-6DC2-4D80-9E4D-02FBF1E8344D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7D2E61EC-B132-43CF-A16A-173A82FF9E02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663F8799-8FAA-4241-955C-9D5B1D66C0D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418A68E4-361A-45C7-A269-BFCC624C52BE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3F113-01AC-4046-8455-A4AC3771D7B5}">
  <sheetPr codeName="Sheet1">
    <pageSetUpPr fitToPage="1"/>
  </sheetPr>
  <dimension ref="B1:R26"/>
  <sheetViews>
    <sheetView showGridLines="0" zoomScale="70" zoomScaleNormal="70" workbookViewId="0">
      <selection activeCell="M15" sqref="M15"/>
    </sheetView>
  </sheetViews>
  <sheetFormatPr defaultColWidth="8.58203125" defaultRowHeight="15.5" x14ac:dyDescent="0.35"/>
  <cols>
    <col min="1" max="1" width="4.08203125" style="95" customWidth="1"/>
    <col min="2" max="2" width="3" style="95" customWidth="1"/>
    <col min="3" max="3" width="16.58203125" style="95" customWidth="1"/>
    <col min="4" max="4" width="25.5" style="95" customWidth="1"/>
    <col min="5" max="5" width="4.1640625" style="95" customWidth="1"/>
    <col min="6" max="6" width="4.9140625" style="95" customWidth="1"/>
    <col min="7" max="7" width="10.58203125" style="95" customWidth="1"/>
    <col min="8" max="8" width="8.4140625" style="95" customWidth="1"/>
    <col min="9" max="9" width="5.4140625" style="95" customWidth="1"/>
    <col min="10" max="10" width="2.08203125" style="95" customWidth="1"/>
    <col min="11" max="11" width="5.08203125" style="95" customWidth="1"/>
    <col min="12" max="12" width="18.4140625" style="95" bestFit="1" customWidth="1"/>
    <col min="13" max="13" width="16.5" style="95" customWidth="1"/>
    <col min="14" max="14" width="2.08203125" style="95" customWidth="1"/>
    <col min="15" max="15" width="3.58203125" style="95" customWidth="1"/>
    <col min="16" max="16384" width="8.58203125" style="95"/>
  </cols>
  <sheetData>
    <row r="1" spans="2:18" ht="8.4" customHeight="1" x14ac:dyDescent="0.35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2:18" ht="18.5" x14ac:dyDescent="0.45">
      <c r="B2" s="98"/>
      <c r="C2" s="99" t="s">
        <v>54</v>
      </c>
      <c r="D2" s="96" t="s">
        <v>88</v>
      </c>
      <c r="E2" s="98"/>
      <c r="F2" s="98"/>
      <c r="G2" s="98"/>
      <c r="H2" s="98"/>
      <c r="J2" s="122" t="s">
        <v>87</v>
      </c>
      <c r="K2" s="122"/>
      <c r="L2" s="122"/>
      <c r="M2" s="123">
        <v>45216</v>
      </c>
      <c r="N2" s="98"/>
    </row>
    <row r="3" spans="2:18" ht="18.5" x14ac:dyDescent="0.45">
      <c r="B3" s="98"/>
      <c r="C3" s="99" t="s">
        <v>55</v>
      </c>
      <c r="D3" s="96" t="s">
        <v>133</v>
      </c>
      <c r="E3" s="98"/>
      <c r="F3" s="98"/>
      <c r="G3" s="98"/>
      <c r="H3" s="98"/>
      <c r="M3" s="98"/>
      <c r="N3" s="98"/>
    </row>
    <row r="4" spans="2:18" ht="0.9" customHeight="1" thickBot="1" x14ac:dyDescent="0.4">
      <c r="B4" s="98"/>
      <c r="C4" s="96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</row>
    <row r="5" spans="2:18" s="97" customFormat="1" ht="19" thickBot="1" x14ac:dyDescent="0.5">
      <c r="B5" s="229" t="s">
        <v>56</v>
      </c>
      <c r="C5" s="230"/>
      <c r="D5" s="231"/>
      <c r="E5" s="229" t="s">
        <v>57</v>
      </c>
      <c r="F5" s="230"/>
      <c r="G5" s="230"/>
      <c r="H5" s="230"/>
      <c r="I5" s="230"/>
      <c r="J5" s="229" t="s">
        <v>58</v>
      </c>
      <c r="K5" s="230"/>
      <c r="L5" s="230"/>
      <c r="M5" s="230"/>
      <c r="N5" s="231"/>
    </row>
    <row r="6" spans="2:18" x14ac:dyDescent="0.35">
      <c r="B6" s="232" t="s">
        <v>59</v>
      </c>
      <c r="C6" s="233"/>
      <c r="D6" s="112" t="s">
        <v>137</v>
      </c>
      <c r="E6" s="234" t="s">
        <v>60</v>
      </c>
      <c r="F6" s="234"/>
      <c r="G6" s="234"/>
      <c r="H6" s="234"/>
      <c r="I6" s="234"/>
      <c r="J6" s="114"/>
      <c r="K6" s="233" t="s">
        <v>61</v>
      </c>
      <c r="L6" s="233"/>
      <c r="M6" s="124">
        <v>0</v>
      </c>
      <c r="N6" s="112"/>
    </row>
    <row r="7" spans="2:18" x14ac:dyDescent="0.35">
      <c r="B7" s="235" t="s">
        <v>62</v>
      </c>
      <c r="C7" s="236"/>
      <c r="D7" s="125" t="s">
        <v>139</v>
      </c>
      <c r="E7" s="237" t="s">
        <v>63</v>
      </c>
      <c r="F7" s="237"/>
      <c r="G7" s="237"/>
      <c r="H7" s="126">
        <v>0</v>
      </c>
      <c r="I7" s="98"/>
      <c r="J7" s="102"/>
      <c r="K7" s="237" t="s">
        <v>64</v>
      </c>
      <c r="L7" s="237"/>
      <c r="M7" s="127">
        <v>5</v>
      </c>
      <c r="N7" s="100"/>
    </row>
    <row r="8" spans="2:18" x14ac:dyDescent="0.35">
      <c r="B8" s="235"/>
      <c r="C8" s="236"/>
      <c r="D8" s="100"/>
      <c r="E8" s="237" t="s">
        <v>66</v>
      </c>
      <c r="F8" s="237"/>
      <c r="G8" s="237"/>
      <c r="H8" s="126">
        <v>40</v>
      </c>
      <c r="I8" s="98"/>
      <c r="J8" s="102"/>
      <c r="K8" s="237" t="s">
        <v>81</v>
      </c>
      <c r="L8" s="237"/>
      <c r="M8" s="128">
        <f>[2]IRR!F3</f>
        <v>0.1</v>
      </c>
      <c r="N8" s="100"/>
    </row>
    <row r="9" spans="2:18" x14ac:dyDescent="0.35">
      <c r="B9" s="115" t="s">
        <v>65</v>
      </c>
      <c r="C9" s="116"/>
      <c r="D9" s="100" t="s">
        <v>138</v>
      </c>
      <c r="E9" s="237" t="s">
        <v>68</v>
      </c>
      <c r="F9" s="237"/>
      <c r="G9" s="237"/>
      <c r="H9" s="129">
        <v>1</v>
      </c>
      <c r="I9" s="98"/>
      <c r="J9" s="102"/>
      <c r="K9" s="237" t="s">
        <v>69</v>
      </c>
      <c r="L9" s="237"/>
      <c r="M9" s="124">
        <v>0</v>
      </c>
      <c r="N9" s="100"/>
    </row>
    <row r="10" spans="2:18" x14ac:dyDescent="0.35">
      <c r="B10" s="117" t="s">
        <v>67</v>
      </c>
      <c r="C10" s="118"/>
      <c r="D10" s="100" t="s">
        <v>140</v>
      </c>
      <c r="E10" s="238" t="s">
        <v>71</v>
      </c>
      <c r="F10" s="238"/>
      <c r="G10" s="238"/>
      <c r="H10" s="238"/>
      <c r="I10" s="238"/>
      <c r="J10" s="119"/>
      <c r="K10" s="239" t="s">
        <v>72</v>
      </c>
      <c r="L10" s="239"/>
      <c r="M10" s="124">
        <f>SUM(IRR!G9:K10)</f>
        <v>54175085.004166603</v>
      </c>
      <c r="N10" s="100"/>
    </row>
    <row r="11" spans="2:18" x14ac:dyDescent="0.35">
      <c r="B11" s="117" t="s">
        <v>70</v>
      </c>
      <c r="C11" s="118"/>
      <c r="D11" s="100" t="s">
        <v>133</v>
      </c>
      <c r="E11" s="240" t="s">
        <v>74</v>
      </c>
      <c r="F11" s="240"/>
      <c r="G11" s="240"/>
      <c r="H11" s="130">
        <v>0</v>
      </c>
      <c r="I11" s="98"/>
      <c r="J11" s="102"/>
      <c r="K11" s="239" t="s">
        <v>75</v>
      </c>
      <c r="L11" s="239"/>
      <c r="M11" s="124">
        <f>IRR!L25</f>
        <v>499664000</v>
      </c>
      <c r="N11" s="100"/>
    </row>
    <row r="12" spans="2:18" x14ac:dyDescent="0.35">
      <c r="B12" s="120" t="s">
        <v>73</v>
      </c>
      <c r="C12" s="121"/>
      <c r="D12" s="101">
        <v>4</v>
      </c>
      <c r="E12" s="240" t="s">
        <v>77</v>
      </c>
      <c r="F12" s="240"/>
      <c r="G12" s="240"/>
      <c r="H12" s="130">
        <v>0</v>
      </c>
      <c r="I12" s="98"/>
      <c r="J12" s="102"/>
      <c r="K12" s="239" t="s">
        <v>78</v>
      </c>
      <c r="L12" s="239"/>
      <c r="M12" s="124">
        <f>IRR!L18</f>
        <v>677280000</v>
      </c>
      <c r="N12" s="100"/>
    </row>
    <row r="13" spans="2:18" ht="16" thickBot="1" x14ac:dyDescent="0.4">
      <c r="B13" s="120" t="s">
        <v>76</v>
      </c>
      <c r="C13" s="121"/>
      <c r="D13" s="101">
        <v>1</v>
      </c>
      <c r="E13" s="240" t="s">
        <v>79</v>
      </c>
      <c r="F13" s="240"/>
      <c r="G13" s="240"/>
      <c r="H13" s="130">
        <v>0</v>
      </c>
      <c r="I13" s="98"/>
      <c r="J13" s="102"/>
      <c r="K13" s="108"/>
      <c r="L13" s="108"/>
      <c r="M13" s="98"/>
      <c r="N13" s="100"/>
    </row>
    <row r="14" spans="2:18" x14ac:dyDescent="0.35">
      <c r="B14" s="102"/>
      <c r="C14" s="98"/>
      <c r="D14" s="100"/>
      <c r="E14" s="238" t="s">
        <v>80</v>
      </c>
      <c r="F14" s="238"/>
      <c r="G14" s="238"/>
      <c r="H14" s="238"/>
      <c r="I14" s="238"/>
      <c r="J14" s="131"/>
      <c r="K14" s="247" t="s">
        <v>26</v>
      </c>
      <c r="L14" s="248"/>
      <c r="M14" s="103">
        <f>IRR!F39</f>
        <v>0.42223146223165808</v>
      </c>
      <c r="N14" s="100"/>
    </row>
    <row r="15" spans="2:18" x14ac:dyDescent="0.35">
      <c r="B15" s="102"/>
      <c r="C15" s="98"/>
      <c r="D15" s="100"/>
      <c r="E15" s="98"/>
      <c r="F15" s="98"/>
      <c r="G15" s="98"/>
      <c r="H15" s="98"/>
      <c r="I15" s="98"/>
      <c r="J15" s="132"/>
      <c r="K15" s="241" t="s">
        <v>27</v>
      </c>
      <c r="L15" s="242"/>
      <c r="M15" s="146">
        <f>IRR!F40</f>
        <v>51649880.499283373</v>
      </c>
      <c r="N15" s="100"/>
    </row>
    <row r="16" spans="2:18" x14ac:dyDescent="0.35">
      <c r="B16" s="102"/>
      <c r="C16" s="98"/>
      <c r="D16" s="100"/>
      <c r="E16" s="98"/>
      <c r="F16" s="98"/>
      <c r="G16" s="98"/>
      <c r="H16" s="98"/>
      <c r="I16" s="98"/>
      <c r="J16" s="132"/>
      <c r="K16" s="241" t="s">
        <v>28</v>
      </c>
      <c r="L16" s="242"/>
      <c r="M16" s="104">
        <f>IRR!F41</f>
        <v>0.26224899598393575</v>
      </c>
      <c r="N16" s="100"/>
      <c r="R16" s="95" t="s">
        <v>49</v>
      </c>
    </row>
    <row r="17" spans="2:17" ht="16" thickBot="1" x14ac:dyDescent="0.4">
      <c r="B17" s="102"/>
      <c r="C17" s="98"/>
      <c r="D17" s="100"/>
      <c r="E17" s="98"/>
      <c r="F17" s="98"/>
      <c r="G17" s="98"/>
      <c r="H17" s="98"/>
      <c r="I17" s="98"/>
      <c r="J17" s="132"/>
      <c r="K17" s="243" t="s">
        <v>82</v>
      </c>
      <c r="L17" s="244"/>
      <c r="M17" s="147">
        <f>IRR!F42</f>
        <v>2.0329715757777964</v>
      </c>
      <c r="N17" s="100"/>
      <c r="Q17" s="95" t="s">
        <v>49</v>
      </c>
    </row>
    <row r="18" spans="2:17" ht="16" thickBot="1" x14ac:dyDescent="0.4">
      <c r="B18" s="105"/>
      <c r="C18" s="106"/>
      <c r="D18" s="107"/>
      <c r="E18" s="106"/>
      <c r="F18" s="106" t="s">
        <v>49</v>
      </c>
      <c r="G18" s="106"/>
      <c r="H18" s="106"/>
      <c r="I18" s="106"/>
      <c r="J18" s="102"/>
      <c r="K18" s="108"/>
      <c r="L18" s="118"/>
      <c r="M18" s="118"/>
      <c r="N18" s="100"/>
    </row>
    <row r="19" spans="2:17" x14ac:dyDescent="0.35">
      <c r="B19" s="110" t="s">
        <v>86</v>
      </c>
      <c r="C19" s="111"/>
      <c r="D19" s="111"/>
      <c r="E19" s="111"/>
      <c r="F19" s="111"/>
      <c r="G19" s="111"/>
      <c r="H19" s="111"/>
      <c r="I19" s="111"/>
      <c r="J19" s="111"/>
      <c r="L19" s="133" t="s">
        <v>89</v>
      </c>
      <c r="M19" s="111"/>
      <c r="N19" s="112"/>
    </row>
    <row r="20" spans="2:17" x14ac:dyDescent="0.35">
      <c r="B20" s="102" t="s">
        <v>85</v>
      </c>
      <c r="C20" s="98"/>
      <c r="D20" s="98" t="s">
        <v>132</v>
      </c>
      <c r="E20" s="98"/>
      <c r="F20" s="98"/>
      <c r="G20" s="98"/>
      <c r="H20" s="98"/>
      <c r="I20" s="98"/>
      <c r="J20" s="98"/>
      <c r="K20" s="98"/>
      <c r="L20" s="245" t="s">
        <v>90</v>
      </c>
      <c r="M20" s="246"/>
      <c r="N20" s="100"/>
    </row>
    <row r="21" spans="2:17" x14ac:dyDescent="0.35">
      <c r="B21" s="102"/>
      <c r="C21" s="98"/>
      <c r="D21" s="98" t="s">
        <v>132</v>
      </c>
      <c r="E21" s="98"/>
      <c r="F21" s="98"/>
      <c r="G21" s="98"/>
      <c r="H21" s="98"/>
      <c r="I21" s="98"/>
      <c r="J21" s="98"/>
      <c r="K21" s="98"/>
      <c r="L21" s="98"/>
      <c r="M21" s="98"/>
      <c r="N21" s="100"/>
    </row>
    <row r="22" spans="2:17" x14ac:dyDescent="0.35">
      <c r="B22" s="102"/>
      <c r="C22" s="98"/>
      <c r="D22" s="98" t="s">
        <v>132</v>
      </c>
      <c r="E22" s="98"/>
      <c r="F22" s="98"/>
      <c r="G22" s="98"/>
      <c r="H22" s="98"/>
      <c r="I22" s="98"/>
      <c r="J22" s="98"/>
      <c r="K22" s="98"/>
      <c r="L22" s="98"/>
      <c r="M22" s="98"/>
      <c r="N22" s="100"/>
    </row>
    <row r="23" spans="2:17" x14ac:dyDescent="0.35">
      <c r="B23" s="102"/>
      <c r="C23" s="98"/>
      <c r="E23" s="98"/>
      <c r="F23" s="98"/>
      <c r="G23" s="98"/>
      <c r="H23" s="98"/>
      <c r="I23" s="98"/>
      <c r="J23" s="98"/>
      <c r="K23" s="98"/>
      <c r="L23" s="98"/>
      <c r="M23" s="98"/>
      <c r="N23" s="100"/>
    </row>
    <row r="24" spans="2:17" ht="16" thickBot="1" x14ac:dyDescent="0.4">
      <c r="B24" s="105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7"/>
    </row>
    <row r="26" spans="2:17" x14ac:dyDescent="0.35">
      <c r="B26" s="1" t="s">
        <v>91</v>
      </c>
    </row>
  </sheetData>
  <mergeCells count="27">
    <mergeCell ref="K16:L16"/>
    <mergeCell ref="K17:L17"/>
    <mergeCell ref="L20:M20"/>
    <mergeCell ref="E12:G12"/>
    <mergeCell ref="K12:L12"/>
    <mergeCell ref="E13:G13"/>
    <mergeCell ref="E14:I14"/>
    <mergeCell ref="K14:L14"/>
    <mergeCell ref="K15:L15"/>
    <mergeCell ref="E9:G9"/>
    <mergeCell ref="K9:L9"/>
    <mergeCell ref="E10:I10"/>
    <mergeCell ref="K10:L10"/>
    <mergeCell ref="E11:G11"/>
    <mergeCell ref="K11:L11"/>
    <mergeCell ref="B7:C7"/>
    <mergeCell ref="E7:G7"/>
    <mergeCell ref="K7:L7"/>
    <mergeCell ref="B8:C8"/>
    <mergeCell ref="E8:G8"/>
    <mergeCell ref="K8:L8"/>
    <mergeCell ref="B5:D5"/>
    <mergeCell ref="E5:I5"/>
    <mergeCell ref="J5:N5"/>
    <mergeCell ref="B6:C6"/>
    <mergeCell ref="E6:I6"/>
    <mergeCell ref="K6:L6"/>
  </mergeCells>
  <pageMargins left="0.7" right="0.7" top="0.75" bottom="0.75" header="0.3" footer="0.3"/>
  <pageSetup paperSize="9" scale="8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B1:U53"/>
  <sheetViews>
    <sheetView showGridLines="0" zoomScale="86" zoomScaleNormal="86" workbookViewId="0">
      <selection activeCell="G30" sqref="G30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9140625" customWidth="1"/>
    <col min="5" max="5" width="7.1640625" bestFit="1" customWidth="1"/>
    <col min="6" max="6" width="16.9140625" customWidth="1"/>
    <col min="7" max="7" width="17.58203125" style="2" customWidth="1"/>
    <col min="8" max="8" width="17.9140625" customWidth="1"/>
    <col min="9" max="10" width="15.58203125" bestFit="1" customWidth="1"/>
    <col min="11" max="11" width="16" bestFit="1" customWidth="1"/>
    <col min="12" max="12" width="16.58203125" bestFit="1" customWidth="1"/>
    <col min="13" max="13" width="15.9140625" customWidth="1"/>
    <col min="14" max="17" width="15" bestFit="1" customWidth="1"/>
    <col min="18" max="18" width="15.58203125" bestFit="1" customWidth="1"/>
    <col min="19" max="19" width="11.6640625" bestFit="1" customWidth="1"/>
  </cols>
  <sheetData>
    <row r="1" spans="2:21" x14ac:dyDescent="0.35">
      <c r="C1" s="150" t="s">
        <v>141</v>
      </c>
      <c r="L1" s="191" t="s">
        <v>142</v>
      </c>
    </row>
    <row r="2" spans="2:21" x14ac:dyDescent="0.35">
      <c r="B2" s="3" t="s">
        <v>0</v>
      </c>
    </row>
    <row r="3" spans="2:21" x14ac:dyDescent="0.35">
      <c r="C3" t="s">
        <v>1</v>
      </c>
      <c r="F3" s="5">
        <v>0.02</v>
      </c>
      <c r="L3" s="4"/>
      <c r="M3" s="4"/>
      <c r="N3" s="4"/>
    </row>
    <row r="4" spans="2:21" x14ac:dyDescent="0.35">
      <c r="C4" t="s">
        <v>40</v>
      </c>
      <c r="F4" s="5">
        <v>0.1</v>
      </c>
      <c r="L4" s="4"/>
      <c r="M4" s="4"/>
      <c r="N4" s="4"/>
    </row>
    <row r="5" spans="2:21" x14ac:dyDescent="0.35">
      <c r="C5" t="s">
        <v>2</v>
      </c>
      <c r="F5" s="5">
        <v>0.05</v>
      </c>
      <c r="G5" s="2" t="s">
        <v>3</v>
      </c>
      <c r="N5" s="54"/>
      <c r="O5" s="54"/>
      <c r="P5" s="54"/>
      <c r="Q5" s="54"/>
    </row>
    <row r="6" spans="2:21" x14ac:dyDescent="0.35">
      <c r="C6" t="s">
        <v>4</v>
      </c>
      <c r="F6" s="6">
        <v>0</v>
      </c>
      <c r="G6" s="2" t="s">
        <v>3</v>
      </c>
    </row>
    <row r="7" spans="2:21" x14ac:dyDescent="0.35">
      <c r="C7" t="s">
        <v>136</v>
      </c>
      <c r="F7" s="5">
        <v>0.15</v>
      </c>
    </row>
    <row r="8" spans="2:21" x14ac:dyDescent="0.35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25"/>
      <c r="M8" s="41"/>
      <c r="R8" s="41"/>
      <c r="S8" s="41"/>
      <c r="T8" s="41"/>
    </row>
    <row r="9" spans="2:21" s="84" customFormat="1" ht="16" thickBot="1" x14ac:dyDescent="0.4">
      <c r="B9" s="90" t="s">
        <v>47</v>
      </c>
      <c r="E9" s="84" t="s">
        <v>83</v>
      </c>
      <c r="F9" s="89"/>
      <c r="G9" s="85">
        <v>54175085.004166603</v>
      </c>
      <c r="H9" s="85">
        <v>0</v>
      </c>
      <c r="I9" s="85">
        <v>0</v>
      </c>
      <c r="J9" s="85">
        <v>0</v>
      </c>
      <c r="K9" s="85"/>
      <c r="L9" s="88"/>
      <c r="M9" s="86"/>
      <c r="N9"/>
      <c r="O9"/>
      <c r="P9"/>
      <c r="Q9"/>
      <c r="R9" s="86"/>
      <c r="S9" s="86"/>
      <c r="T9" s="86"/>
    </row>
    <row r="10" spans="2:21" s="84" customFormat="1" ht="16" hidden="1" thickTop="1" x14ac:dyDescent="0.35">
      <c r="B10" s="90"/>
      <c r="E10" s="84" t="s">
        <v>84</v>
      </c>
      <c r="F10" s="89"/>
      <c r="G10" s="86"/>
      <c r="H10" s="86"/>
      <c r="I10" s="86"/>
      <c r="J10" s="86"/>
      <c r="K10" s="86"/>
      <c r="L10" s="88"/>
      <c r="M10" s="86"/>
      <c r="N10"/>
      <c r="O10"/>
      <c r="P10"/>
      <c r="Q10"/>
      <c r="R10" s="86"/>
      <c r="S10" s="86"/>
      <c r="T10" s="86"/>
    </row>
    <row r="11" spans="2:21" ht="16" thickTop="1" x14ac:dyDescent="0.35">
      <c r="F11" s="10"/>
      <c r="G11" s="9">
        <v>2024</v>
      </c>
      <c r="H11" s="32">
        <v>2025</v>
      </c>
      <c r="I11" s="9">
        <v>2026</v>
      </c>
      <c r="J11" s="32">
        <v>2027</v>
      </c>
      <c r="K11" s="9">
        <v>2028</v>
      </c>
      <c r="L11" s="25"/>
      <c r="R11" s="40"/>
      <c r="S11" s="40"/>
      <c r="T11" s="40"/>
      <c r="U11" s="40"/>
    </row>
    <row r="12" spans="2:21" ht="16" thickBot="1" x14ac:dyDescent="0.4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8" t="s">
        <v>10</v>
      </c>
      <c r="L12" s="70" t="s">
        <v>12</v>
      </c>
      <c r="M12" s="54"/>
      <c r="N12" s="43"/>
      <c r="O12" s="43"/>
      <c r="P12" s="43"/>
      <c r="Q12" s="43"/>
      <c r="R12" s="54"/>
      <c r="S12" s="40"/>
      <c r="T12" s="40"/>
      <c r="U12" s="40"/>
    </row>
    <row r="13" spans="2:21" x14ac:dyDescent="0.35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71"/>
      <c r="N13" s="45"/>
      <c r="O13" s="45"/>
      <c r="P13" s="45"/>
      <c r="Q13" s="45"/>
    </row>
    <row r="14" spans="2:21" ht="3.65" customHeight="1" x14ac:dyDescent="0.35">
      <c r="L14" s="71"/>
      <c r="N14" s="46"/>
      <c r="O14" s="46"/>
      <c r="P14" s="46"/>
      <c r="Q14" s="46"/>
    </row>
    <row r="15" spans="2:21" x14ac:dyDescent="0.35">
      <c r="B15" s="1" t="s">
        <v>5</v>
      </c>
      <c r="E15" s="17"/>
      <c r="G15" s="18"/>
      <c r="H15" s="148"/>
      <c r="I15" s="19"/>
      <c r="J15" s="19"/>
      <c r="K15" s="19"/>
      <c r="L15" s="71"/>
      <c r="N15" s="43"/>
      <c r="O15" s="43"/>
      <c r="P15" s="43"/>
      <c r="Q15" s="43"/>
    </row>
    <row r="16" spans="2:21" x14ac:dyDescent="0.35">
      <c r="B16" s="1"/>
      <c r="C16" t="s">
        <v>134</v>
      </c>
      <c r="E16" s="17"/>
      <c r="G16" s="148">
        <f>159360000*(1-$F$7)</f>
        <v>135456000</v>
      </c>
      <c r="H16" s="148">
        <f>G16</f>
        <v>135456000</v>
      </c>
      <c r="I16" s="148">
        <f t="shared" ref="I16:K16" si="0">H16</f>
        <v>135456000</v>
      </c>
      <c r="J16" s="148">
        <f t="shared" si="0"/>
        <v>135456000</v>
      </c>
      <c r="K16" s="148">
        <f t="shared" si="0"/>
        <v>135456000</v>
      </c>
      <c r="L16" s="71"/>
      <c r="N16" s="43"/>
      <c r="O16" s="43"/>
      <c r="P16" s="43"/>
      <c r="Q16" s="43"/>
    </row>
    <row r="17" spans="2:19" ht="1.75" customHeight="1" x14ac:dyDescent="0.35">
      <c r="B17" s="1"/>
      <c r="E17" s="17"/>
      <c r="G17" s="148"/>
      <c r="H17" s="148"/>
      <c r="I17" s="148"/>
      <c r="J17" s="148"/>
      <c r="K17" s="148"/>
      <c r="L17" s="71"/>
      <c r="N17" s="47"/>
      <c r="O17" s="47"/>
      <c r="P17" s="47"/>
      <c r="Q17" s="47"/>
    </row>
    <row r="18" spans="2:19" x14ac:dyDescent="0.35">
      <c r="B18" s="64" t="s">
        <v>131</v>
      </c>
      <c r="C18" s="64"/>
      <c r="D18" s="64"/>
      <c r="E18" s="249"/>
      <c r="F18" s="250"/>
      <c r="G18" s="65">
        <f>SUM(G16:G17)</f>
        <v>135456000</v>
      </c>
      <c r="H18" s="65">
        <f>SUM(H16:H17)</f>
        <v>135456000</v>
      </c>
      <c r="I18" s="65">
        <f>SUM(I16:I17)</f>
        <v>135456000</v>
      </c>
      <c r="J18" s="65">
        <f>SUM(J16:J17)</f>
        <v>135456000</v>
      </c>
      <c r="K18" s="65">
        <f>SUM(K16:K17)</f>
        <v>135456000</v>
      </c>
      <c r="L18" s="72">
        <f>SUM(G18:K18)</f>
        <v>677280000</v>
      </c>
      <c r="M18" s="43"/>
      <c r="N18" s="48"/>
      <c r="O18" s="48"/>
      <c r="P18" s="48"/>
      <c r="Q18" s="48"/>
      <c r="R18" s="43"/>
      <c r="S18" s="45"/>
    </row>
    <row r="19" spans="2:19" ht="3" customHeight="1" x14ac:dyDescent="0.35">
      <c r="L19" s="71"/>
      <c r="M19" s="45"/>
      <c r="N19" s="48"/>
      <c r="O19" s="48"/>
      <c r="P19" s="48"/>
      <c r="Q19" s="48"/>
      <c r="R19" s="45"/>
      <c r="S19" s="45"/>
    </row>
    <row r="20" spans="2:19" x14ac:dyDescent="0.35">
      <c r="B20" s="1" t="s">
        <v>14</v>
      </c>
      <c r="E20" s="17"/>
      <c r="F20" s="17"/>
      <c r="G20" s="18"/>
      <c r="H20" s="17"/>
      <c r="I20" s="19"/>
      <c r="J20" s="19"/>
      <c r="K20" s="19"/>
      <c r="L20" s="73"/>
      <c r="M20" s="46"/>
      <c r="N20" s="50"/>
      <c r="O20" s="50"/>
      <c r="P20" s="50"/>
      <c r="Q20" s="50"/>
      <c r="R20" s="45"/>
      <c r="S20" s="45"/>
    </row>
    <row r="21" spans="2:19" x14ac:dyDescent="0.35">
      <c r="C21" t="s">
        <v>135</v>
      </c>
      <c r="E21" s="149"/>
      <c r="G21" s="13">
        <v>25000000</v>
      </c>
      <c r="H21" s="13">
        <v>25000000</v>
      </c>
      <c r="I21" s="13">
        <v>25000000</v>
      </c>
      <c r="J21" s="13">
        <v>25000000</v>
      </c>
      <c r="K21" s="13">
        <v>25000000</v>
      </c>
      <c r="L21" s="74">
        <f>SUM(G21:K21)</f>
        <v>125000000</v>
      </c>
      <c r="M21" s="43" t="s">
        <v>49</v>
      </c>
      <c r="N21" s="43"/>
      <c r="O21" s="43"/>
      <c r="P21" s="43"/>
      <c r="Q21" s="43"/>
      <c r="R21" s="44"/>
      <c r="S21" s="45"/>
    </row>
    <row r="22" spans="2:19" x14ac:dyDescent="0.35">
      <c r="C22" t="s">
        <v>15</v>
      </c>
      <c r="F22" s="113"/>
      <c r="G22" s="13">
        <v>36000000</v>
      </c>
      <c r="H22" s="13">
        <v>36000000</v>
      </c>
      <c r="I22" s="13">
        <v>36000000</v>
      </c>
      <c r="J22" s="13">
        <v>36000000</v>
      </c>
      <c r="K22" s="13">
        <v>36000000</v>
      </c>
      <c r="L22" s="74">
        <f>SUM(G22:K22)</f>
        <v>180000000</v>
      </c>
      <c r="M22" s="43"/>
      <c r="N22" s="51"/>
      <c r="O22" s="51"/>
      <c r="P22" s="51"/>
      <c r="Q22" s="51"/>
      <c r="R22" s="44"/>
      <c r="S22" s="45"/>
    </row>
    <row r="23" spans="2:19" x14ac:dyDescent="0.35">
      <c r="C23" t="s">
        <v>41</v>
      </c>
      <c r="G23" s="109">
        <v>32160000</v>
      </c>
      <c r="H23" s="109">
        <f>G23</f>
        <v>32160000</v>
      </c>
      <c r="I23" s="109">
        <f t="shared" ref="I23:K23" si="1">H23</f>
        <v>32160000</v>
      </c>
      <c r="J23" s="109">
        <f t="shared" si="1"/>
        <v>32160000</v>
      </c>
      <c r="K23" s="109">
        <f t="shared" si="1"/>
        <v>32160000</v>
      </c>
      <c r="L23" s="74">
        <f t="shared" ref="L23:L24" si="2">SUM(G23:K23)</f>
        <v>160800000</v>
      </c>
      <c r="M23" s="43"/>
      <c r="N23" s="51"/>
      <c r="O23" s="51"/>
      <c r="P23" s="51"/>
      <c r="Q23" s="51"/>
      <c r="R23" s="44"/>
      <c r="S23" s="45"/>
    </row>
    <row r="24" spans="2:19" x14ac:dyDescent="0.35">
      <c r="B24" s="15"/>
      <c r="C24" s="15" t="s">
        <v>2</v>
      </c>
      <c r="D24" s="15"/>
      <c r="E24" s="15"/>
      <c r="F24" s="15"/>
      <c r="G24" s="20">
        <f>G18*$F$5</f>
        <v>6772800</v>
      </c>
      <c r="H24" s="20">
        <f>H18*$F$5</f>
        <v>6772800</v>
      </c>
      <c r="I24" s="20">
        <f>I18*$F$5</f>
        <v>6772800</v>
      </c>
      <c r="J24" s="20">
        <f>J18*$F$5</f>
        <v>6772800</v>
      </c>
      <c r="K24" s="20">
        <f t="shared" ref="K24" si="3">K18*$F$5</f>
        <v>6772800</v>
      </c>
      <c r="L24" s="74">
        <f t="shared" si="2"/>
        <v>33864000</v>
      </c>
      <c r="M24" s="47"/>
      <c r="N24" s="51"/>
      <c r="O24" s="51"/>
      <c r="P24" s="51"/>
      <c r="Q24" s="51"/>
      <c r="R24" s="44"/>
      <c r="S24" s="45"/>
    </row>
    <row r="25" spans="2:19" s="1" customFormat="1" x14ac:dyDescent="0.35">
      <c r="B25" s="64" t="s">
        <v>16</v>
      </c>
      <c r="C25" s="64"/>
      <c r="D25" s="64"/>
      <c r="E25" s="64"/>
      <c r="F25" s="64"/>
      <c r="G25" s="65">
        <f>SUM(G21:G24)</f>
        <v>99932800</v>
      </c>
      <c r="H25" s="65">
        <f t="shared" ref="H25:K25" si="4">SUM(H21:H24)</f>
        <v>99932800</v>
      </c>
      <c r="I25" s="65">
        <f t="shared" si="4"/>
        <v>99932800</v>
      </c>
      <c r="J25" s="65">
        <f t="shared" si="4"/>
        <v>99932800</v>
      </c>
      <c r="K25" s="65">
        <f t="shared" si="4"/>
        <v>99932800</v>
      </c>
      <c r="L25" s="87">
        <f>SUM(L21:L24)</f>
        <v>499664000</v>
      </c>
      <c r="M25" s="48"/>
      <c r="N25" s="53"/>
      <c r="O25" s="53"/>
      <c r="P25" s="53"/>
      <c r="Q25" s="53"/>
      <c r="R25" s="48"/>
      <c r="S25" s="49"/>
    </row>
    <row r="26" spans="2:19" s="1" customFormat="1" x14ac:dyDescent="0.35">
      <c r="B26" s="1" t="s">
        <v>17</v>
      </c>
      <c r="G26" s="21">
        <f>G18-G25</f>
        <v>35523200</v>
      </c>
      <c r="H26" s="21">
        <f>H18-H25</f>
        <v>35523200</v>
      </c>
      <c r="I26" s="21">
        <f t="shared" ref="I26:K26" si="5">I18-I25</f>
        <v>35523200</v>
      </c>
      <c r="J26" s="21">
        <f t="shared" si="5"/>
        <v>35523200</v>
      </c>
      <c r="K26" s="21">
        <f t="shared" si="5"/>
        <v>35523200</v>
      </c>
      <c r="L26" s="75">
        <f>L18-L25</f>
        <v>177616000</v>
      </c>
      <c r="M26" s="48"/>
      <c r="N26" s="51"/>
      <c r="O26" s="51"/>
      <c r="P26" s="51"/>
      <c r="Q26" s="51"/>
      <c r="R26" s="48"/>
      <c r="S26" s="49"/>
    </row>
    <row r="27" spans="2:19" s="1" customFormat="1" x14ac:dyDescent="0.35">
      <c r="B27" s="22" t="s">
        <v>18</v>
      </c>
      <c r="C27" s="23"/>
      <c r="D27" s="23"/>
      <c r="E27" s="23"/>
      <c r="F27" s="23"/>
      <c r="G27" s="24">
        <v>0</v>
      </c>
      <c r="H27" s="24">
        <f>H26/H18</f>
        <v>0.26224899598393575</v>
      </c>
      <c r="I27" s="24">
        <f t="shared" ref="I27:K27" si="6">I26/I18</f>
        <v>0.26224899598393575</v>
      </c>
      <c r="J27" s="24">
        <f t="shared" si="6"/>
        <v>0.26224899598393575</v>
      </c>
      <c r="K27" s="24">
        <f t="shared" si="6"/>
        <v>0.26224899598393575</v>
      </c>
      <c r="L27" s="76">
        <f>L26/L18</f>
        <v>0.26224899598393575</v>
      </c>
      <c r="M27" s="50"/>
      <c r="N27" s="45"/>
      <c r="O27" s="45"/>
      <c r="P27" s="45"/>
      <c r="Q27" s="45"/>
      <c r="R27" s="50"/>
      <c r="S27" s="49"/>
    </row>
    <row r="28" spans="2:19" x14ac:dyDescent="0.35">
      <c r="B28" s="15" t="s">
        <v>19</v>
      </c>
      <c r="C28" s="15"/>
      <c r="D28" s="15"/>
      <c r="E28" s="15"/>
      <c r="F28" s="15"/>
      <c r="G28" s="16">
        <f>G50</f>
        <v>10835017.000833321</v>
      </c>
      <c r="H28" s="16">
        <f>H50</f>
        <v>10835017.000833321</v>
      </c>
      <c r="I28" s="16">
        <f>I50</f>
        <v>10835017.000833321</v>
      </c>
      <c r="J28" s="16">
        <f>J50</f>
        <v>10835017.000833321</v>
      </c>
      <c r="K28" s="16">
        <f>K50</f>
        <v>10835017.000833321</v>
      </c>
      <c r="L28" s="77">
        <f>SUM(G28:K28)</f>
        <v>54175085.004166603</v>
      </c>
      <c r="M28" s="43"/>
      <c r="N28" s="52"/>
      <c r="O28" s="52"/>
      <c r="P28" s="52"/>
      <c r="Q28" s="52"/>
      <c r="R28" s="43"/>
      <c r="S28" s="45"/>
    </row>
    <row r="29" spans="2:19" x14ac:dyDescent="0.35">
      <c r="B29" s="25" t="s">
        <v>20</v>
      </c>
      <c r="G29" s="26">
        <f t="shared" ref="G29:L29" si="7">G26-G28</f>
        <v>24688182.999166679</v>
      </c>
      <c r="H29" s="26">
        <f t="shared" si="7"/>
        <v>24688182.999166679</v>
      </c>
      <c r="I29" s="26">
        <f t="shared" si="7"/>
        <v>24688182.999166679</v>
      </c>
      <c r="J29" s="26">
        <f t="shared" si="7"/>
        <v>24688182.999166679</v>
      </c>
      <c r="K29" s="26">
        <f t="shared" si="7"/>
        <v>24688182.999166679</v>
      </c>
      <c r="L29" s="78">
        <f t="shared" si="7"/>
        <v>123440914.9958334</v>
      </c>
      <c r="M29" s="51"/>
      <c r="N29" s="52"/>
      <c r="O29" s="52"/>
      <c r="P29" s="52"/>
      <c r="Q29" s="52"/>
      <c r="R29" s="51"/>
      <c r="S29" s="45"/>
    </row>
    <row r="30" spans="2:19" x14ac:dyDescent="0.35">
      <c r="B30" s="25" t="s">
        <v>33</v>
      </c>
      <c r="G30" s="68">
        <f>PARAMETER!B27</f>
        <v>6108754.2502083303</v>
      </c>
      <c r="H30" s="68">
        <f>PARAMETER!C27</f>
        <v>10995757.650374994</v>
      </c>
      <c r="I30" s="68">
        <f>PARAMETER!D27</f>
        <v>8552255.9502916634</v>
      </c>
      <c r="J30" s="68">
        <f>PARAMETER!E27</f>
        <v>6108754.2502083313</v>
      </c>
      <c r="K30" s="68">
        <f>PARAMETER!F27</f>
        <v>3665252.5501249991</v>
      </c>
      <c r="L30" s="92">
        <f>SUM(G30:K30)</f>
        <v>35430774.651208311</v>
      </c>
      <c r="M30" s="51"/>
      <c r="N30" s="52"/>
      <c r="O30" s="52"/>
      <c r="P30" s="52"/>
      <c r="Q30" s="52"/>
      <c r="R30" s="51"/>
      <c r="S30" s="45"/>
    </row>
    <row r="31" spans="2:19" x14ac:dyDescent="0.35">
      <c r="B31" s="25" t="s">
        <v>34</v>
      </c>
      <c r="G31" s="68">
        <f t="shared" ref="G31:K31" si="8">G29-G30</f>
        <v>18579428.748958349</v>
      </c>
      <c r="H31" s="68">
        <f t="shared" si="8"/>
        <v>13692425.348791685</v>
      </c>
      <c r="I31" s="68">
        <f t="shared" si="8"/>
        <v>16135927.048875015</v>
      </c>
      <c r="J31" s="68">
        <f t="shared" si="8"/>
        <v>18579428.748958349</v>
      </c>
      <c r="K31" s="68">
        <f t="shared" si="8"/>
        <v>21022930.44904168</v>
      </c>
      <c r="L31" s="92">
        <f>SUM(G31:K31)</f>
        <v>88010140.344625086</v>
      </c>
      <c r="M31" s="51"/>
      <c r="N31" s="31"/>
      <c r="O31" s="31"/>
      <c r="P31" s="31"/>
      <c r="Q31" s="31"/>
      <c r="R31" s="51"/>
      <c r="S31" s="45"/>
    </row>
    <row r="32" spans="2:19" x14ac:dyDescent="0.35">
      <c r="B32" s="15" t="s">
        <v>21</v>
      </c>
      <c r="C32" s="15"/>
      <c r="D32" s="15"/>
      <c r="E32" s="15"/>
      <c r="F32" s="15"/>
      <c r="G32" s="66">
        <f>IF(G31&lt;0,0,G31*$F$3)</f>
        <v>371588.57497916697</v>
      </c>
      <c r="H32" s="66">
        <f t="shared" ref="H32:K32" si="9">IF(H31&lt;0,0,H31*$F$3)</f>
        <v>273848.50697583368</v>
      </c>
      <c r="I32" s="66">
        <f t="shared" si="9"/>
        <v>322718.54097750032</v>
      </c>
      <c r="J32" s="66">
        <f t="shared" si="9"/>
        <v>371588.57497916697</v>
      </c>
      <c r="K32" s="66">
        <f t="shared" si="9"/>
        <v>420458.60898083361</v>
      </c>
      <c r="L32" s="79">
        <f>SUM(G32:K32)</f>
        <v>1760202.8068925014</v>
      </c>
      <c r="M32" s="53"/>
      <c r="R32" s="52"/>
      <c r="S32" s="45"/>
    </row>
    <row r="33" spans="2:19" ht="16" thickBot="1" x14ac:dyDescent="0.4">
      <c r="B33" s="28" t="s">
        <v>48</v>
      </c>
      <c r="C33" s="28"/>
      <c r="D33" s="28"/>
      <c r="E33" s="28"/>
      <c r="F33" s="28"/>
      <c r="G33" s="29">
        <f>G31-G32</f>
        <v>18207840.173979182</v>
      </c>
      <c r="H33" s="29">
        <f t="shared" ref="H33:K33" si="10">H31-H32</f>
        <v>13418576.841815852</v>
      </c>
      <c r="I33" s="29">
        <f t="shared" si="10"/>
        <v>15813208.507897515</v>
      </c>
      <c r="J33" s="29">
        <f t="shared" si="10"/>
        <v>18207840.173979182</v>
      </c>
      <c r="K33" s="29">
        <f t="shared" si="10"/>
        <v>20602471.840060845</v>
      </c>
      <c r="L33" s="80">
        <f>L31-L32</f>
        <v>86249937.537732586</v>
      </c>
      <c r="M33" s="51"/>
      <c r="R33" s="51"/>
      <c r="S33" s="45"/>
    </row>
    <row r="34" spans="2:19" ht="6" customHeight="1" x14ac:dyDescent="0.35">
      <c r="L34" s="71"/>
      <c r="M34" s="45"/>
      <c r="R34" s="45"/>
      <c r="S34" s="45"/>
    </row>
    <row r="35" spans="2:19" x14ac:dyDescent="0.35">
      <c r="B35" s="15" t="s">
        <v>22</v>
      </c>
      <c r="C35" s="15"/>
      <c r="D35" s="15"/>
      <c r="E35" s="15"/>
      <c r="F35" s="30">
        <f t="shared" ref="F35:K35" si="11">-G9+-G10</f>
        <v>-54175085.004166603</v>
      </c>
      <c r="G35" s="30">
        <f t="shared" si="11"/>
        <v>0</v>
      </c>
      <c r="H35" s="30">
        <f t="shared" si="11"/>
        <v>0</v>
      </c>
      <c r="I35" s="30">
        <f t="shared" si="11"/>
        <v>0</v>
      </c>
      <c r="J35" s="30">
        <f t="shared" si="11"/>
        <v>0</v>
      </c>
      <c r="K35" s="30">
        <f t="shared" si="11"/>
        <v>0</v>
      </c>
      <c r="L35" s="81"/>
      <c r="M35" s="52"/>
      <c r="R35" s="52"/>
      <c r="S35" s="45"/>
    </row>
    <row r="36" spans="2:19" x14ac:dyDescent="0.35">
      <c r="B36" t="s">
        <v>23</v>
      </c>
      <c r="F36" s="27">
        <f>F35</f>
        <v>-54175085.004166603</v>
      </c>
      <c r="G36" s="27">
        <f t="shared" ref="G36:I36" si="12">G35+G33+G28</f>
        <v>29042857.174812503</v>
      </c>
      <c r="H36" s="27">
        <f t="shared" si="12"/>
        <v>24253593.842649173</v>
      </c>
      <c r="I36" s="27">
        <f t="shared" si="12"/>
        <v>26648225.508730836</v>
      </c>
      <c r="J36" s="27">
        <f t="shared" ref="J36:K36" si="13">J35+J33+J28</f>
        <v>29042857.174812503</v>
      </c>
      <c r="K36" s="27">
        <f t="shared" si="13"/>
        <v>31437488.840894166</v>
      </c>
      <c r="L36" s="82">
        <f>SUM(F36:K36)</f>
        <v>86249937.537732571</v>
      </c>
      <c r="M36" s="52"/>
      <c r="N36" s="32"/>
      <c r="O36" s="9"/>
      <c r="P36" s="32"/>
      <c r="Q36" s="9"/>
      <c r="R36" s="52"/>
      <c r="S36" s="45"/>
    </row>
    <row r="37" spans="2:19" x14ac:dyDescent="0.35">
      <c r="B37" t="s">
        <v>24</v>
      </c>
      <c r="F37" s="27">
        <f>F36</f>
        <v>-54175085.004166603</v>
      </c>
      <c r="G37" s="27">
        <f>F37+G36</f>
        <v>-25132227.8293541</v>
      </c>
      <c r="H37" s="27">
        <f t="shared" ref="H37:I37" si="14">G37+H36</f>
        <v>-878633.98670492694</v>
      </c>
      <c r="I37" s="27">
        <f t="shared" si="14"/>
        <v>25769591.522025909</v>
      </c>
      <c r="J37" s="27">
        <f t="shared" ref="J37" si="15">I37+J36</f>
        <v>54812448.696838409</v>
      </c>
      <c r="K37" s="27">
        <f t="shared" ref="K37" si="16">J37+K36</f>
        <v>86249937.537732571</v>
      </c>
      <c r="L37" s="82"/>
      <c r="M37" s="52"/>
      <c r="N37" s="34"/>
      <c r="O37" s="34"/>
      <c r="P37" s="34"/>
      <c r="Q37" s="34"/>
      <c r="R37" s="52"/>
      <c r="S37" s="45"/>
    </row>
    <row r="38" spans="2:19" x14ac:dyDescent="0.35">
      <c r="B38" t="s">
        <v>25</v>
      </c>
      <c r="F38" s="27"/>
      <c r="G38" s="31">
        <f>IF(AND(F37&lt;0,G37&gt;0),G43-(G37/G36),0)</f>
        <v>0</v>
      </c>
      <c r="H38" s="31">
        <f t="shared" ref="H38:K38" si="17">IF(AND(G37&lt;0,H37&gt;0),H43-(H37/H36),0)</f>
        <v>0</v>
      </c>
      <c r="I38" s="31">
        <f t="shared" si="17"/>
        <v>2.0329715757777964</v>
      </c>
      <c r="J38" s="31">
        <f t="shared" si="17"/>
        <v>0</v>
      </c>
      <c r="K38" s="31">
        <f t="shared" si="17"/>
        <v>0</v>
      </c>
      <c r="L38" s="83"/>
      <c r="M38" s="31"/>
      <c r="N38" s="35"/>
      <c r="O38" s="35"/>
      <c r="P38" s="35"/>
      <c r="Q38" s="35"/>
      <c r="R38" s="31"/>
    </row>
    <row r="39" spans="2:19" x14ac:dyDescent="0.35">
      <c r="B39" s="55" t="s">
        <v>26</v>
      </c>
      <c r="C39" s="56"/>
      <c r="D39" s="56"/>
      <c r="E39" s="56"/>
      <c r="F39" s="93">
        <f>IRR(F36:K36)</f>
        <v>0.42223146223165808</v>
      </c>
      <c r="N39" s="35"/>
      <c r="O39" s="35"/>
      <c r="P39" s="35"/>
      <c r="Q39" s="35"/>
    </row>
    <row r="40" spans="2:19" x14ac:dyDescent="0.35">
      <c r="B40" s="57" t="s">
        <v>27</v>
      </c>
      <c r="C40" s="58"/>
      <c r="D40" s="58"/>
      <c r="E40" s="58"/>
      <c r="F40" s="59">
        <f>NPV(F4,G36:K36)+F36</f>
        <v>51649880.499283373</v>
      </c>
      <c r="H40" s="91"/>
      <c r="I40" s="14"/>
      <c r="N40" s="35"/>
      <c r="O40" s="35"/>
      <c r="P40" s="35"/>
      <c r="Q40" s="35"/>
    </row>
    <row r="41" spans="2:19" x14ac:dyDescent="0.35">
      <c r="B41" s="57" t="s">
        <v>28</v>
      </c>
      <c r="C41" s="58"/>
      <c r="D41" s="58"/>
      <c r="E41" s="58"/>
      <c r="F41" s="60">
        <f>L27</f>
        <v>0.26224899598393575</v>
      </c>
      <c r="H41" s="67"/>
      <c r="N41" s="35"/>
      <c r="O41" s="35"/>
      <c r="P41" s="35"/>
      <c r="Q41" s="35"/>
    </row>
    <row r="42" spans="2:19" x14ac:dyDescent="0.35">
      <c r="B42" s="61" t="s">
        <v>29</v>
      </c>
      <c r="C42" s="62"/>
      <c r="D42" s="62"/>
      <c r="E42" s="62"/>
      <c r="F42" s="63">
        <f>SUM(F38:K38)</f>
        <v>2.0329715757777964</v>
      </c>
      <c r="N42" s="35"/>
      <c r="O42" s="35"/>
      <c r="P42" s="35"/>
      <c r="Q42" s="35"/>
    </row>
    <row r="43" spans="2:19" x14ac:dyDescent="0.35">
      <c r="G43" s="9">
        <v>1</v>
      </c>
      <c r="H43" s="32">
        <v>2</v>
      </c>
      <c r="I43" s="9">
        <v>3</v>
      </c>
      <c r="J43" s="32">
        <v>4</v>
      </c>
      <c r="K43" s="9">
        <v>5</v>
      </c>
      <c r="L43" s="32"/>
      <c r="M43" s="9"/>
      <c r="N43" s="42"/>
      <c r="O43" s="42"/>
      <c r="P43" s="42"/>
      <c r="Q43" s="42"/>
    </row>
    <row r="44" spans="2:19" x14ac:dyDescent="0.35">
      <c r="B44" s="33" t="s">
        <v>30</v>
      </c>
      <c r="E44" s="34" t="s">
        <v>31</v>
      </c>
      <c r="G44" s="34" t="str">
        <f>G12</f>
        <v>Year 1</v>
      </c>
      <c r="H44" s="34" t="str">
        <f>H12</f>
        <v>Year 2</v>
      </c>
      <c r="I44" s="34" t="str">
        <f>I12</f>
        <v>Year 3</v>
      </c>
      <c r="J44" s="34" t="str">
        <f>J12</f>
        <v>Year 4</v>
      </c>
      <c r="K44" s="34" t="str">
        <f>K12</f>
        <v>Year 5</v>
      </c>
      <c r="L44" s="34"/>
      <c r="M44" s="34"/>
      <c r="R44" s="34"/>
    </row>
    <row r="45" spans="2:19" x14ac:dyDescent="0.35">
      <c r="D45" t="s">
        <v>6</v>
      </c>
      <c r="E45">
        <v>5</v>
      </c>
      <c r="G45" s="69">
        <f>SUM(G9:G10)/$E45</f>
        <v>10835017.000833321</v>
      </c>
      <c r="H45" s="35">
        <f>G45</f>
        <v>10835017.000833321</v>
      </c>
      <c r="I45" s="35">
        <f t="shared" ref="I45:K45" si="18">H45</f>
        <v>10835017.000833321</v>
      </c>
      <c r="J45" s="35">
        <f t="shared" si="18"/>
        <v>10835017.000833321</v>
      </c>
      <c r="K45" s="35">
        <f t="shared" si="18"/>
        <v>10835017.000833321</v>
      </c>
      <c r="L45" s="35"/>
      <c r="M45" s="35"/>
      <c r="R45" s="36"/>
    </row>
    <row r="46" spans="2:19" hidden="1" x14ac:dyDescent="0.35">
      <c r="D46" t="s">
        <v>8</v>
      </c>
      <c r="E46">
        <v>4</v>
      </c>
      <c r="H46" s="69">
        <f>I$10/$E46</f>
        <v>0</v>
      </c>
      <c r="J46" s="35">
        <f>H46</f>
        <v>0</v>
      </c>
      <c r="K46" s="35">
        <f t="shared" ref="K46" si="19">J46</f>
        <v>0</v>
      </c>
      <c r="L46" s="35"/>
      <c r="M46" s="35"/>
      <c r="R46" s="36"/>
    </row>
    <row r="47" spans="2:19" hidden="1" x14ac:dyDescent="0.35">
      <c r="D47" t="s">
        <v>9</v>
      </c>
      <c r="E47">
        <v>3</v>
      </c>
      <c r="I47" s="69">
        <f>J$9/$E47</f>
        <v>0</v>
      </c>
      <c r="K47" s="35">
        <f>I47</f>
        <v>0</v>
      </c>
      <c r="L47" s="35"/>
      <c r="M47" s="35"/>
      <c r="R47" s="36"/>
    </row>
    <row r="48" spans="2:19" hidden="1" x14ac:dyDescent="0.35">
      <c r="D48" t="s">
        <v>10</v>
      </c>
      <c r="E48">
        <v>2</v>
      </c>
      <c r="J48" s="69"/>
      <c r="L48" s="35"/>
      <c r="M48" s="35"/>
      <c r="R48" s="36"/>
    </row>
    <row r="49" spans="2:21" hidden="1" x14ac:dyDescent="0.35">
      <c r="D49" t="s">
        <v>42</v>
      </c>
      <c r="E49">
        <v>1</v>
      </c>
      <c r="K49" s="69"/>
      <c r="L49" s="35"/>
      <c r="M49" s="35"/>
      <c r="R49" s="36"/>
    </row>
    <row r="50" spans="2:21" ht="16" thickBot="1" x14ac:dyDescent="0.4">
      <c r="B50" s="37" t="s">
        <v>32</v>
      </c>
      <c r="C50" s="38"/>
      <c r="D50" s="38"/>
      <c r="E50" s="38"/>
      <c r="F50" s="38"/>
      <c r="G50" s="39">
        <f>SUM(G45:G48)</f>
        <v>10835017.000833321</v>
      </c>
      <c r="H50" s="39">
        <f>SUM(H45:H48)</f>
        <v>10835017.000833321</v>
      </c>
      <c r="I50" s="39">
        <f>SUM(I45:I48)</f>
        <v>10835017.000833321</v>
      </c>
      <c r="J50" s="39">
        <f>SUM(J45:J48)</f>
        <v>10835017.000833321</v>
      </c>
      <c r="K50" s="39">
        <f>SUM(K45:K48)</f>
        <v>10835017.000833321</v>
      </c>
      <c r="L50" s="42"/>
      <c r="M50" s="42"/>
      <c r="R50" s="42"/>
      <c r="S50" s="40"/>
      <c r="T50" s="40"/>
      <c r="U50" s="40"/>
    </row>
    <row r="51" spans="2:21" ht="16" thickTop="1" x14ac:dyDescent="0.35">
      <c r="R51" s="14"/>
    </row>
    <row r="53" spans="2:21" x14ac:dyDescent="0.35">
      <c r="F53" t="s">
        <v>49</v>
      </c>
    </row>
  </sheetData>
  <mergeCells count="1">
    <mergeCell ref="E18:F18"/>
  </mergeCells>
  <pageMargins left="0.67" right="0.38" top="0.28999999999999998" bottom="0.34" header="0.3" footer="0.3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CD2C4-40E8-4F23-91BE-31A5C9C81CD1}">
  <sheetPr codeName="Sheet8">
    <pageSetUpPr fitToPage="1"/>
  </sheetPr>
  <dimension ref="B1:S35"/>
  <sheetViews>
    <sheetView showGridLines="0" tabSelected="1" zoomScale="70" zoomScaleNormal="70" workbookViewId="0">
      <selection activeCell="M19" sqref="M19"/>
    </sheetView>
  </sheetViews>
  <sheetFormatPr defaultColWidth="8.58203125" defaultRowHeight="15.5" x14ac:dyDescent="0.35"/>
  <cols>
    <col min="1" max="1" width="4.08203125" style="95" customWidth="1"/>
    <col min="2" max="2" width="3" style="95" customWidth="1"/>
    <col min="3" max="3" width="16.58203125" style="95" customWidth="1"/>
    <col min="4" max="4" width="25.5" style="95" customWidth="1"/>
    <col min="5" max="5" width="4.1640625" style="95" customWidth="1"/>
    <col min="6" max="6" width="4.9140625" style="95" customWidth="1"/>
    <col min="7" max="7" width="10.58203125" style="95" customWidth="1"/>
    <col min="8" max="8" width="8.4140625" style="95" customWidth="1"/>
    <col min="9" max="9" width="5.4140625" style="95" customWidth="1"/>
    <col min="10" max="10" width="2.08203125" style="95" customWidth="1"/>
    <col min="11" max="11" width="5.08203125" style="95" customWidth="1"/>
    <col min="12" max="12" width="18.4140625" style="95" bestFit="1" customWidth="1"/>
    <col min="13" max="13" width="16.5" style="95" customWidth="1"/>
    <col min="14" max="14" width="2.08203125" style="95" customWidth="1"/>
    <col min="15" max="15" width="3.58203125" style="95" customWidth="1"/>
    <col min="16" max="16" width="15.58203125" style="95" customWidth="1"/>
    <col min="17" max="17" width="8.58203125" style="95"/>
    <col min="18" max="18" width="12.1640625" style="95" bestFit="1" customWidth="1"/>
    <col min="19" max="16384" width="8.58203125" style="95"/>
  </cols>
  <sheetData>
    <row r="1" spans="2:19" ht="18.649999999999999" customHeight="1" x14ac:dyDescent="0.5">
      <c r="B1" s="98"/>
      <c r="C1" s="96" t="s">
        <v>188</v>
      </c>
      <c r="D1" s="98"/>
      <c r="E1" s="98"/>
      <c r="F1" s="98"/>
      <c r="G1" s="98"/>
      <c r="H1" s="98"/>
      <c r="I1" s="98"/>
      <c r="J1" s="98"/>
      <c r="K1" s="98"/>
      <c r="L1" s="98"/>
      <c r="M1" s="178" t="s">
        <v>196</v>
      </c>
      <c r="N1" s="98"/>
    </row>
    <row r="2" spans="2:19" ht="18.5" x14ac:dyDescent="0.45">
      <c r="B2" s="98"/>
      <c r="C2" s="99" t="s">
        <v>54</v>
      </c>
      <c r="D2" s="96" t="s">
        <v>88</v>
      </c>
      <c r="E2" s="98"/>
      <c r="F2" s="98"/>
      <c r="G2" s="98"/>
      <c r="H2" s="98"/>
      <c r="J2" s="122" t="s">
        <v>87</v>
      </c>
      <c r="K2" s="122"/>
      <c r="L2" s="122"/>
      <c r="M2" s="123">
        <v>45398</v>
      </c>
      <c r="N2" s="98"/>
    </row>
    <row r="3" spans="2:19" ht="18.5" x14ac:dyDescent="0.45">
      <c r="B3" s="98"/>
      <c r="C3" s="99" t="s">
        <v>55</v>
      </c>
      <c r="D3" s="96" t="s">
        <v>133</v>
      </c>
      <c r="E3" s="98"/>
      <c r="F3" s="98"/>
      <c r="G3" s="98"/>
      <c r="H3" s="98"/>
      <c r="M3" s="98"/>
      <c r="N3" s="98"/>
    </row>
    <row r="4" spans="2:19" ht="0.9" customHeight="1" thickBot="1" x14ac:dyDescent="0.4">
      <c r="B4" s="98"/>
      <c r="C4" s="96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</row>
    <row r="5" spans="2:19" s="97" customFormat="1" ht="19" thickBot="1" x14ac:dyDescent="0.5">
      <c r="B5" s="229" t="s">
        <v>56</v>
      </c>
      <c r="C5" s="230"/>
      <c r="D5" s="231"/>
      <c r="E5" s="229" t="s">
        <v>57</v>
      </c>
      <c r="F5" s="230"/>
      <c r="G5" s="230"/>
      <c r="H5" s="230"/>
      <c r="I5" s="230"/>
      <c r="J5" s="229" t="s">
        <v>58</v>
      </c>
      <c r="K5" s="230"/>
      <c r="L5" s="230"/>
      <c r="M5" s="230"/>
      <c r="N5" s="231"/>
    </row>
    <row r="6" spans="2:19" ht="18.5" x14ac:dyDescent="0.45">
      <c r="B6" s="232" t="s">
        <v>59</v>
      </c>
      <c r="C6" s="233"/>
      <c r="D6" s="112" t="s">
        <v>184</v>
      </c>
      <c r="E6" s="234" t="s">
        <v>60</v>
      </c>
      <c r="F6" s="234"/>
      <c r="G6" s="234"/>
      <c r="H6" s="234"/>
      <c r="I6" s="234"/>
      <c r="J6" s="114"/>
      <c r="K6" s="252" t="s">
        <v>207</v>
      </c>
      <c r="L6" s="253"/>
      <c r="M6" s="190">
        <f>2865432672+880023937</f>
        <v>3745456609</v>
      </c>
      <c r="N6" s="112"/>
      <c r="P6" s="97"/>
      <c r="Q6" s="97"/>
      <c r="R6" s="97"/>
      <c r="S6" s="97"/>
    </row>
    <row r="7" spans="2:19" ht="15.65" customHeight="1" x14ac:dyDescent="0.45">
      <c r="B7" s="235" t="s">
        <v>62</v>
      </c>
      <c r="C7" s="236"/>
      <c r="D7" s="254" t="s">
        <v>185</v>
      </c>
      <c r="E7" s="237" t="s">
        <v>63</v>
      </c>
      <c r="F7" s="237"/>
      <c r="G7" s="237"/>
      <c r="H7" s="126">
        <v>0</v>
      </c>
      <c r="I7" s="98"/>
      <c r="J7" s="102"/>
      <c r="K7" s="237" t="s">
        <v>208</v>
      </c>
      <c r="L7" s="237"/>
      <c r="M7" s="124">
        <f>M6/(H8+H9)</f>
        <v>4556516.5559610706</v>
      </c>
      <c r="N7" s="100"/>
      <c r="P7" s="97"/>
      <c r="Q7" s="97"/>
      <c r="R7" s="97"/>
      <c r="S7" s="97"/>
    </row>
    <row r="8" spans="2:19" x14ac:dyDescent="0.35">
      <c r="B8" s="235"/>
      <c r="C8" s="236"/>
      <c r="D8" s="254"/>
      <c r="E8" s="237" t="s">
        <v>193</v>
      </c>
      <c r="F8" s="237"/>
      <c r="G8" s="237"/>
      <c r="H8" s="95">
        <v>638</v>
      </c>
      <c r="I8" s="98"/>
      <c r="J8" s="102"/>
      <c r="K8" s="174" t="s">
        <v>64</v>
      </c>
      <c r="L8" s="174"/>
      <c r="M8" s="127">
        <v>5</v>
      </c>
      <c r="N8" s="100"/>
    </row>
    <row r="9" spans="2:19" x14ac:dyDescent="0.35">
      <c r="B9" s="222"/>
      <c r="C9" s="223"/>
      <c r="D9" s="254"/>
      <c r="E9" s="237" t="s">
        <v>194</v>
      </c>
      <c r="F9" s="237"/>
      <c r="G9" s="237"/>
      <c r="H9" s="95">
        <v>184</v>
      </c>
      <c r="I9" s="98"/>
      <c r="J9" s="102"/>
      <c r="K9" s="224"/>
      <c r="L9" s="224"/>
      <c r="M9" s="127"/>
      <c r="N9" s="100"/>
    </row>
    <row r="10" spans="2:19" x14ac:dyDescent="0.35">
      <c r="B10" s="172" t="s">
        <v>65</v>
      </c>
      <c r="C10" s="173"/>
      <c r="D10" s="100" t="s">
        <v>186</v>
      </c>
      <c r="E10" s="237" t="s">
        <v>68</v>
      </c>
      <c r="F10" s="237"/>
      <c r="G10" s="237"/>
      <c r="H10" s="129"/>
      <c r="I10" s="98"/>
      <c r="J10" s="102"/>
      <c r="K10" s="174" t="s">
        <v>81</v>
      </c>
      <c r="L10" s="174"/>
      <c r="M10" s="128">
        <f>[2]IRR!F3</f>
        <v>0.1</v>
      </c>
      <c r="N10" s="100"/>
    </row>
    <row r="11" spans="2:19" x14ac:dyDescent="0.35">
      <c r="B11" s="117" t="s">
        <v>67</v>
      </c>
      <c r="C11" s="174"/>
      <c r="D11" s="100" t="s">
        <v>187</v>
      </c>
      <c r="E11" s="238" t="s">
        <v>71</v>
      </c>
      <c r="F11" s="238"/>
      <c r="G11" s="238"/>
      <c r="H11" s="238"/>
      <c r="I11" s="238"/>
      <c r="J11" s="119"/>
      <c r="K11" s="175" t="s">
        <v>180</v>
      </c>
      <c r="M11" s="124"/>
      <c r="N11" s="100"/>
    </row>
    <row r="12" spans="2:19" x14ac:dyDescent="0.35">
      <c r="B12" s="117" t="s">
        <v>70</v>
      </c>
      <c r="C12" s="174"/>
      <c r="D12" s="100" t="s">
        <v>133</v>
      </c>
      <c r="E12" s="240" t="s">
        <v>74</v>
      </c>
      <c r="F12" s="240"/>
      <c r="G12" s="240"/>
      <c r="H12" s="130">
        <v>0</v>
      </c>
      <c r="I12" s="98"/>
      <c r="J12" s="102"/>
      <c r="K12" s="175" t="s">
        <v>223</v>
      </c>
      <c r="L12" s="175"/>
      <c r="M12" s="124">
        <f>'IRR (2)'!G10+'IRR (2)'!G9</f>
        <v>1899982247.09375</v>
      </c>
      <c r="N12" s="100"/>
    </row>
    <row r="13" spans="2:19" x14ac:dyDescent="0.35">
      <c r="B13" s="120" t="s">
        <v>73</v>
      </c>
      <c r="C13" s="175"/>
      <c r="D13" s="101">
        <v>4</v>
      </c>
      <c r="E13" s="240" t="s">
        <v>77</v>
      </c>
      <c r="F13" s="240"/>
      <c r="G13" s="240"/>
      <c r="H13" s="130">
        <v>0</v>
      </c>
      <c r="I13" s="98"/>
      <c r="J13" s="102"/>
      <c r="K13" s="175" t="s">
        <v>178</v>
      </c>
      <c r="L13" s="175"/>
      <c r="M13" s="94">
        <f>'IRR (2)'!L23</f>
        <v>500000000</v>
      </c>
      <c r="N13" s="100"/>
    </row>
    <row r="14" spans="2:19" x14ac:dyDescent="0.35">
      <c r="B14" s="120" t="s">
        <v>76</v>
      </c>
      <c r="C14" s="175"/>
      <c r="D14" s="101">
        <v>2</v>
      </c>
      <c r="E14" s="240" t="s">
        <v>79</v>
      </c>
      <c r="F14" s="240"/>
      <c r="G14" s="240"/>
      <c r="H14" s="130">
        <v>0</v>
      </c>
      <c r="I14" s="98"/>
      <c r="J14" s="102"/>
      <c r="K14" s="175" t="s">
        <v>179</v>
      </c>
      <c r="L14" s="175"/>
      <c r="M14" s="124">
        <f>'IRR (2)'!L24+'IRR (2)'!L26+'IRR (2)'!L27</f>
        <v>593244113.71475005</v>
      </c>
      <c r="N14" s="100"/>
    </row>
    <row r="15" spans="2:19" ht="16" thickBot="1" x14ac:dyDescent="0.4">
      <c r="B15" s="120"/>
      <c r="C15" s="175"/>
      <c r="D15" s="101"/>
      <c r="E15" s="176"/>
      <c r="F15" s="176"/>
      <c r="G15" s="176"/>
      <c r="H15" s="130"/>
      <c r="I15" s="98"/>
      <c r="J15" s="102"/>
      <c r="K15" s="175" t="s">
        <v>78</v>
      </c>
      <c r="L15" s="175"/>
      <c r="M15" s="124">
        <f>'IRR (2)'!L20</f>
        <v>6164882274.2950001</v>
      </c>
      <c r="N15" s="100"/>
    </row>
    <row r="16" spans="2:19" x14ac:dyDescent="0.35">
      <c r="B16" s="102"/>
      <c r="C16" s="98"/>
      <c r="D16" s="100"/>
      <c r="E16" s="238" t="s">
        <v>80</v>
      </c>
      <c r="F16" s="238"/>
      <c r="G16" s="238"/>
      <c r="H16" s="238"/>
      <c r="I16" s="238"/>
      <c r="J16" s="131"/>
      <c r="K16" s="247" t="s">
        <v>26</v>
      </c>
      <c r="L16" s="248"/>
      <c r="M16" s="103">
        <f>'IRR (2)'!F42</f>
        <v>0.33722381937291046</v>
      </c>
      <c r="N16" s="100"/>
    </row>
    <row r="17" spans="2:18" x14ac:dyDescent="0.35">
      <c r="B17" s="102"/>
      <c r="C17" s="98"/>
      <c r="D17" s="100"/>
      <c r="E17" s="98"/>
      <c r="F17" s="98"/>
      <c r="G17" s="98"/>
      <c r="H17" s="98"/>
      <c r="I17" s="98"/>
      <c r="J17" s="132"/>
      <c r="K17" s="241" t="s">
        <v>27</v>
      </c>
      <c r="L17" s="242"/>
      <c r="M17" s="221">
        <f>'IRR (2)'!F43</f>
        <v>1404153836.8396487</v>
      </c>
      <c r="N17" s="100"/>
    </row>
    <row r="18" spans="2:18" x14ac:dyDescent="0.35">
      <c r="B18" s="102"/>
      <c r="C18" s="98"/>
      <c r="D18" s="100"/>
      <c r="E18" s="98"/>
      <c r="F18" s="98"/>
      <c r="G18" s="98"/>
      <c r="H18" s="98"/>
      <c r="I18" s="98"/>
      <c r="J18" s="132"/>
      <c r="K18" s="241" t="s">
        <v>28</v>
      </c>
      <c r="L18" s="242"/>
      <c r="M18" s="104">
        <f>'IRR (2)'!F44</f>
        <v>0.74967176256561496</v>
      </c>
      <c r="N18" s="100"/>
      <c r="R18" s="95" t="s">
        <v>49</v>
      </c>
    </row>
    <row r="19" spans="2:18" ht="16" thickBot="1" x14ac:dyDescent="0.4">
      <c r="B19" s="102"/>
      <c r="C19" s="98"/>
      <c r="D19" s="100"/>
      <c r="E19" s="98"/>
      <c r="F19" s="98"/>
      <c r="G19" s="98"/>
      <c r="H19" s="98"/>
      <c r="I19" s="98"/>
      <c r="J19" s="132"/>
      <c r="K19" s="243" t="s">
        <v>82</v>
      </c>
      <c r="L19" s="244"/>
      <c r="M19" s="147">
        <f>'IRR (2)'!F45</f>
        <v>2.4095568230250008</v>
      </c>
      <c r="N19" s="100"/>
      <c r="Q19" s="95" t="s">
        <v>49</v>
      </c>
    </row>
    <row r="20" spans="2:18" ht="16" thickBot="1" x14ac:dyDescent="0.4">
      <c r="B20" s="105"/>
      <c r="C20" s="106"/>
      <c r="D20" s="107"/>
      <c r="E20" s="106"/>
      <c r="F20" s="106" t="s">
        <v>49</v>
      </c>
      <c r="G20" s="106"/>
      <c r="H20" s="106"/>
      <c r="I20" s="106"/>
      <c r="J20" s="102"/>
      <c r="K20" s="108"/>
      <c r="L20" s="174"/>
      <c r="M20" s="174"/>
      <c r="N20" s="100"/>
    </row>
    <row r="21" spans="2:18" x14ac:dyDescent="0.35">
      <c r="B21" s="110" t="s">
        <v>86</v>
      </c>
      <c r="C21" s="111"/>
      <c r="D21" s="111"/>
      <c r="E21" s="111"/>
      <c r="F21" s="111"/>
      <c r="G21" s="111"/>
      <c r="H21" s="111"/>
      <c r="I21" s="111"/>
      <c r="J21" s="111"/>
      <c r="L21" s="251" t="s">
        <v>89</v>
      </c>
      <c r="M21" s="251"/>
      <c r="N21" s="112"/>
    </row>
    <row r="22" spans="2:18" x14ac:dyDescent="0.35">
      <c r="B22" s="102" t="s">
        <v>85</v>
      </c>
      <c r="C22" s="98"/>
      <c r="D22" s="98"/>
      <c r="E22" s="98"/>
      <c r="F22" s="98"/>
      <c r="G22" s="98"/>
      <c r="H22" s="98"/>
      <c r="I22" s="98"/>
      <c r="J22" s="98"/>
      <c r="K22" s="98"/>
      <c r="L22" s="245" t="s">
        <v>174</v>
      </c>
      <c r="M22" s="246"/>
      <c r="N22" s="100"/>
    </row>
    <row r="23" spans="2:18" x14ac:dyDescent="0.35">
      <c r="B23" s="102"/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100"/>
    </row>
    <row r="24" spans="2:18" x14ac:dyDescent="0.35">
      <c r="B24" s="102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100"/>
    </row>
    <row r="25" spans="2:18" x14ac:dyDescent="0.35">
      <c r="B25" s="102"/>
      <c r="C25" s="98"/>
      <c r="E25" s="98"/>
      <c r="F25" s="98"/>
      <c r="G25" s="98"/>
      <c r="H25" s="98"/>
      <c r="I25" s="98"/>
      <c r="J25" s="98"/>
      <c r="K25" s="98"/>
      <c r="L25" s="98"/>
      <c r="M25" s="98"/>
      <c r="N25" s="100"/>
    </row>
    <row r="26" spans="2:18" ht="16" thickBot="1" x14ac:dyDescent="0.4">
      <c r="B26" s="105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7"/>
    </row>
    <row r="27" spans="2:18" ht="5.4" customHeight="1" x14ac:dyDescent="0.35"/>
    <row r="28" spans="2:18" x14ac:dyDescent="0.35">
      <c r="B28" s="1" t="s">
        <v>91</v>
      </c>
    </row>
    <row r="29" spans="2:18" x14ac:dyDescent="0.35">
      <c r="B29" s="179"/>
      <c r="C29" s="179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</row>
    <row r="30" spans="2:18" x14ac:dyDescent="0.35">
      <c r="B30" s="179"/>
      <c r="C30" s="179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</row>
    <row r="31" spans="2:18" x14ac:dyDescent="0.35"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  <c r="M31" s="179"/>
      <c r="N31" s="179"/>
    </row>
    <row r="32" spans="2:18" x14ac:dyDescent="0.35">
      <c r="B32" s="179"/>
      <c r="C32" s="179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</row>
    <row r="33" spans="2:14" x14ac:dyDescent="0.35"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</row>
    <row r="34" spans="2:14" x14ac:dyDescent="0.35">
      <c r="B34" s="179"/>
      <c r="C34" s="179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</row>
    <row r="35" spans="2:14" x14ac:dyDescent="0.35">
      <c r="B35" s="179"/>
      <c r="C35" s="179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</row>
  </sheetData>
  <mergeCells count="25">
    <mergeCell ref="B5:D5"/>
    <mergeCell ref="E5:I5"/>
    <mergeCell ref="J5:N5"/>
    <mergeCell ref="B6:C6"/>
    <mergeCell ref="E6:I6"/>
    <mergeCell ref="E10:G10"/>
    <mergeCell ref="E11:I11"/>
    <mergeCell ref="E12:G12"/>
    <mergeCell ref="B7:C7"/>
    <mergeCell ref="E7:G7"/>
    <mergeCell ref="B8:C8"/>
    <mergeCell ref="E8:G8"/>
    <mergeCell ref="E9:G9"/>
    <mergeCell ref="D7:D9"/>
    <mergeCell ref="E13:G13"/>
    <mergeCell ref="E14:G14"/>
    <mergeCell ref="E16:I16"/>
    <mergeCell ref="K16:L16"/>
    <mergeCell ref="K17:L17"/>
    <mergeCell ref="K18:L18"/>
    <mergeCell ref="K19:L19"/>
    <mergeCell ref="L22:M22"/>
    <mergeCell ref="L21:M21"/>
    <mergeCell ref="K6:L6"/>
    <mergeCell ref="K7:L7"/>
  </mergeCells>
  <phoneticPr fontId="34" type="noConversion"/>
  <pageMargins left="0.48" right="0.7" top="0.38" bottom="0.37" header="0.3" footer="0.3"/>
  <pageSetup paperSize="9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10BBB-B7F8-43BD-85E6-BCAD1B8E4031}">
  <sheetPr codeName="Sheet3">
    <pageSetUpPr fitToPage="1"/>
  </sheetPr>
  <dimension ref="B1:U56"/>
  <sheetViews>
    <sheetView showGridLines="0" zoomScale="86" zoomScaleNormal="86" workbookViewId="0">
      <selection activeCell="K18" sqref="K1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9140625" customWidth="1"/>
    <col min="5" max="5" width="7.1640625" bestFit="1" customWidth="1"/>
    <col min="6" max="6" width="16.9140625" customWidth="1"/>
    <col min="7" max="7" width="17.58203125" style="2" customWidth="1"/>
    <col min="8" max="8" width="17.9140625" customWidth="1"/>
    <col min="9" max="10" width="15.58203125" bestFit="1" customWidth="1"/>
    <col min="11" max="11" width="16" bestFit="1" customWidth="1"/>
    <col min="12" max="12" width="16.58203125" bestFit="1" customWidth="1"/>
    <col min="13" max="13" width="15.9140625" customWidth="1"/>
    <col min="14" max="17" width="15" bestFit="1" customWidth="1"/>
    <col min="18" max="18" width="15.58203125" bestFit="1" customWidth="1"/>
    <col min="19" max="19" width="11.6640625" bestFit="1" customWidth="1"/>
  </cols>
  <sheetData>
    <row r="1" spans="2:21" ht="15.65" customHeight="1" x14ac:dyDescent="0.5">
      <c r="B1" t="s">
        <v>189</v>
      </c>
      <c r="C1" s="150" t="s">
        <v>188</v>
      </c>
      <c r="L1" s="178" t="s">
        <v>196</v>
      </c>
    </row>
    <row r="2" spans="2:21" ht="15.65" customHeight="1" x14ac:dyDescent="0.35">
      <c r="B2" s="3" t="s">
        <v>0</v>
      </c>
    </row>
    <row r="3" spans="2:21" ht="15.65" customHeight="1" x14ac:dyDescent="0.35">
      <c r="C3" t="s">
        <v>1</v>
      </c>
      <c r="F3" s="5">
        <v>0.02</v>
      </c>
      <c r="I3" t="s">
        <v>181</v>
      </c>
      <c r="J3" t="s">
        <v>182</v>
      </c>
      <c r="L3" s="4"/>
      <c r="M3" s="4"/>
      <c r="N3" s="4"/>
    </row>
    <row r="4" spans="2:21" ht="15.65" customHeight="1" x14ac:dyDescent="0.35">
      <c r="C4" t="s">
        <v>40</v>
      </c>
      <c r="F4" s="5">
        <v>0.1</v>
      </c>
      <c r="I4" t="s">
        <v>195</v>
      </c>
      <c r="J4" s="228">
        <v>-0.15</v>
      </c>
      <c r="L4" s="4"/>
      <c r="M4" s="4"/>
      <c r="N4" s="4"/>
    </row>
    <row r="5" spans="2:21" ht="15.65" customHeight="1" x14ac:dyDescent="0.35">
      <c r="C5" t="s">
        <v>2</v>
      </c>
      <c r="F5" s="5">
        <v>0.05</v>
      </c>
      <c r="G5" s="2" t="s">
        <v>3</v>
      </c>
      <c r="N5" s="171"/>
      <c r="O5" s="171"/>
      <c r="P5" s="171"/>
      <c r="Q5" s="171"/>
    </row>
    <row r="6" spans="2:21" ht="15.65" customHeight="1" x14ac:dyDescent="0.35">
      <c r="C6" t="s">
        <v>4</v>
      </c>
      <c r="F6" s="6">
        <v>0</v>
      </c>
      <c r="G6" s="2" t="s">
        <v>3</v>
      </c>
      <c r="J6" t="s">
        <v>183</v>
      </c>
    </row>
    <row r="7" spans="2:21" ht="15.65" customHeight="1" x14ac:dyDescent="0.35">
      <c r="C7" t="s">
        <v>136</v>
      </c>
      <c r="F7" s="5">
        <v>0.15</v>
      </c>
      <c r="J7" t="s">
        <v>183</v>
      </c>
    </row>
    <row r="8" spans="2:21" ht="15.65" customHeight="1" x14ac:dyDescent="0.35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25"/>
      <c r="M8" s="41"/>
      <c r="R8" s="41"/>
      <c r="S8" s="41"/>
      <c r="T8" s="41"/>
    </row>
    <row r="9" spans="2:21" ht="15.65" customHeight="1" x14ac:dyDescent="0.35">
      <c r="B9" s="90" t="s">
        <v>47</v>
      </c>
      <c r="E9" s="84" t="s">
        <v>221</v>
      </c>
      <c r="G9" s="227">
        <v>449178884.51041675</v>
      </c>
      <c r="H9" s="226"/>
      <c r="I9" s="226"/>
      <c r="J9" s="226"/>
      <c r="K9" s="226"/>
      <c r="L9" s="25"/>
      <c r="M9" s="41"/>
      <c r="R9" s="41"/>
      <c r="S9" s="41"/>
      <c r="T9" s="41"/>
    </row>
    <row r="10" spans="2:21" s="84" customFormat="1" ht="15.65" customHeight="1" thickBot="1" x14ac:dyDescent="0.4">
      <c r="E10" s="84" t="s">
        <v>222</v>
      </c>
      <c r="F10" s="89"/>
      <c r="G10" s="225">
        <v>1450803362.5833333</v>
      </c>
      <c r="H10" s="225">
        <v>0</v>
      </c>
      <c r="I10" s="225">
        <v>0</v>
      </c>
      <c r="J10" s="225">
        <v>0</v>
      </c>
      <c r="K10" s="225"/>
      <c r="L10" s="88"/>
      <c r="M10" s="86"/>
      <c r="N10"/>
      <c r="O10"/>
      <c r="P10"/>
      <c r="Q10"/>
      <c r="R10" s="86"/>
      <c r="S10" s="86"/>
      <c r="T10" s="86"/>
    </row>
    <row r="11" spans="2:21" s="84" customFormat="1" ht="3.65" customHeight="1" thickTop="1" x14ac:dyDescent="0.35">
      <c r="B11" s="90"/>
      <c r="F11" s="89"/>
      <c r="G11" s="86"/>
      <c r="H11" s="86"/>
      <c r="I11" s="86"/>
      <c r="J11" s="86"/>
      <c r="K11" s="86"/>
      <c r="L11" s="88"/>
      <c r="M11" s="86"/>
      <c r="N11"/>
      <c r="O11"/>
      <c r="P11"/>
      <c r="Q11"/>
      <c r="R11" s="86"/>
      <c r="S11" s="86"/>
      <c r="T11" s="86"/>
    </row>
    <row r="12" spans="2:21" ht="15.65" customHeight="1" x14ac:dyDescent="0.35">
      <c r="F12" s="10"/>
      <c r="G12" s="9">
        <v>2022</v>
      </c>
      <c r="H12" s="32">
        <v>2023</v>
      </c>
      <c r="I12" s="9">
        <v>2024</v>
      </c>
      <c r="J12" s="32">
        <v>2025</v>
      </c>
      <c r="K12" s="9">
        <v>2026</v>
      </c>
      <c r="L12" s="197"/>
      <c r="R12" s="40"/>
      <c r="S12" s="40"/>
      <c r="T12" s="40"/>
      <c r="U12" s="40"/>
    </row>
    <row r="13" spans="2:21" ht="15.65" customHeight="1" thickBot="1" x14ac:dyDescent="0.4">
      <c r="B13" s="11" t="s">
        <v>11</v>
      </c>
      <c r="C13" s="7"/>
      <c r="D13" s="7"/>
      <c r="E13" s="7"/>
      <c r="F13" s="7"/>
      <c r="G13" s="8" t="s">
        <v>6</v>
      </c>
      <c r="H13" s="12" t="s">
        <v>7</v>
      </c>
      <c r="I13" s="8" t="s">
        <v>8</v>
      </c>
      <c r="J13" s="12" t="s">
        <v>9</v>
      </c>
      <c r="K13" s="8" t="s">
        <v>10</v>
      </c>
      <c r="L13" s="198" t="s">
        <v>12</v>
      </c>
      <c r="M13" s="171"/>
      <c r="N13" s="43"/>
      <c r="O13" s="43"/>
      <c r="P13" s="43"/>
      <c r="Q13" s="43"/>
      <c r="R13" s="171"/>
      <c r="S13" s="40"/>
      <c r="T13" s="40"/>
      <c r="U13" s="40"/>
    </row>
    <row r="14" spans="2:21" ht="15.65" customHeight="1" x14ac:dyDescent="0.35">
      <c r="B14" t="s">
        <v>13</v>
      </c>
      <c r="G14" s="9">
        <v>12</v>
      </c>
      <c r="H14" s="9">
        <v>12</v>
      </c>
      <c r="I14" s="9">
        <v>12</v>
      </c>
      <c r="J14" s="9">
        <v>12</v>
      </c>
      <c r="K14" s="9">
        <v>12</v>
      </c>
      <c r="L14" s="199"/>
      <c r="N14" s="45"/>
      <c r="O14" s="45"/>
      <c r="P14" s="45"/>
      <c r="Q14" s="45"/>
    </row>
    <row r="15" spans="2:21" ht="5.4" customHeight="1" x14ac:dyDescent="0.35">
      <c r="L15" s="199"/>
      <c r="N15" s="46"/>
      <c r="O15" s="46"/>
      <c r="P15" s="46"/>
      <c r="Q15" s="46"/>
    </row>
    <row r="16" spans="2:21" ht="15.65" customHeight="1" x14ac:dyDescent="0.35">
      <c r="B16" s="1" t="s">
        <v>5</v>
      </c>
      <c r="E16" s="17"/>
      <c r="G16" s="18"/>
      <c r="H16" s="148"/>
      <c r="I16" s="19"/>
      <c r="J16" s="19"/>
      <c r="K16" s="19"/>
      <c r="L16" s="199"/>
      <c r="N16" s="43"/>
      <c r="O16" s="43"/>
      <c r="P16" s="43"/>
      <c r="Q16" s="43"/>
    </row>
    <row r="17" spans="2:19" ht="15.65" customHeight="1" x14ac:dyDescent="0.35">
      <c r="B17" s="1"/>
      <c r="C17" t="s">
        <v>190</v>
      </c>
      <c r="E17" s="17"/>
      <c r="G17" s="148"/>
      <c r="H17" s="148">
        <v>731160000</v>
      </c>
      <c r="I17" s="148">
        <v>731160000</v>
      </c>
      <c r="J17" s="148">
        <v>731160000</v>
      </c>
      <c r="K17" s="148">
        <f>J17</f>
        <v>731160000</v>
      </c>
      <c r="L17" s="200">
        <f>SUM(G17:K17)</f>
        <v>2924640000</v>
      </c>
      <c r="N17" s="43"/>
      <c r="O17" s="43"/>
      <c r="P17" s="43"/>
      <c r="Q17" s="43"/>
    </row>
    <row r="18" spans="2:19" ht="15.65" customHeight="1" x14ac:dyDescent="0.35">
      <c r="B18" s="1"/>
      <c r="C18" t="s">
        <v>192</v>
      </c>
      <c r="E18" s="17"/>
      <c r="G18" s="148">
        <v>400000000</v>
      </c>
      <c r="H18" s="148"/>
      <c r="I18" s="148">
        <f>200000000*(1-5%)</f>
        <v>190000000</v>
      </c>
      <c r="J18" s="148">
        <f>I18</f>
        <v>190000000</v>
      </c>
      <c r="K18" s="148">
        <f>J18</f>
        <v>190000000</v>
      </c>
      <c r="L18" s="200">
        <f>SUM(G18:K18)</f>
        <v>970000000</v>
      </c>
      <c r="N18" s="43"/>
      <c r="O18" s="43"/>
      <c r="P18" s="43"/>
      <c r="Q18" s="43"/>
    </row>
    <row r="19" spans="2:19" ht="15.65" customHeight="1" x14ac:dyDescent="0.35">
      <c r="B19" s="1"/>
      <c r="C19" t="s">
        <v>191</v>
      </c>
      <c r="E19" s="17"/>
      <c r="G19" s="148">
        <v>516432258</v>
      </c>
      <c r="H19" s="148">
        <v>501600000</v>
      </c>
      <c r="I19" s="148">
        <v>486767742</v>
      </c>
      <c r="J19" s="148">
        <f>I19*85%</f>
        <v>413752580.69999999</v>
      </c>
      <c r="K19" s="148">
        <f>J19*85%</f>
        <v>351689693.59499997</v>
      </c>
      <c r="L19" s="200">
        <f>SUM(G19:K19)</f>
        <v>2270242274.2950001</v>
      </c>
      <c r="N19" s="43"/>
      <c r="O19" s="43"/>
      <c r="P19" s="43"/>
      <c r="Q19" s="43"/>
    </row>
    <row r="20" spans="2:19" ht="15.65" customHeight="1" x14ac:dyDescent="0.35">
      <c r="B20" s="64" t="s">
        <v>131</v>
      </c>
      <c r="C20" s="64"/>
      <c r="D20" s="64"/>
      <c r="E20" s="249"/>
      <c r="F20" s="250"/>
      <c r="G20" s="65">
        <f>SUM(G17:G19)</f>
        <v>916432258</v>
      </c>
      <c r="H20" s="65">
        <f>SUM(H17:H19)</f>
        <v>1232760000</v>
      </c>
      <c r="I20" s="65">
        <f>SUM(I17:I19)</f>
        <v>1407927742</v>
      </c>
      <c r="J20" s="65">
        <f>SUM(J17:J19)</f>
        <v>1334912580.7</v>
      </c>
      <c r="K20" s="65">
        <f>SUM(K17:K19)</f>
        <v>1272849693.595</v>
      </c>
      <c r="L20" s="201">
        <f>SUM(G20:K20)</f>
        <v>6164882274.2950001</v>
      </c>
      <c r="M20" s="43"/>
      <c r="N20" s="48"/>
      <c r="O20" s="48"/>
      <c r="P20" s="48"/>
      <c r="Q20" s="48"/>
      <c r="R20" s="43"/>
      <c r="S20" s="45"/>
    </row>
    <row r="21" spans="2:19" ht="15.65" customHeight="1" x14ac:dyDescent="0.35">
      <c r="L21" s="199"/>
      <c r="M21" s="45"/>
      <c r="N21" s="48"/>
      <c r="O21" s="48"/>
      <c r="P21" s="48"/>
      <c r="Q21" s="48"/>
      <c r="R21" s="45"/>
      <c r="S21" s="45"/>
    </row>
    <row r="22" spans="2:19" ht="15.65" customHeight="1" x14ac:dyDescent="0.35">
      <c r="B22" s="1" t="s">
        <v>14</v>
      </c>
      <c r="E22" s="17"/>
      <c r="F22" s="17"/>
      <c r="G22" s="18"/>
      <c r="H22" s="17"/>
      <c r="I22" s="19"/>
      <c r="J22" s="19"/>
      <c r="K22" s="19"/>
      <c r="L22" s="202"/>
      <c r="M22" s="46"/>
      <c r="N22" s="50"/>
      <c r="O22" s="50"/>
      <c r="P22" s="50"/>
      <c r="Q22" s="50"/>
      <c r="R22" s="45"/>
      <c r="S22" s="45"/>
    </row>
    <row r="23" spans="2:19" ht="15.65" customHeight="1" x14ac:dyDescent="0.35">
      <c r="C23" t="s">
        <v>135</v>
      </c>
      <c r="E23" s="149"/>
      <c r="H23" s="13"/>
      <c r="I23" s="13">
        <v>500000000</v>
      </c>
      <c r="J23" s="13"/>
      <c r="K23" s="13"/>
      <c r="L23" s="203">
        <f>SUM(H23:K23)</f>
        <v>500000000</v>
      </c>
      <c r="M23" s="43" t="s">
        <v>49</v>
      </c>
      <c r="N23" s="43"/>
      <c r="O23" s="43"/>
      <c r="P23" s="43"/>
      <c r="Q23" s="43"/>
      <c r="R23" s="44"/>
      <c r="S23" s="45"/>
    </row>
    <row r="24" spans="2:19" ht="15.65" customHeight="1" x14ac:dyDescent="0.35">
      <c r="C24" t="s">
        <v>15</v>
      </c>
      <c r="F24" s="113"/>
      <c r="G24" s="13">
        <v>36000000</v>
      </c>
      <c r="H24" s="13">
        <v>36000000</v>
      </c>
      <c r="I24" s="13">
        <v>36000000</v>
      </c>
      <c r="J24" s="13">
        <v>36000000</v>
      </c>
      <c r="K24" s="13">
        <v>36000000</v>
      </c>
      <c r="L24" s="203">
        <f>SUM(G24:K24)</f>
        <v>180000000</v>
      </c>
      <c r="M24" s="43"/>
      <c r="N24" s="51"/>
      <c r="O24" s="51"/>
      <c r="P24" s="51"/>
      <c r="Q24" s="51"/>
      <c r="R24" s="44"/>
      <c r="S24" s="45"/>
    </row>
    <row r="25" spans="2:19" ht="15.65" customHeight="1" x14ac:dyDescent="0.35">
      <c r="C25" t="s">
        <v>224</v>
      </c>
      <c r="F25" s="113"/>
      <c r="G25" s="13">
        <v>90000000</v>
      </c>
      <c r="H25" s="13">
        <v>90000000</v>
      </c>
      <c r="I25" s="13">
        <v>90000000</v>
      </c>
      <c r="J25" s="13">
        <v>90000000</v>
      </c>
      <c r="K25" s="13">
        <v>90000000</v>
      </c>
      <c r="L25" s="203">
        <f>SUM(G25:K25)</f>
        <v>450000000</v>
      </c>
      <c r="M25" s="43"/>
      <c r="N25" s="51"/>
      <c r="O25" s="51"/>
      <c r="P25" s="51"/>
      <c r="Q25" s="51"/>
      <c r="R25" s="44"/>
      <c r="S25" s="45"/>
    </row>
    <row r="26" spans="2:19" ht="15.65" customHeight="1" x14ac:dyDescent="0.35">
      <c r="C26" t="s">
        <v>41</v>
      </c>
      <c r="G26" s="109">
        <f>PARAMETER!B56*3</f>
        <v>21000000</v>
      </c>
      <c r="H26" s="109">
        <f>G26</f>
        <v>21000000</v>
      </c>
      <c r="I26" s="109">
        <f t="shared" ref="I26:K26" si="0">H26</f>
        <v>21000000</v>
      </c>
      <c r="J26" s="109">
        <f t="shared" si="0"/>
        <v>21000000</v>
      </c>
      <c r="K26" s="109">
        <f t="shared" si="0"/>
        <v>21000000</v>
      </c>
      <c r="L26" s="203">
        <f t="shared" ref="L26:L27" si="1">SUM(G26:K26)</f>
        <v>105000000</v>
      </c>
      <c r="M26" s="43"/>
      <c r="N26" s="51"/>
      <c r="O26" s="51"/>
      <c r="P26" s="51"/>
      <c r="Q26" s="51"/>
      <c r="R26" s="44"/>
      <c r="S26" s="45"/>
    </row>
    <row r="27" spans="2:19" ht="15.65" customHeight="1" x14ac:dyDescent="0.35">
      <c r="B27" s="15"/>
      <c r="C27" s="15" t="s">
        <v>2</v>
      </c>
      <c r="D27" s="15"/>
      <c r="E27" s="15"/>
      <c r="F27" s="15"/>
      <c r="G27" s="20">
        <f>G20*$F$5</f>
        <v>45821612.900000006</v>
      </c>
      <c r="H27" s="20">
        <f>H20*$F$5</f>
        <v>61638000</v>
      </c>
      <c r="I27" s="20">
        <f>I20*$F$5</f>
        <v>70396387.100000009</v>
      </c>
      <c r="J27" s="20">
        <f>J20*$F$5</f>
        <v>66745629.035000004</v>
      </c>
      <c r="K27" s="20">
        <f t="shared" ref="K27" si="2">K20*$F$5</f>
        <v>63642484.679750003</v>
      </c>
      <c r="L27" s="203">
        <f t="shared" si="1"/>
        <v>308244113.71474999</v>
      </c>
      <c r="M27" s="47"/>
      <c r="N27" s="51"/>
      <c r="O27" s="51"/>
      <c r="P27" s="51"/>
      <c r="Q27" s="51"/>
      <c r="R27" s="44"/>
      <c r="S27" s="45"/>
    </row>
    <row r="28" spans="2:19" s="1" customFormat="1" ht="15.65" customHeight="1" x14ac:dyDescent="0.35">
      <c r="B28" s="64" t="s">
        <v>16</v>
      </c>
      <c r="C28" s="64"/>
      <c r="D28" s="64"/>
      <c r="E28" s="64"/>
      <c r="F28" s="64"/>
      <c r="G28" s="65">
        <f>SUM(G23:G27)</f>
        <v>192821612.90000001</v>
      </c>
      <c r="H28" s="65">
        <f t="shared" ref="H28:K28" si="3">SUM(H23:H27)</f>
        <v>208638000</v>
      </c>
      <c r="I28" s="65">
        <f>SUM(I23:I27)</f>
        <v>717396387.10000002</v>
      </c>
      <c r="J28" s="65">
        <f t="shared" si="3"/>
        <v>213745629.035</v>
      </c>
      <c r="K28" s="65">
        <f t="shared" si="3"/>
        <v>210642484.67975</v>
      </c>
      <c r="L28" s="204">
        <f>SUM(L23:L27)</f>
        <v>1543244113.7147501</v>
      </c>
      <c r="M28" s="48"/>
      <c r="N28" s="53"/>
      <c r="O28" s="53"/>
      <c r="P28" s="53"/>
      <c r="Q28" s="53"/>
      <c r="R28" s="48"/>
      <c r="S28" s="49"/>
    </row>
    <row r="29" spans="2:19" s="1" customFormat="1" ht="15.65" customHeight="1" x14ac:dyDescent="0.35">
      <c r="B29" s="1" t="s">
        <v>17</v>
      </c>
      <c r="G29" s="21">
        <f>G20-G28</f>
        <v>723610645.10000002</v>
      </c>
      <c r="H29" s="21">
        <f>H20-H28</f>
        <v>1024122000</v>
      </c>
      <c r="I29" s="21">
        <f t="shared" ref="I29:K29" si="4">I20-I28</f>
        <v>690531354.89999998</v>
      </c>
      <c r="J29" s="21">
        <f t="shared" si="4"/>
        <v>1121166951.665</v>
      </c>
      <c r="K29" s="21">
        <f t="shared" si="4"/>
        <v>1062207208.9152501</v>
      </c>
      <c r="L29" s="205">
        <f>L20-L28</f>
        <v>4621638160.5802498</v>
      </c>
      <c r="M29" s="48"/>
      <c r="N29" s="51"/>
      <c r="O29" s="51"/>
      <c r="P29" s="51"/>
      <c r="Q29" s="51"/>
      <c r="R29" s="48"/>
      <c r="S29" s="49"/>
    </row>
    <row r="30" spans="2:19" s="1" customFormat="1" ht="15.65" customHeight="1" x14ac:dyDescent="0.35">
      <c r="B30" s="22" t="s">
        <v>18</v>
      </c>
      <c r="C30" s="23"/>
      <c r="D30" s="23"/>
      <c r="E30" s="23"/>
      <c r="F30" s="23"/>
      <c r="G30" s="24">
        <v>0</v>
      </c>
      <c r="H30" s="24">
        <f>H29/H20</f>
        <v>0.8307553781758007</v>
      </c>
      <c r="I30" s="24">
        <f t="shared" ref="I30:K30" si="5">I29/I20</f>
        <v>0.49045937110315141</v>
      </c>
      <c r="J30" s="24">
        <f t="shared" si="5"/>
        <v>0.83988042953126085</v>
      </c>
      <c r="K30" s="24">
        <f t="shared" si="5"/>
        <v>0.83451110862523181</v>
      </c>
      <c r="L30" s="206">
        <f>L29/L20</f>
        <v>0.74967176256561496</v>
      </c>
      <c r="M30" s="50"/>
      <c r="N30" s="45"/>
      <c r="O30" s="45"/>
      <c r="P30" s="45"/>
      <c r="Q30" s="45"/>
      <c r="R30" s="50"/>
      <c r="S30" s="49"/>
    </row>
    <row r="31" spans="2:19" ht="15.65" customHeight="1" x14ac:dyDescent="0.35">
      <c r="B31" s="15" t="s">
        <v>19</v>
      </c>
      <c r="C31" s="15"/>
      <c r="D31" s="15"/>
      <c r="E31" s="15"/>
      <c r="F31" s="15"/>
      <c r="G31" s="16">
        <f>G53</f>
        <v>379996449.41874999</v>
      </c>
      <c r="H31" s="16">
        <f>H53</f>
        <v>379996449.41874999</v>
      </c>
      <c r="I31" s="16">
        <f>I53</f>
        <v>379996449.41874999</v>
      </c>
      <c r="J31" s="16">
        <f>J53</f>
        <v>379996449.41874999</v>
      </c>
      <c r="K31" s="16">
        <f>K53</f>
        <v>379996449.41874999</v>
      </c>
      <c r="L31" s="207">
        <f>SUM(G31:K31)</f>
        <v>1899982247.09375</v>
      </c>
      <c r="M31" s="43"/>
      <c r="N31" s="52"/>
      <c r="O31" s="52"/>
      <c r="P31" s="52"/>
      <c r="Q31" s="52"/>
      <c r="R31" s="43"/>
      <c r="S31" s="45"/>
    </row>
    <row r="32" spans="2:19" ht="15.65" customHeight="1" x14ac:dyDescent="0.35">
      <c r="B32" s="192" t="s">
        <v>20</v>
      </c>
      <c r="C32" s="193"/>
      <c r="D32" s="193"/>
      <c r="E32" s="193"/>
      <c r="F32" s="193"/>
      <c r="G32" s="194">
        <f t="shared" ref="G32:J32" si="6">G29-G31</f>
        <v>343614195.68125004</v>
      </c>
      <c r="H32" s="194">
        <f t="shared" si="6"/>
        <v>644125550.58124995</v>
      </c>
      <c r="I32" s="194">
        <f t="shared" si="6"/>
        <v>310534905.48124999</v>
      </c>
      <c r="J32" s="194">
        <f t="shared" si="6"/>
        <v>741170502.24624991</v>
      </c>
      <c r="K32" s="194">
        <f>K29-K31</f>
        <v>682210759.49650002</v>
      </c>
      <c r="L32" s="208">
        <f>L29-L31</f>
        <v>2721655913.4864998</v>
      </c>
      <c r="M32" s="51"/>
      <c r="N32" s="52"/>
      <c r="O32" s="52"/>
      <c r="P32" s="52"/>
      <c r="Q32" s="52"/>
      <c r="R32" s="51"/>
      <c r="S32" s="45"/>
    </row>
    <row r="33" spans="2:19" ht="15.65" customHeight="1" x14ac:dyDescent="0.35">
      <c r="B33" s="195" t="s">
        <v>33</v>
      </c>
      <c r="C33" s="15"/>
      <c r="D33" s="15"/>
      <c r="E33" s="15"/>
      <c r="F33" s="15"/>
      <c r="G33" s="196">
        <f>PARAMETER!H20</f>
        <v>79738818.100000009</v>
      </c>
      <c r="H33" s="196">
        <f>PARAMETER!I20</f>
        <v>26415198.620000001</v>
      </c>
      <c r="I33" s="196">
        <f>PARAMETER!J20</f>
        <v>10546145.229999999</v>
      </c>
      <c r="J33" s="196">
        <f>PARAMETER!K20</f>
        <v>4676899.21</v>
      </c>
      <c r="K33" s="196">
        <f>PARAMETER!L20</f>
        <v>1171030.1000000001</v>
      </c>
      <c r="L33" s="209">
        <f>SUM(G33:K33)</f>
        <v>122548091.26000001</v>
      </c>
      <c r="M33" s="51"/>
      <c r="N33" s="52"/>
      <c r="O33" s="52"/>
      <c r="P33" s="52"/>
      <c r="Q33" s="52"/>
      <c r="R33" s="51"/>
      <c r="S33" s="45"/>
    </row>
    <row r="34" spans="2:19" ht="15.65" customHeight="1" x14ac:dyDescent="0.35">
      <c r="B34" s="25" t="s">
        <v>34</v>
      </c>
      <c r="G34" s="68">
        <f>G32-G33</f>
        <v>263875377.58125001</v>
      </c>
      <c r="H34" s="68">
        <f>H32-H33</f>
        <v>617710351.96124995</v>
      </c>
      <c r="I34" s="68">
        <f>I32-I33</f>
        <v>299988760.25124997</v>
      </c>
      <c r="J34" s="68">
        <f>J32-J33</f>
        <v>736493603.03624988</v>
      </c>
      <c r="K34" s="68">
        <f t="shared" ref="K34" si="7">K32-K33</f>
        <v>681039729.39649999</v>
      </c>
      <c r="L34" s="210">
        <f>SUM(G34:K34)</f>
        <v>2599107822.2265</v>
      </c>
      <c r="M34" s="51"/>
      <c r="N34" s="31"/>
      <c r="O34" s="31"/>
      <c r="P34" s="31"/>
      <c r="Q34" s="31"/>
      <c r="R34" s="51"/>
      <c r="S34" s="45"/>
    </row>
    <row r="35" spans="2:19" ht="15.65" customHeight="1" x14ac:dyDescent="0.35">
      <c r="B35" s="15" t="s">
        <v>21</v>
      </c>
      <c r="C35" s="15"/>
      <c r="D35" s="15"/>
      <c r="E35" s="15"/>
      <c r="F35" s="15"/>
      <c r="G35" s="66">
        <f>IF(G34&lt;0,0,G34*$F$3)</f>
        <v>5277507.5516250003</v>
      </c>
      <c r="H35" s="66">
        <f>IF(H34&lt;0,0,H34*$F$3)</f>
        <v>12354207.039224999</v>
      </c>
      <c r="I35" s="66">
        <f t="shared" ref="I35:K35" si="8">IF(I34&lt;0,0,I34*$F$3)</f>
        <v>5999775.2050249996</v>
      </c>
      <c r="J35" s="66">
        <f t="shared" si="8"/>
        <v>14729872.060724998</v>
      </c>
      <c r="K35" s="66">
        <f t="shared" si="8"/>
        <v>13620794.587929999</v>
      </c>
      <c r="L35" s="209">
        <f>SUM(G35:K35)</f>
        <v>51982156.444529995</v>
      </c>
      <c r="M35" s="53"/>
      <c r="R35" s="52"/>
      <c r="S35" s="45"/>
    </row>
    <row r="36" spans="2:19" ht="15.65" customHeight="1" thickBot="1" x14ac:dyDescent="0.4">
      <c r="B36" s="28" t="s">
        <v>48</v>
      </c>
      <c r="C36" s="28"/>
      <c r="D36" s="28"/>
      <c r="E36" s="28"/>
      <c r="F36" s="28"/>
      <c r="G36" s="29">
        <f>G34-G35</f>
        <v>258597870.029625</v>
      </c>
      <c r="H36" s="29">
        <f t="shared" ref="H36:J36" si="9">H34-H35</f>
        <v>605356144.92202497</v>
      </c>
      <c r="I36" s="29">
        <f t="shared" si="9"/>
        <v>293988985.04622495</v>
      </c>
      <c r="J36" s="29">
        <f t="shared" si="9"/>
        <v>721763730.9755249</v>
      </c>
      <c r="K36" s="29">
        <f>K34-K35</f>
        <v>667418934.80857003</v>
      </c>
      <c r="L36" s="211">
        <f>L34-L35</f>
        <v>2547125665.78197</v>
      </c>
      <c r="M36" s="51"/>
      <c r="R36" s="51"/>
      <c r="S36" s="45"/>
    </row>
    <row r="37" spans="2:19" ht="15.65" customHeight="1" x14ac:dyDescent="0.35">
      <c r="L37" s="199"/>
      <c r="M37" s="45"/>
      <c r="R37" s="45"/>
      <c r="S37" s="45"/>
    </row>
    <row r="38" spans="2:19" ht="15.65" customHeight="1" x14ac:dyDescent="0.35">
      <c r="B38" s="15" t="s">
        <v>22</v>
      </c>
      <c r="C38" s="15"/>
      <c r="D38" s="15"/>
      <c r="E38" s="15"/>
      <c r="F38" s="30">
        <f>-G10-G9</f>
        <v>-1899982247.09375</v>
      </c>
      <c r="G38" s="30">
        <v>0</v>
      </c>
      <c r="H38" s="30">
        <f>-I10+-I11</f>
        <v>0</v>
      </c>
      <c r="I38" s="30">
        <f>-J10+-J11</f>
        <v>0</v>
      </c>
      <c r="J38" s="30">
        <f>-K10+-K11</f>
        <v>0</v>
      </c>
      <c r="K38" s="30">
        <f>-L10+-L11</f>
        <v>0</v>
      </c>
      <c r="L38" s="212"/>
      <c r="M38" s="52"/>
      <c r="R38" s="52"/>
      <c r="S38" s="45"/>
    </row>
    <row r="39" spans="2:19" ht="15.65" customHeight="1" x14ac:dyDescent="0.35">
      <c r="B39" t="s">
        <v>23</v>
      </c>
      <c r="F39" s="27">
        <f>F38</f>
        <v>-1899982247.09375</v>
      </c>
      <c r="G39" s="27">
        <f>G38+G36+G31</f>
        <v>638594319.44837499</v>
      </c>
      <c r="H39" s="27">
        <f>H38+H36+H31</f>
        <v>985352594.34077501</v>
      </c>
      <c r="I39" s="27">
        <f t="shared" ref="I39:K39" si="10">I38+I36+I31</f>
        <v>673985434.46497488</v>
      </c>
      <c r="J39" s="27">
        <f t="shared" si="10"/>
        <v>1101760180.394275</v>
      </c>
      <c r="K39" s="27">
        <f t="shared" si="10"/>
        <v>1047415384.22732</v>
      </c>
      <c r="L39" s="213">
        <f>SUM(F39:K39)</f>
        <v>2547125665.78197</v>
      </c>
      <c r="M39" s="52"/>
      <c r="N39" s="32"/>
      <c r="O39" s="9"/>
      <c r="P39" s="32"/>
      <c r="Q39" s="9"/>
      <c r="R39" s="52"/>
      <c r="S39" s="45"/>
    </row>
    <row r="40" spans="2:19" ht="15.65" customHeight="1" x14ac:dyDescent="0.35">
      <c r="B40" t="s">
        <v>24</v>
      </c>
      <c r="F40" s="27">
        <f>F39</f>
        <v>-1899982247.09375</v>
      </c>
      <c r="G40" s="27">
        <f>F40+G39</f>
        <v>-1261387927.645375</v>
      </c>
      <c r="H40" s="27">
        <f>G40+H39</f>
        <v>-276035333.3046</v>
      </c>
      <c r="I40" s="27">
        <f t="shared" ref="I40:K40" si="11">H40+I39</f>
        <v>397950101.16037488</v>
      </c>
      <c r="J40" s="27">
        <f t="shared" si="11"/>
        <v>1499710281.5546498</v>
      </c>
      <c r="K40" s="27">
        <f t="shared" si="11"/>
        <v>2547125665.78197</v>
      </c>
      <c r="L40" s="213"/>
      <c r="M40" s="52"/>
      <c r="N40" s="34"/>
      <c r="O40" s="34"/>
      <c r="P40" s="34"/>
      <c r="Q40" s="34"/>
      <c r="R40" s="52"/>
      <c r="S40" s="45"/>
    </row>
    <row r="41" spans="2:19" ht="15.65" customHeight="1" x14ac:dyDescent="0.35">
      <c r="B41" t="s">
        <v>25</v>
      </c>
      <c r="F41" s="27"/>
      <c r="G41" s="31">
        <f>IF(AND(F40&lt;0,G40&gt;0),G46-(G40/G39),0)</f>
        <v>0</v>
      </c>
      <c r="H41" s="31">
        <f t="shared" ref="H41:K41" si="12">IF(AND(G40&lt;0,H40&gt;0),H46-(H40/H39),0)</f>
        <v>0</v>
      </c>
      <c r="I41" s="31">
        <f t="shared" si="12"/>
        <v>2.4095568230250008</v>
      </c>
      <c r="J41" s="31">
        <f t="shared" si="12"/>
        <v>0</v>
      </c>
      <c r="K41" s="31">
        <f t="shared" si="12"/>
        <v>0</v>
      </c>
      <c r="L41" s="214"/>
      <c r="M41" s="31"/>
      <c r="N41" s="35"/>
      <c r="O41" s="35"/>
      <c r="P41" s="35"/>
      <c r="Q41" s="35"/>
      <c r="R41" s="31"/>
    </row>
    <row r="42" spans="2:19" ht="15.65" customHeight="1" x14ac:dyDescent="0.35">
      <c r="B42" s="55" t="s">
        <v>26</v>
      </c>
      <c r="C42" s="56"/>
      <c r="D42" s="56"/>
      <c r="E42" s="56"/>
      <c r="F42" s="93">
        <f>IRR(F39:K39)</f>
        <v>0.33722381937291046</v>
      </c>
      <c r="L42" s="215"/>
      <c r="N42" s="35"/>
      <c r="O42" s="35"/>
      <c r="P42" s="35"/>
      <c r="Q42" s="35"/>
    </row>
    <row r="43" spans="2:19" ht="15.65" customHeight="1" x14ac:dyDescent="0.35">
      <c r="B43" s="57" t="s">
        <v>27</v>
      </c>
      <c r="C43" s="58"/>
      <c r="D43" s="58"/>
      <c r="E43" s="58"/>
      <c r="F43" s="189">
        <f>NPV(F4,G39:K39)+F39</f>
        <v>1404153836.8396487</v>
      </c>
      <c r="H43" s="91"/>
      <c r="I43" s="14"/>
      <c r="L43" s="215"/>
      <c r="N43" s="35"/>
      <c r="O43" s="35"/>
      <c r="P43" s="35"/>
      <c r="Q43" s="35"/>
    </row>
    <row r="44" spans="2:19" ht="15.65" customHeight="1" x14ac:dyDescent="0.35">
      <c r="B44" s="57" t="s">
        <v>28</v>
      </c>
      <c r="C44" s="58"/>
      <c r="D44" s="58"/>
      <c r="E44" s="58"/>
      <c r="F44" s="60">
        <f>L30</f>
        <v>0.74967176256561496</v>
      </c>
      <c r="H44" s="67"/>
      <c r="L44" s="215"/>
      <c r="N44" s="35"/>
      <c r="O44" s="35"/>
      <c r="P44" s="35"/>
      <c r="Q44" s="35"/>
    </row>
    <row r="45" spans="2:19" ht="15.65" customHeight="1" x14ac:dyDescent="0.35">
      <c r="B45" s="61" t="s">
        <v>29</v>
      </c>
      <c r="C45" s="62"/>
      <c r="D45" s="62"/>
      <c r="E45" s="62"/>
      <c r="F45" s="63">
        <f>SUM(F41:K41)</f>
        <v>2.4095568230250008</v>
      </c>
      <c r="L45" s="215"/>
      <c r="N45" s="35"/>
      <c r="O45" s="35"/>
      <c r="P45" s="35"/>
      <c r="Q45" s="35"/>
    </row>
    <row r="46" spans="2:19" ht="15.65" customHeight="1" x14ac:dyDescent="0.35">
      <c r="G46" s="9">
        <v>1</v>
      </c>
      <c r="H46" s="32">
        <v>2</v>
      </c>
      <c r="I46" s="9">
        <v>3</v>
      </c>
      <c r="J46" s="32">
        <v>4</v>
      </c>
      <c r="K46" s="9">
        <v>5</v>
      </c>
      <c r="L46" s="216"/>
      <c r="M46" s="9"/>
      <c r="N46" s="42"/>
      <c r="O46" s="42"/>
      <c r="P46" s="42"/>
      <c r="Q46" s="42"/>
    </row>
    <row r="47" spans="2:19" ht="15.65" customHeight="1" thickBot="1" x14ac:dyDescent="0.4">
      <c r="B47" s="33" t="s">
        <v>30</v>
      </c>
      <c r="E47" s="34" t="s">
        <v>31</v>
      </c>
      <c r="G47" s="34" t="str">
        <f>G13</f>
        <v>Year 1</v>
      </c>
      <c r="H47" s="34" t="str">
        <f>H13</f>
        <v>Year 2</v>
      </c>
      <c r="I47" s="34" t="str">
        <f>I13</f>
        <v>Year 3</v>
      </c>
      <c r="J47" s="34" t="str">
        <f>J13</f>
        <v>Year 4</v>
      </c>
      <c r="K47" s="34" t="str">
        <f>K13</f>
        <v>Year 5</v>
      </c>
      <c r="L47" s="217" t="s">
        <v>12</v>
      </c>
      <c r="M47" s="34"/>
      <c r="R47" s="34"/>
    </row>
    <row r="48" spans="2:19" ht="15.65" customHeight="1" x14ac:dyDescent="0.35">
      <c r="D48" t="s">
        <v>6</v>
      </c>
      <c r="E48">
        <v>5</v>
      </c>
      <c r="G48" s="69">
        <f>SUM(G9:G10)/$E48</f>
        <v>379996449.41874999</v>
      </c>
      <c r="H48" s="35">
        <f>G48</f>
        <v>379996449.41874999</v>
      </c>
      <c r="I48" s="35">
        <f t="shared" ref="I48:K49" si="13">H48</f>
        <v>379996449.41874999</v>
      </c>
      <c r="J48" s="35">
        <f t="shared" si="13"/>
        <v>379996449.41874999</v>
      </c>
      <c r="K48" s="35">
        <f t="shared" si="13"/>
        <v>379996449.41874999</v>
      </c>
      <c r="L48" s="218">
        <f>SUM($G48:K48)</f>
        <v>1899982247.09375</v>
      </c>
      <c r="M48" s="35"/>
      <c r="R48" s="36"/>
    </row>
    <row r="49" spans="2:21" ht="15.65" hidden="1" customHeight="1" x14ac:dyDescent="0.35">
      <c r="D49" t="s">
        <v>8</v>
      </c>
      <c r="E49">
        <v>4</v>
      </c>
      <c r="H49" s="69">
        <f>I$11/$E49</f>
        <v>0</v>
      </c>
      <c r="J49" s="35">
        <f>H49</f>
        <v>0</v>
      </c>
      <c r="K49" s="35">
        <f t="shared" si="13"/>
        <v>0</v>
      </c>
      <c r="L49" s="219"/>
      <c r="M49" s="35"/>
      <c r="R49" s="36"/>
    </row>
    <row r="50" spans="2:21" ht="15.65" hidden="1" customHeight="1" x14ac:dyDescent="0.35">
      <c r="D50" t="s">
        <v>9</v>
      </c>
      <c r="E50">
        <v>3</v>
      </c>
      <c r="I50" s="69">
        <f>J$10/$E50</f>
        <v>0</v>
      </c>
      <c r="K50" s="35">
        <f>I50</f>
        <v>0</v>
      </c>
      <c r="L50" s="219"/>
      <c r="M50" s="35"/>
      <c r="R50" s="36"/>
    </row>
    <row r="51" spans="2:21" ht="15.65" hidden="1" customHeight="1" x14ac:dyDescent="0.35">
      <c r="D51" t="s">
        <v>10</v>
      </c>
      <c r="E51">
        <v>2</v>
      </c>
      <c r="J51" s="69"/>
      <c r="L51" s="219"/>
      <c r="M51" s="35"/>
      <c r="R51" s="36"/>
    </row>
    <row r="52" spans="2:21" ht="15.65" hidden="1" customHeight="1" x14ac:dyDescent="0.35">
      <c r="D52" t="s">
        <v>42</v>
      </c>
      <c r="E52">
        <v>1</v>
      </c>
      <c r="K52" s="69"/>
      <c r="L52" s="219"/>
      <c r="M52" s="35"/>
      <c r="R52" s="36"/>
    </row>
    <row r="53" spans="2:21" ht="15.65" customHeight="1" thickBot="1" x14ac:dyDescent="0.4">
      <c r="B53" s="37" t="s">
        <v>32</v>
      </c>
      <c r="C53" s="38"/>
      <c r="D53" s="38"/>
      <c r="E53" s="38"/>
      <c r="F53" s="38"/>
      <c r="G53" s="39">
        <f t="shared" ref="G53:L53" si="14">SUM(G48:G51)</f>
        <v>379996449.41874999</v>
      </c>
      <c r="H53" s="39">
        <f t="shared" si="14"/>
        <v>379996449.41874999</v>
      </c>
      <c r="I53" s="39">
        <f t="shared" si="14"/>
        <v>379996449.41874999</v>
      </c>
      <c r="J53" s="39">
        <f t="shared" si="14"/>
        <v>379996449.41874999</v>
      </c>
      <c r="K53" s="39">
        <f t="shared" si="14"/>
        <v>379996449.41874999</v>
      </c>
      <c r="L53" s="220">
        <f t="shared" si="14"/>
        <v>1899982247.09375</v>
      </c>
      <c r="M53" s="42"/>
      <c r="R53" s="42"/>
      <c r="S53" s="40"/>
      <c r="T53" s="40"/>
      <c r="U53" s="40"/>
    </row>
    <row r="54" spans="2:21" ht="15.65" customHeight="1" thickTop="1" x14ac:dyDescent="0.35">
      <c r="R54" s="14"/>
    </row>
    <row r="55" spans="2:21" ht="15.65" customHeight="1" x14ac:dyDescent="0.35"/>
    <row r="56" spans="2:21" x14ac:dyDescent="0.35">
      <c r="F56" t="s">
        <v>49</v>
      </c>
    </row>
  </sheetData>
  <mergeCells count="1">
    <mergeCell ref="E20:F20"/>
  </mergeCells>
  <pageMargins left="0.74" right="0.25" top="0.28999999999999998" bottom="0.34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F0FA9-E38F-4B6A-BABA-A402015B7B7C}">
  <sheetPr codeName="Sheet4"/>
  <dimension ref="A1:W66"/>
  <sheetViews>
    <sheetView zoomScale="70" zoomScaleNormal="70" workbookViewId="0"/>
  </sheetViews>
  <sheetFormatPr defaultRowHeight="15.5" x14ac:dyDescent="0.35"/>
  <cols>
    <col min="1" max="1" width="13.5" bestFit="1" customWidth="1"/>
    <col min="2" max="2" width="15.9140625" bestFit="1" customWidth="1"/>
    <col min="3" max="4" width="14.5" bestFit="1" customWidth="1"/>
    <col min="5" max="5" width="14.9140625" customWidth="1"/>
    <col min="6" max="7" width="14.5" bestFit="1" customWidth="1"/>
    <col min="8" max="8" width="16.6640625" customWidth="1"/>
    <col min="9" max="9" width="15.4140625" customWidth="1"/>
    <col min="10" max="11" width="13.6640625" bestFit="1" customWidth="1"/>
    <col min="12" max="12" width="11.6640625" bestFit="1" customWidth="1"/>
    <col min="13" max="13" width="11.5" customWidth="1"/>
    <col min="14" max="14" width="11.9140625" customWidth="1"/>
    <col min="15" max="15" width="11.4140625" customWidth="1"/>
    <col min="16" max="16" width="11.08203125" customWidth="1"/>
    <col min="17" max="18" width="11.1640625" bestFit="1" customWidth="1"/>
  </cols>
  <sheetData>
    <row r="1" spans="1:23" x14ac:dyDescent="0.35">
      <c r="A1" s="180" t="s">
        <v>175</v>
      </c>
    </row>
    <row r="2" spans="1:23" x14ac:dyDescent="0.35">
      <c r="A2" s="181" t="s">
        <v>176</v>
      </c>
      <c r="B2" s="182">
        <v>5</v>
      </c>
      <c r="C2" s="177">
        <v>2017</v>
      </c>
      <c r="D2" s="177">
        <f t="shared" ref="D2:O2" si="0">C2+1</f>
        <v>2018</v>
      </c>
      <c r="E2" s="177">
        <f t="shared" si="0"/>
        <v>2019</v>
      </c>
      <c r="F2" s="177">
        <f t="shared" si="0"/>
        <v>2020</v>
      </c>
      <c r="G2" s="177">
        <f t="shared" si="0"/>
        <v>2021</v>
      </c>
      <c r="H2" s="177">
        <f t="shared" si="0"/>
        <v>2022</v>
      </c>
      <c r="I2" s="177">
        <f t="shared" si="0"/>
        <v>2023</v>
      </c>
      <c r="J2" s="177">
        <f t="shared" si="0"/>
        <v>2024</v>
      </c>
      <c r="K2" s="177">
        <f t="shared" si="0"/>
        <v>2025</v>
      </c>
      <c r="L2" s="177">
        <f t="shared" si="0"/>
        <v>2026</v>
      </c>
      <c r="M2" s="177">
        <f t="shared" si="0"/>
        <v>2027</v>
      </c>
      <c r="N2" s="177">
        <f t="shared" si="0"/>
        <v>2028</v>
      </c>
      <c r="O2" s="177">
        <f t="shared" si="0"/>
        <v>2029</v>
      </c>
    </row>
    <row r="3" spans="1:23" x14ac:dyDescent="0.35">
      <c r="A3" s="183">
        <v>2017</v>
      </c>
      <c r="B3" t="s">
        <v>50</v>
      </c>
      <c r="C3" s="184">
        <v>2865432672</v>
      </c>
      <c r="D3" s="14">
        <f>C3-C4</f>
        <v>2292346137.5999999</v>
      </c>
      <c r="E3" s="14">
        <f>D3-C4</f>
        <v>1719259603.1999998</v>
      </c>
      <c r="F3" s="14">
        <f>E3-C4</f>
        <v>1146173068.7999997</v>
      </c>
      <c r="G3" s="14">
        <f>F3-C4</f>
        <v>573086534.39999974</v>
      </c>
      <c r="H3" s="14">
        <f>G3-C4</f>
        <v>0</v>
      </c>
      <c r="I3" s="14"/>
      <c r="J3" s="14"/>
      <c r="K3" s="14"/>
      <c r="P3" s="14"/>
      <c r="Q3" s="14"/>
      <c r="V3">
        <v>2013</v>
      </c>
      <c r="W3" s="184">
        <v>1726670811.6800001</v>
      </c>
    </row>
    <row r="4" spans="1:23" x14ac:dyDescent="0.35">
      <c r="A4" s="185"/>
      <c r="B4" t="s">
        <v>52</v>
      </c>
      <c r="C4" s="184">
        <f>C3/B2</f>
        <v>573086534.39999998</v>
      </c>
      <c r="D4" s="184"/>
      <c r="E4" s="184"/>
      <c r="V4">
        <v>2014</v>
      </c>
      <c r="W4" s="184">
        <v>422342499</v>
      </c>
    </row>
    <row r="5" spans="1:23" x14ac:dyDescent="0.35">
      <c r="A5" s="185"/>
      <c r="B5" t="s">
        <v>53</v>
      </c>
      <c r="C5" s="184">
        <f>(($C$3*'IRR (2)'!F4*6)/12)</f>
        <v>143271633.59999999</v>
      </c>
      <c r="D5" s="14">
        <f>AVERAGE(C3:D3)*'IRR (2)'!$F$4</f>
        <v>257888940.48000002</v>
      </c>
      <c r="E5" s="14">
        <f>AVERAGE(D3:E3)*'IRR (2)'!$F$4</f>
        <v>200580287.03999999</v>
      </c>
      <c r="F5" s="14">
        <f>AVERAGE(E3:F3)*'IRR (2)'!$F$4</f>
        <v>143271633.59999999</v>
      </c>
      <c r="G5" s="14">
        <f>AVERAGE(F3:G3)*'IRR (2)'!$F$4</f>
        <v>85962980.159999967</v>
      </c>
      <c r="H5" s="14">
        <f>AVERAGE(G3:H3)*'IRR (2)'!$F$4</f>
        <v>28654326.719999988</v>
      </c>
      <c r="I5" s="14"/>
      <c r="J5" s="14"/>
      <c r="K5" s="14"/>
      <c r="P5" s="14"/>
      <c r="Q5" s="14"/>
      <c r="T5" s="14"/>
      <c r="V5">
        <v>2016</v>
      </c>
      <c r="W5" s="184">
        <v>10773000</v>
      </c>
    </row>
    <row r="6" spans="1:23" x14ac:dyDescent="0.35">
      <c r="A6" s="183">
        <v>2018</v>
      </c>
      <c r="B6" t="s">
        <v>50</v>
      </c>
      <c r="D6" s="94">
        <v>880023937</v>
      </c>
      <c r="E6" s="14">
        <f>D6-D7</f>
        <v>704019149.60000002</v>
      </c>
      <c r="F6" s="14">
        <f>E6-D7</f>
        <v>528014362.20000005</v>
      </c>
      <c r="G6" s="14">
        <f>F6-D7</f>
        <v>352009574.80000007</v>
      </c>
      <c r="H6" s="14">
        <f>G6-D7</f>
        <v>176004787.40000007</v>
      </c>
      <c r="I6" s="14">
        <f>H6-D7</f>
        <v>0</v>
      </c>
      <c r="V6">
        <v>2017</v>
      </c>
      <c r="W6" s="184">
        <v>102210600</v>
      </c>
    </row>
    <row r="7" spans="1:23" x14ac:dyDescent="0.35">
      <c r="A7" s="185"/>
      <c r="B7" t="s">
        <v>52</v>
      </c>
      <c r="D7" s="14">
        <f>D6/B2</f>
        <v>176004787.40000001</v>
      </c>
    </row>
    <row r="8" spans="1:23" x14ac:dyDescent="0.35">
      <c r="A8" s="185"/>
      <c r="B8" t="s">
        <v>53</v>
      </c>
      <c r="D8" s="184">
        <f>(($D$6*'IRR (2)'!F4*6)/12)</f>
        <v>44001196.850000001</v>
      </c>
      <c r="E8" s="14">
        <f>AVERAGE(D6:E6)*'IRR (2)'!$F$4</f>
        <v>79202154.329999998</v>
      </c>
      <c r="F8" s="14">
        <f>AVERAGE(E6:F6)*'IRR (2)'!$F$4</f>
        <v>61601675.590000011</v>
      </c>
      <c r="G8" s="14">
        <f>AVERAGE(F6:G6)*'IRR (2)'!$F$4</f>
        <v>44001196.850000009</v>
      </c>
      <c r="H8" s="14">
        <f>AVERAGE(G6:H6)*'IRR (2)'!$F$4</f>
        <v>26400718.110000011</v>
      </c>
      <c r="I8" s="14">
        <f>AVERAGE(H6:I6)*'IRR (2)'!$F$4</f>
        <v>8800239.3700000029</v>
      </c>
      <c r="J8" s="14">
        <f>AVERAGE(I6:J6)*'IRR (2)'!$F$4</f>
        <v>0</v>
      </c>
    </row>
    <row r="9" spans="1:23" x14ac:dyDescent="0.35">
      <c r="A9" s="183">
        <v>2019</v>
      </c>
      <c r="B9" t="s">
        <v>50</v>
      </c>
      <c r="C9" s="184"/>
      <c r="D9" s="14"/>
      <c r="E9" s="94">
        <v>119956800</v>
      </c>
      <c r="F9" s="14">
        <f>E9-E10</f>
        <v>95965440</v>
      </c>
      <c r="G9" s="14">
        <f>F9-E10</f>
        <v>71974080</v>
      </c>
      <c r="H9" s="14">
        <f>G9-E10</f>
        <v>47982720</v>
      </c>
      <c r="I9" s="14">
        <f>H9-E10</f>
        <v>23991360</v>
      </c>
      <c r="J9" s="14">
        <f>I9-E10</f>
        <v>0</v>
      </c>
      <c r="N9" s="14"/>
    </row>
    <row r="10" spans="1:23" x14ac:dyDescent="0.35">
      <c r="A10" s="185"/>
      <c r="B10" t="s">
        <v>52</v>
      </c>
      <c r="C10" s="184"/>
      <c r="D10" s="14"/>
      <c r="E10" s="14">
        <f>E9/B2</f>
        <v>23991360</v>
      </c>
      <c r="F10" s="14"/>
      <c r="G10" s="14"/>
      <c r="H10" s="14"/>
      <c r="I10" s="14"/>
      <c r="J10" s="14"/>
      <c r="K10" s="14"/>
    </row>
    <row r="11" spans="1:23" x14ac:dyDescent="0.35">
      <c r="A11" s="185"/>
      <c r="B11" t="s">
        <v>53</v>
      </c>
      <c r="C11" s="184"/>
      <c r="D11" s="14"/>
      <c r="E11" s="184">
        <f>((E9*'IRR (2)'!F4*6)/12)</f>
        <v>5997840</v>
      </c>
      <c r="F11" s="14">
        <f>AVERAGE(E9:F9)*'IRR (2)'!$F$4</f>
        <v>10796112</v>
      </c>
      <c r="G11" s="14">
        <f>AVERAGE(F9:G9)*'IRR (2)'!$F$4</f>
        <v>8396976</v>
      </c>
      <c r="H11" s="14">
        <f>AVERAGE(G9:H9)*'IRR (2)'!$F$4</f>
        <v>5997840</v>
      </c>
      <c r="I11" s="14">
        <f>AVERAGE(H9:I9)*'IRR (2)'!$F$4</f>
        <v>3598704</v>
      </c>
      <c r="J11" s="14">
        <f>AVERAGE(I9:J9)*'IRR (2)'!$F$4</f>
        <v>1199568</v>
      </c>
    </row>
    <row r="12" spans="1:23" x14ac:dyDescent="0.35">
      <c r="A12" s="183">
        <v>2020</v>
      </c>
      <c r="B12" t="s">
        <v>50</v>
      </c>
      <c r="C12" s="184"/>
      <c r="D12" s="14"/>
      <c r="E12" s="14"/>
      <c r="F12" s="14">
        <v>116380891</v>
      </c>
      <c r="G12" s="14">
        <f>F12-F13</f>
        <v>93104712.799999997</v>
      </c>
      <c r="H12" s="14">
        <f>G12-F13</f>
        <v>69828534.599999994</v>
      </c>
      <c r="I12" s="14">
        <f>H12-F13</f>
        <v>46552356.399999991</v>
      </c>
      <c r="J12" s="14">
        <f>I12-F13</f>
        <v>23276178.199999992</v>
      </c>
      <c r="K12" s="14">
        <f>J12-F13</f>
        <v>0</v>
      </c>
      <c r="L12" s="14"/>
      <c r="M12" s="14"/>
      <c r="O12" s="14"/>
      <c r="P12" s="14"/>
      <c r="Q12" s="14"/>
    </row>
    <row r="13" spans="1:23" x14ac:dyDescent="0.35">
      <c r="B13" t="s">
        <v>52</v>
      </c>
      <c r="C13" s="184"/>
      <c r="D13" s="14"/>
      <c r="E13" s="14"/>
      <c r="F13" s="14">
        <f>F12/B2</f>
        <v>23276178.199999999</v>
      </c>
      <c r="I13" s="14"/>
      <c r="J13" s="14"/>
      <c r="K13" s="14"/>
      <c r="L13" s="14"/>
      <c r="M13" s="14"/>
      <c r="N13" s="14"/>
      <c r="O13" s="14"/>
      <c r="P13" s="14"/>
      <c r="Q13" s="14"/>
    </row>
    <row r="14" spans="1:23" x14ac:dyDescent="0.35">
      <c r="B14" t="s">
        <v>53</v>
      </c>
      <c r="C14" s="184"/>
      <c r="D14" s="14"/>
      <c r="E14" s="184"/>
      <c r="F14" s="184">
        <f>((F12*'IRR (2)'!F4*6)/12)</f>
        <v>5819044.5500000007</v>
      </c>
      <c r="G14" s="14">
        <f>AVERAGE(F12:G12)*'IRR (2)'!$F$4</f>
        <v>10474280.190000001</v>
      </c>
      <c r="H14" s="14">
        <f>AVERAGE(G12:H12)*'IRR (2)'!$F$4</f>
        <v>8146662.3699999992</v>
      </c>
      <c r="I14" s="14">
        <f>AVERAGE(H12:I12)*'IRR (2)'!$F$4</f>
        <v>5819044.5499999998</v>
      </c>
      <c r="J14" s="14">
        <f>AVERAGE(I12:J12)*'IRR (2)'!$F$4</f>
        <v>3491426.7299999991</v>
      </c>
      <c r="K14" s="14">
        <f>AVERAGE(J12:K12)*'IRR (2)'!$F$4</f>
        <v>1163808.9099999997</v>
      </c>
      <c r="L14" s="14">
        <f>AVERAGE(K12:L12)*'IRR (2)'!$F$4</f>
        <v>0</v>
      </c>
      <c r="M14" s="14"/>
      <c r="N14" s="14"/>
      <c r="O14" s="14"/>
      <c r="P14" s="14"/>
      <c r="Q14" s="14"/>
    </row>
    <row r="15" spans="1:23" x14ac:dyDescent="0.35">
      <c r="A15" s="183">
        <v>2021</v>
      </c>
      <c r="B15" t="s">
        <v>50</v>
      </c>
      <c r="C15" s="184"/>
      <c r="D15" s="14"/>
      <c r="E15" s="14"/>
      <c r="F15" s="14"/>
      <c r="G15" s="94">
        <v>117103010</v>
      </c>
      <c r="H15" s="14">
        <f>G15-G16</f>
        <v>93682408</v>
      </c>
      <c r="I15" s="14">
        <f>H15-G16</f>
        <v>70261806</v>
      </c>
      <c r="J15" s="14">
        <f>I15-G16</f>
        <v>46841204</v>
      </c>
      <c r="K15" s="14">
        <f>J15-G16</f>
        <v>23420602</v>
      </c>
      <c r="L15" s="14">
        <f>K15-G16</f>
        <v>0</v>
      </c>
      <c r="N15" s="14"/>
      <c r="O15" s="14"/>
      <c r="P15" s="14"/>
      <c r="Q15" s="14"/>
      <c r="R15" s="14"/>
      <c r="S15" s="14"/>
    </row>
    <row r="16" spans="1:23" x14ac:dyDescent="0.35">
      <c r="B16" t="s">
        <v>52</v>
      </c>
      <c r="C16" s="184"/>
      <c r="D16" s="14"/>
      <c r="E16" s="14"/>
      <c r="F16" s="14"/>
      <c r="G16" s="14">
        <f>G15/B2</f>
        <v>23420602</v>
      </c>
      <c r="M16" s="14"/>
      <c r="N16" s="14"/>
      <c r="O16" s="14"/>
      <c r="P16" s="14"/>
      <c r="Q16" s="14"/>
      <c r="R16" s="14"/>
      <c r="S16" s="14"/>
    </row>
    <row r="17" spans="1:19" x14ac:dyDescent="0.35">
      <c r="B17" t="s">
        <v>53</v>
      </c>
      <c r="C17" s="184"/>
      <c r="D17" s="14"/>
      <c r="E17" s="184"/>
      <c r="F17" s="14"/>
      <c r="G17" s="184">
        <f>((G15*'IRR (2)'!F4*6)/12)</f>
        <v>5855150.5</v>
      </c>
      <c r="H17" s="14">
        <f>AVERAGE(G15:H15)*'IRR (2)'!$F$4</f>
        <v>10539270.9</v>
      </c>
      <c r="I17" s="14">
        <f>AVERAGE(H15:I15)*'IRR (2)'!$F$4</f>
        <v>8197210.7000000002</v>
      </c>
      <c r="J17" s="14">
        <f>AVERAGE(I15:J15)*'IRR (2)'!$F$4</f>
        <v>5855150.5</v>
      </c>
      <c r="K17" s="14">
        <f>AVERAGE(J15:K15)*'IRR (2)'!$F$4</f>
        <v>3513090.3000000003</v>
      </c>
      <c r="L17" s="14">
        <f>AVERAGE(K15:L15)*'IRR (2)'!$F$4</f>
        <v>1171030.1000000001</v>
      </c>
      <c r="M17" s="14">
        <f>AVERAGE(L15:M15)*'IRR (2)'!$F$4</f>
        <v>0</v>
      </c>
      <c r="N17" s="184"/>
      <c r="O17" s="14"/>
      <c r="P17" s="14"/>
      <c r="Q17" s="14"/>
      <c r="R17" s="14"/>
      <c r="S17" s="14"/>
    </row>
    <row r="19" spans="1:19" x14ac:dyDescent="0.35">
      <c r="C19" s="184"/>
      <c r="D19" s="14"/>
      <c r="E19" s="14"/>
      <c r="F19" s="14"/>
      <c r="G19" s="14"/>
      <c r="H19" s="14"/>
      <c r="I19" s="14"/>
      <c r="J19" s="14"/>
      <c r="K19" s="14"/>
    </row>
    <row r="20" spans="1:19" x14ac:dyDescent="0.35">
      <c r="A20" s="181"/>
      <c r="B20" s="186" t="s">
        <v>177</v>
      </c>
      <c r="C20" s="187">
        <f>C5+C8+C11+C14+C17</f>
        <v>143271633.59999999</v>
      </c>
      <c r="D20" s="187">
        <f t="shared" ref="D20:N20" si="1">D5+D8+D11+D14+D17</f>
        <v>301890137.33000004</v>
      </c>
      <c r="E20" s="187">
        <f t="shared" si="1"/>
        <v>285780281.37</v>
      </c>
      <c r="F20" s="187">
        <f t="shared" si="1"/>
        <v>221488465.74000001</v>
      </c>
      <c r="G20" s="187">
        <f t="shared" si="1"/>
        <v>154690583.69999999</v>
      </c>
      <c r="H20" s="187">
        <f t="shared" si="1"/>
        <v>79738818.100000009</v>
      </c>
      <c r="I20" s="187">
        <f t="shared" si="1"/>
        <v>26415198.620000001</v>
      </c>
      <c r="J20" s="187">
        <f t="shared" si="1"/>
        <v>10546145.229999999</v>
      </c>
      <c r="K20" s="187">
        <f t="shared" si="1"/>
        <v>4676899.21</v>
      </c>
      <c r="L20" s="187">
        <f t="shared" si="1"/>
        <v>1171030.1000000001</v>
      </c>
      <c r="M20" s="187">
        <f t="shared" si="1"/>
        <v>0</v>
      </c>
      <c r="N20" s="187">
        <f t="shared" si="1"/>
        <v>0</v>
      </c>
      <c r="O20" s="187">
        <f t="shared" ref="O20:S20" si="2">O5+O8+O11+O14+O17</f>
        <v>0</v>
      </c>
      <c r="P20" s="187">
        <f t="shared" si="2"/>
        <v>0</v>
      </c>
      <c r="Q20" s="187">
        <f t="shared" si="2"/>
        <v>0</v>
      </c>
      <c r="R20" s="187">
        <f t="shared" si="2"/>
        <v>0</v>
      </c>
      <c r="S20" s="187">
        <f t="shared" si="2"/>
        <v>0</v>
      </c>
    </row>
    <row r="21" spans="1:19" x14ac:dyDescent="0.35">
      <c r="B21" s="184"/>
      <c r="C21" s="14"/>
      <c r="D21" s="14"/>
      <c r="E21" s="14"/>
      <c r="F21" s="14"/>
      <c r="G21" s="14"/>
      <c r="H21" s="14"/>
      <c r="I21" s="14"/>
      <c r="J21" s="14"/>
      <c r="K21" s="14"/>
    </row>
    <row r="22" spans="1:19" x14ac:dyDescent="0.35">
      <c r="A22" s="188"/>
      <c r="B22" s="188"/>
      <c r="C22" s="188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8"/>
    </row>
    <row r="23" spans="1:19" x14ac:dyDescent="0.35">
      <c r="B23" t="s">
        <v>6</v>
      </c>
      <c r="C23" t="s">
        <v>7</v>
      </c>
      <c r="D23" t="s">
        <v>8</v>
      </c>
      <c r="E23" t="s">
        <v>9</v>
      </c>
      <c r="F23" t="s">
        <v>10</v>
      </c>
      <c r="G23" t="s">
        <v>42</v>
      </c>
      <c r="H23" t="s">
        <v>43</v>
      </c>
      <c r="I23" t="s">
        <v>44</v>
      </c>
      <c r="J23" t="s">
        <v>45</v>
      </c>
      <c r="K23" t="s">
        <v>46</v>
      </c>
    </row>
    <row r="24" spans="1:19" x14ac:dyDescent="0.35">
      <c r="A24" t="s">
        <v>50</v>
      </c>
      <c r="B24" s="94">
        <f>IRR!G9+68000000</f>
        <v>122175085.0041666</v>
      </c>
      <c r="C24" s="14">
        <f>$B$24-$B$26</f>
        <v>97740068.003333285</v>
      </c>
      <c r="D24" s="14">
        <f>$C$24-$B$26</f>
        <v>73305051.002499968</v>
      </c>
      <c r="E24" s="14">
        <f>$D$24-$B$26</f>
        <v>48870034.00166665</v>
      </c>
      <c r="F24" s="14">
        <f>$E$24-$B$26</f>
        <v>24435017.000833329</v>
      </c>
      <c r="G24" s="14">
        <f>$F$24-$B$26</f>
        <v>0</v>
      </c>
      <c r="H24" s="14">
        <f>$G$24-$B$26</f>
        <v>-24435017.000833321</v>
      </c>
      <c r="I24" s="14">
        <f>$H$24-$B$26</f>
        <v>-48870034.001666643</v>
      </c>
      <c r="J24" s="14">
        <f>$I$24-$B$26</f>
        <v>-73305051.002499968</v>
      </c>
      <c r="K24" s="14">
        <f>$J$24-$B$26</f>
        <v>-97740068.003333285</v>
      </c>
    </row>
    <row r="25" spans="1:19" x14ac:dyDescent="0.35">
      <c r="A25" t="s">
        <v>51</v>
      </c>
      <c r="B25" s="94">
        <v>5</v>
      </c>
    </row>
    <row r="26" spans="1:19" x14ac:dyDescent="0.35">
      <c r="A26" t="s">
        <v>52</v>
      </c>
      <c r="B26" s="94">
        <f>$B$24/$B$25</f>
        <v>24435017.000833321</v>
      </c>
    </row>
    <row r="27" spans="1:19" x14ac:dyDescent="0.35">
      <c r="A27" t="s">
        <v>53</v>
      </c>
      <c r="B27" s="94">
        <f>(($B$24*IRR!$F$4)*6)/12</f>
        <v>6108754.2502083303</v>
      </c>
      <c r="C27" s="14">
        <f>AVERAGE(B24:C24)*IRR!$F$4</f>
        <v>10995757.650374994</v>
      </c>
      <c r="D27" s="14">
        <f>AVERAGE(C24:D24)*IRR!$F$4</f>
        <v>8552255.9502916634</v>
      </c>
      <c r="E27" s="14">
        <f>AVERAGE(D24:E24)*IRR!$F$4</f>
        <v>6108754.2502083313</v>
      </c>
      <c r="F27" s="14">
        <f>AVERAGE(E24:F24)*IRR!$F$4</f>
        <v>3665252.5501249991</v>
      </c>
      <c r="G27" s="14">
        <f>AVERAGE(F24:G24)*IRR!$F$4</f>
        <v>1221750.8500416665</v>
      </c>
      <c r="H27" s="14">
        <f>AVERAGE($G$24:$H$24)*[3]IRR!$G$4</f>
        <v>-1221750.8500416661</v>
      </c>
      <c r="I27" s="14">
        <f>AVERAGE($H$24:$I$24)*[3]IRR!$G$4</f>
        <v>-3665252.5501249987</v>
      </c>
      <c r="J27" s="14">
        <f>AVERAGE($I$24:$J$24)*[3]IRR!$G$4</f>
        <v>-6108754.2502083303</v>
      </c>
      <c r="K27" s="14">
        <f>AVERAGE($J$24:$K$24)*[3]IRR!$G$4</f>
        <v>-8552255.9502916634</v>
      </c>
    </row>
    <row r="32" spans="1:19" x14ac:dyDescent="0.35">
      <c r="F32" s="134" t="s">
        <v>92</v>
      </c>
      <c r="G32" s="134" t="s">
        <v>93</v>
      </c>
      <c r="H32" s="134" t="s">
        <v>94</v>
      </c>
      <c r="I32" s="135" t="s">
        <v>95</v>
      </c>
      <c r="J32" s="255" t="s">
        <v>96</v>
      </c>
      <c r="K32" s="255" t="s">
        <v>97</v>
      </c>
    </row>
    <row r="33" spans="1:11" x14ac:dyDescent="0.35">
      <c r="E33" s="136" t="s">
        <v>98</v>
      </c>
      <c r="F33" s="137">
        <v>1</v>
      </c>
      <c r="G33" s="138">
        <v>1</v>
      </c>
      <c r="H33" s="138">
        <v>1</v>
      </c>
      <c r="I33" s="139">
        <v>40</v>
      </c>
      <c r="J33" s="255"/>
      <c r="K33" s="255"/>
    </row>
    <row r="34" spans="1:11" x14ac:dyDescent="0.35">
      <c r="B34" s="256" t="s">
        <v>99</v>
      </c>
      <c r="C34" s="140" t="s">
        <v>100</v>
      </c>
      <c r="D34" s="141">
        <f>C47</f>
        <v>2000000</v>
      </c>
      <c r="E34" s="140" t="s">
        <v>92</v>
      </c>
      <c r="F34" s="134">
        <f>F33</f>
        <v>1</v>
      </c>
      <c r="G34" s="134"/>
      <c r="H34" s="134"/>
      <c r="I34" s="135"/>
      <c r="J34" s="142">
        <f>F34*D34</f>
        <v>2000000</v>
      </c>
    </row>
    <row r="35" spans="1:11" x14ac:dyDescent="0.35">
      <c r="B35" s="257"/>
      <c r="C35" s="140" t="s">
        <v>101</v>
      </c>
      <c r="D35" s="143">
        <v>600000</v>
      </c>
      <c r="E35" s="140" t="s">
        <v>92</v>
      </c>
      <c r="F35" s="134">
        <f>F33</f>
        <v>1</v>
      </c>
      <c r="G35" s="134"/>
      <c r="H35" s="134"/>
      <c r="I35" s="135">
        <f>IF($I$32&lt;=120,2,IF($I$32&gt;220,4,3))</f>
        <v>4</v>
      </c>
      <c r="J35" s="143">
        <f>D35*F35</f>
        <v>600000</v>
      </c>
    </row>
    <row r="36" spans="1:11" x14ac:dyDescent="0.35">
      <c r="B36" s="258"/>
      <c r="C36" s="140" t="s">
        <v>99</v>
      </c>
      <c r="D36" s="143">
        <v>200000</v>
      </c>
      <c r="E36" s="140" t="s">
        <v>102</v>
      </c>
      <c r="F36" s="134"/>
      <c r="G36" s="134">
        <f>G33</f>
        <v>1</v>
      </c>
      <c r="H36" s="134"/>
      <c r="I36" s="135"/>
      <c r="J36" s="143">
        <f>G36*D36</f>
        <v>200000</v>
      </c>
    </row>
    <row r="37" spans="1:11" x14ac:dyDescent="0.35">
      <c r="B37" s="140" t="s">
        <v>103</v>
      </c>
      <c r="C37" s="140" t="s">
        <v>103</v>
      </c>
      <c r="D37" s="143">
        <v>450000</v>
      </c>
      <c r="E37" s="140" t="s">
        <v>94</v>
      </c>
      <c r="F37" s="134">
        <f>F33</f>
        <v>1</v>
      </c>
      <c r="G37" s="134"/>
      <c r="H37" s="134">
        <f>H33</f>
        <v>1</v>
      </c>
      <c r="I37" s="135">
        <f>IF($I$32&lt;=120,2,IF($I$32&gt;220,4,3))</f>
        <v>4</v>
      </c>
      <c r="J37" s="143">
        <f>H37*D37*I37</f>
        <v>1800000</v>
      </c>
    </row>
    <row r="38" spans="1:11" x14ac:dyDescent="0.35">
      <c r="B38" s="140" t="s">
        <v>104</v>
      </c>
      <c r="C38" s="140" t="s">
        <v>104</v>
      </c>
      <c r="D38" s="143">
        <v>120000</v>
      </c>
      <c r="E38" s="140" t="s">
        <v>92</v>
      </c>
      <c r="F38" s="134">
        <f>F33</f>
        <v>1</v>
      </c>
      <c r="G38" s="134"/>
      <c r="H38" s="134"/>
      <c r="I38" s="135">
        <f>IF($I$32&lt;=120,2,IF($I$32&gt;220,4,3))</f>
        <v>4</v>
      </c>
      <c r="J38" s="143">
        <f>I38*D38*F38</f>
        <v>480000</v>
      </c>
    </row>
    <row r="39" spans="1:11" x14ac:dyDescent="0.35">
      <c r="J39" s="144">
        <f>SUM(J34:J38)</f>
        <v>5080000</v>
      </c>
      <c r="K39" s="145">
        <f>J39*2</f>
        <v>10160000</v>
      </c>
    </row>
    <row r="41" spans="1:11" x14ac:dyDescent="0.35">
      <c r="K41" s="14">
        <f>B47</f>
        <v>15000000</v>
      </c>
    </row>
    <row r="42" spans="1:11" x14ac:dyDescent="0.35">
      <c r="K42" s="14">
        <v>7000000</v>
      </c>
    </row>
    <row r="43" spans="1:11" x14ac:dyDescent="0.35">
      <c r="B43" s="134" t="s">
        <v>105</v>
      </c>
      <c r="C43" s="134" t="s">
        <v>100</v>
      </c>
      <c r="E43" s="140" t="s">
        <v>106</v>
      </c>
      <c r="K43" s="36"/>
    </row>
    <row r="44" spans="1:11" x14ac:dyDescent="0.35">
      <c r="A44" t="s">
        <v>107</v>
      </c>
      <c r="B44" s="94">
        <v>16800000</v>
      </c>
      <c r="C44" s="94">
        <v>4000000</v>
      </c>
      <c r="E44" t="s">
        <v>108</v>
      </c>
      <c r="K44" s="14"/>
    </row>
    <row r="45" spans="1:11" x14ac:dyDescent="0.35">
      <c r="A45" t="s">
        <v>109</v>
      </c>
      <c r="B45" s="94"/>
      <c r="C45" s="94">
        <v>3000000</v>
      </c>
      <c r="E45" t="s">
        <v>110</v>
      </c>
      <c r="I45" s="94">
        <v>10000000</v>
      </c>
      <c r="K45" s="14">
        <f>K42+K41+K39</f>
        <v>32160000</v>
      </c>
    </row>
    <row r="46" spans="1:11" x14ac:dyDescent="0.35">
      <c r="A46" t="s">
        <v>111</v>
      </c>
      <c r="B46" s="94">
        <v>15600000</v>
      </c>
      <c r="C46" s="94">
        <v>2500000</v>
      </c>
      <c r="E46" t="s">
        <v>110</v>
      </c>
      <c r="H46" t="s">
        <v>112</v>
      </c>
      <c r="I46" s="94">
        <v>12000000</v>
      </c>
    </row>
    <row r="47" spans="1:11" x14ac:dyDescent="0.35">
      <c r="A47" t="s">
        <v>113</v>
      </c>
      <c r="B47" s="94">
        <v>15000000</v>
      </c>
      <c r="C47" s="94">
        <v>2000000</v>
      </c>
      <c r="E47" t="s">
        <v>110</v>
      </c>
      <c r="H47" t="s">
        <v>114</v>
      </c>
      <c r="I47" s="94">
        <v>14000000</v>
      </c>
    </row>
    <row r="48" spans="1:11" x14ac:dyDescent="0.35">
      <c r="A48" t="s">
        <v>115</v>
      </c>
      <c r="B48" s="94">
        <v>15000000</v>
      </c>
      <c r="C48" s="94">
        <v>1850000</v>
      </c>
      <c r="E48" t="s">
        <v>110</v>
      </c>
      <c r="H48" t="s">
        <v>116</v>
      </c>
      <c r="I48" s="94">
        <v>14000000</v>
      </c>
    </row>
    <row r="49" spans="1:9" x14ac:dyDescent="0.35">
      <c r="A49" t="s">
        <v>117</v>
      </c>
      <c r="B49" s="94">
        <v>12000000</v>
      </c>
      <c r="C49" s="94">
        <v>1200000</v>
      </c>
      <c r="E49" t="s">
        <v>110</v>
      </c>
      <c r="H49" t="s">
        <v>107</v>
      </c>
      <c r="I49" s="94">
        <v>17000000</v>
      </c>
    </row>
    <row r="50" spans="1:9" x14ac:dyDescent="0.35">
      <c r="A50" t="s">
        <v>118</v>
      </c>
      <c r="B50" s="94">
        <v>16800000</v>
      </c>
      <c r="C50" s="94">
        <v>2000000</v>
      </c>
      <c r="E50" t="s">
        <v>110</v>
      </c>
      <c r="H50" t="s">
        <v>118</v>
      </c>
      <c r="I50" s="94">
        <v>14000000</v>
      </c>
    </row>
    <row r="51" spans="1:9" x14ac:dyDescent="0.35">
      <c r="A51" t="s">
        <v>119</v>
      </c>
      <c r="B51" s="94">
        <v>15720000</v>
      </c>
      <c r="C51" s="94">
        <v>3500000</v>
      </c>
    </row>
    <row r="52" spans="1:9" x14ac:dyDescent="0.35">
      <c r="A52" t="s">
        <v>120</v>
      </c>
      <c r="C52" s="94">
        <v>2800000</v>
      </c>
    </row>
    <row r="53" spans="1:9" x14ac:dyDescent="0.35">
      <c r="A53" t="s">
        <v>121</v>
      </c>
      <c r="B53">
        <v>0</v>
      </c>
      <c r="C53" s="94">
        <v>0</v>
      </c>
      <c r="D53" t="s">
        <v>122</v>
      </c>
    </row>
    <row r="55" spans="1:9" x14ac:dyDescent="0.35">
      <c r="B55" s="134" t="s">
        <v>123</v>
      </c>
      <c r="C55" s="134"/>
    </row>
    <row r="56" spans="1:9" x14ac:dyDescent="0.35">
      <c r="B56" s="94">
        <v>7000000</v>
      </c>
    </row>
    <row r="58" spans="1:9" x14ac:dyDescent="0.35">
      <c r="A58" s="140" t="s">
        <v>124</v>
      </c>
      <c r="B58" s="14"/>
    </row>
    <row r="59" spans="1:9" x14ac:dyDescent="0.35">
      <c r="A59" t="s">
        <v>125</v>
      </c>
    </row>
    <row r="60" spans="1:9" x14ac:dyDescent="0.35">
      <c r="A60" t="s">
        <v>126</v>
      </c>
      <c r="B60" s="94">
        <v>36000000</v>
      </c>
    </row>
    <row r="61" spans="1:9" x14ac:dyDescent="0.35">
      <c r="A61" t="s">
        <v>127</v>
      </c>
      <c r="B61" s="94">
        <v>42000000</v>
      </c>
    </row>
    <row r="62" spans="1:9" x14ac:dyDescent="0.35">
      <c r="A62" t="s">
        <v>128</v>
      </c>
      <c r="B62" s="94">
        <v>48000000</v>
      </c>
    </row>
    <row r="64" spans="1:9" x14ac:dyDescent="0.35">
      <c r="A64" t="s">
        <v>129</v>
      </c>
    </row>
    <row r="65" spans="1:2" x14ac:dyDescent="0.35">
      <c r="A65" t="s">
        <v>130</v>
      </c>
      <c r="B65" s="94">
        <v>75000000</v>
      </c>
    </row>
    <row r="66" spans="1:2" x14ac:dyDescent="0.35">
      <c r="A66" t="s">
        <v>128</v>
      </c>
      <c r="B66" s="94">
        <v>95000000</v>
      </c>
    </row>
  </sheetData>
  <mergeCells count="3">
    <mergeCell ref="J32:J33"/>
    <mergeCell ref="K32:K33"/>
    <mergeCell ref="B34:B36"/>
  </mergeCells>
  <conditionalFormatting sqref="B27:K27 P5:Q5 W5 C11:J11 C5:K5 C10:K10 C9:J9 F13:F14 M14 O12:Q12 H15:J15 G16:G17 H17 N13:Q14 M16 N9 I12:M13">
    <cfRule type="cellIs" dxfId="28" priority="32" operator="lessThan">
      <formula>0</formula>
    </cfRule>
  </conditionalFormatting>
  <conditionalFormatting sqref="B21:K21 C19:K19 C20:S20">
    <cfRule type="cellIs" dxfId="27" priority="31" operator="lessThan">
      <formula>0</formula>
    </cfRule>
  </conditionalFormatting>
  <conditionalFormatting sqref="T5">
    <cfRule type="cellIs" dxfId="26" priority="30" operator="lessThan">
      <formula>0</formula>
    </cfRule>
  </conditionalFormatting>
  <conditionalFormatting sqref="C12:F14">
    <cfRule type="cellIs" dxfId="25" priority="29" operator="lessThan">
      <formula>0</formula>
    </cfRule>
  </conditionalFormatting>
  <conditionalFormatting sqref="C15:F17">
    <cfRule type="cellIs" dxfId="24" priority="27" operator="lessThan">
      <formula>0</formula>
    </cfRule>
  </conditionalFormatting>
  <conditionalFormatting sqref="N15:S17">
    <cfRule type="cellIs" dxfId="23" priority="24" operator="lessThan">
      <formula>0</formula>
    </cfRule>
  </conditionalFormatting>
  <conditionalFormatting sqref="G12">
    <cfRule type="cellIs" dxfId="22" priority="23" operator="lessThan">
      <formula>0</formula>
    </cfRule>
  </conditionalFormatting>
  <conditionalFormatting sqref="H12">
    <cfRule type="cellIs" dxfId="21" priority="22" operator="lessThan">
      <formula>0</formula>
    </cfRule>
  </conditionalFormatting>
  <conditionalFormatting sqref="G14">
    <cfRule type="cellIs" dxfId="20" priority="21" operator="lessThan">
      <formula>0</formula>
    </cfRule>
  </conditionalFormatting>
  <conditionalFormatting sqref="H14">
    <cfRule type="cellIs" dxfId="19" priority="20" operator="lessThan">
      <formula>0</formula>
    </cfRule>
  </conditionalFormatting>
  <conditionalFormatting sqref="I14">
    <cfRule type="cellIs" dxfId="18" priority="19" operator="lessThan">
      <formula>0</formula>
    </cfRule>
  </conditionalFormatting>
  <conditionalFormatting sqref="J14">
    <cfRule type="cellIs" dxfId="17" priority="18" operator="lessThan">
      <formula>0</formula>
    </cfRule>
  </conditionalFormatting>
  <conditionalFormatting sqref="K14">
    <cfRule type="cellIs" dxfId="16" priority="17" operator="lessThan">
      <formula>0</formula>
    </cfRule>
  </conditionalFormatting>
  <conditionalFormatting sqref="L14">
    <cfRule type="cellIs" dxfId="15" priority="16" operator="lessThan">
      <formula>0</formula>
    </cfRule>
  </conditionalFormatting>
  <conditionalFormatting sqref="K15">
    <cfRule type="cellIs" dxfId="14" priority="15" operator="lessThan">
      <formula>0</formula>
    </cfRule>
  </conditionalFormatting>
  <conditionalFormatting sqref="L15">
    <cfRule type="cellIs" dxfId="13" priority="14" operator="lessThan">
      <formula>0</formula>
    </cfRule>
  </conditionalFormatting>
  <conditionalFormatting sqref="I17">
    <cfRule type="cellIs" dxfId="12" priority="13" operator="lessThan">
      <formula>0</formula>
    </cfRule>
  </conditionalFormatting>
  <conditionalFormatting sqref="J17">
    <cfRule type="cellIs" dxfId="11" priority="12" operator="lessThan">
      <formula>0</formula>
    </cfRule>
  </conditionalFormatting>
  <conditionalFormatting sqref="K17">
    <cfRule type="cellIs" dxfId="10" priority="11" operator="lessThan">
      <formula>0</formula>
    </cfRule>
  </conditionalFormatting>
  <conditionalFormatting sqref="L17">
    <cfRule type="cellIs" dxfId="9" priority="10" operator="lessThan">
      <formula>0</formula>
    </cfRule>
  </conditionalFormatting>
  <conditionalFormatting sqref="M17">
    <cfRule type="cellIs" dxfId="8" priority="9" operator="lessThan">
      <formula>0</formula>
    </cfRule>
  </conditionalFormatting>
  <conditionalFormatting sqref="D7">
    <cfRule type="cellIs" dxfId="7" priority="8" operator="lessThan">
      <formula>0</formula>
    </cfRule>
  </conditionalFormatting>
  <conditionalFormatting sqref="D8">
    <cfRule type="cellIs" dxfId="6" priority="7" operator="lessThan">
      <formula>0</formula>
    </cfRule>
  </conditionalFormatting>
  <conditionalFormatting sqref="E8">
    <cfRule type="cellIs" dxfId="5" priority="6" operator="lessThan">
      <formula>0</formula>
    </cfRule>
  </conditionalFormatting>
  <conditionalFormatting sqref="F8">
    <cfRule type="cellIs" dxfId="4" priority="5" operator="lessThan">
      <formula>0</formula>
    </cfRule>
  </conditionalFormatting>
  <conditionalFormatting sqref="G8">
    <cfRule type="cellIs" dxfId="3" priority="4" operator="lessThan">
      <formula>0</formula>
    </cfRule>
  </conditionalFormatting>
  <conditionalFormatting sqref="H8">
    <cfRule type="cellIs" dxfId="2" priority="3" operator="lessThan">
      <formula>0</formula>
    </cfRule>
  </conditionalFormatting>
  <conditionalFormatting sqref="I8">
    <cfRule type="cellIs" dxfId="1" priority="2" operator="lessThan">
      <formula>0</formula>
    </cfRule>
  </conditionalFormatting>
  <conditionalFormatting sqref="J8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01B81-125E-47B0-A2EE-706DC3C18735}">
  <sheetPr codeName="Sheet6"/>
  <dimension ref="A1:D18"/>
  <sheetViews>
    <sheetView workbookViewId="0">
      <selection activeCell="C18" sqref="A1:D18"/>
    </sheetView>
  </sheetViews>
  <sheetFormatPr defaultRowHeight="15.5" x14ac:dyDescent="0.35"/>
  <cols>
    <col min="1" max="1" width="13.5" bestFit="1" customWidth="1"/>
    <col min="2" max="2" width="26.5" bestFit="1" customWidth="1"/>
    <col min="3" max="3" width="28.33203125" customWidth="1"/>
    <col min="4" max="4" width="29.6640625" customWidth="1"/>
  </cols>
  <sheetData>
    <row r="1" spans="1:4" x14ac:dyDescent="0.35">
      <c r="C1" t="s">
        <v>151</v>
      </c>
    </row>
    <row r="3" spans="1:4" x14ac:dyDescent="0.35">
      <c r="A3" t="s">
        <v>152</v>
      </c>
      <c r="B3" t="s">
        <v>197</v>
      </c>
    </row>
    <row r="4" spans="1:4" x14ac:dyDescent="0.35">
      <c r="A4" t="s">
        <v>154</v>
      </c>
      <c r="B4" t="s">
        <v>198</v>
      </c>
    </row>
    <row r="5" spans="1:4" x14ac:dyDescent="0.35">
      <c r="A5" t="s">
        <v>153</v>
      </c>
      <c r="B5" t="s">
        <v>199</v>
      </c>
    </row>
    <row r="6" spans="1:4" x14ac:dyDescent="0.35">
      <c r="A6" t="s">
        <v>155</v>
      </c>
    </row>
    <row r="7" spans="1:4" x14ac:dyDescent="0.35">
      <c r="A7" t="s">
        <v>156</v>
      </c>
      <c r="B7" t="s">
        <v>200</v>
      </c>
    </row>
    <row r="9" spans="1:4" x14ac:dyDescent="0.35">
      <c r="A9" s="168" t="s">
        <v>165</v>
      </c>
      <c r="B9" s="168" t="s">
        <v>166</v>
      </c>
      <c r="C9" s="168" t="s">
        <v>167</v>
      </c>
      <c r="D9" s="168" t="s">
        <v>133</v>
      </c>
    </row>
    <row r="10" spans="1:4" x14ac:dyDescent="0.35">
      <c r="A10" s="170" t="s">
        <v>168</v>
      </c>
      <c r="B10" s="140" t="s">
        <v>157</v>
      </c>
      <c r="C10" s="140" t="s">
        <v>60</v>
      </c>
      <c r="D10" s="140" t="s">
        <v>60</v>
      </c>
    </row>
    <row r="11" spans="1:4" x14ac:dyDescent="0.35">
      <c r="A11" s="170" t="s">
        <v>169</v>
      </c>
      <c r="B11" s="140" t="s">
        <v>158</v>
      </c>
      <c r="C11" s="140" t="s">
        <v>164</v>
      </c>
      <c r="D11" s="140" t="s">
        <v>164</v>
      </c>
    </row>
    <row r="12" spans="1:4" x14ac:dyDescent="0.35">
      <c r="A12" s="170" t="s">
        <v>170</v>
      </c>
      <c r="B12" s="140" t="s">
        <v>159</v>
      </c>
      <c r="C12" s="140" t="s">
        <v>201</v>
      </c>
      <c r="D12" s="140" t="s">
        <v>203</v>
      </c>
    </row>
    <row r="13" spans="1:4" x14ac:dyDescent="0.35">
      <c r="A13" s="170" t="s">
        <v>171</v>
      </c>
      <c r="B13" s="140" t="s">
        <v>160</v>
      </c>
      <c r="C13" s="169">
        <v>1900000000</v>
      </c>
      <c r="D13" s="169">
        <v>500000000</v>
      </c>
    </row>
    <row r="14" spans="1:4" x14ac:dyDescent="0.35">
      <c r="A14" s="170"/>
      <c r="B14" s="140" t="s">
        <v>161</v>
      </c>
      <c r="C14" s="169">
        <f>C13/5</f>
        <v>380000000</v>
      </c>
      <c r="D14" s="169">
        <f>D13/5</f>
        <v>100000000</v>
      </c>
    </row>
    <row r="15" spans="1:4" x14ac:dyDescent="0.35">
      <c r="A15" s="170" t="s">
        <v>172</v>
      </c>
      <c r="B15" s="140" t="s">
        <v>162</v>
      </c>
      <c r="C15" s="140" t="s">
        <v>212</v>
      </c>
      <c r="D15" s="140" t="s">
        <v>209</v>
      </c>
    </row>
    <row r="16" spans="1:4" x14ac:dyDescent="0.35">
      <c r="A16" s="170"/>
      <c r="B16" s="140"/>
      <c r="C16" s="140" t="s">
        <v>220</v>
      </c>
      <c r="D16" s="140" t="s">
        <v>210</v>
      </c>
    </row>
    <row r="17" spans="1:4" x14ac:dyDescent="0.35">
      <c r="A17" s="170"/>
      <c r="B17" s="140"/>
      <c r="C17" s="140" t="s">
        <v>213</v>
      </c>
      <c r="D17" s="140" t="s">
        <v>211</v>
      </c>
    </row>
    <row r="18" spans="1:4" x14ac:dyDescent="0.35">
      <c r="A18" s="170" t="s">
        <v>173</v>
      </c>
      <c r="B18" s="140" t="s">
        <v>163</v>
      </c>
      <c r="C18" s="259" t="s">
        <v>202</v>
      </c>
      <c r="D18" s="259"/>
    </row>
  </sheetData>
  <mergeCells count="1">
    <mergeCell ref="C18:D18"/>
  </mergeCells>
  <phoneticPr fontId="34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562D-9D4E-4D11-B277-FEF81DBE1530}">
  <sheetPr codeName="Sheet7"/>
  <dimension ref="A2:F20"/>
  <sheetViews>
    <sheetView workbookViewId="0">
      <selection activeCell="E22" sqref="E22"/>
    </sheetView>
  </sheetViews>
  <sheetFormatPr defaultRowHeight="15.5" x14ac:dyDescent="0.35"/>
  <cols>
    <col min="1" max="1" width="24.6640625" customWidth="1"/>
    <col min="5" max="5" width="14" bestFit="1" customWidth="1"/>
    <col min="6" max="6" width="12.1640625" customWidth="1"/>
  </cols>
  <sheetData>
    <row r="2" spans="1:6" x14ac:dyDescent="0.35">
      <c r="A2" s="260" t="s">
        <v>204</v>
      </c>
      <c r="B2" s="260"/>
      <c r="C2" s="260"/>
      <c r="D2" s="260"/>
      <c r="E2" s="260"/>
      <c r="F2" s="260"/>
    </row>
    <row r="3" spans="1:6" x14ac:dyDescent="0.35">
      <c r="A3" s="151" t="s">
        <v>143</v>
      </c>
      <c r="B3" s="151" t="s">
        <v>144</v>
      </c>
      <c r="C3" s="151" t="s">
        <v>145</v>
      </c>
      <c r="D3" s="152"/>
      <c r="E3" s="153"/>
      <c r="F3" s="153"/>
    </row>
    <row r="4" spans="1:6" x14ac:dyDescent="0.35">
      <c r="A4" s="154" t="s">
        <v>214</v>
      </c>
      <c r="B4" s="155">
        <v>44551</v>
      </c>
      <c r="C4" s="155">
        <v>45646</v>
      </c>
      <c r="D4" s="156"/>
      <c r="E4" s="157"/>
      <c r="F4" s="158"/>
    </row>
    <row r="5" spans="1:6" x14ac:dyDescent="0.35">
      <c r="A5" s="154" t="s">
        <v>205</v>
      </c>
      <c r="B5" s="155">
        <v>45119</v>
      </c>
      <c r="C5" s="155">
        <v>46945</v>
      </c>
      <c r="D5" s="156"/>
      <c r="E5" s="157"/>
      <c r="F5" s="158"/>
    </row>
    <row r="6" spans="1:6" x14ac:dyDescent="0.35">
      <c r="A6" s="154" t="s">
        <v>206</v>
      </c>
      <c r="B6" s="155">
        <v>44173</v>
      </c>
      <c r="C6" s="155">
        <v>45998</v>
      </c>
      <c r="D6" s="156"/>
      <c r="E6" s="157"/>
      <c r="F6" s="158"/>
    </row>
    <row r="7" spans="1:6" x14ac:dyDescent="0.35">
      <c r="A7" s="154" t="s">
        <v>146</v>
      </c>
      <c r="B7" s="155">
        <v>44496</v>
      </c>
      <c r="C7" s="155">
        <v>46321</v>
      </c>
      <c r="D7" s="156"/>
      <c r="E7" s="153"/>
      <c r="F7" s="153"/>
    </row>
    <row r="8" spans="1:6" x14ac:dyDescent="0.35">
      <c r="A8" s="159"/>
      <c r="B8" s="153"/>
      <c r="C8" s="153"/>
      <c r="D8" s="153"/>
      <c r="E8" s="153"/>
      <c r="F8" s="153"/>
    </row>
    <row r="9" spans="1:6" x14ac:dyDescent="0.35">
      <c r="A9" s="160"/>
      <c r="B9" s="151" t="s">
        <v>144</v>
      </c>
      <c r="C9" s="151" t="s">
        <v>145</v>
      </c>
      <c r="D9" s="151" t="s">
        <v>147</v>
      </c>
      <c r="E9" s="161"/>
      <c r="F9" s="161"/>
    </row>
    <row r="10" spans="1:6" x14ac:dyDescent="0.35">
      <c r="A10" s="162" t="s">
        <v>215</v>
      </c>
      <c r="B10" s="162"/>
      <c r="C10" s="162"/>
      <c r="D10" s="162"/>
      <c r="E10" s="162"/>
      <c r="F10" s="162"/>
    </row>
    <row r="11" spans="1:6" x14ac:dyDescent="0.35">
      <c r="A11" s="162" t="s">
        <v>214</v>
      </c>
      <c r="B11" s="155">
        <v>44551</v>
      </c>
      <c r="C11" s="155">
        <v>45646</v>
      </c>
      <c r="D11" s="163">
        <f>C11-B11</f>
        <v>1095</v>
      </c>
      <c r="E11" s="164">
        <v>501600000</v>
      </c>
      <c r="F11" s="165">
        <f>E11/365*D11</f>
        <v>1504800000</v>
      </c>
    </row>
    <row r="12" spans="1:6" x14ac:dyDescent="0.35">
      <c r="A12" s="162" t="s">
        <v>205</v>
      </c>
      <c r="B12" s="155">
        <v>45119</v>
      </c>
      <c r="C12" s="155">
        <v>46321</v>
      </c>
      <c r="D12" s="163">
        <f t="shared" ref="D12:D18" si="0">C12-B12</f>
        <v>1202</v>
      </c>
      <c r="E12" s="164">
        <v>731160000</v>
      </c>
      <c r="F12" s="165">
        <f t="shared" ref="F12:F13" si="1">E12/365*D12</f>
        <v>2407820054.7945209</v>
      </c>
    </row>
    <row r="13" spans="1:6" x14ac:dyDescent="0.35">
      <c r="A13" s="162" t="s">
        <v>206</v>
      </c>
      <c r="B13" s="155">
        <v>44496</v>
      </c>
      <c r="C13" s="155">
        <v>45998</v>
      </c>
      <c r="D13" s="163">
        <f t="shared" si="0"/>
        <v>1502</v>
      </c>
      <c r="E13" s="164">
        <v>200000000</v>
      </c>
      <c r="F13" s="165">
        <f t="shared" si="1"/>
        <v>823013698.63013697</v>
      </c>
    </row>
    <row r="14" spans="1:6" x14ac:dyDescent="0.35">
      <c r="A14" s="162" t="s">
        <v>148</v>
      </c>
      <c r="B14" s="155">
        <v>44496</v>
      </c>
      <c r="C14" s="155">
        <v>46321</v>
      </c>
      <c r="D14" s="163">
        <f t="shared" si="0"/>
        <v>1825</v>
      </c>
      <c r="E14" s="164">
        <v>100000000</v>
      </c>
      <c r="F14" s="165">
        <f>-E14/365*D14</f>
        <v>-500000000</v>
      </c>
    </row>
    <row r="15" spans="1:6" x14ac:dyDescent="0.35">
      <c r="A15" s="162" t="s">
        <v>216</v>
      </c>
      <c r="B15" s="155">
        <v>44551</v>
      </c>
      <c r="C15" s="155">
        <v>45646</v>
      </c>
      <c r="D15" s="163">
        <f t="shared" si="0"/>
        <v>1095</v>
      </c>
      <c r="E15" s="164">
        <v>7000000</v>
      </c>
      <c r="F15" s="165">
        <f t="shared" ref="F15:F18" si="2">-E15/365*D15</f>
        <v>-21000000</v>
      </c>
    </row>
    <row r="16" spans="1:6" x14ac:dyDescent="0.35">
      <c r="A16" s="162" t="s">
        <v>217</v>
      </c>
      <c r="B16" s="155">
        <v>45119</v>
      </c>
      <c r="C16" s="155">
        <v>46321</v>
      </c>
      <c r="D16" s="163">
        <f t="shared" si="0"/>
        <v>1202</v>
      </c>
      <c r="E16" s="164">
        <v>7000000</v>
      </c>
      <c r="F16" s="165">
        <f t="shared" si="2"/>
        <v>-23052054.794520546</v>
      </c>
    </row>
    <row r="17" spans="1:6" x14ac:dyDescent="0.35">
      <c r="A17" s="162" t="s">
        <v>218</v>
      </c>
      <c r="B17" s="155">
        <v>44496</v>
      </c>
      <c r="C17" s="155">
        <v>45998</v>
      </c>
      <c r="D17" s="163">
        <f t="shared" si="0"/>
        <v>1502</v>
      </c>
      <c r="E17" s="164">
        <v>7000000</v>
      </c>
      <c r="F17" s="165">
        <f t="shared" si="2"/>
        <v>-28805479.452054791</v>
      </c>
    </row>
    <row r="18" spans="1:6" x14ac:dyDescent="0.35">
      <c r="A18" s="162" t="s">
        <v>219</v>
      </c>
      <c r="B18" s="155">
        <v>44496</v>
      </c>
      <c r="C18" s="155">
        <v>46321</v>
      </c>
      <c r="D18" s="163">
        <f t="shared" si="0"/>
        <v>1825</v>
      </c>
      <c r="E18" s="164">
        <v>36000000</v>
      </c>
      <c r="F18" s="165">
        <f t="shared" si="2"/>
        <v>-180000000</v>
      </c>
    </row>
    <row r="19" spans="1:6" x14ac:dyDescent="0.35">
      <c r="A19" s="162" t="s">
        <v>149</v>
      </c>
      <c r="B19" s="162"/>
      <c r="C19" s="162"/>
      <c r="D19" s="162"/>
      <c r="E19" s="166">
        <v>100000000</v>
      </c>
      <c r="F19" s="167"/>
    </row>
    <row r="20" spans="1:6" x14ac:dyDescent="0.35">
      <c r="A20" s="162" t="s">
        <v>150</v>
      </c>
      <c r="B20" s="162"/>
      <c r="C20" s="162"/>
      <c r="D20" s="162"/>
      <c r="E20" s="162"/>
      <c r="F20" s="165">
        <f>SUM(F11:F19)</f>
        <v>3982776219.1780825</v>
      </c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Summary</vt:lpstr>
      <vt:lpstr>IRR</vt:lpstr>
      <vt:lpstr>Summary (2)</vt:lpstr>
      <vt:lpstr>IRR (2)</vt:lpstr>
      <vt:lpstr>PARAMETER</vt:lpstr>
      <vt:lpstr>SummaryBR</vt:lpstr>
      <vt:lpstr>Analisa</vt:lpstr>
      <vt:lpstr>Analisa!Print_Area</vt:lpstr>
      <vt:lpstr>IRR!Print_Area</vt:lpstr>
      <vt:lpstr>'IRR (2)'!Print_Area</vt:lpstr>
      <vt:lpstr>Summary!Print_Area</vt:lpstr>
      <vt:lpstr>'Summary (2)'!Print_Area</vt:lpstr>
      <vt:lpstr>SummaryBR!Print_Area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2024-03-28T03:25:06Z</cp:lastPrinted>
  <dcterms:created xsi:type="dcterms:W3CDTF">2020-06-08T08:40:20Z</dcterms:created>
  <dcterms:modified xsi:type="dcterms:W3CDTF">2024-10-24T04:12:50Z</dcterms:modified>
</cp:coreProperties>
</file>