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Departmen Kelautan dan Perikanan\"/>
    </mc:Choice>
  </mc:AlternateContent>
  <xr:revisionPtr revIDLastSave="0" documentId="13_ncr:1_{76E44A6C-A4C3-428A-BE70-4ACB68568BD1}" xr6:coauthVersionLast="36" xr6:coauthVersionMax="47" xr10:uidLastSave="{00000000-0000-0000-0000-000000000000}"/>
  <bookViews>
    <workbookView xWindow="0" yWindow="0" windowWidth="19200" windowHeight="7550" xr2:uid="{A4174494-61B9-4994-8303-9C4639E059BD}"/>
  </bookViews>
  <sheets>
    <sheet name="Summary" sheetId="1" r:id="rId1"/>
    <sheet name="IRR" sheetId="2" r:id="rId2"/>
    <sheet name="Parameter" sheetId="4" r:id="rId3"/>
    <sheet name="Summary Review new" sheetId="7" r:id="rId4"/>
    <sheet name="Analisa" sheetId="8" r:id="rId5"/>
  </sheets>
  <externalReferences>
    <externalReference r:id="rId6"/>
    <externalReference r:id="rId7"/>
    <externalReference r:id="rId8"/>
  </externalReferences>
  <definedNames>
    <definedName name="jk" localSheetId="4">#REF!</definedName>
    <definedName name="jk" localSheetId="1">#REF!</definedName>
    <definedName name="jk" localSheetId="0">#REF!</definedName>
    <definedName name="jk" localSheetId="3">#REF!</definedName>
    <definedName name="jk">#REF!</definedName>
    <definedName name="_xlnm.Print_Area" localSheetId="4">Analisa!$A$2:$F$18</definedName>
    <definedName name="_xlnm.Print_Area" localSheetId="1">IRR!$B$1:$Q$51</definedName>
    <definedName name="_xlnm.Print_Area" localSheetId="0">Summary!$B$2:$N$34</definedName>
    <definedName name="_xlnm.Print_Area" localSheetId="3">'Summary Review new'!$A$1:$D$20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8" l="1"/>
  <c r="F15" i="8" s="1"/>
  <c r="D16" i="8"/>
  <c r="F16" i="8" s="1"/>
  <c r="D14" i="8"/>
  <c r="F14" i="8" s="1"/>
  <c r="E12" i="8"/>
  <c r="D11" i="8"/>
  <c r="F11" i="8" s="1"/>
  <c r="D12" i="8"/>
  <c r="D13" i="8"/>
  <c r="F13" i="8" s="1"/>
  <c r="D10" i="8"/>
  <c r="F10" i="8" s="1"/>
  <c r="F12" i="8" l="1"/>
  <c r="F18" i="8"/>
  <c r="K17" i="2"/>
  <c r="G23" i="2"/>
  <c r="G22" i="2" l="1"/>
  <c r="N37" i="4"/>
  <c r="N38" i="4"/>
  <c r="O36" i="4"/>
  <c r="P36" i="4" s="1"/>
  <c r="Q36" i="4" s="1"/>
  <c r="R36" i="4" s="1"/>
  <c r="S36" i="4" s="1"/>
  <c r="T38" i="4" s="1"/>
  <c r="T39" i="4" s="1"/>
  <c r="K31" i="2" s="1"/>
  <c r="L32" i="4"/>
  <c r="K29" i="4"/>
  <c r="I23" i="4"/>
  <c r="H20" i="4"/>
  <c r="F14" i="4"/>
  <c r="H19" i="4"/>
  <c r="I18" i="4" s="1"/>
  <c r="J18" i="4" s="1"/>
  <c r="K18" i="4" s="1"/>
  <c r="L18" i="4" s="1"/>
  <c r="M18" i="4" s="1"/>
  <c r="N20" i="4" s="1"/>
  <c r="D12" i="7"/>
  <c r="C12" i="7"/>
  <c r="K20" i="4" l="1"/>
  <c r="L20" i="4"/>
  <c r="M20" i="4"/>
  <c r="I20" i="4"/>
  <c r="J20" i="4"/>
  <c r="S38" i="4"/>
  <c r="S39" i="4" s="1"/>
  <c r="J31" i="2" s="1"/>
  <c r="R38" i="4"/>
  <c r="O38" i="4"/>
  <c r="P38" i="4"/>
  <c r="Q38" i="4"/>
  <c r="K22" i="2" l="1"/>
  <c r="L31" i="4"/>
  <c r="M30" i="4" s="1"/>
  <c r="K28" i="4"/>
  <c r="L27" i="4" s="1"/>
  <c r="M27" i="4" s="1"/>
  <c r="N27" i="4" s="1"/>
  <c r="O27" i="4" s="1"/>
  <c r="P27" i="4" s="1"/>
  <c r="Q29" i="4" s="1"/>
  <c r="I22" i="4"/>
  <c r="J21" i="4" s="1"/>
  <c r="F13" i="4"/>
  <c r="G12" i="4"/>
  <c r="H12" i="4" s="1"/>
  <c r="I12" i="4" s="1"/>
  <c r="J12" i="4" s="1"/>
  <c r="K12" i="4" s="1"/>
  <c r="L14" i="4" s="1"/>
  <c r="E10" i="4"/>
  <c r="F9" i="4" s="1"/>
  <c r="E11" i="4"/>
  <c r="G36" i="2"/>
  <c r="G24" i="2"/>
  <c r="G19" i="2"/>
  <c r="G25" i="2" s="1"/>
  <c r="H18" i="2"/>
  <c r="I18" i="2" s="1"/>
  <c r="H17" i="2"/>
  <c r="I17" i="2" s="1"/>
  <c r="J17" i="2" s="1"/>
  <c r="H16" i="2"/>
  <c r="I16" i="2" s="1"/>
  <c r="J16" i="2" s="1"/>
  <c r="K16" i="2" s="1"/>
  <c r="H14" i="4" l="1"/>
  <c r="J14" i="4"/>
  <c r="G14" i="4"/>
  <c r="I14" i="4"/>
  <c r="J18" i="2"/>
  <c r="K18" i="2" s="1"/>
  <c r="N30" i="4"/>
  <c r="N32" i="4"/>
  <c r="M32" i="4"/>
  <c r="L29" i="4"/>
  <c r="M29" i="4"/>
  <c r="N29" i="4"/>
  <c r="O29" i="4"/>
  <c r="P29" i="4"/>
  <c r="K21" i="4"/>
  <c r="K23" i="4" s="1"/>
  <c r="J23" i="4"/>
  <c r="G9" i="4"/>
  <c r="G11" i="4" s="1"/>
  <c r="F11" i="4"/>
  <c r="I19" i="2"/>
  <c r="H19" i="2"/>
  <c r="Q17" i="2"/>
  <c r="M7" i="1"/>
  <c r="A6" i="4"/>
  <c r="A9" i="4" s="1"/>
  <c r="A12" i="4" s="1"/>
  <c r="A15" i="4" s="1"/>
  <c r="A18" i="4" s="1"/>
  <c r="A21" i="4" s="1"/>
  <c r="A24" i="4" s="1"/>
  <c r="A27" i="4" s="1"/>
  <c r="A30" i="4" s="1"/>
  <c r="A33" i="4" s="1"/>
  <c r="A36" i="4" s="1"/>
  <c r="Q18" i="2" l="1"/>
  <c r="K19" i="2"/>
  <c r="J19" i="2"/>
  <c r="O30" i="4"/>
  <c r="L21" i="4"/>
  <c r="L23" i="4"/>
  <c r="L39" i="4" s="1"/>
  <c r="H9" i="4"/>
  <c r="H11" i="4" s="1"/>
  <c r="M12" i="1"/>
  <c r="P30" i="4" l="1"/>
  <c r="P32" i="4"/>
  <c r="P39" i="4" s="1"/>
  <c r="G31" i="2" s="1"/>
  <c r="O32" i="4"/>
  <c r="M21" i="4"/>
  <c r="M23" i="4" s="1"/>
  <c r="M39" i="4" s="1"/>
  <c r="I9" i="4"/>
  <c r="I11" i="4"/>
  <c r="D8" i="4"/>
  <c r="D7" i="4"/>
  <c r="E6" i="4" s="1"/>
  <c r="C5" i="4"/>
  <c r="C39" i="4" s="1"/>
  <c r="Q30" i="4" l="1"/>
  <c r="R32" i="4" s="1"/>
  <c r="R39" i="4" s="1"/>
  <c r="I31" i="2" s="1"/>
  <c r="Q32" i="4"/>
  <c r="Q39" i="4" s="1"/>
  <c r="H31" i="2" s="1"/>
  <c r="N21" i="4"/>
  <c r="O23" i="4" s="1"/>
  <c r="O39" i="4" s="1"/>
  <c r="N23" i="4"/>
  <c r="N39" i="4" s="1"/>
  <c r="J9" i="4"/>
  <c r="K11" i="4" s="1"/>
  <c r="J11" i="4"/>
  <c r="F6" i="4"/>
  <c r="F8" i="4" s="1"/>
  <c r="E8" i="4"/>
  <c r="G6" i="4" l="1"/>
  <c r="H6" i="4" l="1"/>
  <c r="G8" i="4"/>
  <c r="I6" i="4" l="1"/>
  <c r="I8" i="4" s="1"/>
  <c r="H8" i="4"/>
  <c r="M8" i="1" l="1"/>
  <c r="H11" i="2"/>
  <c r="I11" i="2" s="1"/>
  <c r="J11" i="2" s="1"/>
  <c r="K11" i="2" s="1"/>
  <c r="L11" i="2" s="1"/>
  <c r="M11" i="2" s="1"/>
  <c r="N11" i="2" s="1"/>
  <c r="O11" i="2" s="1"/>
  <c r="P11" i="2" s="1"/>
  <c r="H79" i="4"/>
  <c r="I79" i="4" s="1"/>
  <c r="E79" i="4"/>
  <c r="H78" i="4"/>
  <c r="G78" i="4"/>
  <c r="E78" i="4"/>
  <c r="F77" i="4"/>
  <c r="I77" i="4" s="1"/>
  <c r="H76" i="4"/>
  <c r="E76" i="4"/>
  <c r="I76" i="4" s="1"/>
  <c r="E75" i="4"/>
  <c r="I75" i="4" s="1"/>
  <c r="C75" i="4"/>
  <c r="B48" i="4"/>
  <c r="C50" i="4" s="1"/>
  <c r="C49" i="4" s="1"/>
  <c r="C4" i="4"/>
  <c r="D3" i="4" s="1"/>
  <c r="D2" i="4"/>
  <c r="E2" i="4" s="1"/>
  <c r="F2" i="4" s="1"/>
  <c r="G2" i="4" s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S2" i="4" s="1"/>
  <c r="I48" i="2"/>
  <c r="K48" i="2" s="1"/>
  <c r="H47" i="2"/>
  <c r="J47" i="2" s="1"/>
  <c r="K47" i="2" s="1"/>
  <c r="K45" i="2"/>
  <c r="J45" i="2"/>
  <c r="I45" i="2"/>
  <c r="H45" i="2"/>
  <c r="G45" i="2"/>
  <c r="K36" i="2"/>
  <c r="J36" i="2"/>
  <c r="I36" i="2"/>
  <c r="H36" i="2"/>
  <c r="H24" i="2"/>
  <c r="H23" i="2"/>
  <c r="I23" i="2" s="1"/>
  <c r="Q22" i="2"/>
  <c r="M13" i="1" s="1"/>
  <c r="F37" i="2"/>
  <c r="M10" i="1"/>
  <c r="I24" i="2" l="1"/>
  <c r="J24" i="2" s="1"/>
  <c r="D5" i="4"/>
  <c r="D39" i="4" s="1"/>
  <c r="K14" i="4"/>
  <c r="K39" i="4" s="1"/>
  <c r="I78" i="4"/>
  <c r="I80" i="4" s="1"/>
  <c r="I25" i="2"/>
  <c r="J25" i="2"/>
  <c r="Q16" i="2"/>
  <c r="Q19" i="2" s="1"/>
  <c r="C48" i="4"/>
  <c r="E3" i="4"/>
  <c r="F38" i="2"/>
  <c r="K25" i="2"/>
  <c r="G46" i="2"/>
  <c r="K24" i="2" l="1"/>
  <c r="Q24" i="2"/>
  <c r="E5" i="4"/>
  <c r="E39" i="4" s="1"/>
  <c r="M11" i="1"/>
  <c r="J80" i="4"/>
  <c r="J81" i="4"/>
  <c r="D50" i="4"/>
  <c r="D49" i="4" s="1"/>
  <c r="F3" i="4"/>
  <c r="G26" i="2"/>
  <c r="G27" i="2" s="1"/>
  <c r="I26" i="2"/>
  <c r="I27" i="2" s="1"/>
  <c r="J23" i="2"/>
  <c r="H25" i="2"/>
  <c r="H26" i="2" s="1"/>
  <c r="H27" i="2" s="1"/>
  <c r="G51" i="2"/>
  <c r="H46" i="2"/>
  <c r="I46" i="2" s="1"/>
  <c r="G29" i="2" l="1"/>
  <c r="G30" i="2" s="1"/>
  <c r="F5" i="4"/>
  <c r="F39" i="4" s="1"/>
  <c r="D48" i="4"/>
  <c r="G3" i="4"/>
  <c r="E50" i="4"/>
  <c r="E48" i="4"/>
  <c r="E49" i="4"/>
  <c r="H51" i="2"/>
  <c r="H29" i="2" s="1"/>
  <c r="H30" i="2" s="1"/>
  <c r="H28" i="2"/>
  <c r="J26" i="2"/>
  <c r="J27" i="2" s="1"/>
  <c r="K23" i="2"/>
  <c r="K26" i="2" s="1"/>
  <c r="K27" i="2" s="1"/>
  <c r="I28" i="2"/>
  <c r="Q25" i="2"/>
  <c r="G5" i="4" l="1"/>
  <c r="G39" i="4" s="1"/>
  <c r="F50" i="4"/>
  <c r="F48" i="4"/>
  <c r="F49" i="4"/>
  <c r="H3" i="4"/>
  <c r="H5" i="4" s="1"/>
  <c r="H39" i="4" s="1"/>
  <c r="K28" i="2"/>
  <c r="J28" i="2"/>
  <c r="I51" i="2"/>
  <c r="I29" i="2" s="1"/>
  <c r="J46" i="2"/>
  <c r="Q23" i="2"/>
  <c r="H32" i="2" l="1"/>
  <c r="H33" i="2" s="1"/>
  <c r="H34" i="2" s="1"/>
  <c r="H37" i="2" s="1"/>
  <c r="Q26" i="2"/>
  <c r="Q27" i="2" s="1"/>
  <c r="Q28" i="2" s="1"/>
  <c r="F42" i="2" s="1"/>
  <c r="M18" i="1" s="1"/>
  <c r="M14" i="1"/>
  <c r="I3" i="4"/>
  <c r="I5" i="4"/>
  <c r="I39" i="4" s="1"/>
  <c r="G50" i="4"/>
  <c r="G49" i="4" s="1"/>
  <c r="G48" i="4"/>
  <c r="J51" i="2"/>
  <c r="K46" i="2"/>
  <c r="K51" i="2" s="1"/>
  <c r="K29" i="2" s="1"/>
  <c r="K30" i="2" s="1"/>
  <c r="K32" i="2" s="1"/>
  <c r="I30" i="2"/>
  <c r="I32" i="2" s="1"/>
  <c r="Q46" i="2" l="1"/>
  <c r="J29" i="2"/>
  <c r="J30" i="2" s="1"/>
  <c r="J32" i="2" s="1"/>
  <c r="J33" i="2" s="1"/>
  <c r="J34" i="2" s="1"/>
  <c r="J37" i="2" s="1"/>
  <c r="Q51" i="2"/>
  <c r="G32" i="2"/>
  <c r="G33" i="2" s="1"/>
  <c r="G34" i="2" s="1"/>
  <c r="G37" i="2" s="1"/>
  <c r="G38" i="2" s="1"/>
  <c r="Q31" i="2"/>
  <c r="H50" i="4"/>
  <c r="H49" i="4" s="1"/>
  <c r="H48" i="4"/>
  <c r="J3" i="4"/>
  <c r="J5" i="4" s="1"/>
  <c r="J39" i="4" s="1"/>
  <c r="K33" i="2"/>
  <c r="K34" i="2" s="1"/>
  <c r="K37" i="2" s="1"/>
  <c r="I33" i="2"/>
  <c r="I34" i="2" s="1"/>
  <c r="I37" i="2" s="1"/>
  <c r="Q29" i="2" l="1"/>
  <c r="Q30" i="2" s="1"/>
  <c r="Q32" i="2"/>
  <c r="F40" i="2"/>
  <c r="M16" i="1" s="1"/>
  <c r="F41" i="2"/>
  <c r="M17" i="1" s="1"/>
  <c r="I50" i="4"/>
  <c r="I49" i="4" s="1"/>
  <c r="I48" i="4"/>
  <c r="Q37" i="2"/>
  <c r="Q33" i="2"/>
  <c r="H38" i="2"/>
  <c r="I38" i="2" s="1"/>
  <c r="G39" i="2"/>
  <c r="Q34" i="2" l="1"/>
  <c r="H39" i="2"/>
  <c r="J50" i="4"/>
  <c r="J49" i="4" s="1"/>
  <c r="I39" i="2"/>
  <c r="J48" i="4" l="1"/>
  <c r="K50" i="4"/>
  <c r="K49" i="4" s="1"/>
  <c r="J38" i="2"/>
  <c r="J39" i="2" s="1"/>
  <c r="K48" i="4" l="1"/>
  <c r="K38" i="2"/>
  <c r="K39" i="2" s="1"/>
  <c r="F43" i="2" s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74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5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<sst xmlns="http://schemas.openxmlformats.org/spreadsheetml/2006/main" count="321" uniqueCount="231">
  <si>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</si>
  <si>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</si>
  <si>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</si>
  <si>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</si>
  <si>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</si>
  <si>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</si>
  <si>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</si>
  <si>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</si>
  <si>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</si>
  <si>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</si>
  <si>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</si>
  <si>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</si>
  <si>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</si>
  <si>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</si>
  <si>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</si>
  <si>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</si>
  <si>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</si>
  <si>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</si>
  <si>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</si>
  <si>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</si>
  <si>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</si>
  <si>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</si>
  <si>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</si>
  <si>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</si>
  <si>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</si>
  <si>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Capex BV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</si>
  <si>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</si>
  <si>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</si>
  <si>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</si>
  <si>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</si>
  <si>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</si>
  <si>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</si>
  <si>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</si>
  <si>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</si>
  <si>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</si>
  <si>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</si>
  <si>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</si>
  <si>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</si>
  <si>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</si>
  <si>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</si>
  <si>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</si>
  <si>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</si>
  <si>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</si>
  <si>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</si>
  <si>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</si>
  <si>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No,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</si>
  <si>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</si>
  <si>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</si>
  <si>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</si>
  <si>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</si>
  <si>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</si>
  <si>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</si>
  <si>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</si>
  <si>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</si>
  <si>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</si>
  <si>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</si>
  <si>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</si>
  <si>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</si>
  <si>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</si>
  <si>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</si>
  <si>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</si>
  <si>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</si>
  <si>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</si>
  <si>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</si>
  <si>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</si>
  <si>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</si>
  <si>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</si>
  <si>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</si>
  <si>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</si>
  <si>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</si>
  <si>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</si>
  <si>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</si>
  <si>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</si>
  <si>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</si>
  <si>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</si>
  <si>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</si>
  <si>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</si>
  <si>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</si>
  <si>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</si>
  <si>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</si>
  <si>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</si>
  <si>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</si>
  <si>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</si>
  <si>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</si>
  <si>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</si>
  <si>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</si>
  <si>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</si>
  <si>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</si>
  <si>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</si>
  <si>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</si>
  <si>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</si>
  <si>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</si>
  <si>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</si>
  <si>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</si>
  <si>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</si>
  <si>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</si>
  <si>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</si>
  <si>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</si>
  <si>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Obyek Sewa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</si>
  <si>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</si>
  <si>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</si>
  <si>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</si>
  <si>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</si>
  <si>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</si>
  <si>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</si>
  <si>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</si>
  <si>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</si>
  <si>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</si>
  <si>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</si>
  <si>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</si>
  <si>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</si>
  <si>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</si>
  <si>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</si>
  <si>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</si>
  <si>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</si>
  <si>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</si>
  <si>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</si>
  <si>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</si>
  <si>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</si>
  <si>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</si>
  <si>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</si>
  <si>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</si>
  <si>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</si>
  <si>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</si>
  <si>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</si>
  <si>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</si>
  <si>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</si>
  <si>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</si>
  <si>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</si>
  <si>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</si>
  <si>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</si>
  <si>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</si>
  <si>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</si>
  <si>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</si>
  <si>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</si>
  <si>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</si>
  <si>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</si>
  <si>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</si>
  <si>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</si>
  <si>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</si>
  <si>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</si>
  <si>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</si>
  <si>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</si>
  <si>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</si>
  <si>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</si>
  <si>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</si>
  <si>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</si>
  <si>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</si>
  <si>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</si>
  <si>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</si>
  <si>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</si>
  <si>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</si>
  <si>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</si>
  <si>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</si>
  <si>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</si>
  <si>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</si>
  <si>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</si>
  <si>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</si>
  <si>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</si>
  <si>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</si>
  <si>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</si>
  <si>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</si>
  <si>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</si>
  <si>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</si>
  <si>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</si>
  <si>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</si>
  <si>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</si>
  <si>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</si>
  <si>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</si>
  <si>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</si>
  <si>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</si>
  <si>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</si>
  <si>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</si>
  <si>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</si>
  <si>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</si>
  <si>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</si>
  <si>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</si>
  <si>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</si>
  <si>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</si>
  <si>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</si>
  <si>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-</t>
  </si>
  <si>
    <t>Jakarta</t>
  </si>
  <si>
    <t>Office</t>
  </si>
  <si>
    <t>Extend</t>
  </si>
  <si>
    <t>DAS BV 31 Jan25</t>
  </si>
  <si>
    <t>XL</t>
  </si>
  <si>
    <t>IOH</t>
  </si>
  <si>
    <t xml:space="preserve">Nama Site              :                  </t>
  </si>
  <si>
    <t>Kementrian Kelautan &amp; Perikanan Republik Indonesia</t>
  </si>
  <si>
    <t xml:space="preserve">Nama Pemilik      :      </t>
  </si>
  <si>
    <t xml:space="preserve">Alamat Pemilik   :   </t>
  </si>
  <si>
    <t>Jl. Medan Merdeka Timur No.16</t>
  </si>
  <si>
    <t xml:space="preserve">Telp                         :                    </t>
  </si>
  <si>
    <t>(021) 3519070</t>
  </si>
  <si>
    <t xml:space="preserve">Obyek Sewa        :       </t>
  </si>
  <si>
    <t>100 titik antenna omni, 8 Unit Pole , RBS Room 52,7m2</t>
  </si>
  <si>
    <t>20 Februari 2020 - 19 Februari 2025</t>
  </si>
  <si>
    <t>20 Februari 2025 - 19 Februari 2030 ( Ketentuan Masa Sewa Bergantung PadaPenetapan DKP)</t>
  </si>
  <si>
    <t xml:space="preserve">Harga Sewa </t>
  </si>
  <si>
    <t xml:space="preserve">Rincian Harga Sewa </t>
  </si>
  <si>
    <t>Rp. 54.552.200 /Tahun</t>
  </si>
  <si>
    <t>Rp. 62.954.200 /Tahun</t>
  </si>
  <si>
    <t>XL (06 Juli 2016 s/d 05 Juli 2021)</t>
  </si>
  <si>
    <t>Telkomsel ( 15 Agustus 2016 s/d 14 Agustus 2021)</t>
  </si>
  <si>
    <t>Indosat (12 Juni 2017 s/d 11 Juni 2022)</t>
  </si>
  <si>
    <t>Smartfren</t>
  </si>
  <si>
    <t>Mengalami Kenaikan Harga Sebesar 15%</t>
  </si>
  <si>
    <t>Rp. 314.771.000/ 5 Tahun</t>
  </si>
  <si>
    <t xml:space="preserve">Rp. 272.761.000/ 5 Tahun </t>
  </si>
  <si>
    <t>Kemen. Kelautan&amp;Perikanan</t>
  </si>
  <si>
    <t>0036/IRR/IBC/XI/2024</t>
  </si>
  <si>
    <t>IOH 2027</t>
  </si>
  <si>
    <t xml:space="preserve">Periode </t>
  </si>
  <si>
    <t>Start</t>
  </si>
  <si>
    <t>End</t>
  </si>
  <si>
    <t>Sewa BM</t>
  </si>
  <si>
    <t>Days</t>
  </si>
  <si>
    <t xml:space="preserve">Sewa BM </t>
  </si>
  <si>
    <t>Antisipasi Add Capex and Pole</t>
  </si>
  <si>
    <t>Profit</t>
  </si>
  <si>
    <t>SITE DKP</t>
  </si>
  <si>
    <t>Rev Tsel</t>
  </si>
  <si>
    <t>Rev IOH</t>
  </si>
  <si>
    <t>OM Tsel</t>
  </si>
  <si>
    <t>OM IOH</t>
  </si>
  <si>
    <t>Listrik Tsel</t>
  </si>
  <si>
    <t>Listrik IOH</t>
  </si>
  <si>
    <t>Worse &gt;&gt; Jika Sewa BM diperpanjang 5 tahun dan Operator sesuai eksisting, maka:</t>
  </si>
  <si>
    <t xml:space="preserve">Telkomsel ( 15 September 2024 s/d 14 September 2029) </t>
  </si>
  <si>
    <t xml:space="preserve">Indosat (IOH)  (12 Juni 2022 s/d 11 Juni 2027) </t>
  </si>
  <si>
    <t>Kemen, Kelautan &amp; Perikanan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</si>
</sst>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[$-C09]dd\-mmm\-yy;@"/>
    <numFmt numFmtId="171" formatCode="#,###&quot;/thn&quot;"/>
    <numFmt numFmtId="172" formatCode="#,###&quot;/pole&quot;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9" fillId="0" borderId="0"/>
  </cellStyleXfs>
  <cellXfs count="250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41" fontId="0" fillId="0" borderId="0" xfId="4" applyFont="1" applyBorder="1"/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41" fontId="0" fillId="0" borderId="0" xfId="4" applyFont="1" applyFill="1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center"/>
      <protection locked="0"/>
    </xf>
    <xf numFmtId="0" fontId="3" fillId="0" borderId="0" xfId="3" applyAlignment="1">
      <alignment horizontal="left" indent="1"/>
    </xf>
    <xf numFmtId="9" fontId="0" fillId="0" borderId="0" xfId="4" applyNumberFormat="1" applyFont="1" applyBorder="1"/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165" fontId="3" fillId="0" borderId="0" xfId="2" applyFont="1"/>
    <xf numFmtId="0" fontId="0" fillId="0" borderId="8" xfId="4" quotePrefix="1" applyNumberFormat="1" applyFont="1" applyBorder="1" applyAlignment="1">
      <alignment horizontal="left"/>
    </xf>
    <xf numFmtId="0" fontId="3" fillId="0" borderId="0" xfId="3" quotePrefix="1" applyAlignment="1">
      <alignment horizontal="left" indent="1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11" fillId="0" borderId="13" xfId="3" applyNumberFormat="1" applyFont="1" applyBorder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0" fillId="0" borderId="15" xfId="4" applyFont="1" applyBorder="1" applyAlignment="1">
      <alignment vertical="center"/>
    </xf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1" fillId="0" borderId="0" xfId="8" applyFont="1"/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38" fontId="11" fillId="0" borderId="0" xfId="3" applyNumberFormat="1" applyFont="1" applyAlignment="1">
      <alignment vertical="center"/>
    </xf>
    <xf numFmtId="165" fontId="0" fillId="0" borderId="0" xfId="2" applyFont="1"/>
    <xf numFmtId="0" fontId="19" fillId="0" borderId="0" xfId="8" applyFont="1"/>
    <xf numFmtId="0" fontId="4" fillId="0" borderId="0" xfId="13" applyFont="1"/>
    <xf numFmtId="0" fontId="19" fillId="0" borderId="24" xfId="8" applyFont="1" applyBorder="1"/>
    <xf numFmtId="0" fontId="19" fillId="0" borderId="24" xfId="8" applyFont="1" applyFill="1" applyBorder="1" applyAlignment="1">
      <alignment horizontal="center" vertical="center"/>
    </xf>
    <xf numFmtId="0" fontId="21" fillId="0" borderId="0" xfId="8" applyFont="1" applyAlignment="1">
      <alignment horizontal="left" vertical="top"/>
    </xf>
    <xf numFmtId="165" fontId="0" fillId="0" borderId="0" xfId="0" applyNumberFormat="1"/>
    <xf numFmtId="0" fontId="19" fillId="0" borderId="24" xfId="8" applyFont="1" applyBorder="1" applyAlignment="1">
      <alignment horizontal="center" vertical="center"/>
    </xf>
    <xf numFmtId="0" fontId="1" fillId="0" borderId="0" xfId="8" applyFont="1"/>
    <xf numFmtId="0" fontId="1" fillId="0" borderId="24" xfId="8" applyFont="1" applyBorder="1"/>
    <xf numFmtId="0" fontId="19" fillId="0" borderId="24" xfId="8" applyFont="1" applyBorder="1" applyAlignment="1">
      <alignment vertical="justify"/>
    </xf>
    <xf numFmtId="0" fontId="19" fillId="0" borderId="24" xfId="8" applyFont="1" applyBorder="1" applyAlignment="1">
      <alignment wrapText="1"/>
    </xf>
    <xf numFmtId="164" fontId="0" fillId="0" borderId="24" xfId="9" applyFont="1" applyBorder="1"/>
    <xf numFmtId="0" fontId="19" fillId="0" borderId="25" xfId="8" applyFont="1" applyBorder="1" applyAlignment="1">
      <alignment horizontal="center" vertical="center"/>
    </xf>
    <xf numFmtId="0" fontId="19" fillId="0" borderId="25" xfId="8" applyFont="1" applyBorder="1" applyAlignment="1">
      <alignment vertical="center" wrapText="1"/>
    </xf>
    <xf numFmtId="164" fontId="0" fillId="0" borderId="24" xfId="9" applyFont="1" applyBorder="1" applyAlignment="1"/>
    <xf numFmtId="0" fontId="19" fillId="0" borderId="26" xfId="8" applyFont="1" applyBorder="1" applyAlignment="1">
      <alignment horizontal="center" vertical="center"/>
    </xf>
    <xf numFmtId="0" fontId="19" fillId="0" borderId="27" xfId="8" applyFont="1" applyBorder="1"/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0" fontId="19" fillId="0" borderId="24" xfId="8" applyNumberFormat="1" applyBorder="1" applyAlignment="1">
      <alignment horizontal="center"/>
    </xf>
    <xf numFmtId="170" fontId="19" fillId="0" borderId="0" xfId="8" applyNumberFormat="1"/>
    <xf numFmtId="0" fontId="2" fillId="0" borderId="0" xfId="10" applyFont="1" applyAlignment="1">
      <alignment horizontal="center"/>
    </xf>
    <xf numFmtId="170" fontId="19" fillId="0" borderId="0" xfId="8" applyNumberFormat="1" applyAlignment="1">
      <alignment horizontal="center"/>
    </xf>
    <xf numFmtId="165" fontId="19" fillId="0" borderId="0" xfId="2" applyFont="1" applyBorder="1"/>
    <xf numFmtId="171" fontId="19" fillId="0" borderId="0" xfId="11" applyNumberFormat="1" applyFont="1"/>
    <xf numFmtId="165" fontId="19" fillId="0" borderId="0" xfId="8" applyNumberFormat="1"/>
    <xf numFmtId="172" fontId="19" fillId="0" borderId="0" xfId="12" applyNumberFormat="1" applyFont="1"/>
    <xf numFmtId="41" fontId="19" fillId="0" borderId="15" xfId="11" applyFont="1" applyBorder="1"/>
    <xf numFmtId="170" fontId="19" fillId="0" borderId="0" xfId="8" applyNumberFormat="1" applyBorder="1" applyAlignment="1">
      <alignment horizontal="center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0" fontId="3" fillId="0" borderId="0" xfId="3" quotePrefix="1" applyAlignment="1">
      <alignment horizontal="left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4" fillId="0" borderId="0" xfId="3" applyFont="1" applyAlignment="1">
      <alignment horizontal="left"/>
    </xf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19" fillId="0" borderId="27" xfId="8" applyFont="1" applyBorder="1" applyAlignment="1">
      <alignment horizontal="center" wrapText="1"/>
    </xf>
    <xf numFmtId="0" fontId="19" fillId="0" borderId="29" xfId="8" applyFont="1" applyBorder="1" applyAlignment="1">
      <alignment horizontal="center" wrapText="1"/>
    </xf>
    <xf numFmtId="0" fontId="22" fillId="6" borderId="24" xfId="8" applyFont="1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19" fillId="0" borderId="25" xfId="8" applyFont="1" applyBorder="1" applyAlignment="1">
      <alignment horizontal="center" vertical="center"/>
    </xf>
    <xf numFmtId="0" fontId="19" fillId="0" borderId="28" xfId="8" applyFont="1" applyBorder="1" applyAlignment="1">
      <alignment horizontal="center" vertical="center"/>
    </xf>
    <xf numFmtId="0" fontId="19" fillId="0" borderId="26" xfId="8" applyFont="1" applyBorder="1" applyAlignment="1">
      <alignment horizontal="center" vertical="center"/>
    </xf>
    <xf numFmtId="0" fontId="19" fillId="0" borderId="25" xfId="8" applyFont="1" applyFill="1" applyBorder="1" applyAlignment="1">
      <alignment horizontal="left" vertical="center"/>
    </xf>
    <xf numFmtId="0" fontId="19" fillId="0" borderId="28" xfId="8" applyFont="1" applyFill="1" applyBorder="1" applyAlignment="1">
      <alignment horizontal="left" vertical="center"/>
    </xf>
    <xf numFmtId="0" fontId="19" fillId="0" borderId="26" xfId="8" applyFont="1" applyFill="1" applyBorder="1" applyAlignment="1">
      <alignment horizontal="left" vertical="center"/>
    </xf>
    <xf numFmtId="0" fontId="19" fillId="0" borderId="24" xfId="8" applyBorder="1" applyAlignment="1">
      <alignment horizontal="center"/>
    </xf>
  </cellXfs>
  <cellStyles count="14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5 2" xfId="5" xr:uid="{7DB35855-DF1D-41FD-8D1D-57F8E5731502}"/>
    <cellStyle name="Currency [0] 2 2" xfId="9" xr:uid="{31FE3FCA-9591-4575-ADF9-2469AC4B017F}"/>
    <cellStyle name="Normal" xfId="0" builtinId="0"/>
    <cellStyle name="Normal 2 2 2 2 3" xfId="6" xr:uid="{DE498679-5550-451A-81BA-8B6F40AD0748}"/>
    <cellStyle name="Normal 3" xfId="3" xr:uid="{80C6D651-5E36-4AE1-B2AF-24F7035690A9}"/>
    <cellStyle name="Normal 4" xfId="13" xr:uid="{834E640F-E774-463F-83D2-4F114B1579AA}"/>
    <cellStyle name="Normal 7" xfId="8" xr:uid="{8336AFE8-187C-4DC7-9E05-5CF89FA2A319}"/>
    <cellStyle name="Normal 7 3" xfId="10" xr:uid="{E3956C3F-B4CE-4040-AFD0-AC78C0F19FE7}"/>
    <cellStyle name="Percent 3" xfId="7" xr:uid="{54F020B5-68BB-4710-814E-90969CA1DF9C}"/>
  </cellStyles>
  <dxfs count="39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5428" y="5475296"/>
          <a:ext cx="8994568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1</xdr:col>
      <xdr:colOff>283890</xdr:colOff>
      <xdr:row>33</xdr:row>
      <xdr:rowOff>38937</xdr:rowOff>
    </xdr:from>
    <xdr:to>
      <xdr:col>13</xdr:col>
      <xdr:colOff>47988</xdr:colOff>
      <xdr:row>34</xdr:row>
      <xdr:rowOff>14060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601390" y="6475528"/>
          <a:ext cx="9254462" cy="171396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abSelected="1" topLeftCell="A9" zoomScale="110" zoomScaleNormal="110" workbookViewId="0">
      <selection activeCell="M19" sqref="M19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816406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22.75" customHeight="1" x14ac:dyDescent="0.55000000000000004">
      <c r="B2" s="1" t="s">
        <v>0</v>
      </c>
      <c r="C2" s="2" t="s">
        <v>210</v>
      </c>
      <c r="M2" s="3"/>
      <c r="N2" s="4" t="s">
        <v>209</v>
      </c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>
        <v>45610</v>
      </c>
    </row>
    <row r="4" spans="2:14" ht="18.5" x14ac:dyDescent="0.45">
      <c r="C4" s="5" t="s">
        <v>4</v>
      </c>
      <c r="D4" s="2" t="s">
        <v>183</v>
      </c>
    </row>
    <row r="5" spans="2:14" ht="0.9" customHeight="1" thickBot="1" x14ac:dyDescent="0.4">
      <c r="C5" s="2"/>
    </row>
    <row r="6" spans="2:14" s="7" customFormat="1" ht="19" thickBot="1" x14ac:dyDescent="0.5">
      <c r="B6" s="205" t="s">
        <v>5</v>
      </c>
      <c r="C6" s="206"/>
      <c r="D6" s="207"/>
      <c r="E6" s="205" t="s">
        <v>6</v>
      </c>
      <c r="F6" s="206"/>
      <c r="G6" s="206"/>
      <c r="H6" s="206"/>
      <c r="I6" s="206"/>
      <c r="J6" s="205" t="s">
        <v>7</v>
      </c>
      <c r="K6" s="206"/>
      <c r="L6" s="206"/>
      <c r="M6" s="206"/>
      <c r="N6" s="207"/>
    </row>
    <row r="7" spans="2:14" x14ac:dyDescent="0.35">
      <c r="B7" s="208" t="s">
        <v>8</v>
      </c>
      <c r="C7" s="209"/>
      <c r="D7" s="8" t="s">
        <v>230</v>
      </c>
      <c r="E7" s="210" t="s">
        <v>9</v>
      </c>
      <c r="F7" s="210"/>
      <c r="G7" s="210"/>
      <c r="H7" s="210"/>
      <c r="I7" s="210"/>
      <c r="J7" s="9"/>
      <c r="K7" s="209" t="s">
        <v>10</v>
      </c>
      <c r="L7" s="209"/>
      <c r="M7" s="10">
        <f>Parameter!C3</f>
        <v>954188000</v>
      </c>
      <c r="N7" s="8"/>
    </row>
    <row r="8" spans="2:14" x14ac:dyDescent="0.35">
      <c r="B8" s="213" t="s">
        <v>11</v>
      </c>
      <c r="C8" s="214"/>
      <c r="D8" s="11" t="s">
        <v>181</v>
      </c>
      <c r="E8" s="212" t="s">
        <v>12</v>
      </c>
      <c r="F8" s="212"/>
      <c r="G8" s="212"/>
      <c r="H8" s="12"/>
      <c r="J8" s="13"/>
      <c r="K8" s="212" t="s">
        <v>13</v>
      </c>
      <c r="L8" s="212"/>
      <c r="M8" s="25">
        <f>M7/H9</f>
        <v>9541880</v>
      </c>
      <c r="N8" s="14"/>
    </row>
    <row r="9" spans="2:14" x14ac:dyDescent="0.35">
      <c r="B9" s="213"/>
      <c r="C9" s="214"/>
      <c r="D9" s="14"/>
      <c r="E9" s="212" t="s">
        <v>14</v>
      </c>
      <c r="F9" s="212"/>
      <c r="G9" s="212"/>
      <c r="H9" s="12">
        <v>100</v>
      </c>
      <c r="J9" s="13"/>
      <c r="K9" s="212" t="s">
        <v>15</v>
      </c>
      <c r="L9" s="212"/>
      <c r="M9" s="15">
        <v>5</v>
      </c>
      <c r="N9" s="14"/>
    </row>
    <row r="10" spans="2:14" x14ac:dyDescent="0.35">
      <c r="B10" s="16" t="s">
        <v>16</v>
      </c>
      <c r="C10" s="17"/>
      <c r="D10" s="14" t="s">
        <v>181</v>
      </c>
      <c r="E10" s="212" t="s">
        <v>17</v>
      </c>
      <c r="F10" s="212"/>
      <c r="G10" s="212"/>
      <c r="H10" s="18">
        <v>0</v>
      </c>
      <c r="J10" s="13"/>
      <c r="K10" s="19" t="s">
        <v>18</v>
      </c>
      <c r="L10" s="19"/>
      <c r="M10" s="20">
        <f>[2]IRR!F3</f>
        <v>0.1</v>
      </c>
      <c r="N10" s="14"/>
    </row>
    <row r="11" spans="2:14" x14ac:dyDescent="0.35">
      <c r="B11" s="21" t="s">
        <v>19</v>
      </c>
      <c r="C11" s="19"/>
      <c r="D11" s="14" t="s">
        <v>182</v>
      </c>
      <c r="E11" s="215" t="s">
        <v>20</v>
      </c>
      <c r="F11" s="215"/>
      <c r="G11" s="215"/>
      <c r="H11" s="215"/>
      <c r="I11" s="215"/>
      <c r="J11" s="22"/>
      <c r="K11" s="212" t="s">
        <v>21</v>
      </c>
      <c r="L11" s="212"/>
      <c r="M11" s="10">
        <f>IRR!Q19</f>
        <v>1504210000</v>
      </c>
      <c r="N11" s="14"/>
    </row>
    <row r="12" spans="2:14" x14ac:dyDescent="0.35">
      <c r="B12" s="21" t="s">
        <v>22</v>
      </c>
      <c r="C12" s="19"/>
      <c r="D12" s="14" t="s">
        <v>23</v>
      </c>
      <c r="E12" s="211" t="s">
        <v>24</v>
      </c>
      <c r="F12" s="211"/>
      <c r="G12" s="211"/>
      <c r="H12" s="23">
        <v>0</v>
      </c>
      <c r="J12" s="13"/>
      <c r="K12" s="212" t="s">
        <v>25</v>
      </c>
      <c r="L12" s="212"/>
      <c r="M12" s="10">
        <f>IRR!G9</f>
        <v>53447207</v>
      </c>
      <c r="N12" s="14"/>
    </row>
    <row r="13" spans="2:14" x14ac:dyDescent="0.35">
      <c r="B13" s="21" t="s">
        <v>26</v>
      </c>
      <c r="C13" s="19"/>
      <c r="D13" s="24"/>
      <c r="E13" s="211" t="s">
        <v>27</v>
      </c>
      <c r="F13" s="211"/>
      <c r="G13" s="211"/>
      <c r="H13" s="23">
        <v>0</v>
      </c>
      <c r="J13" s="13"/>
      <c r="K13" s="212" t="s">
        <v>28</v>
      </c>
      <c r="L13" s="212"/>
      <c r="M13" s="10">
        <f>IRR!Q22</f>
        <v>314771000</v>
      </c>
      <c r="N13" s="14"/>
    </row>
    <row r="14" spans="2:14" x14ac:dyDescent="0.35">
      <c r="B14" s="21" t="s">
        <v>29</v>
      </c>
      <c r="C14" s="19"/>
      <c r="D14" s="24"/>
      <c r="E14" s="211" t="s">
        <v>30</v>
      </c>
      <c r="F14" s="211"/>
      <c r="G14" s="211"/>
      <c r="H14" s="23">
        <v>0</v>
      </c>
      <c r="J14" s="13"/>
      <c r="K14" s="212" t="s">
        <v>31</v>
      </c>
      <c r="L14" s="212"/>
      <c r="M14" s="25">
        <f>IRR!Q23+IRR!Q24+IRR!Q25</f>
        <v>480210500</v>
      </c>
      <c r="N14" s="14"/>
    </row>
    <row r="15" spans="2:14" ht="16" thickBot="1" x14ac:dyDescent="0.4">
      <c r="B15" s="21" t="s">
        <v>32</v>
      </c>
      <c r="C15" s="19"/>
      <c r="D15" s="26"/>
      <c r="E15" s="27"/>
      <c r="F15" s="27"/>
      <c r="G15" s="27"/>
      <c r="H15" s="23"/>
      <c r="J15" s="13"/>
      <c r="K15" s="19"/>
      <c r="L15" s="19"/>
      <c r="N15" s="14"/>
    </row>
    <row r="16" spans="2:14" x14ac:dyDescent="0.35">
      <c r="B16" s="13"/>
      <c r="D16" s="14"/>
      <c r="E16" s="215" t="s">
        <v>33</v>
      </c>
      <c r="F16" s="215"/>
      <c r="G16" s="215"/>
      <c r="H16" s="215"/>
      <c r="I16" s="215"/>
      <c r="J16" s="28"/>
      <c r="K16" s="220" t="s">
        <v>34</v>
      </c>
      <c r="L16" s="221"/>
      <c r="M16" s="29">
        <f>IRR!F40</f>
        <v>1.2579712131421328</v>
      </c>
      <c r="N16" s="14"/>
    </row>
    <row r="17" spans="2:18" x14ac:dyDescent="0.35">
      <c r="B17" s="13"/>
      <c r="D17" s="14"/>
      <c r="J17" s="30"/>
      <c r="K17" s="222" t="s">
        <v>35</v>
      </c>
      <c r="L17" s="223"/>
      <c r="M17" s="31">
        <f>IRR!F41</f>
        <v>475124197.84344292</v>
      </c>
      <c r="N17" s="14"/>
    </row>
    <row r="18" spans="2:18" x14ac:dyDescent="0.35">
      <c r="B18" s="13"/>
      <c r="D18" s="14"/>
      <c r="J18" s="30"/>
      <c r="K18" s="222" t="s">
        <v>36</v>
      </c>
      <c r="L18" s="223"/>
      <c r="M18" s="32">
        <f>IRR!F42</f>
        <v>0.47149566882283722</v>
      </c>
      <c r="N18" s="14"/>
      <c r="R18" s="1" t="s">
        <v>37</v>
      </c>
    </row>
    <row r="19" spans="2:18" ht="16" thickBot="1" x14ac:dyDescent="0.4">
      <c r="B19" s="13"/>
      <c r="D19" s="14"/>
      <c r="J19" s="30"/>
      <c r="K19" s="216" t="s">
        <v>38</v>
      </c>
      <c r="L19" s="217"/>
      <c r="M19" s="33">
        <f>IRR!F43</f>
        <v>1.7407283692501436</v>
      </c>
      <c r="N19" s="14"/>
      <c r="Q19" s="1" t="s">
        <v>37</v>
      </c>
    </row>
    <row r="20" spans="2:18" ht="16" thickBot="1" x14ac:dyDescent="0.4">
      <c r="B20" s="34"/>
      <c r="C20" s="35"/>
      <c r="D20" s="36"/>
      <c r="E20" s="35"/>
      <c r="F20" s="35" t="s">
        <v>37</v>
      </c>
      <c r="G20" s="35"/>
      <c r="H20" s="35"/>
      <c r="I20" s="35"/>
      <c r="J20" s="13"/>
      <c r="K20" s="37"/>
      <c r="L20" s="19"/>
      <c r="M20" s="19"/>
      <c r="N20" s="14"/>
    </row>
    <row r="21" spans="2:18" x14ac:dyDescent="0.35">
      <c r="B21" s="38" t="s">
        <v>39</v>
      </c>
      <c r="C21" s="39"/>
      <c r="D21" s="39"/>
      <c r="E21" s="39"/>
      <c r="F21" s="39"/>
      <c r="G21" s="39"/>
      <c r="H21" s="39"/>
      <c r="I21" s="39"/>
      <c r="J21" s="39"/>
      <c r="L21" s="224" t="s">
        <v>40</v>
      </c>
      <c r="M21" s="224"/>
      <c r="N21" s="8"/>
    </row>
    <row r="22" spans="2:18" x14ac:dyDescent="0.35">
      <c r="B22" s="13" t="s">
        <v>41</v>
      </c>
      <c r="D22" s="1" t="s">
        <v>42</v>
      </c>
      <c r="L22" s="218" t="s">
        <v>43</v>
      </c>
      <c r="M22" s="219"/>
      <c r="N22" s="14"/>
    </row>
    <row r="23" spans="2:18" x14ac:dyDescent="0.35">
      <c r="B23" s="13"/>
      <c r="D23" s="1" t="s">
        <v>42</v>
      </c>
      <c r="N23" s="14"/>
    </row>
    <row r="24" spans="2:18" x14ac:dyDescent="0.35">
      <c r="B24" s="13"/>
      <c r="D24" s="1" t="s">
        <v>42</v>
      </c>
      <c r="N24" s="14"/>
    </row>
    <row r="25" spans="2:18" x14ac:dyDescent="0.35">
      <c r="B25" s="13"/>
      <c r="N25" s="14"/>
    </row>
    <row r="26" spans="2:18" ht="16" thickBot="1" x14ac:dyDescent="0.4">
      <c r="B26" s="34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6"/>
    </row>
    <row r="28" spans="2:18" x14ac:dyDescent="0.35">
      <c r="B28" s="2" t="s">
        <v>44</v>
      </c>
    </row>
    <row r="29" spans="2:18" x14ac:dyDescent="0.35"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</row>
    <row r="30" spans="2:18" x14ac:dyDescent="0.35"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</row>
    <row r="31" spans="2:18" x14ac:dyDescent="0.35"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</row>
    <row r="32" spans="2:18" x14ac:dyDescent="0.35"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</row>
    <row r="33" spans="2:15" x14ac:dyDescent="0.35"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</row>
    <row r="34" spans="2:15" x14ac:dyDescent="0.35"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</row>
    <row r="35" spans="2:15" x14ac:dyDescent="0.35"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</row>
  </sheetData>
  <mergeCells count="28">
    <mergeCell ref="K19:L19"/>
    <mergeCell ref="L22:M22"/>
    <mergeCell ref="E14:G14"/>
    <mergeCell ref="K14:L14"/>
    <mergeCell ref="E16:I16"/>
    <mergeCell ref="K16:L16"/>
    <mergeCell ref="K17:L17"/>
    <mergeCell ref="K18:L18"/>
    <mergeCell ref="L21:M21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1:I11"/>
    <mergeCell ref="K11:L11"/>
    <mergeCell ref="E12:G12"/>
    <mergeCell ref="K12:L12"/>
    <mergeCell ref="B6:D6"/>
    <mergeCell ref="E6:I6"/>
    <mergeCell ref="J6:N6"/>
    <mergeCell ref="B7:C7"/>
    <mergeCell ref="E7:I7"/>
    <mergeCell ref="K7:L7"/>
  </mergeCells>
  <pageMargins left="0.36" right="0.16" top="0.48" bottom="0.16" header="0.17" footer="0.16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4"/>
  <sheetViews>
    <sheetView showGridLines="0" topLeftCell="A31" zoomScale="86" zoomScaleNormal="86" workbookViewId="0">
      <selection activeCell="Q51" sqref="B1:Q51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9.81640625" style="1" customWidth="1"/>
    <col min="7" max="7" width="19.54296875" style="41" customWidth="1"/>
    <col min="8" max="8" width="19.90625" style="1" customWidth="1"/>
    <col min="9" max="10" width="17.36328125" style="1" bestFit="1" customWidth="1"/>
    <col min="11" max="11" width="17.81640625" style="1" bestFit="1" customWidth="1"/>
    <col min="12" max="16" width="17.81640625" style="1" hidden="1" customWidth="1"/>
    <col min="17" max="17" width="19.1796875" style="1" bestFit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45</v>
      </c>
      <c r="C1" s="1" t="s">
        <v>210</v>
      </c>
      <c r="Q1" s="4" t="s">
        <v>209</v>
      </c>
    </row>
    <row r="2" spans="2:25" x14ac:dyDescent="0.35">
      <c r="B2" s="42" t="s">
        <v>46</v>
      </c>
      <c r="H2" s="169" t="s">
        <v>47</v>
      </c>
      <c r="I2" s="170" t="s">
        <v>48</v>
      </c>
    </row>
    <row r="3" spans="2:25" x14ac:dyDescent="0.35">
      <c r="C3" s="1" t="s">
        <v>49</v>
      </c>
      <c r="E3" s="44">
        <v>0.02</v>
      </c>
      <c r="H3" s="171" t="s">
        <v>69</v>
      </c>
      <c r="I3" s="45"/>
      <c r="L3" s="45"/>
      <c r="M3" s="45"/>
      <c r="N3" s="45"/>
      <c r="O3" s="45"/>
      <c r="P3" s="45"/>
      <c r="R3" s="46"/>
      <c r="S3" s="46"/>
    </row>
    <row r="4" spans="2:25" x14ac:dyDescent="0.35">
      <c r="C4" s="1" t="s">
        <v>50</v>
      </c>
      <c r="E4" s="44">
        <v>0.1</v>
      </c>
      <c r="H4" s="171" t="s">
        <v>185</v>
      </c>
      <c r="I4" s="45"/>
      <c r="L4" s="45"/>
      <c r="M4" s="45"/>
      <c r="N4" s="45"/>
      <c r="O4" s="45"/>
      <c r="P4" s="45"/>
      <c r="R4" s="46"/>
      <c r="S4" s="46"/>
    </row>
    <row r="5" spans="2:25" x14ac:dyDescent="0.35">
      <c r="C5" s="1" t="s">
        <v>51</v>
      </c>
      <c r="E5" s="44">
        <v>0.05</v>
      </c>
      <c r="F5" s="41" t="s">
        <v>52</v>
      </c>
      <c r="H5" s="171" t="s">
        <v>211</v>
      </c>
      <c r="I5" s="76">
        <v>-0.1</v>
      </c>
      <c r="S5" s="47"/>
      <c r="T5" s="47"/>
      <c r="U5" s="47"/>
      <c r="V5" s="47"/>
    </row>
    <row r="6" spans="2:25" x14ac:dyDescent="0.35">
      <c r="C6" s="1" t="s">
        <v>53</v>
      </c>
      <c r="E6" s="48">
        <v>0</v>
      </c>
      <c r="F6" s="41" t="s">
        <v>52</v>
      </c>
      <c r="H6" s="171"/>
      <c r="I6" s="1" t="s">
        <v>180</v>
      </c>
    </row>
    <row r="7" spans="2:25" ht="7.25" customHeight="1" x14ac:dyDescent="0.35">
      <c r="F7" s="44"/>
    </row>
    <row r="8" spans="2:25" ht="14.4" customHeight="1" x14ac:dyDescent="0.35">
      <c r="B8" s="2"/>
      <c r="G8" s="43" t="s">
        <v>54</v>
      </c>
      <c r="H8" s="43" t="s">
        <v>55</v>
      </c>
      <c r="I8" s="170" t="s">
        <v>56</v>
      </c>
      <c r="J8" s="43" t="s">
        <v>57</v>
      </c>
      <c r="K8" s="43" t="s">
        <v>58</v>
      </c>
      <c r="L8" s="43" t="s">
        <v>175</v>
      </c>
      <c r="M8" s="43" t="s">
        <v>176</v>
      </c>
      <c r="N8" s="43" t="s">
        <v>177</v>
      </c>
      <c r="O8" s="43" t="s">
        <v>178</v>
      </c>
      <c r="P8" s="43" t="s">
        <v>179</v>
      </c>
      <c r="R8" s="49"/>
      <c r="W8" s="49"/>
      <c r="X8" s="49"/>
      <c r="Y8" s="49"/>
    </row>
    <row r="9" spans="2:25" s="51" customFormat="1" ht="16" thickBot="1" x14ac:dyDescent="0.4">
      <c r="B9" s="50" t="s">
        <v>59</v>
      </c>
      <c r="E9" s="51" t="s">
        <v>184</v>
      </c>
      <c r="F9" s="52"/>
      <c r="G9" s="53">
        <v>53447207</v>
      </c>
      <c r="H9" s="53">
        <v>0</v>
      </c>
      <c r="I9" s="53">
        <v>0</v>
      </c>
      <c r="J9" s="53">
        <v>0</v>
      </c>
      <c r="K9" s="53"/>
      <c r="L9" s="53"/>
      <c r="M9" s="53"/>
      <c r="N9" s="53"/>
      <c r="O9" s="53"/>
      <c r="P9" s="53"/>
      <c r="Q9" s="52"/>
      <c r="R9" s="52"/>
      <c r="S9" s="1"/>
      <c r="T9" s="1"/>
      <c r="U9" s="1"/>
      <c r="V9" s="1"/>
      <c r="W9" s="52"/>
      <c r="X9" s="52"/>
      <c r="Y9" s="52"/>
    </row>
    <row r="10" spans="2:25" s="51" customFormat="1" ht="16" thickTop="1" x14ac:dyDescent="0.35">
      <c r="B10" s="50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1"/>
      <c r="T10" s="1"/>
      <c r="U10" s="1"/>
      <c r="V10" s="1"/>
      <c r="W10" s="52"/>
      <c r="X10" s="52"/>
      <c r="Y10" s="52"/>
    </row>
    <row r="11" spans="2:25" x14ac:dyDescent="0.35">
      <c r="F11" s="54"/>
      <c r="G11" s="55">
        <v>2025</v>
      </c>
      <c r="H11" s="55">
        <f>G11+1</f>
        <v>2026</v>
      </c>
      <c r="I11" s="55">
        <f t="shared" ref="I11:P11" si="0">H11+1</f>
        <v>2027</v>
      </c>
      <c r="J11" s="55">
        <f t="shared" si="0"/>
        <v>2028</v>
      </c>
      <c r="K11" s="55">
        <f t="shared" si="0"/>
        <v>2029</v>
      </c>
      <c r="L11" s="55">
        <f t="shared" si="0"/>
        <v>2030</v>
      </c>
      <c r="M11" s="55">
        <f t="shared" si="0"/>
        <v>2031</v>
      </c>
      <c r="N11" s="55">
        <f t="shared" si="0"/>
        <v>2032</v>
      </c>
      <c r="O11" s="55">
        <f t="shared" si="0"/>
        <v>2033</v>
      </c>
      <c r="P11" s="55">
        <f t="shared" si="0"/>
        <v>2034</v>
      </c>
      <c r="Q11" s="55"/>
    </row>
    <row r="12" spans="2:25" ht="16" thickBot="1" x14ac:dyDescent="0.4">
      <c r="B12" s="56" t="s">
        <v>60</v>
      </c>
      <c r="C12" s="35"/>
      <c r="D12" s="35"/>
      <c r="E12" s="35"/>
      <c r="F12" s="57" t="s">
        <v>174</v>
      </c>
      <c r="G12" s="57" t="s">
        <v>61</v>
      </c>
      <c r="H12" s="58" t="s">
        <v>62</v>
      </c>
      <c r="I12" s="57" t="s">
        <v>63</v>
      </c>
      <c r="J12" s="58" t="s">
        <v>64</v>
      </c>
      <c r="K12" s="57" t="s">
        <v>65</v>
      </c>
      <c r="L12" s="57" t="s">
        <v>91</v>
      </c>
      <c r="M12" s="57" t="s">
        <v>170</v>
      </c>
      <c r="N12" s="57" t="s">
        <v>171</v>
      </c>
      <c r="O12" s="57" t="s">
        <v>172</v>
      </c>
      <c r="P12" s="57" t="s">
        <v>173</v>
      </c>
      <c r="Q12" s="59" t="s">
        <v>66</v>
      </c>
      <c r="R12" s="47"/>
      <c r="S12" s="60"/>
      <c r="T12" s="60"/>
      <c r="U12" s="60"/>
      <c r="V12" s="60"/>
      <c r="W12" s="47"/>
    </row>
    <row r="13" spans="2:25" x14ac:dyDescent="0.35">
      <c r="B13" s="1" t="s">
        <v>67</v>
      </c>
      <c r="G13" s="55">
        <v>12</v>
      </c>
      <c r="H13" s="55">
        <v>12</v>
      </c>
      <c r="I13" s="55">
        <v>12</v>
      </c>
      <c r="J13" s="55">
        <v>12</v>
      </c>
      <c r="K13" s="55">
        <v>12</v>
      </c>
      <c r="L13" s="55"/>
      <c r="M13" s="55"/>
      <c r="N13" s="55"/>
      <c r="O13" s="55"/>
      <c r="P13" s="55"/>
      <c r="Q13" s="61"/>
      <c r="S13" s="46"/>
      <c r="T13" s="46"/>
      <c r="U13" s="46"/>
      <c r="V13" s="46"/>
    </row>
    <row r="14" spans="2:25" ht="3" customHeight="1" x14ac:dyDescent="0.35">
      <c r="Q14" s="61"/>
      <c r="S14" s="62"/>
      <c r="T14" s="62"/>
      <c r="U14" s="62"/>
      <c r="V14" s="62"/>
    </row>
    <row r="15" spans="2:25" ht="12.65" customHeight="1" x14ac:dyDescent="0.35">
      <c r="B15" s="2" t="s">
        <v>68</v>
      </c>
      <c r="E15" s="63"/>
      <c r="G15" s="64"/>
      <c r="H15" s="65"/>
      <c r="I15" s="66"/>
      <c r="J15" s="66"/>
      <c r="K15" s="66"/>
      <c r="L15" s="66"/>
      <c r="M15" s="66"/>
      <c r="N15" s="66"/>
      <c r="O15" s="66"/>
      <c r="P15" s="66"/>
      <c r="Q15" s="61"/>
      <c r="S15" s="60"/>
      <c r="T15" s="60"/>
      <c r="U15" s="60"/>
      <c r="V15" s="60"/>
    </row>
    <row r="16" spans="2:25" x14ac:dyDescent="0.35">
      <c r="B16" s="2"/>
      <c r="C16" s="1" t="s">
        <v>185</v>
      </c>
      <c r="E16" s="63"/>
      <c r="G16" s="65"/>
      <c r="H16" s="65">
        <f t="shared" ref="H16:I18" si="1">G16</f>
        <v>0</v>
      </c>
      <c r="I16" s="65">
        <f t="shared" si="1"/>
        <v>0</v>
      </c>
      <c r="J16" s="65">
        <f t="shared" ref="J16:K18" si="2">I16</f>
        <v>0</v>
      </c>
      <c r="K16" s="65">
        <f t="shared" si="2"/>
        <v>0</v>
      </c>
      <c r="L16" s="65"/>
      <c r="M16" s="65"/>
      <c r="N16" s="65"/>
      <c r="O16" s="65"/>
      <c r="P16" s="65"/>
      <c r="Q16" s="67">
        <f>SUM(G16:K16)</f>
        <v>0</v>
      </c>
      <c r="S16" s="60"/>
      <c r="T16" s="60"/>
      <c r="U16" s="60"/>
      <c r="V16" s="60"/>
    </row>
    <row r="17" spans="2:24" x14ac:dyDescent="0.35">
      <c r="B17" s="2"/>
      <c r="C17" s="1" t="s">
        <v>69</v>
      </c>
      <c r="E17" s="63"/>
      <c r="G17" s="65">
        <v>142640000</v>
      </c>
      <c r="H17" s="65">
        <f t="shared" si="1"/>
        <v>142640000</v>
      </c>
      <c r="I17" s="65">
        <f t="shared" si="1"/>
        <v>142640000</v>
      </c>
      <c r="J17" s="65">
        <f t="shared" si="2"/>
        <v>142640000</v>
      </c>
      <c r="K17" s="65">
        <f>J17</f>
        <v>142640000</v>
      </c>
      <c r="L17" s="65"/>
      <c r="M17" s="65"/>
      <c r="N17" s="65"/>
      <c r="O17" s="65"/>
      <c r="P17" s="65"/>
      <c r="Q17" s="67">
        <f>SUM(G17:K17)</f>
        <v>713200000</v>
      </c>
      <c r="S17" s="60"/>
      <c r="T17" s="60"/>
      <c r="U17" s="60"/>
      <c r="V17" s="60"/>
    </row>
    <row r="18" spans="2:24" x14ac:dyDescent="0.35">
      <c r="B18" s="2"/>
      <c r="C18" s="1" t="s">
        <v>186</v>
      </c>
      <c r="E18" s="63"/>
      <c r="G18" s="65">
        <v>168300000</v>
      </c>
      <c r="H18" s="65">
        <f t="shared" si="1"/>
        <v>168300000</v>
      </c>
      <c r="I18" s="65">
        <f>H18*90%</f>
        <v>151470000</v>
      </c>
      <c r="J18" s="65">
        <f t="shared" si="2"/>
        <v>151470000</v>
      </c>
      <c r="K18" s="65">
        <f t="shared" si="2"/>
        <v>151470000</v>
      </c>
      <c r="L18" s="65"/>
      <c r="M18" s="65"/>
      <c r="N18" s="65"/>
      <c r="O18" s="65"/>
      <c r="P18" s="65"/>
      <c r="Q18" s="67">
        <f>SUM(G18:K18)</f>
        <v>791010000</v>
      </c>
      <c r="S18" s="60"/>
      <c r="T18" s="60"/>
      <c r="U18" s="60"/>
      <c r="V18" s="60"/>
    </row>
    <row r="19" spans="2:24" x14ac:dyDescent="0.35">
      <c r="B19" s="70" t="s">
        <v>70</v>
      </c>
      <c r="C19" s="70"/>
      <c r="D19" s="70"/>
      <c r="E19" s="225"/>
      <c r="F19" s="226"/>
      <c r="G19" s="71">
        <f t="shared" ref="G19:K19" si="3">SUM(G16:G18)</f>
        <v>310940000</v>
      </c>
      <c r="H19" s="71">
        <f t="shared" si="3"/>
        <v>310940000</v>
      </c>
      <c r="I19" s="71">
        <f t="shared" si="3"/>
        <v>294110000</v>
      </c>
      <c r="J19" s="71">
        <f t="shared" si="3"/>
        <v>294110000</v>
      </c>
      <c r="K19" s="71">
        <f t="shared" si="3"/>
        <v>294110000</v>
      </c>
      <c r="L19" s="71"/>
      <c r="M19" s="71"/>
      <c r="N19" s="71"/>
      <c r="O19" s="71"/>
      <c r="P19" s="71"/>
      <c r="Q19" s="72">
        <f>SUM(Q16:Q18)</f>
        <v>1504210000</v>
      </c>
      <c r="R19" s="60"/>
      <c r="S19" s="73"/>
      <c r="T19" s="73"/>
      <c r="U19" s="73"/>
      <c r="V19" s="73"/>
      <c r="W19" s="60"/>
      <c r="X19" s="46"/>
    </row>
    <row r="20" spans="2:24" ht="6" customHeight="1" x14ac:dyDescent="0.35">
      <c r="Q20" s="61"/>
      <c r="R20" s="46"/>
      <c r="S20" s="73"/>
      <c r="T20" s="73"/>
      <c r="U20" s="73"/>
      <c r="V20" s="73"/>
      <c r="W20" s="46"/>
      <c r="X20" s="46"/>
    </row>
    <row r="21" spans="2:24" x14ac:dyDescent="0.35">
      <c r="B21" s="2" t="s">
        <v>71</v>
      </c>
      <c r="E21" s="63"/>
      <c r="F21" s="63"/>
      <c r="G21" s="64"/>
      <c r="H21" s="63"/>
      <c r="I21" s="66"/>
      <c r="J21" s="66"/>
      <c r="K21" s="66"/>
      <c r="L21" s="66"/>
      <c r="M21" s="66"/>
      <c r="N21" s="66"/>
      <c r="O21" s="66"/>
      <c r="P21" s="66"/>
      <c r="Q21" s="74"/>
      <c r="R21" s="62"/>
      <c r="S21" s="75"/>
      <c r="T21" s="75"/>
      <c r="U21" s="75"/>
      <c r="V21" s="75"/>
      <c r="W21" s="46"/>
      <c r="X21" s="46"/>
    </row>
    <row r="22" spans="2:24" x14ac:dyDescent="0.35">
      <c r="C22" s="1" t="s">
        <v>72</v>
      </c>
      <c r="E22" s="76"/>
      <c r="G22" s="77">
        <f>314771000</f>
        <v>314771000</v>
      </c>
      <c r="H22" s="77"/>
      <c r="I22" s="77"/>
      <c r="J22" s="77"/>
      <c r="K22" s="77">
        <f>J22</f>
        <v>0</v>
      </c>
      <c r="L22" s="77"/>
      <c r="M22" s="77"/>
      <c r="N22" s="77"/>
      <c r="O22" s="77"/>
      <c r="P22" s="77"/>
      <c r="Q22" s="78">
        <f>SUM(G22:K22)</f>
        <v>314771000</v>
      </c>
      <c r="R22" s="60" t="s">
        <v>37</v>
      </c>
      <c r="S22" s="60"/>
      <c r="T22" s="60"/>
      <c r="U22" s="60"/>
      <c r="V22" s="60"/>
      <c r="W22" s="79"/>
      <c r="X22" s="46"/>
    </row>
    <row r="23" spans="2:24" x14ac:dyDescent="0.35">
      <c r="C23" s="1" t="s">
        <v>73</v>
      </c>
      <c r="F23" s="80"/>
      <c r="G23" s="77">
        <f>5000000*12</f>
        <v>60000000</v>
      </c>
      <c r="H23" s="77">
        <f>G23</f>
        <v>60000000</v>
      </c>
      <c r="I23" s="77">
        <f>H23</f>
        <v>60000000</v>
      </c>
      <c r="J23" s="77">
        <f>I23</f>
        <v>60000000</v>
      </c>
      <c r="K23" s="77">
        <f>J23</f>
        <v>60000000</v>
      </c>
      <c r="L23" s="77"/>
      <c r="M23" s="77"/>
      <c r="N23" s="77"/>
      <c r="O23" s="77"/>
      <c r="P23" s="77"/>
      <c r="Q23" s="78">
        <f>SUM(G23:K23)</f>
        <v>300000000</v>
      </c>
      <c r="R23" s="60"/>
      <c r="S23" s="81"/>
      <c r="T23" s="81"/>
      <c r="U23" s="81"/>
      <c r="V23" s="81"/>
      <c r="W23" s="79"/>
      <c r="X23" s="46"/>
    </row>
    <row r="24" spans="2:24" x14ac:dyDescent="0.35">
      <c r="C24" s="1" t="s">
        <v>74</v>
      </c>
      <c r="G24" s="82">
        <f>7000000*3</f>
        <v>21000000</v>
      </c>
      <c r="H24" s="82">
        <f>G24</f>
        <v>21000000</v>
      </c>
      <c r="I24" s="82">
        <f>H24</f>
        <v>21000000</v>
      </c>
      <c r="J24" s="82">
        <f t="shared" ref="J24:K24" si="4">I24</f>
        <v>21000000</v>
      </c>
      <c r="K24" s="82">
        <f t="shared" si="4"/>
        <v>21000000</v>
      </c>
      <c r="L24" s="82"/>
      <c r="M24" s="82"/>
      <c r="N24" s="82"/>
      <c r="O24" s="82"/>
      <c r="P24" s="82"/>
      <c r="Q24" s="78">
        <f t="shared" ref="Q24:Q25" si="5">SUM(G24:K24)</f>
        <v>105000000</v>
      </c>
      <c r="R24" s="60"/>
      <c r="S24" s="81"/>
      <c r="T24" s="81"/>
      <c r="U24" s="81"/>
      <c r="V24" s="81"/>
      <c r="W24" s="79"/>
      <c r="X24" s="46"/>
    </row>
    <row r="25" spans="2:24" x14ac:dyDescent="0.35">
      <c r="B25" s="83"/>
      <c r="C25" s="83" t="s">
        <v>51</v>
      </c>
      <c r="D25" s="83"/>
      <c r="E25" s="83"/>
      <c r="F25" s="83"/>
      <c r="G25" s="84">
        <f>G19*$E$5</f>
        <v>15547000</v>
      </c>
      <c r="H25" s="84">
        <f>H19*$E$5</f>
        <v>15547000</v>
      </c>
      <c r="I25" s="84">
        <f>I19*$E$5</f>
        <v>14705500</v>
      </c>
      <c r="J25" s="84">
        <f>J19*$E$5</f>
        <v>14705500</v>
      </c>
      <c r="K25" s="84">
        <f>K19*$E$5</f>
        <v>14705500</v>
      </c>
      <c r="L25" s="167"/>
      <c r="M25" s="167"/>
      <c r="N25" s="167"/>
      <c r="O25" s="167"/>
      <c r="P25" s="167"/>
      <c r="Q25" s="78">
        <f t="shared" si="5"/>
        <v>75210500</v>
      </c>
      <c r="R25" s="69"/>
      <c r="S25" s="81"/>
      <c r="T25" s="81"/>
      <c r="U25" s="81"/>
      <c r="V25" s="81"/>
      <c r="W25" s="79"/>
      <c r="X25" s="46"/>
    </row>
    <row r="26" spans="2:24" s="2" customFormat="1" x14ac:dyDescent="0.35">
      <c r="B26" s="70" t="s">
        <v>75</v>
      </c>
      <c r="C26" s="70"/>
      <c r="D26" s="70"/>
      <c r="E26" s="70"/>
      <c r="F26" s="70"/>
      <c r="G26" s="71">
        <f>SUM(G22:G25)</f>
        <v>411318000</v>
      </c>
      <c r="H26" s="71">
        <f t="shared" ref="H26:K26" si="6">SUM(H22:H25)</f>
        <v>96547000</v>
      </c>
      <c r="I26" s="71">
        <f t="shared" si="6"/>
        <v>95705500</v>
      </c>
      <c r="J26" s="71">
        <f t="shared" si="6"/>
        <v>95705500</v>
      </c>
      <c r="K26" s="71">
        <f t="shared" si="6"/>
        <v>95705500</v>
      </c>
      <c r="L26" s="71"/>
      <c r="M26" s="71"/>
      <c r="N26" s="71"/>
      <c r="O26" s="71"/>
      <c r="P26" s="71"/>
      <c r="Q26" s="85">
        <f>SUM(Q22:Q25)</f>
        <v>794981500</v>
      </c>
      <c r="R26" s="73"/>
      <c r="S26" s="86"/>
      <c r="T26" s="86"/>
      <c r="U26" s="86"/>
      <c r="V26" s="86"/>
      <c r="W26" s="73"/>
      <c r="X26" s="87"/>
    </row>
    <row r="27" spans="2:24" s="2" customFormat="1" x14ac:dyDescent="0.35">
      <c r="B27" s="2" t="s">
        <v>76</v>
      </c>
      <c r="G27" s="172">
        <f>G19-G26</f>
        <v>-100378000</v>
      </c>
      <c r="H27" s="88">
        <f>H19-H26</f>
        <v>214393000</v>
      </c>
      <c r="I27" s="88">
        <f t="shared" ref="I27:K27" si="7">I19-I26</f>
        <v>198404500</v>
      </c>
      <c r="J27" s="88">
        <f t="shared" si="7"/>
        <v>198404500</v>
      </c>
      <c r="K27" s="88">
        <f t="shared" si="7"/>
        <v>198404500</v>
      </c>
      <c r="L27" s="88"/>
      <c r="M27" s="88"/>
      <c r="N27" s="88"/>
      <c r="O27" s="88"/>
      <c r="P27" s="88"/>
      <c r="Q27" s="89">
        <f>Q19-Q26</f>
        <v>709228500</v>
      </c>
      <c r="R27" s="73"/>
      <c r="S27" s="81"/>
      <c r="T27" s="81"/>
      <c r="U27" s="81"/>
      <c r="V27" s="81"/>
      <c r="W27" s="73"/>
      <c r="X27" s="87"/>
    </row>
    <row r="28" spans="2:24" s="2" customFormat="1" x14ac:dyDescent="0.35">
      <c r="B28" s="90" t="s">
        <v>77</v>
      </c>
      <c r="C28" s="91"/>
      <c r="D28" s="91"/>
      <c r="E28" s="91"/>
      <c r="F28" s="91"/>
      <c r="G28" s="92">
        <v>0</v>
      </c>
      <c r="H28" s="92">
        <f>H27/H19</f>
        <v>0.68949958191290928</v>
      </c>
      <c r="I28" s="92">
        <f t="shared" ref="I28:K28" si="8">I27/I19</f>
        <v>0.67459283941382475</v>
      </c>
      <c r="J28" s="92">
        <f t="shared" si="8"/>
        <v>0.67459283941382475</v>
      </c>
      <c r="K28" s="92">
        <f t="shared" si="8"/>
        <v>0.67459283941382475</v>
      </c>
      <c r="L28" s="92"/>
      <c r="M28" s="92"/>
      <c r="N28" s="92"/>
      <c r="O28" s="92"/>
      <c r="P28" s="92"/>
      <c r="Q28" s="93">
        <f>Q27/Q19</f>
        <v>0.47149566882283722</v>
      </c>
      <c r="R28" s="75"/>
      <c r="S28" s="46"/>
      <c r="T28" s="46"/>
      <c r="U28" s="46"/>
      <c r="V28" s="46"/>
      <c r="W28" s="75"/>
      <c r="X28" s="87"/>
    </row>
    <row r="29" spans="2:24" x14ac:dyDescent="0.35">
      <c r="B29" s="83" t="s">
        <v>78</v>
      </c>
      <c r="C29" s="83"/>
      <c r="D29" s="83"/>
      <c r="E29" s="83"/>
      <c r="F29" s="83"/>
      <c r="G29" s="94">
        <f>G51</f>
        <v>10689441.4</v>
      </c>
      <c r="H29" s="94">
        <f>H51</f>
        <v>10689441.4</v>
      </c>
      <c r="I29" s="94">
        <f>I51</f>
        <v>10689441.4</v>
      </c>
      <c r="J29" s="94">
        <f>J51</f>
        <v>10689441.4</v>
      </c>
      <c r="K29" s="94">
        <f>K51</f>
        <v>10689441.4</v>
      </c>
      <c r="L29" s="94"/>
      <c r="M29" s="94"/>
      <c r="N29" s="94"/>
      <c r="O29" s="94"/>
      <c r="P29" s="94"/>
      <c r="Q29" s="95">
        <f>SUM(G29:K29)</f>
        <v>53447207</v>
      </c>
      <c r="R29" s="60"/>
      <c r="S29" s="96"/>
      <c r="T29" s="96"/>
      <c r="U29" s="96"/>
      <c r="V29" s="96"/>
      <c r="W29" s="60"/>
      <c r="X29" s="46"/>
    </row>
    <row r="30" spans="2:24" x14ac:dyDescent="0.35">
      <c r="B30" s="1" t="s">
        <v>79</v>
      </c>
      <c r="G30" s="97">
        <f t="shared" ref="G30:Q30" si="9">G27-G29</f>
        <v>-111067441.40000001</v>
      </c>
      <c r="H30" s="97">
        <f t="shared" si="9"/>
        <v>203703558.59999999</v>
      </c>
      <c r="I30" s="97">
        <f t="shared" si="9"/>
        <v>187715058.59999999</v>
      </c>
      <c r="J30" s="97">
        <f t="shared" si="9"/>
        <v>187715058.59999999</v>
      </c>
      <c r="K30" s="97">
        <f t="shared" si="9"/>
        <v>187715058.59999999</v>
      </c>
      <c r="L30" s="97"/>
      <c r="M30" s="97"/>
      <c r="N30" s="97"/>
      <c r="O30" s="97"/>
      <c r="P30" s="97"/>
      <c r="Q30" s="98">
        <f t="shared" si="9"/>
        <v>655781293</v>
      </c>
      <c r="R30" s="81"/>
      <c r="S30" s="96"/>
      <c r="T30" s="96"/>
      <c r="U30" s="96"/>
      <c r="V30" s="96"/>
      <c r="W30" s="81"/>
      <c r="X30" s="46"/>
    </row>
    <row r="31" spans="2:24" x14ac:dyDescent="0.35">
      <c r="B31" s="1" t="s">
        <v>80</v>
      </c>
      <c r="G31" s="99">
        <f>Parameter!P39</f>
        <v>1649467.33</v>
      </c>
      <c r="H31" s="99">
        <f>Parameter!Q39</f>
        <v>433278.5</v>
      </c>
      <c r="I31" s="99">
        <f>Parameter!R39</f>
        <v>259967.1</v>
      </c>
      <c r="J31" s="99">
        <f>Parameter!S39</f>
        <v>86655.700000000012</v>
      </c>
      <c r="K31" s="99">
        <f>Parameter!T39</f>
        <v>0</v>
      </c>
      <c r="L31" s="99"/>
      <c r="M31" s="99"/>
      <c r="N31" s="99"/>
      <c r="O31" s="99"/>
      <c r="P31" s="99"/>
      <c r="Q31" s="100">
        <f>SUM(G31:K31)</f>
        <v>2429368.6300000004</v>
      </c>
      <c r="R31" s="81"/>
      <c r="S31" s="96"/>
      <c r="T31" s="96"/>
      <c r="U31" s="96"/>
      <c r="V31" s="96"/>
      <c r="W31" s="81"/>
      <c r="X31" s="46"/>
    </row>
    <row r="32" spans="2:24" x14ac:dyDescent="0.35">
      <c r="B32" s="1" t="s">
        <v>81</v>
      </c>
      <c r="G32" s="99">
        <f t="shared" ref="G32:K32" si="10">G30-G31</f>
        <v>-112716908.73</v>
      </c>
      <c r="H32" s="99">
        <f t="shared" si="10"/>
        <v>203270280.09999999</v>
      </c>
      <c r="I32" s="99">
        <f t="shared" si="10"/>
        <v>187455091.5</v>
      </c>
      <c r="J32" s="99">
        <f t="shared" si="10"/>
        <v>187628402.90000001</v>
      </c>
      <c r="K32" s="99">
        <f t="shared" si="10"/>
        <v>187715058.59999999</v>
      </c>
      <c r="L32" s="99"/>
      <c r="M32" s="99"/>
      <c r="N32" s="99"/>
      <c r="O32" s="99"/>
      <c r="P32" s="99"/>
      <c r="Q32" s="100">
        <f>SUM(G32:K32)</f>
        <v>653351924.37</v>
      </c>
      <c r="R32" s="81"/>
      <c r="S32" s="101"/>
      <c r="T32" s="101"/>
      <c r="U32" s="101"/>
      <c r="V32" s="101"/>
      <c r="W32" s="81"/>
      <c r="X32" s="46"/>
    </row>
    <row r="33" spans="2:24" x14ac:dyDescent="0.35">
      <c r="B33" s="83" t="s">
        <v>82</v>
      </c>
      <c r="C33" s="83"/>
      <c r="D33" s="83"/>
      <c r="E33" s="83"/>
      <c r="F33" s="83"/>
      <c r="G33" s="102">
        <f>IF(G32&lt;0,0,G32*$E$3)</f>
        <v>0</v>
      </c>
      <c r="H33" s="102">
        <f>IF(H32&lt;0,0,H32*$E$3)</f>
        <v>4065405.602</v>
      </c>
      <c r="I33" s="102">
        <f>IF(I32&lt;0,0,I32*$E$3)</f>
        <v>3749101.83</v>
      </c>
      <c r="J33" s="102">
        <f>IF(J32&lt;0,0,J32*$E$3)</f>
        <v>3752568.0580000002</v>
      </c>
      <c r="K33" s="102">
        <f>IF(K32&lt;0,0,K32*$E$3)</f>
        <v>3754301.1719999998</v>
      </c>
      <c r="L33" s="102"/>
      <c r="M33" s="102"/>
      <c r="N33" s="102"/>
      <c r="O33" s="102"/>
      <c r="P33" s="102"/>
      <c r="Q33" s="103">
        <f>SUM(G33:K33)</f>
        <v>15321376.662</v>
      </c>
      <c r="R33" s="86"/>
      <c r="W33" s="96"/>
      <c r="X33" s="46"/>
    </row>
    <row r="34" spans="2:24" ht="16" thickBot="1" x14ac:dyDescent="0.4">
      <c r="B34" s="104" t="s">
        <v>83</v>
      </c>
      <c r="C34" s="104"/>
      <c r="D34" s="104"/>
      <c r="E34" s="104"/>
      <c r="F34" s="104"/>
      <c r="G34" s="105">
        <f>G32-G33</f>
        <v>-112716908.73</v>
      </c>
      <c r="H34" s="105">
        <f t="shared" ref="H34:K34" si="11">H32-H33</f>
        <v>199204874.498</v>
      </c>
      <c r="I34" s="105">
        <f t="shared" si="11"/>
        <v>183705989.66999999</v>
      </c>
      <c r="J34" s="105">
        <f t="shared" si="11"/>
        <v>183875834.84200001</v>
      </c>
      <c r="K34" s="105">
        <f t="shared" si="11"/>
        <v>183960757.428</v>
      </c>
      <c r="L34" s="105"/>
      <c r="M34" s="105"/>
      <c r="N34" s="105"/>
      <c r="O34" s="105"/>
      <c r="P34" s="105"/>
      <c r="Q34" s="106">
        <f>Q32-Q33</f>
        <v>638030547.70799994</v>
      </c>
      <c r="R34" s="81"/>
      <c r="W34" s="81"/>
      <c r="X34" s="46"/>
    </row>
    <row r="35" spans="2:24" ht="7.25" customHeight="1" x14ac:dyDescent="0.35">
      <c r="Q35" s="61"/>
      <c r="R35" s="46"/>
      <c r="W35" s="46"/>
      <c r="X35" s="46"/>
    </row>
    <row r="36" spans="2:24" x14ac:dyDescent="0.35">
      <c r="B36" s="83" t="s">
        <v>84</v>
      </c>
      <c r="C36" s="83"/>
      <c r="D36" s="83"/>
      <c r="E36" s="83"/>
      <c r="F36" s="107"/>
      <c r="G36" s="107">
        <f>-G9</f>
        <v>-53447207</v>
      </c>
      <c r="H36" s="107">
        <f>-I9+-I10</f>
        <v>0</v>
      </c>
      <c r="I36" s="107">
        <f>-J9+-J10</f>
        <v>0</v>
      </c>
      <c r="J36" s="107">
        <f>-K9+-K10</f>
        <v>0</v>
      </c>
      <c r="K36" s="107">
        <f>-Q9+-Q10</f>
        <v>0</v>
      </c>
      <c r="L36" s="107"/>
      <c r="M36" s="107"/>
      <c r="N36" s="107"/>
      <c r="O36" s="107"/>
      <c r="P36" s="107"/>
      <c r="Q36" s="108"/>
      <c r="R36" s="96"/>
      <c r="W36" s="96"/>
      <c r="X36" s="46"/>
    </row>
    <row r="37" spans="2:24" x14ac:dyDescent="0.35">
      <c r="B37" s="1" t="s">
        <v>85</v>
      </c>
      <c r="F37" s="109">
        <f>F36</f>
        <v>0</v>
      </c>
      <c r="G37" s="109">
        <f>G36+G34+G29</f>
        <v>-155474674.33000001</v>
      </c>
      <c r="H37" s="109">
        <f t="shared" ref="H37:J37" si="12">H36+H34+H29</f>
        <v>209894315.898</v>
      </c>
      <c r="I37" s="109">
        <f t="shared" si="12"/>
        <v>194395431.06999999</v>
      </c>
      <c r="J37" s="109">
        <f t="shared" si="12"/>
        <v>194565276.24200001</v>
      </c>
      <c r="K37" s="109">
        <f>K36+K34+K29</f>
        <v>194650198.82800001</v>
      </c>
      <c r="L37" s="109"/>
      <c r="M37" s="109"/>
      <c r="N37" s="109"/>
      <c r="O37" s="109"/>
      <c r="P37" s="109"/>
      <c r="Q37" s="110">
        <f>SUM(F37:K37)</f>
        <v>638030547.70799994</v>
      </c>
      <c r="R37" s="96"/>
      <c r="S37" s="43"/>
      <c r="T37" s="55"/>
      <c r="U37" s="43"/>
      <c r="V37" s="55"/>
      <c r="W37" s="96"/>
      <c r="X37" s="46"/>
    </row>
    <row r="38" spans="2:24" x14ac:dyDescent="0.35">
      <c r="B38" s="1" t="s">
        <v>86</v>
      </c>
      <c r="F38" s="109">
        <f>F37</f>
        <v>0</v>
      </c>
      <c r="G38" s="109">
        <f>F38+G37</f>
        <v>-155474674.33000001</v>
      </c>
      <c r="H38" s="109">
        <f t="shared" ref="H38:K38" si="13">G38+H37</f>
        <v>54419641.567999989</v>
      </c>
      <c r="I38" s="109">
        <f>(H38+I37)</f>
        <v>248815072.63799998</v>
      </c>
      <c r="J38" s="109">
        <f t="shared" si="13"/>
        <v>443380348.88</v>
      </c>
      <c r="K38" s="109">
        <f t="shared" si="13"/>
        <v>638030547.70799994</v>
      </c>
      <c r="L38" s="109"/>
      <c r="M38" s="109"/>
      <c r="N38" s="109"/>
      <c r="O38" s="109"/>
      <c r="P38" s="109"/>
      <c r="Q38" s="110"/>
      <c r="R38" s="96"/>
      <c r="S38" s="111"/>
      <c r="T38" s="111"/>
      <c r="U38" s="111"/>
      <c r="V38" s="111"/>
      <c r="W38" s="96"/>
      <c r="X38" s="46"/>
    </row>
    <row r="39" spans="2:24" x14ac:dyDescent="0.35">
      <c r="B39" s="1" t="s">
        <v>87</v>
      </c>
      <c r="F39" s="109"/>
      <c r="G39" s="101">
        <f>IF(AND(F38&lt;0,G38&gt;0),G44-(G38/G37),0)</f>
        <v>0</v>
      </c>
      <c r="H39" s="101">
        <f t="shared" ref="H39:K39" si="14">IF(AND(G38&lt;0,H38&gt;0),H44-(H38/H37),0)</f>
        <v>1.7407283692501436</v>
      </c>
      <c r="I39" s="101">
        <f t="shared" si="14"/>
        <v>0</v>
      </c>
      <c r="J39" s="101">
        <f t="shared" si="14"/>
        <v>0</v>
      </c>
      <c r="K39" s="101">
        <f t="shared" si="14"/>
        <v>0</v>
      </c>
      <c r="L39" s="101"/>
      <c r="M39" s="101"/>
      <c r="N39" s="101"/>
      <c r="O39" s="101"/>
      <c r="P39" s="101"/>
      <c r="Q39" s="112"/>
      <c r="R39" s="101"/>
      <c r="S39" s="113"/>
      <c r="T39" s="113"/>
      <c r="U39" s="113"/>
      <c r="V39" s="113"/>
      <c r="W39" s="101"/>
    </row>
    <row r="40" spans="2:24" x14ac:dyDescent="0.35">
      <c r="B40" s="114" t="s">
        <v>34</v>
      </c>
      <c r="C40" s="115"/>
      <c r="D40" s="115"/>
      <c r="E40" s="115"/>
      <c r="F40" s="116">
        <f>IRR(G37:K37)</f>
        <v>1.2579712131421328</v>
      </c>
      <c r="S40" s="113"/>
      <c r="T40" s="113"/>
      <c r="U40" s="113"/>
      <c r="V40" s="113"/>
    </row>
    <row r="41" spans="2:24" x14ac:dyDescent="0.35">
      <c r="B41" s="117" t="s">
        <v>35</v>
      </c>
      <c r="C41" s="50"/>
      <c r="D41" s="50"/>
      <c r="E41" s="50"/>
      <c r="F41" s="118">
        <f>NPV(E4,H37:K37)+G37</f>
        <v>475124197.84344292</v>
      </c>
      <c r="H41" s="119"/>
      <c r="I41" s="120"/>
      <c r="S41" s="113"/>
      <c r="T41" s="113"/>
      <c r="U41" s="113"/>
      <c r="V41" s="113"/>
    </row>
    <row r="42" spans="2:24" x14ac:dyDescent="0.35">
      <c r="B42" s="117" t="s">
        <v>36</v>
      </c>
      <c r="C42" s="50"/>
      <c r="D42" s="50"/>
      <c r="E42" s="50"/>
      <c r="F42" s="121">
        <f>Q28</f>
        <v>0.47149566882283722</v>
      </c>
      <c r="H42" s="68"/>
      <c r="S42" s="113"/>
      <c r="T42" s="113"/>
      <c r="U42" s="113"/>
      <c r="V42" s="113"/>
    </row>
    <row r="43" spans="2:24" x14ac:dyDescent="0.35">
      <c r="B43" s="122" t="s">
        <v>88</v>
      </c>
      <c r="C43" s="123"/>
      <c r="D43" s="123"/>
      <c r="E43" s="123"/>
      <c r="F43" s="124">
        <f>SUM(F39:K39)</f>
        <v>1.7407283692501436</v>
      </c>
      <c r="S43" s="113"/>
      <c r="T43" s="113"/>
      <c r="U43" s="113"/>
      <c r="V43" s="113"/>
    </row>
    <row r="44" spans="2:24" ht="9.65" customHeight="1" x14ac:dyDescent="0.35">
      <c r="G44" s="55">
        <v>1</v>
      </c>
      <c r="H44" s="43">
        <v>2</v>
      </c>
      <c r="I44" s="55">
        <v>3</v>
      </c>
      <c r="J44" s="43">
        <v>4</v>
      </c>
      <c r="K44" s="55">
        <v>5</v>
      </c>
      <c r="L44" s="55"/>
      <c r="M44" s="55"/>
      <c r="N44" s="55"/>
      <c r="O44" s="55"/>
      <c r="P44" s="55"/>
      <c r="Q44" s="43"/>
      <c r="R44" s="55"/>
      <c r="S44" s="125"/>
      <c r="T44" s="125"/>
      <c r="U44" s="125"/>
      <c r="V44" s="125"/>
    </row>
    <row r="45" spans="2:24" x14ac:dyDescent="0.35">
      <c r="B45" s="126" t="s">
        <v>89</v>
      </c>
      <c r="E45" s="111" t="s">
        <v>90</v>
      </c>
      <c r="G45" s="111" t="str">
        <f>G12</f>
        <v>Year 1</v>
      </c>
      <c r="H45" s="111" t="str">
        <f>H12</f>
        <v>Year 2</v>
      </c>
      <c r="I45" s="111" t="str">
        <f>I12</f>
        <v>Year 3</v>
      </c>
      <c r="J45" s="111" t="str">
        <f>J12</f>
        <v>Year 4</v>
      </c>
      <c r="K45" s="111" t="str">
        <f>K12</f>
        <v>Year 5</v>
      </c>
      <c r="L45" s="111"/>
      <c r="M45" s="111"/>
      <c r="N45" s="111"/>
      <c r="O45" s="111"/>
      <c r="P45" s="111"/>
      <c r="Q45" s="111"/>
      <c r="R45" s="111"/>
      <c r="W45" s="111"/>
    </row>
    <row r="46" spans="2:24" x14ac:dyDescent="0.35">
      <c r="D46" s="1" t="s">
        <v>61</v>
      </c>
      <c r="E46" s="1">
        <v>5</v>
      </c>
      <c r="G46" s="127">
        <f>SUM(G9:G10)/$E46</f>
        <v>10689441.4</v>
      </c>
      <c r="H46" s="113">
        <f>G46</f>
        <v>10689441.4</v>
      </c>
      <c r="I46" s="113">
        <f>H46</f>
        <v>10689441.4</v>
      </c>
      <c r="J46" s="113">
        <f t="shared" ref="J46:K47" si="15">I46</f>
        <v>10689441.4</v>
      </c>
      <c r="K46" s="113">
        <f t="shared" si="15"/>
        <v>10689441.4</v>
      </c>
      <c r="L46" s="113"/>
      <c r="M46" s="113"/>
      <c r="N46" s="113"/>
      <c r="O46" s="113"/>
      <c r="P46" s="113"/>
      <c r="Q46" s="113">
        <f>SUM(G46:K46)</f>
        <v>53447207</v>
      </c>
      <c r="R46" s="113"/>
      <c r="W46" s="128"/>
    </row>
    <row r="47" spans="2:24" hidden="1" x14ac:dyDescent="0.35">
      <c r="D47" s="1" t="s">
        <v>63</v>
      </c>
      <c r="E47" s="1">
        <v>4</v>
      </c>
      <c r="H47" s="127">
        <f>I$10/$E47</f>
        <v>0</v>
      </c>
      <c r="J47" s="113">
        <f>H47</f>
        <v>0</v>
      </c>
      <c r="K47" s="113">
        <f t="shared" si="15"/>
        <v>0</v>
      </c>
      <c r="L47" s="113"/>
      <c r="M47" s="113"/>
      <c r="N47" s="113"/>
      <c r="O47" s="113"/>
      <c r="P47" s="113"/>
      <c r="Q47" s="113"/>
      <c r="R47" s="113"/>
      <c r="W47" s="128"/>
    </row>
    <row r="48" spans="2:24" hidden="1" x14ac:dyDescent="0.35">
      <c r="D48" s="1" t="s">
        <v>64</v>
      </c>
      <c r="E48" s="1">
        <v>3</v>
      </c>
      <c r="I48" s="127">
        <f>J$9/$E48</f>
        <v>0</v>
      </c>
      <c r="K48" s="113">
        <f>I48</f>
        <v>0</v>
      </c>
      <c r="L48" s="113"/>
      <c r="M48" s="113"/>
      <c r="N48" s="113"/>
      <c r="O48" s="113"/>
      <c r="P48" s="113"/>
      <c r="Q48" s="113"/>
      <c r="R48" s="113"/>
      <c r="W48" s="128"/>
    </row>
    <row r="49" spans="2:23" hidden="1" x14ac:dyDescent="0.35">
      <c r="D49" s="1" t="s">
        <v>65</v>
      </c>
      <c r="E49" s="1">
        <v>2</v>
      </c>
      <c r="J49" s="127"/>
      <c r="Q49" s="113"/>
      <c r="R49" s="113"/>
      <c r="W49" s="128"/>
    </row>
    <row r="50" spans="2:23" hidden="1" x14ac:dyDescent="0.35">
      <c r="D50" s="1" t="s">
        <v>91</v>
      </c>
      <c r="E50" s="1">
        <v>1</v>
      </c>
      <c r="K50" s="127"/>
      <c r="L50" s="127"/>
      <c r="M50" s="127"/>
      <c r="N50" s="127"/>
      <c r="O50" s="127"/>
      <c r="P50" s="127"/>
      <c r="Q50" s="113"/>
      <c r="R50" s="113"/>
      <c r="W50" s="128"/>
    </row>
    <row r="51" spans="2:23" ht="16" thickBot="1" x14ac:dyDescent="0.4">
      <c r="B51" s="129" t="s">
        <v>92</v>
      </c>
      <c r="C51" s="130"/>
      <c r="D51" s="130"/>
      <c r="E51" s="130"/>
      <c r="F51" s="130"/>
      <c r="G51" s="131">
        <f>SUM(G46:G49)</f>
        <v>10689441.4</v>
      </c>
      <c r="H51" s="131">
        <f>SUM(H46:H49)</f>
        <v>10689441.4</v>
      </c>
      <c r="I51" s="131">
        <f>SUM(I46:I49)</f>
        <v>10689441.4</v>
      </c>
      <c r="J51" s="131">
        <f>SUM(J46:J49)</f>
        <v>10689441.4</v>
      </c>
      <c r="K51" s="131">
        <f>SUM(K46:K49)</f>
        <v>10689441.4</v>
      </c>
      <c r="L51" s="168"/>
      <c r="M51" s="168"/>
      <c r="N51" s="168"/>
      <c r="O51" s="168"/>
      <c r="P51" s="168"/>
      <c r="Q51" s="113">
        <f>SUM(G51:K51)</f>
        <v>53447207</v>
      </c>
      <c r="R51" s="125"/>
      <c r="W51" s="125"/>
    </row>
    <row r="52" spans="2:23" ht="16" thickTop="1" x14ac:dyDescent="0.35">
      <c r="W52" s="120"/>
    </row>
    <row r="54" spans="2:23" x14ac:dyDescent="0.35">
      <c r="F54" s="1" t="s">
        <v>37</v>
      </c>
    </row>
  </sheetData>
  <mergeCells count="1">
    <mergeCell ref="E19:F19"/>
  </mergeCells>
  <phoneticPr fontId="26" type="noConversion"/>
  <pageMargins left="0.61" right="0.64" top="0.35" bottom="0.35" header="0.65" footer="0.3"/>
  <pageSetup paperSize="9" scale="7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6"/>
  <sheetViews>
    <sheetView workbookViewId="0">
      <pane xSplit="2" ySplit="2" topLeftCell="L21" activePane="bottomRight" state="frozen"/>
      <selection pane="topRight" activeCell="C1" sqref="C1"/>
      <selection pane="bottomLeft" activeCell="A3" sqref="A3"/>
      <selection pane="bottomRight" activeCell="L33" sqref="L33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4531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1.36328125" bestFit="1" customWidth="1"/>
  </cols>
  <sheetData>
    <row r="1" spans="1:20" x14ac:dyDescent="0.35">
      <c r="A1" s="134" t="s">
        <v>102</v>
      </c>
    </row>
    <row r="2" spans="1:20" x14ac:dyDescent="0.35">
      <c r="A2" s="135" t="s">
        <v>103</v>
      </c>
      <c r="B2" s="136">
        <v>5</v>
      </c>
      <c r="C2" s="137">
        <v>2012</v>
      </c>
      <c r="D2" s="137">
        <f>C2+1</f>
        <v>2013</v>
      </c>
      <c r="E2" s="137">
        <f t="shared" ref="E2:M2" si="0">D2+1</f>
        <v>2014</v>
      </c>
      <c r="F2" s="137">
        <f t="shared" si="0"/>
        <v>2015</v>
      </c>
      <c r="G2" s="137">
        <f t="shared" si="0"/>
        <v>2016</v>
      </c>
      <c r="H2" s="137">
        <f t="shared" si="0"/>
        <v>2017</v>
      </c>
      <c r="I2" s="137">
        <f t="shared" si="0"/>
        <v>2018</v>
      </c>
      <c r="J2" s="137">
        <f t="shared" si="0"/>
        <v>2019</v>
      </c>
      <c r="K2" s="137">
        <f t="shared" si="0"/>
        <v>2020</v>
      </c>
      <c r="L2" s="137">
        <f t="shared" si="0"/>
        <v>2021</v>
      </c>
      <c r="M2" s="137">
        <f t="shared" si="0"/>
        <v>2022</v>
      </c>
      <c r="N2" s="137">
        <f t="shared" ref="N2" si="1">M2+1</f>
        <v>2023</v>
      </c>
      <c r="O2" s="137">
        <f t="shared" ref="O2" si="2">N2+1</f>
        <v>2024</v>
      </c>
      <c r="P2" s="137">
        <f t="shared" ref="P2" si="3">O2+1</f>
        <v>2025</v>
      </c>
      <c r="Q2" s="137">
        <f t="shared" ref="Q2" si="4">P2+1</f>
        <v>2026</v>
      </c>
      <c r="R2" s="137">
        <f t="shared" ref="R2:S2" si="5">Q2+1</f>
        <v>2027</v>
      </c>
      <c r="S2" s="137">
        <f t="shared" si="5"/>
        <v>2028</v>
      </c>
    </row>
    <row r="3" spans="1:20" x14ac:dyDescent="0.35">
      <c r="A3" s="138">
        <v>2012</v>
      </c>
      <c r="B3" t="s">
        <v>104</v>
      </c>
      <c r="C3" s="173">
        <v>954188000</v>
      </c>
      <c r="D3" s="173">
        <f>C3-C4</f>
        <v>763350400</v>
      </c>
      <c r="E3" s="173">
        <f>D3-C4</f>
        <v>572512800</v>
      </c>
      <c r="F3" s="173">
        <f>E3-C4</f>
        <v>381675200</v>
      </c>
      <c r="G3" s="173">
        <f>F3-C4</f>
        <v>190837600</v>
      </c>
      <c r="H3" s="173">
        <f>G3-C4</f>
        <v>0</v>
      </c>
      <c r="I3" s="173">
        <f>H3-$E$4</f>
        <v>0</v>
      </c>
      <c r="J3" s="173">
        <f>I3-$E$4</f>
        <v>0</v>
      </c>
      <c r="K3" s="173"/>
      <c r="L3" s="173"/>
      <c r="M3" s="173"/>
      <c r="Q3" s="139"/>
      <c r="R3" s="140"/>
      <c r="S3" s="140"/>
    </row>
    <row r="4" spans="1:20" x14ac:dyDescent="0.35">
      <c r="A4" s="141"/>
      <c r="B4" t="s">
        <v>105</v>
      </c>
      <c r="C4" s="173">
        <f>C3/B2</f>
        <v>190837600</v>
      </c>
      <c r="D4" s="173"/>
      <c r="E4" s="173"/>
      <c r="F4" s="173"/>
      <c r="G4" s="173"/>
      <c r="H4" s="173"/>
      <c r="I4" s="173"/>
      <c r="J4" s="173"/>
      <c r="K4" s="173"/>
      <c r="L4" s="173"/>
      <c r="M4" s="173"/>
      <c r="Q4" s="139"/>
    </row>
    <row r="5" spans="1:20" x14ac:dyDescent="0.35">
      <c r="A5" s="141"/>
      <c r="B5" t="s">
        <v>106</v>
      </c>
      <c r="C5" s="173">
        <f>(($C$3*IRR!E4*6)/12)</f>
        <v>47709400</v>
      </c>
      <c r="D5" s="173">
        <f>AVERAGE(C3:D3)*IRR!$E$4</f>
        <v>85876920</v>
      </c>
      <c r="E5" s="173">
        <f>AVERAGE(D3:E3)*IRR!$E$4</f>
        <v>66793160</v>
      </c>
      <c r="F5" s="173">
        <f>AVERAGE(E3:F3)*IRR!$E$4</f>
        <v>47709400</v>
      </c>
      <c r="G5" s="173">
        <f>AVERAGE(F3:G3)*IRR!$E$4</f>
        <v>28625640</v>
      </c>
      <c r="H5" s="173">
        <f>AVERAGE(G3:H3)*IRR!$E$4</f>
        <v>9541880</v>
      </c>
      <c r="I5" s="173">
        <f>AVERAGE($H$3:$I$3)*[3]IRR!$G$4</f>
        <v>0</v>
      </c>
      <c r="J5" s="173">
        <f>AVERAGE($I$3:$J$3)*[3]IRR!$G$4</f>
        <v>0</v>
      </c>
      <c r="K5" s="173"/>
      <c r="L5" s="173"/>
      <c r="M5" s="173"/>
      <c r="Q5" s="139"/>
      <c r="R5" s="140"/>
      <c r="S5" s="140"/>
      <c r="T5" s="140"/>
    </row>
    <row r="6" spans="1:20" x14ac:dyDescent="0.35">
      <c r="A6" s="138">
        <f>A3+1</f>
        <v>2013</v>
      </c>
      <c r="B6" t="s">
        <v>104</v>
      </c>
      <c r="C6" s="173"/>
      <c r="D6" s="173">
        <v>116688500</v>
      </c>
      <c r="E6" s="173">
        <f>D6-D7</f>
        <v>93350800</v>
      </c>
      <c r="F6" s="173">
        <f>E6-D7</f>
        <v>70013100</v>
      </c>
      <c r="G6" s="173">
        <f>F6-D7</f>
        <v>46675400</v>
      </c>
      <c r="H6" s="173">
        <f>G6-D7</f>
        <v>23337700</v>
      </c>
      <c r="I6" s="173">
        <f>H6-D7</f>
        <v>0</v>
      </c>
      <c r="J6" s="173"/>
      <c r="K6" s="173"/>
      <c r="L6" s="173"/>
      <c r="M6" s="173"/>
      <c r="Q6" s="139"/>
    </row>
    <row r="7" spans="1:20" x14ac:dyDescent="0.35">
      <c r="A7" s="141"/>
      <c r="B7" t="s">
        <v>105</v>
      </c>
      <c r="C7" s="173"/>
      <c r="D7" s="173">
        <f>D6/B2</f>
        <v>23337700</v>
      </c>
      <c r="E7" s="173"/>
      <c r="F7" s="173"/>
      <c r="G7" s="173"/>
      <c r="H7" s="173"/>
      <c r="I7" s="173"/>
      <c r="J7" s="173"/>
      <c r="K7" s="173"/>
      <c r="L7" s="173"/>
      <c r="M7" s="173"/>
    </row>
    <row r="8" spans="1:20" x14ac:dyDescent="0.35">
      <c r="A8" s="141"/>
      <c r="B8" t="s">
        <v>106</v>
      </c>
      <c r="C8" s="173"/>
      <c r="D8" s="173">
        <f>((D6*IRR!$E$4*6)/12)</f>
        <v>5834425</v>
      </c>
      <c r="E8" s="173">
        <f>AVERAGE(D6:E6)*IRR!$E$4</f>
        <v>10501965</v>
      </c>
      <c r="F8" s="173">
        <f>AVERAGE(E6:F6)*IRR!$E$4</f>
        <v>8168195</v>
      </c>
      <c r="G8" s="173">
        <f>AVERAGE(F6:G6)*IRR!$E$4</f>
        <v>5834425</v>
      </c>
      <c r="H8" s="173">
        <f>AVERAGE(G6:H6)*IRR!$E$4</f>
        <v>3500655</v>
      </c>
      <c r="I8" s="173">
        <f>AVERAGE(H6:I6)*IRR!$E$4</f>
        <v>1166885</v>
      </c>
      <c r="J8" s="173"/>
      <c r="K8" s="173"/>
      <c r="L8" s="173"/>
      <c r="M8" s="173"/>
    </row>
    <row r="9" spans="1:20" x14ac:dyDescent="0.35">
      <c r="A9" s="138">
        <f>A6+1</f>
        <v>2014</v>
      </c>
      <c r="B9" t="s">
        <v>104</v>
      </c>
      <c r="C9" s="173"/>
      <c r="D9" s="173"/>
      <c r="E9" s="173"/>
      <c r="F9" s="173">
        <f>E9-E10</f>
        <v>0</v>
      </c>
      <c r="G9" s="173">
        <f>F9-E10</f>
        <v>0</v>
      </c>
      <c r="H9" s="173">
        <f>G9-E10</f>
        <v>0</v>
      </c>
      <c r="I9" s="173">
        <f>H9-E10</f>
        <v>0</v>
      </c>
      <c r="J9" s="173">
        <f>I9-E10</f>
        <v>0</v>
      </c>
      <c r="K9" s="173"/>
      <c r="L9" s="173"/>
      <c r="M9" s="173"/>
      <c r="N9" s="140"/>
    </row>
    <row r="10" spans="1:20" x14ac:dyDescent="0.35">
      <c r="A10" s="141"/>
      <c r="B10" t="s">
        <v>105</v>
      </c>
      <c r="C10" s="173"/>
      <c r="D10" s="173"/>
      <c r="E10" s="173">
        <f>E9/B2</f>
        <v>0</v>
      </c>
      <c r="F10" s="173"/>
      <c r="G10" s="173"/>
      <c r="H10" s="173"/>
      <c r="I10" s="173"/>
      <c r="J10" s="173"/>
      <c r="K10" s="173"/>
      <c r="L10" s="173"/>
      <c r="M10" s="173"/>
      <c r="N10" s="140"/>
    </row>
    <row r="11" spans="1:20" x14ac:dyDescent="0.35">
      <c r="A11" s="141"/>
      <c r="B11" t="s">
        <v>106</v>
      </c>
      <c r="C11" s="173"/>
      <c r="D11" s="173"/>
      <c r="E11" s="173">
        <f>((E9*IRR!$E$4*6)/12)</f>
        <v>0</v>
      </c>
      <c r="F11" s="173">
        <f>AVERAGE(E9:F9)*IRR!$E$4</f>
        <v>0</v>
      </c>
      <c r="G11" s="173">
        <f>AVERAGE(F9:G9)*IRR!$E$4</f>
        <v>0</v>
      </c>
      <c r="H11" s="173">
        <f>AVERAGE(G9:H9)*IRR!$E$4</f>
        <v>0</v>
      </c>
      <c r="I11" s="173">
        <f>AVERAGE(H9:I9)*IRR!$E$4</f>
        <v>0</v>
      </c>
      <c r="J11" s="173">
        <f>AVERAGE(I9:J9)*IRR!$E$4</f>
        <v>0</v>
      </c>
      <c r="K11" s="173">
        <f>AVERAGE(J9:K9)*IRR!$E$4</f>
        <v>0</v>
      </c>
      <c r="L11" s="173"/>
      <c r="M11" s="173"/>
      <c r="N11" s="140"/>
    </row>
    <row r="12" spans="1:20" x14ac:dyDescent="0.35">
      <c r="A12" s="138">
        <f>A9+1</f>
        <v>2015</v>
      </c>
      <c r="B12" t="s">
        <v>104</v>
      </c>
      <c r="C12" s="173"/>
      <c r="D12" s="173"/>
      <c r="E12" s="173"/>
      <c r="F12" s="173">
        <v>254534111</v>
      </c>
      <c r="G12" s="173">
        <f>F12-F13</f>
        <v>203627288.80000001</v>
      </c>
      <c r="H12" s="173">
        <f>G12-F13</f>
        <v>152720466.60000002</v>
      </c>
      <c r="I12" s="173">
        <f>H12-F13</f>
        <v>101813644.40000002</v>
      </c>
      <c r="J12" s="173">
        <f>I12-F13</f>
        <v>50906822.200000018</v>
      </c>
      <c r="K12" s="173">
        <f>J12-F13</f>
        <v>0</v>
      </c>
      <c r="L12" s="173"/>
      <c r="M12" s="173"/>
      <c r="N12" s="140"/>
      <c r="O12" s="140"/>
    </row>
    <row r="13" spans="1:20" x14ac:dyDescent="0.35">
      <c r="B13" t="s">
        <v>105</v>
      </c>
      <c r="C13" s="173"/>
      <c r="D13" s="173"/>
      <c r="E13" s="173"/>
      <c r="F13" s="173">
        <f>F12/B2</f>
        <v>50906822.200000003</v>
      </c>
      <c r="G13" s="173"/>
      <c r="H13" s="173"/>
      <c r="I13" s="173"/>
      <c r="J13" s="173"/>
      <c r="K13" s="173"/>
      <c r="L13" s="173"/>
      <c r="M13" s="173"/>
      <c r="N13" s="140"/>
      <c r="O13" s="140"/>
    </row>
    <row r="14" spans="1:20" x14ac:dyDescent="0.35">
      <c r="B14" t="s">
        <v>106</v>
      </c>
      <c r="C14" s="173"/>
      <c r="D14" s="173"/>
      <c r="E14" s="173"/>
      <c r="F14" s="173">
        <f>((F12*IRR!$E$4*6)/12)</f>
        <v>12726705.550000003</v>
      </c>
      <c r="G14" s="173">
        <f>AVERAGE(F12:G12)*IRR!$E$4</f>
        <v>22908069.990000002</v>
      </c>
      <c r="H14" s="173">
        <f>AVERAGE(G12:H12)*IRR!$E$4</f>
        <v>17817387.770000003</v>
      </c>
      <c r="I14" s="173">
        <f>AVERAGE(H12:I12)*IRR!$E$4</f>
        <v>12726705.550000004</v>
      </c>
      <c r="J14" s="173">
        <f>AVERAGE(I12:J12)*IRR!$E$4</f>
        <v>7636023.3300000019</v>
      </c>
      <c r="K14" s="173">
        <f>AVERAGE(J12:K12)*IRR!$E$4</f>
        <v>2545341.1100000013</v>
      </c>
      <c r="L14" s="173">
        <f>AVERAGE(K12:L12)*IRR!$E$4</f>
        <v>0</v>
      </c>
      <c r="M14" s="173"/>
      <c r="N14" s="140"/>
      <c r="O14" s="140"/>
    </row>
    <row r="15" spans="1:20" x14ac:dyDescent="0.35">
      <c r="A15">
        <f>A12+1</f>
        <v>2016</v>
      </c>
      <c r="B15" t="s">
        <v>104</v>
      </c>
      <c r="C15" s="173"/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40"/>
      <c r="O15" s="140"/>
    </row>
    <row r="16" spans="1:20" x14ac:dyDescent="0.35">
      <c r="B16" t="s">
        <v>105</v>
      </c>
      <c r="C16" s="173"/>
      <c r="D16" s="173"/>
      <c r="E16" s="173"/>
      <c r="F16" s="173"/>
      <c r="G16" s="173"/>
      <c r="H16" s="173"/>
      <c r="I16" s="173"/>
      <c r="J16" s="173"/>
      <c r="K16" s="173"/>
      <c r="L16" s="173"/>
      <c r="M16" s="173"/>
      <c r="N16" s="140"/>
      <c r="O16" s="140"/>
    </row>
    <row r="17" spans="1:18" x14ac:dyDescent="0.35">
      <c r="B17" t="s">
        <v>106</v>
      </c>
      <c r="C17" s="173"/>
      <c r="D17" s="173"/>
      <c r="E17" s="173"/>
      <c r="F17" s="173"/>
      <c r="G17" s="173"/>
      <c r="H17" s="173"/>
      <c r="I17" s="173"/>
      <c r="J17" s="173"/>
      <c r="K17" s="173"/>
      <c r="L17" s="173"/>
      <c r="M17" s="173"/>
      <c r="N17" s="140"/>
      <c r="O17" s="140"/>
    </row>
    <row r="18" spans="1:18" x14ac:dyDescent="0.35">
      <c r="A18">
        <f>A15+1</f>
        <v>2017</v>
      </c>
      <c r="B18" t="s">
        <v>104</v>
      </c>
      <c r="C18" s="173"/>
      <c r="D18" s="173"/>
      <c r="E18" s="173"/>
      <c r="F18" s="173"/>
      <c r="G18" s="173"/>
      <c r="H18" s="173">
        <v>14623500</v>
      </c>
      <c r="I18" s="173">
        <f>H18-H19</f>
        <v>11698800</v>
      </c>
      <c r="J18" s="173">
        <f>I18-H19</f>
        <v>8774100</v>
      </c>
      <c r="K18" s="173">
        <f>J18-H19</f>
        <v>5849400</v>
      </c>
      <c r="L18" s="173">
        <f>K18-H19</f>
        <v>2924700</v>
      </c>
      <c r="M18" s="173">
        <f>L18-H19</f>
        <v>0</v>
      </c>
      <c r="N18" s="140"/>
      <c r="O18" s="140"/>
    </row>
    <row r="19" spans="1:18" x14ac:dyDescent="0.35">
      <c r="B19" t="s">
        <v>105</v>
      </c>
      <c r="C19" s="173"/>
      <c r="D19" s="173"/>
      <c r="E19" s="173"/>
      <c r="F19" s="173"/>
      <c r="G19" s="173"/>
      <c r="H19" s="173">
        <f>H18/$B$2</f>
        <v>2924700</v>
      </c>
      <c r="I19" s="173"/>
      <c r="J19" s="173"/>
      <c r="K19" s="173"/>
      <c r="L19" s="173"/>
      <c r="M19" s="173"/>
      <c r="N19" s="140"/>
      <c r="O19" s="140"/>
    </row>
    <row r="20" spans="1:18" x14ac:dyDescent="0.35">
      <c r="B20" t="s">
        <v>106</v>
      </c>
      <c r="C20" s="173"/>
      <c r="D20" s="173"/>
      <c r="E20" s="173"/>
      <c r="F20" s="173"/>
      <c r="G20" s="173"/>
      <c r="H20" s="173">
        <f>((H18*IRR!$E$4*6)/12)</f>
        <v>731175</v>
      </c>
      <c r="I20" s="173">
        <f>AVERAGE(H18:I18)*IRR!$E$4</f>
        <v>1316115</v>
      </c>
      <c r="J20" s="173">
        <f>AVERAGE(I18:J18)*IRR!$E$4</f>
        <v>1023645</v>
      </c>
      <c r="K20" s="173">
        <f>AVERAGE(J18:K18)*IRR!$E$4</f>
        <v>731175</v>
      </c>
      <c r="L20" s="173">
        <f>AVERAGE(K18:L18)*IRR!$E$4</f>
        <v>438705</v>
      </c>
      <c r="M20" s="173">
        <f>AVERAGE(L18:M18)*IRR!$E$4</f>
        <v>146235</v>
      </c>
      <c r="N20" s="173">
        <f>AVERAGE(M18:N18)*IRR!$E$4</f>
        <v>0</v>
      </c>
      <c r="O20" s="140"/>
    </row>
    <row r="21" spans="1:18" x14ac:dyDescent="0.35">
      <c r="A21">
        <f>A18+1</f>
        <v>2018</v>
      </c>
      <c r="B21" t="s">
        <v>104</v>
      </c>
      <c r="C21" s="173"/>
      <c r="D21" s="173"/>
      <c r="E21" s="173"/>
      <c r="F21" s="173"/>
      <c r="G21" s="173"/>
      <c r="H21" s="173"/>
      <c r="I21" s="173">
        <v>7926000</v>
      </c>
      <c r="J21" s="173">
        <f>I21-I22</f>
        <v>6340800</v>
      </c>
      <c r="K21" s="173">
        <f>J21-I22</f>
        <v>4755600</v>
      </c>
      <c r="L21" s="173">
        <f>K21-I22</f>
        <v>3170400</v>
      </c>
      <c r="M21" s="173">
        <f>L21-I22</f>
        <v>1585200</v>
      </c>
      <c r="N21" s="173">
        <f>M21-I22</f>
        <v>0</v>
      </c>
      <c r="O21" s="140"/>
    </row>
    <row r="22" spans="1:18" x14ac:dyDescent="0.35">
      <c r="B22" t="s">
        <v>105</v>
      </c>
      <c r="C22" s="173"/>
      <c r="D22" s="173"/>
      <c r="E22" s="173"/>
      <c r="F22" s="173"/>
      <c r="G22" s="173"/>
      <c r="H22" s="173"/>
      <c r="I22" s="173">
        <f>I21/B2</f>
        <v>1585200</v>
      </c>
      <c r="J22" s="173"/>
      <c r="K22" s="173"/>
      <c r="L22" s="173"/>
      <c r="M22" s="173"/>
      <c r="N22" s="140"/>
      <c r="O22" s="140"/>
    </row>
    <row r="23" spans="1:18" x14ac:dyDescent="0.35">
      <c r="B23" t="s">
        <v>106</v>
      </c>
      <c r="C23" s="173"/>
      <c r="D23" s="173"/>
      <c r="E23" s="173"/>
      <c r="F23" s="173"/>
      <c r="G23" s="173"/>
      <c r="H23" s="173"/>
      <c r="I23" s="173">
        <f>((I21*IRR!$E$4*6)/12)</f>
        <v>396300</v>
      </c>
      <c r="J23" s="173">
        <f>AVERAGE(I21:J21)*IRR!$E$4</f>
        <v>713340</v>
      </c>
      <c r="K23" s="173">
        <f>AVERAGE(J21:K21)*IRR!$E$4</f>
        <v>554820</v>
      </c>
      <c r="L23" s="173">
        <f>AVERAGE(K21:L21)*IRR!$E$4</f>
        <v>396300</v>
      </c>
      <c r="M23" s="173">
        <f>AVERAGE(L21:M21)*IRR!$E$4</f>
        <v>237780</v>
      </c>
      <c r="N23" s="173">
        <f>AVERAGE(M21:N21)*IRR!$E$4</f>
        <v>79260</v>
      </c>
      <c r="O23" s="173">
        <f>AVERAGE(N21:O21)*IRR!$E$4</f>
        <v>0</v>
      </c>
    </row>
    <row r="24" spans="1:18" x14ac:dyDescent="0.35">
      <c r="A24">
        <f>A21+1</f>
        <v>2019</v>
      </c>
      <c r="B24" t="s">
        <v>104</v>
      </c>
      <c r="C24" s="173"/>
      <c r="D24" s="173"/>
      <c r="E24" s="173"/>
      <c r="F24" s="173"/>
      <c r="G24" s="173"/>
      <c r="H24" s="173"/>
      <c r="I24" s="173"/>
      <c r="J24" s="173"/>
      <c r="K24" s="173"/>
      <c r="L24" s="173"/>
      <c r="M24" s="173"/>
    </row>
    <row r="25" spans="1:18" x14ac:dyDescent="0.35">
      <c r="B25" t="s">
        <v>105</v>
      </c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</row>
    <row r="26" spans="1:18" x14ac:dyDescent="0.35">
      <c r="B26" t="s">
        <v>106</v>
      </c>
      <c r="C26" s="173"/>
      <c r="D26" s="173"/>
      <c r="E26" s="173"/>
      <c r="F26" s="173"/>
      <c r="G26" s="173"/>
      <c r="H26" s="173"/>
      <c r="I26" s="173"/>
      <c r="K26" s="173"/>
      <c r="L26" s="173"/>
      <c r="M26" s="173"/>
    </row>
    <row r="27" spans="1:18" x14ac:dyDescent="0.35">
      <c r="A27">
        <f>A24+1</f>
        <v>2020</v>
      </c>
      <c r="B27" t="s">
        <v>104</v>
      </c>
      <c r="C27" s="173"/>
      <c r="D27" s="173"/>
      <c r="E27" s="173"/>
      <c r="F27" s="173"/>
      <c r="G27" s="173"/>
      <c r="H27" s="173"/>
      <c r="I27" s="173"/>
      <c r="J27" s="173"/>
      <c r="K27" s="173">
        <v>104287743</v>
      </c>
      <c r="L27" s="173">
        <f>K27-K28</f>
        <v>83430194.400000006</v>
      </c>
      <c r="M27" s="173">
        <f>L27-K28</f>
        <v>62572645.800000004</v>
      </c>
      <c r="N27" s="173">
        <f>M27-K28</f>
        <v>41715097.200000003</v>
      </c>
      <c r="O27" s="173">
        <f>N27-K28</f>
        <v>20857548.600000001</v>
      </c>
      <c r="P27" s="173">
        <f>O27-K28</f>
        <v>0</v>
      </c>
    </row>
    <row r="28" spans="1:18" x14ac:dyDescent="0.35">
      <c r="B28" t="s">
        <v>105</v>
      </c>
      <c r="C28" s="173"/>
      <c r="D28" s="173"/>
      <c r="E28" s="173"/>
      <c r="F28" s="173"/>
      <c r="G28" s="173"/>
      <c r="H28" s="173"/>
      <c r="I28" s="173"/>
      <c r="J28" s="173"/>
      <c r="K28" s="173">
        <f>K27/B2</f>
        <v>20857548.600000001</v>
      </c>
      <c r="L28" s="173"/>
      <c r="M28" s="173"/>
    </row>
    <row r="29" spans="1:18" x14ac:dyDescent="0.35">
      <c r="B29" t="s">
        <v>106</v>
      </c>
      <c r="C29" s="173"/>
      <c r="D29" s="173"/>
      <c r="E29" s="173"/>
      <c r="F29" s="173"/>
      <c r="G29" s="173"/>
      <c r="H29" s="173"/>
      <c r="I29" s="173"/>
      <c r="J29" s="173"/>
      <c r="K29" s="173">
        <f>((K27*IRR!$E$4*6)/12)</f>
        <v>5214387.1500000004</v>
      </c>
      <c r="L29" s="173">
        <f>AVERAGE(K27:L27)*IRR!$E$4</f>
        <v>9385896.870000001</v>
      </c>
      <c r="M29" s="173">
        <f>AVERAGE(L27:M27)*IRR!$E$4</f>
        <v>7300142.0100000016</v>
      </c>
      <c r="N29" s="173">
        <f>AVERAGE(M27:N27)*IRR!$E$4</f>
        <v>5214387.1500000004</v>
      </c>
      <c r="O29" s="173">
        <f>AVERAGE(N27:O27)*IRR!$E$4</f>
        <v>3128632.2900000005</v>
      </c>
      <c r="P29" s="173">
        <f>AVERAGE(O27:P27)*IRR!$E$4</f>
        <v>1042877.4300000002</v>
      </c>
      <c r="Q29" s="173">
        <f>AVERAGE(P27:Q27)*IRR!$E$4</f>
        <v>0</v>
      </c>
    </row>
    <row r="30" spans="1:18" x14ac:dyDescent="0.35">
      <c r="A30">
        <f>A27+1</f>
        <v>2021</v>
      </c>
      <c r="B30" t="s">
        <v>104</v>
      </c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3">
        <f>L30-L31</f>
        <v>0</v>
      </c>
      <c r="N30" s="173">
        <f>M30-L31</f>
        <v>0</v>
      </c>
      <c r="O30" s="173">
        <f>N30-L31</f>
        <v>0</v>
      </c>
      <c r="P30" s="173">
        <f>O30-L31</f>
        <v>0</v>
      </c>
      <c r="Q30" s="173">
        <f>P30-L31</f>
        <v>0</v>
      </c>
    </row>
    <row r="31" spans="1:18" x14ac:dyDescent="0.35">
      <c r="B31" t="s">
        <v>105</v>
      </c>
      <c r="C31" s="139"/>
      <c r="D31" s="140"/>
      <c r="E31" s="140"/>
      <c r="F31" s="140"/>
      <c r="G31" s="140"/>
      <c r="H31" s="140"/>
      <c r="I31" s="140"/>
      <c r="J31" s="140"/>
      <c r="K31" s="140"/>
      <c r="L31" s="179">
        <f>L30/B2</f>
        <v>0</v>
      </c>
    </row>
    <row r="32" spans="1:18" x14ac:dyDescent="0.35">
      <c r="B32" t="s">
        <v>106</v>
      </c>
      <c r="C32" s="139"/>
      <c r="D32" s="140"/>
      <c r="E32" s="140"/>
      <c r="F32" s="140"/>
      <c r="G32" s="140"/>
      <c r="H32" s="140"/>
      <c r="I32" s="140"/>
      <c r="J32" s="140"/>
      <c r="K32" s="140"/>
      <c r="L32" s="173">
        <f>((L30*IRR!$E$4*6)/12)</f>
        <v>0</v>
      </c>
      <c r="M32" s="173">
        <f>AVERAGE(L30:M30)*IRR!$E$4</f>
        <v>0</v>
      </c>
      <c r="N32" s="173">
        <f>AVERAGE(M30:N30)*IRR!$E$4</f>
        <v>0</v>
      </c>
      <c r="O32" s="173">
        <f>AVERAGE(N30:O30)*IRR!$E$4</f>
        <v>0</v>
      </c>
      <c r="P32" s="173">
        <f>AVERAGE(O30:P30)*IRR!$E$4</f>
        <v>0</v>
      </c>
      <c r="Q32" s="173">
        <f>AVERAGE(P30:Q30)*IRR!$E$4</f>
        <v>0</v>
      </c>
      <c r="R32" s="173">
        <f>AVERAGE(Q30:R30)*IRR!$E$4</f>
        <v>0</v>
      </c>
    </row>
    <row r="33" spans="1:20" x14ac:dyDescent="0.35">
      <c r="A33">
        <f>A30+1</f>
        <v>2022</v>
      </c>
      <c r="B33" t="s">
        <v>104</v>
      </c>
      <c r="C33" s="139"/>
      <c r="D33" s="140"/>
      <c r="E33" s="140"/>
      <c r="F33" s="140"/>
      <c r="G33" s="140"/>
      <c r="H33" s="140"/>
      <c r="I33" s="140"/>
      <c r="J33" s="140"/>
      <c r="K33" s="140"/>
      <c r="L33" s="173"/>
      <c r="M33" s="173"/>
      <c r="N33" s="173"/>
      <c r="O33" s="173"/>
      <c r="P33" s="173"/>
      <c r="Q33" s="173"/>
      <c r="R33" s="173"/>
    </row>
    <row r="34" spans="1:20" x14ac:dyDescent="0.35">
      <c r="B34" t="s">
        <v>105</v>
      </c>
      <c r="C34" s="139"/>
      <c r="D34" s="140"/>
      <c r="E34" s="140"/>
      <c r="F34" s="140"/>
      <c r="G34" s="140"/>
      <c r="H34" s="140"/>
      <c r="I34" s="140"/>
      <c r="J34" s="140"/>
      <c r="K34" s="140"/>
      <c r="L34" s="173"/>
      <c r="M34" s="173"/>
      <c r="N34" s="173"/>
      <c r="O34" s="173"/>
      <c r="P34" s="173"/>
      <c r="Q34" s="173"/>
      <c r="R34" s="173"/>
    </row>
    <row r="35" spans="1:20" x14ac:dyDescent="0.35">
      <c r="B35" t="s">
        <v>106</v>
      </c>
      <c r="C35" s="139"/>
      <c r="D35" s="140"/>
      <c r="E35" s="140"/>
      <c r="F35" s="140"/>
      <c r="G35" s="140"/>
      <c r="H35" s="140"/>
      <c r="I35" s="140"/>
      <c r="J35" s="140"/>
      <c r="K35" s="140"/>
      <c r="L35" s="173"/>
      <c r="M35" s="173"/>
      <c r="N35" s="173"/>
      <c r="O35" s="173"/>
      <c r="P35" s="173"/>
      <c r="Q35" s="173"/>
      <c r="R35" s="173"/>
    </row>
    <row r="36" spans="1:20" x14ac:dyDescent="0.35">
      <c r="A36">
        <f>A33+1</f>
        <v>2023</v>
      </c>
      <c r="B36" t="s">
        <v>104</v>
      </c>
      <c r="C36" s="139"/>
      <c r="D36" s="140"/>
      <c r="E36" s="140"/>
      <c r="F36" s="140"/>
      <c r="G36" s="140"/>
      <c r="H36" s="140"/>
      <c r="I36" s="140"/>
      <c r="J36" s="140"/>
      <c r="K36" s="140"/>
      <c r="L36" s="173"/>
      <c r="M36" s="173"/>
      <c r="N36" s="173">
        <v>8665570</v>
      </c>
      <c r="O36" s="173">
        <f>N36-N37</f>
        <v>6932456</v>
      </c>
      <c r="P36" s="173">
        <f>O36-N37</f>
        <v>5199342</v>
      </c>
      <c r="Q36" s="173">
        <f>P36-N37</f>
        <v>3466228</v>
      </c>
      <c r="R36" s="173">
        <f>Q36-N37</f>
        <v>1733114</v>
      </c>
      <c r="S36" s="173">
        <f>R36-N37</f>
        <v>0</v>
      </c>
    </row>
    <row r="37" spans="1:20" x14ac:dyDescent="0.35">
      <c r="B37" t="s">
        <v>105</v>
      </c>
      <c r="C37" s="139"/>
      <c r="D37" s="140"/>
      <c r="E37" s="140"/>
      <c r="F37" s="140"/>
      <c r="G37" s="140"/>
      <c r="H37" s="140"/>
      <c r="I37" s="140"/>
      <c r="J37" s="140"/>
      <c r="K37" s="140"/>
      <c r="L37" s="173"/>
      <c r="M37" s="173"/>
      <c r="N37" s="173">
        <f>N36/$B$2</f>
        <v>1733114</v>
      </c>
      <c r="O37" s="173"/>
      <c r="P37" s="173"/>
    </row>
    <row r="38" spans="1:20" x14ac:dyDescent="0.35">
      <c r="B38" t="s">
        <v>106</v>
      </c>
      <c r="C38" s="139"/>
      <c r="D38" s="140"/>
      <c r="E38" s="140"/>
      <c r="F38" s="140"/>
      <c r="G38" s="140"/>
      <c r="H38" s="140"/>
      <c r="I38" s="140"/>
      <c r="J38" s="140"/>
      <c r="K38" s="140"/>
      <c r="N38" s="173">
        <f>((N36*IRR!$E$4*6)/12)</f>
        <v>433278.5</v>
      </c>
      <c r="O38" s="173">
        <f>AVERAGE(N36:O36)*IRR!$E$4</f>
        <v>779901.3</v>
      </c>
      <c r="P38" s="173">
        <f>AVERAGE(O36:P36)*IRR!$E$4</f>
        <v>606589.9</v>
      </c>
      <c r="Q38" s="173">
        <f>AVERAGE(P36:Q36)*IRR!$E$4</f>
        <v>433278.5</v>
      </c>
      <c r="R38" s="173">
        <f>AVERAGE(Q36:R36)*IRR!$E$4</f>
        <v>259967.1</v>
      </c>
      <c r="S38" s="173">
        <f>AVERAGE(R36:S36)*IRR!$E$4</f>
        <v>86655.700000000012</v>
      </c>
      <c r="T38" s="173">
        <f>AVERAGE(S36:T36)*IRR!$E$4</f>
        <v>0</v>
      </c>
    </row>
    <row r="39" spans="1:20" x14ac:dyDescent="0.35">
      <c r="A39" s="135"/>
      <c r="B39" s="142" t="s">
        <v>107</v>
      </c>
      <c r="C39" s="143">
        <f t="shared" ref="C39:O39" si="6">C32+C29+C26+C23+C17+C20+C14+C11+C8+C5+C35+C38</f>
        <v>47709400</v>
      </c>
      <c r="D39" s="143">
        <f t="shared" si="6"/>
        <v>91711345</v>
      </c>
      <c r="E39" s="143">
        <f t="shared" si="6"/>
        <v>77295125</v>
      </c>
      <c r="F39" s="143">
        <f t="shared" si="6"/>
        <v>68604300.550000012</v>
      </c>
      <c r="G39" s="143">
        <f t="shared" si="6"/>
        <v>57368134.990000002</v>
      </c>
      <c r="H39" s="143">
        <f t="shared" si="6"/>
        <v>31591097.770000003</v>
      </c>
      <c r="I39" s="143">
        <f t="shared" si="6"/>
        <v>15606005.550000004</v>
      </c>
      <c r="J39" s="143">
        <f t="shared" si="6"/>
        <v>9373008.3300000019</v>
      </c>
      <c r="K39" s="143">
        <f t="shared" si="6"/>
        <v>9045723.2600000016</v>
      </c>
      <c r="L39" s="143">
        <f t="shared" si="6"/>
        <v>10220901.870000001</v>
      </c>
      <c r="M39" s="143">
        <f t="shared" si="6"/>
        <v>7684157.0100000016</v>
      </c>
      <c r="N39" s="143">
        <f t="shared" si="6"/>
        <v>5726925.6500000004</v>
      </c>
      <c r="O39" s="143">
        <f t="shared" si="6"/>
        <v>3908533.5900000008</v>
      </c>
      <c r="P39" s="143">
        <f>P32+P29+P26+P23+P17+P20+P14+P11+P8+P5+P35+P38</f>
        <v>1649467.33</v>
      </c>
      <c r="Q39" s="143">
        <f t="shared" ref="Q39:T39" si="7">Q32+Q29+Q26+Q23+Q17+Q20+Q14+Q11+Q8+Q5+Q35+Q38</f>
        <v>433278.5</v>
      </c>
      <c r="R39" s="143">
        <f t="shared" si="7"/>
        <v>259967.1</v>
      </c>
      <c r="S39" s="143">
        <f t="shared" si="7"/>
        <v>86655.700000000012</v>
      </c>
      <c r="T39" s="143">
        <f t="shared" si="7"/>
        <v>0</v>
      </c>
    </row>
    <row r="40" spans="1:20" x14ac:dyDescent="0.35">
      <c r="B40" s="139"/>
      <c r="C40" s="140"/>
      <c r="D40" s="140"/>
      <c r="E40" s="140"/>
      <c r="F40" s="140"/>
      <c r="G40" s="140"/>
      <c r="H40" s="140"/>
      <c r="I40" s="140"/>
      <c r="J40" s="140"/>
      <c r="K40" s="140"/>
    </row>
    <row r="41" spans="1:20" x14ac:dyDescent="0.35">
      <c r="A41" s="144"/>
      <c r="B41" s="144"/>
      <c r="C41" s="144"/>
      <c r="D41" s="144"/>
      <c r="E41" s="144"/>
      <c r="F41" s="144"/>
      <c r="G41" s="144"/>
      <c r="H41" s="144"/>
      <c r="I41" s="144"/>
      <c r="J41" s="144"/>
      <c r="K41" s="144"/>
      <c r="L41" s="144"/>
      <c r="M41" s="144"/>
      <c r="N41" s="144"/>
      <c r="O41" s="144"/>
    </row>
    <row r="42" spans="1:20" x14ac:dyDescent="0.35">
      <c r="A42" s="134" t="s">
        <v>108</v>
      </c>
    </row>
    <row r="43" spans="1:20" x14ac:dyDescent="0.35">
      <c r="A43" t="s">
        <v>109</v>
      </c>
      <c r="B43" t="s">
        <v>110</v>
      </c>
      <c r="C43" s="145">
        <v>50000000</v>
      </c>
    </row>
    <row r="44" spans="1:20" x14ac:dyDescent="0.35">
      <c r="A44" t="s">
        <v>111</v>
      </c>
      <c r="B44" t="s">
        <v>110</v>
      </c>
      <c r="C44" s="145">
        <v>20000000</v>
      </c>
    </row>
    <row r="45" spans="1:20" x14ac:dyDescent="0.35">
      <c r="A45" t="s">
        <v>112</v>
      </c>
      <c r="B45" s="146" t="s">
        <v>113</v>
      </c>
      <c r="C45" s="145"/>
    </row>
    <row r="46" spans="1:20" x14ac:dyDescent="0.35">
      <c r="A46" t="s">
        <v>114</v>
      </c>
      <c r="B46" s="146" t="s">
        <v>113</v>
      </c>
      <c r="C46" s="145"/>
    </row>
    <row r="48" spans="1:20" x14ac:dyDescent="0.35">
      <c r="A48" s="147" t="s">
        <v>51</v>
      </c>
      <c r="B48" s="143">
        <f>C43</f>
        <v>50000000</v>
      </c>
      <c r="C48" s="148">
        <f>B48+C49</f>
        <v>51000000</v>
      </c>
      <c r="D48" s="148">
        <f>C48+D50</f>
        <v>52020000</v>
      </c>
      <c r="E48" s="148">
        <f t="shared" ref="E48:K48" si="8">D48+E50</f>
        <v>53060400</v>
      </c>
      <c r="F48" s="148">
        <f t="shared" si="8"/>
        <v>54121608</v>
      </c>
      <c r="G48" s="148">
        <f t="shared" si="8"/>
        <v>55204040.159999996</v>
      </c>
      <c r="H48" s="148">
        <f t="shared" si="8"/>
        <v>56308120.963199995</v>
      </c>
      <c r="I48" s="148">
        <f t="shared" si="8"/>
        <v>57434283.382463992</v>
      </c>
      <c r="J48" s="148">
        <f t="shared" si="8"/>
        <v>58582969.050113268</v>
      </c>
      <c r="K48" s="148">
        <f t="shared" si="8"/>
        <v>59754628.43111553</v>
      </c>
    </row>
    <row r="49" spans="1:15" x14ac:dyDescent="0.35">
      <c r="A49" s="149">
        <v>0.02</v>
      </c>
      <c r="B49" s="147"/>
      <c r="C49" s="148">
        <f>C50</f>
        <v>1000000</v>
      </c>
      <c r="D49" s="148">
        <f>C49+D50</f>
        <v>2020000</v>
      </c>
      <c r="E49" s="148">
        <f t="shared" ref="E49:K49" si="9">D49+E50</f>
        <v>3060400</v>
      </c>
      <c r="F49" s="148">
        <f t="shared" si="9"/>
        <v>4121608</v>
      </c>
      <c r="G49" s="148">
        <f t="shared" si="9"/>
        <v>5204040.16</v>
      </c>
      <c r="H49" s="148">
        <f t="shared" si="9"/>
        <v>6308120.9632000001</v>
      </c>
      <c r="I49" s="148">
        <f t="shared" si="9"/>
        <v>7434283.382464</v>
      </c>
      <c r="J49" s="148">
        <f t="shared" si="9"/>
        <v>8582969.0501132794</v>
      </c>
      <c r="K49" s="148">
        <f t="shared" si="9"/>
        <v>9754628.4311155453</v>
      </c>
    </row>
    <row r="50" spans="1:15" x14ac:dyDescent="0.35">
      <c r="A50" s="147"/>
      <c r="B50" s="147"/>
      <c r="C50" s="148">
        <f t="shared" ref="C50:K50" si="10">B48*$A$49</f>
        <v>1000000</v>
      </c>
      <c r="D50" s="148">
        <f t="shared" si="10"/>
        <v>1020000</v>
      </c>
      <c r="E50" s="148">
        <f t="shared" si="10"/>
        <v>1040400</v>
      </c>
      <c r="F50" s="148">
        <f t="shared" si="10"/>
        <v>1061208</v>
      </c>
      <c r="G50" s="148">
        <f t="shared" si="10"/>
        <v>1082432.1599999999</v>
      </c>
      <c r="H50" s="148">
        <f t="shared" si="10"/>
        <v>1104080.8032</v>
      </c>
      <c r="I50" s="148">
        <f t="shared" si="10"/>
        <v>1126162.4192639999</v>
      </c>
      <c r="J50" s="148">
        <f t="shared" si="10"/>
        <v>1148685.6676492798</v>
      </c>
      <c r="K50" s="148">
        <f t="shared" si="10"/>
        <v>1171659.3810022655</v>
      </c>
    </row>
    <row r="51" spans="1:15" x14ac:dyDescent="0.35">
      <c r="C51" s="140"/>
      <c r="D51" s="140"/>
      <c r="E51" s="140"/>
      <c r="F51" s="140"/>
      <c r="G51" s="140"/>
      <c r="H51" s="140"/>
      <c r="I51" s="140"/>
      <c r="J51" s="140"/>
      <c r="K51" s="140"/>
    </row>
    <row r="52" spans="1:15" x14ac:dyDescent="0.35">
      <c r="A52" s="144"/>
      <c r="B52" s="144"/>
      <c r="C52" s="150"/>
      <c r="D52" s="150"/>
      <c r="E52" s="150"/>
      <c r="F52" s="150"/>
      <c r="G52" s="150"/>
      <c r="H52" s="150"/>
      <c r="I52" s="150"/>
      <c r="J52" s="150"/>
      <c r="K52" s="150"/>
      <c r="L52" s="144"/>
      <c r="M52" s="144"/>
      <c r="N52" s="144"/>
      <c r="O52" s="144"/>
    </row>
    <row r="53" spans="1:15" x14ac:dyDescent="0.35">
      <c r="A53" s="134" t="s">
        <v>115</v>
      </c>
      <c r="C53" s="140"/>
      <c r="D53" s="140"/>
      <c r="E53" s="140"/>
      <c r="F53" s="140"/>
      <c r="G53" s="140"/>
      <c r="H53" s="140"/>
      <c r="I53" s="140"/>
      <c r="J53" s="140"/>
      <c r="K53" s="140"/>
    </row>
    <row r="54" spans="1:15" x14ac:dyDescent="0.35">
      <c r="A54" t="s">
        <v>116</v>
      </c>
      <c r="C54" s="140"/>
      <c r="D54" s="140"/>
      <c r="E54" s="140"/>
      <c r="F54" s="140"/>
      <c r="G54" s="140"/>
      <c r="H54" s="140"/>
      <c r="I54" s="140"/>
      <c r="J54" s="140"/>
      <c r="K54" s="140"/>
    </row>
    <row r="55" spans="1:15" x14ac:dyDescent="0.35">
      <c r="A55" t="s">
        <v>117</v>
      </c>
      <c r="C55" s="140"/>
      <c r="D55" s="140"/>
      <c r="E55" s="140"/>
      <c r="F55" s="140"/>
      <c r="G55" s="140"/>
      <c r="H55" s="140"/>
      <c r="I55" s="140"/>
      <c r="J55" s="140"/>
      <c r="K55" s="140"/>
    </row>
    <row r="56" spans="1:15" x14ac:dyDescent="0.35">
      <c r="A56" t="s">
        <v>118</v>
      </c>
      <c r="C56" s="140"/>
      <c r="D56" s="140"/>
      <c r="E56" s="140"/>
      <c r="F56" s="140"/>
      <c r="G56" s="140"/>
      <c r="H56" s="140"/>
      <c r="I56" s="140"/>
      <c r="J56" s="140"/>
      <c r="K56" s="140"/>
    </row>
    <row r="57" spans="1:15" x14ac:dyDescent="0.35">
      <c r="A57" t="s">
        <v>119</v>
      </c>
      <c r="C57" s="140"/>
      <c r="D57" s="140"/>
      <c r="E57" s="140"/>
      <c r="F57" s="140"/>
      <c r="G57" s="140"/>
      <c r="H57" s="140"/>
      <c r="I57" s="140"/>
      <c r="J57" s="140"/>
      <c r="K57" s="140"/>
    </row>
    <row r="58" spans="1:15" x14ac:dyDescent="0.35">
      <c r="A58" s="151" t="s">
        <v>120</v>
      </c>
      <c r="B58" s="152"/>
      <c r="C58" s="153"/>
      <c r="D58" s="140"/>
      <c r="E58" s="140"/>
      <c r="F58" s="140"/>
      <c r="G58" s="140"/>
      <c r="H58" s="140"/>
      <c r="I58" s="140"/>
      <c r="J58" s="140"/>
      <c r="K58" s="140"/>
    </row>
    <row r="59" spans="1:15" x14ac:dyDescent="0.35">
      <c r="C59" s="140"/>
      <c r="D59" s="140"/>
      <c r="E59" s="140"/>
      <c r="F59" s="140"/>
      <c r="G59" s="140"/>
      <c r="H59" s="140"/>
      <c r="I59" s="140"/>
      <c r="J59" s="140"/>
      <c r="K59" s="140"/>
    </row>
    <row r="60" spans="1:15" x14ac:dyDescent="0.35">
      <c r="A60" s="154" t="s">
        <v>121</v>
      </c>
      <c r="B60" s="137" t="s">
        <v>122</v>
      </c>
      <c r="D60" s="154" t="s">
        <v>123</v>
      </c>
      <c r="E60" s="137" t="s">
        <v>124</v>
      </c>
      <c r="G60" s="232" t="s">
        <v>119</v>
      </c>
      <c r="H60" s="233"/>
      <c r="J60" s="137" t="s">
        <v>125</v>
      </c>
      <c r="K60" s="137" t="s">
        <v>126</v>
      </c>
    </row>
    <row r="61" spans="1:15" x14ac:dyDescent="0.35">
      <c r="A61" t="s">
        <v>127</v>
      </c>
      <c r="B61" s="139">
        <v>16800000</v>
      </c>
      <c r="D61" t="s">
        <v>128</v>
      </c>
      <c r="E61" s="139">
        <v>7000000</v>
      </c>
      <c r="G61" t="s">
        <v>129</v>
      </c>
      <c r="H61" s="139">
        <v>10000000</v>
      </c>
      <c r="J61" t="s">
        <v>127</v>
      </c>
      <c r="K61" s="139">
        <v>4000000</v>
      </c>
    </row>
    <row r="62" spans="1:15" x14ac:dyDescent="0.35">
      <c r="A62" t="s">
        <v>130</v>
      </c>
      <c r="B62" s="139"/>
      <c r="G62" t="s">
        <v>131</v>
      </c>
      <c r="H62" s="139">
        <v>12000000</v>
      </c>
      <c r="J62" t="s">
        <v>130</v>
      </c>
      <c r="K62" s="139">
        <v>3000000</v>
      </c>
    </row>
    <row r="63" spans="1:15" x14ac:dyDescent="0.35">
      <c r="A63" t="s">
        <v>132</v>
      </c>
      <c r="B63" s="139">
        <v>15600000</v>
      </c>
      <c r="G63" t="s">
        <v>133</v>
      </c>
      <c r="H63" s="139">
        <v>14000000</v>
      </c>
      <c r="J63" t="s">
        <v>132</v>
      </c>
      <c r="K63" s="139">
        <v>2500000</v>
      </c>
    </row>
    <row r="64" spans="1:15" x14ac:dyDescent="0.35">
      <c r="A64" t="s">
        <v>134</v>
      </c>
      <c r="B64" s="139">
        <v>15000000</v>
      </c>
      <c r="G64" t="s">
        <v>135</v>
      </c>
      <c r="H64" s="139">
        <v>14000000</v>
      </c>
      <c r="J64" t="s">
        <v>134</v>
      </c>
      <c r="K64" s="139">
        <v>2000000</v>
      </c>
    </row>
    <row r="65" spans="1:11" x14ac:dyDescent="0.35">
      <c r="A65" t="s">
        <v>136</v>
      </c>
      <c r="B65" s="139">
        <v>15000000</v>
      </c>
      <c r="G65" t="s">
        <v>127</v>
      </c>
      <c r="H65" s="139">
        <v>17000000</v>
      </c>
      <c r="J65" t="s">
        <v>136</v>
      </c>
      <c r="K65" s="139">
        <v>1850000</v>
      </c>
    </row>
    <row r="66" spans="1:11" x14ac:dyDescent="0.35">
      <c r="A66" t="s">
        <v>137</v>
      </c>
      <c r="B66" s="139">
        <v>12000000</v>
      </c>
      <c r="G66" t="s">
        <v>138</v>
      </c>
      <c r="H66" s="139">
        <v>14000000</v>
      </c>
      <c r="J66" t="s">
        <v>137</v>
      </c>
      <c r="K66" s="139">
        <v>1200000</v>
      </c>
    </row>
    <row r="67" spans="1:11" x14ac:dyDescent="0.35">
      <c r="A67" t="s">
        <v>138</v>
      </c>
      <c r="B67" s="139">
        <v>16800000</v>
      </c>
      <c r="J67" t="s">
        <v>138</v>
      </c>
      <c r="K67" s="139">
        <v>2000000</v>
      </c>
    </row>
    <row r="68" spans="1:11" x14ac:dyDescent="0.35">
      <c r="A68" t="s">
        <v>139</v>
      </c>
      <c r="B68" s="139">
        <v>15720000</v>
      </c>
      <c r="J68" t="s">
        <v>139</v>
      </c>
      <c r="K68" s="139">
        <v>3500000</v>
      </c>
    </row>
    <row r="69" spans="1:11" x14ac:dyDescent="0.35">
      <c r="A69" t="s">
        <v>140</v>
      </c>
      <c r="J69" t="s">
        <v>140</v>
      </c>
      <c r="K69" s="139">
        <v>2800000</v>
      </c>
    </row>
    <row r="70" spans="1:11" x14ac:dyDescent="0.35">
      <c r="A70" t="s">
        <v>141</v>
      </c>
      <c r="B70">
        <v>0</v>
      </c>
    </row>
    <row r="72" spans="1:11" x14ac:dyDescent="0.35">
      <c r="C72" s="140"/>
      <c r="D72" s="140"/>
      <c r="E72" s="140"/>
      <c r="F72" s="140"/>
      <c r="G72" s="140"/>
      <c r="H72" s="140"/>
      <c r="I72" s="140"/>
      <c r="J72" s="140"/>
      <c r="K72" s="140"/>
    </row>
    <row r="73" spans="1:11" ht="14.4" customHeight="1" x14ac:dyDescent="0.35">
      <c r="A73" s="234" t="s">
        <v>118</v>
      </c>
      <c r="B73" s="236" t="s">
        <v>95</v>
      </c>
      <c r="C73" s="236" t="s">
        <v>142</v>
      </c>
      <c r="D73" s="237" t="s">
        <v>143</v>
      </c>
      <c r="E73" s="155" t="s">
        <v>144</v>
      </c>
      <c r="F73" s="155" t="s">
        <v>145</v>
      </c>
      <c r="G73" s="155" t="s">
        <v>146</v>
      </c>
      <c r="H73" s="156" t="s">
        <v>147</v>
      </c>
      <c r="I73" s="227" t="s">
        <v>148</v>
      </c>
      <c r="J73" s="227" t="s">
        <v>149</v>
      </c>
    </row>
    <row r="74" spans="1:11" x14ac:dyDescent="0.35">
      <c r="A74" s="235"/>
      <c r="B74" s="236"/>
      <c r="C74" s="236"/>
      <c r="D74" s="237"/>
      <c r="E74" s="157">
        <v>1</v>
      </c>
      <c r="F74" s="158">
        <v>1</v>
      </c>
      <c r="G74" s="158">
        <v>1</v>
      </c>
      <c r="H74" s="159">
        <v>266</v>
      </c>
      <c r="I74" s="228"/>
      <c r="J74" s="228"/>
    </row>
    <row r="75" spans="1:11" x14ac:dyDescent="0.35">
      <c r="A75" s="229" t="s">
        <v>150</v>
      </c>
      <c r="B75" s="147" t="s">
        <v>125</v>
      </c>
      <c r="C75" s="160">
        <f>K62</f>
        <v>3000000</v>
      </c>
      <c r="D75" s="147" t="s">
        <v>144</v>
      </c>
      <c r="E75" s="137">
        <f>E74</f>
        <v>1</v>
      </c>
      <c r="F75" s="137"/>
      <c r="G75" s="137"/>
      <c r="H75" s="161"/>
      <c r="I75" s="162">
        <f>E75*C75</f>
        <v>3000000</v>
      </c>
    </row>
    <row r="76" spans="1:11" x14ac:dyDescent="0.35">
      <c r="A76" s="230"/>
      <c r="B76" s="147" t="s">
        <v>151</v>
      </c>
      <c r="C76" s="163">
        <v>600000</v>
      </c>
      <c r="D76" s="147" t="s">
        <v>144</v>
      </c>
      <c r="E76" s="137">
        <f>E74</f>
        <v>1</v>
      </c>
      <c r="F76" s="137"/>
      <c r="G76" s="137"/>
      <c r="H76" s="161">
        <f>IF($H$73&lt;=120,2,IF($H$73&gt;220,4,3))</f>
        <v>4</v>
      </c>
      <c r="I76" s="163">
        <f>C76*E76</f>
        <v>600000</v>
      </c>
    </row>
    <row r="77" spans="1:11" x14ac:dyDescent="0.35">
      <c r="A77" s="231"/>
      <c r="B77" s="147" t="s">
        <v>150</v>
      </c>
      <c r="C77" s="163">
        <v>200000</v>
      </c>
      <c r="D77" s="147" t="s">
        <v>152</v>
      </c>
      <c r="E77" s="137"/>
      <c r="F77" s="137">
        <f>F74</f>
        <v>1</v>
      </c>
      <c r="G77" s="137"/>
      <c r="H77" s="161"/>
      <c r="I77" s="163">
        <f>F77*C77</f>
        <v>200000</v>
      </c>
    </row>
    <row r="78" spans="1:11" x14ac:dyDescent="0.35">
      <c r="A78" s="147" t="s">
        <v>153</v>
      </c>
      <c r="B78" s="147" t="s">
        <v>153</v>
      </c>
      <c r="C78" s="163">
        <v>450000</v>
      </c>
      <c r="D78" s="147" t="s">
        <v>146</v>
      </c>
      <c r="E78" s="137">
        <f>E74</f>
        <v>1</v>
      </c>
      <c r="F78" s="137"/>
      <c r="G78" s="137">
        <f>G74</f>
        <v>1</v>
      </c>
      <c r="H78" s="161">
        <f>IF($H$73&lt;=120,2,IF($H$73&gt;220,4,3))</f>
        <v>4</v>
      </c>
      <c r="I78" s="163">
        <f>G78*C78*H78</f>
        <v>1800000</v>
      </c>
    </row>
    <row r="79" spans="1:11" x14ac:dyDescent="0.35">
      <c r="A79" s="147" t="s">
        <v>154</v>
      </c>
      <c r="B79" s="147" t="s">
        <v>154</v>
      </c>
      <c r="C79" s="163">
        <v>120000</v>
      </c>
      <c r="D79" s="147" t="s">
        <v>144</v>
      </c>
      <c r="E79" s="137">
        <f>E74</f>
        <v>1</v>
      </c>
      <c r="F79" s="137"/>
      <c r="G79" s="137"/>
      <c r="H79" s="161">
        <f>IF($H$73&lt;=120,2,IF($H$73&gt;220,4,3))</f>
        <v>4</v>
      </c>
      <c r="I79" s="163">
        <f>H79*C79*E79</f>
        <v>480000</v>
      </c>
    </row>
    <row r="80" spans="1:11" x14ac:dyDescent="0.35">
      <c r="I80" s="164">
        <f>SUM(I75:I79)</f>
        <v>6080000</v>
      </c>
      <c r="J80" s="165">
        <f>I80*2</f>
        <v>12160000</v>
      </c>
      <c r="K80" t="s">
        <v>155</v>
      </c>
    </row>
    <row r="81" spans="1:15" x14ac:dyDescent="0.35">
      <c r="J81" s="164">
        <f>I80*4</f>
        <v>24320000</v>
      </c>
      <c r="K81" t="s">
        <v>156</v>
      </c>
    </row>
    <row r="82" spans="1:15" x14ac:dyDescent="0.35">
      <c r="K82" s="140"/>
    </row>
    <row r="84" spans="1:15" x14ac:dyDescent="0.35">
      <c r="A84" s="144"/>
      <c r="B84" s="144"/>
      <c r="C84" s="150"/>
      <c r="D84" s="150"/>
      <c r="E84" s="150"/>
      <c r="F84" s="150"/>
      <c r="G84" s="150"/>
      <c r="H84" s="150"/>
      <c r="I84" s="150"/>
      <c r="J84" s="150"/>
      <c r="K84" s="150"/>
      <c r="L84" s="144"/>
      <c r="M84" s="144"/>
      <c r="N84" s="144"/>
      <c r="O84" s="144"/>
    </row>
    <row r="85" spans="1:15" x14ac:dyDescent="0.35">
      <c r="A85" s="134" t="s">
        <v>157</v>
      </c>
    </row>
    <row r="87" spans="1:15" x14ac:dyDescent="0.35">
      <c r="A87" s="147" t="s">
        <v>157</v>
      </c>
      <c r="B87" s="140"/>
    </row>
    <row r="88" spans="1:15" x14ac:dyDescent="0.35">
      <c r="A88" t="s">
        <v>158</v>
      </c>
    </row>
    <row r="89" spans="1:15" x14ac:dyDescent="0.35">
      <c r="A89" t="s">
        <v>159</v>
      </c>
      <c r="B89" s="139">
        <v>36000000</v>
      </c>
    </row>
    <row r="90" spans="1:15" x14ac:dyDescent="0.35">
      <c r="A90" t="s">
        <v>160</v>
      </c>
      <c r="B90" s="139">
        <v>42000000</v>
      </c>
    </row>
    <row r="91" spans="1:15" x14ac:dyDescent="0.35">
      <c r="A91" t="s">
        <v>161</v>
      </c>
      <c r="B91" s="139">
        <v>48000000</v>
      </c>
    </row>
    <row r="93" spans="1:15" x14ac:dyDescent="0.35">
      <c r="A93" t="s">
        <v>162</v>
      </c>
    </row>
    <row r="94" spans="1:15" x14ac:dyDescent="0.35">
      <c r="A94" t="s">
        <v>163</v>
      </c>
      <c r="B94" s="139">
        <v>75000000</v>
      </c>
    </row>
    <row r="95" spans="1:15" x14ac:dyDescent="0.35">
      <c r="A95" t="s">
        <v>161</v>
      </c>
      <c r="B95" s="139">
        <v>95000000</v>
      </c>
    </row>
    <row r="97" spans="1:15" x14ac:dyDescent="0.35">
      <c r="A97" s="144"/>
      <c r="B97" s="144"/>
      <c r="C97" s="150"/>
      <c r="D97" s="150"/>
      <c r="E97" s="150"/>
      <c r="F97" s="150"/>
      <c r="G97" s="150"/>
      <c r="H97" s="150"/>
      <c r="I97" s="150"/>
      <c r="J97" s="150"/>
      <c r="K97" s="150"/>
      <c r="L97" s="144"/>
      <c r="M97" s="144"/>
      <c r="N97" s="144"/>
      <c r="O97" s="144"/>
    </row>
    <row r="98" spans="1:15" x14ac:dyDescent="0.35">
      <c r="A98" s="134" t="s">
        <v>164</v>
      </c>
    </row>
    <row r="100" spans="1:15" x14ac:dyDescent="0.35">
      <c r="A100" t="s">
        <v>165</v>
      </c>
      <c r="C100" s="166">
        <v>150000000</v>
      </c>
    </row>
    <row r="101" spans="1:15" x14ac:dyDescent="0.35">
      <c r="A101" t="s">
        <v>166</v>
      </c>
      <c r="C101" s="166">
        <v>200000000</v>
      </c>
    </row>
    <row r="102" spans="1:15" x14ac:dyDescent="0.35">
      <c r="A102" t="s">
        <v>167</v>
      </c>
      <c r="C102" s="166">
        <v>85000000</v>
      </c>
    </row>
    <row r="103" spans="1:15" x14ac:dyDescent="0.35">
      <c r="A103" t="s">
        <v>168</v>
      </c>
      <c r="C103" s="166">
        <v>150000000</v>
      </c>
    </row>
    <row r="104" spans="1:15" x14ac:dyDescent="0.35">
      <c r="A104" t="s">
        <v>169</v>
      </c>
      <c r="C104" s="166">
        <v>50000000</v>
      </c>
    </row>
    <row r="106" spans="1:15" x14ac:dyDescent="0.35">
      <c r="A106" s="144"/>
      <c r="B106" s="144"/>
      <c r="C106" s="150"/>
      <c r="D106" s="150"/>
      <c r="E106" s="150"/>
      <c r="F106" s="150"/>
      <c r="G106" s="150"/>
      <c r="H106" s="150"/>
      <c r="I106" s="150"/>
      <c r="J106" s="150"/>
      <c r="K106" s="150"/>
      <c r="L106" s="144"/>
      <c r="M106" s="144"/>
      <c r="N106" s="144"/>
      <c r="O106" s="144"/>
    </row>
  </sheetData>
  <mergeCells count="8">
    <mergeCell ref="J73:J74"/>
    <mergeCell ref="A75:A77"/>
    <mergeCell ref="G60:H60"/>
    <mergeCell ref="A73:A74"/>
    <mergeCell ref="B73:B74"/>
    <mergeCell ref="C73:C74"/>
    <mergeCell ref="D73:D74"/>
    <mergeCell ref="I73:I74"/>
  </mergeCells>
  <conditionalFormatting sqref="B40:K40 C9:D11 I10:N10 C5:K5 C6:C8 J6:K8 Q5:S5 C15:F22 C12:F12 J9:N9 C13:E14 C23:H23 C30:K38 C29:J29 C24:K25 C26:I26 K26 C27:K28">
    <cfRule type="cellIs" dxfId="38" priority="43" operator="lessThan">
      <formula>0</formula>
    </cfRule>
  </conditionalFormatting>
  <conditionalFormatting sqref="T5">
    <cfRule type="cellIs" dxfId="37" priority="42" operator="lessThan">
      <formula>0</formula>
    </cfRule>
  </conditionalFormatting>
  <conditionalFormatting sqref="J13:O13 J15:J17 L12:O12 J22 J19">
    <cfRule type="cellIs" dxfId="36" priority="40" operator="lessThan">
      <formula>0</formula>
    </cfRule>
  </conditionalFormatting>
  <conditionalFormatting sqref="D8:I8">
    <cfRule type="cellIs" dxfId="35" priority="39" operator="lessThan">
      <formula>0</formula>
    </cfRule>
  </conditionalFormatting>
  <conditionalFormatting sqref="L11:N11">
    <cfRule type="cellIs" dxfId="34" priority="38" operator="lessThan">
      <formula>0</formula>
    </cfRule>
  </conditionalFormatting>
  <conditionalFormatting sqref="K14:O17 K22:O22 K19:O19 N18:O18 O20:O21">
    <cfRule type="cellIs" dxfId="33" priority="37" operator="lessThan">
      <formula>0</formula>
    </cfRule>
  </conditionalFormatting>
  <conditionalFormatting sqref="P39">
    <cfRule type="cellIs" dxfId="32" priority="36" operator="lessThan">
      <formula>0</formula>
    </cfRule>
  </conditionalFormatting>
  <conditionalFormatting sqref="E11">
    <cfRule type="cellIs" dxfId="31" priority="35" operator="lessThan">
      <formula>0</formula>
    </cfRule>
  </conditionalFormatting>
  <conditionalFormatting sqref="K12">
    <cfRule type="cellIs" dxfId="30" priority="33" operator="lessThan">
      <formula>0</formula>
    </cfRule>
  </conditionalFormatting>
  <conditionalFormatting sqref="F11:J11">
    <cfRule type="cellIs" dxfId="29" priority="32" operator="lessThan">
      <formula>0</formula>
    </cfRule>
  </conditionalFormatting>
  <conditionalFormatting sqref="K11">
    <cfRule type="cellIs" dxfId="28" priority="31" operator="lessThan">
      <formula>0</formula>
    </cfRule>
  </conditionalFormatting>
  <conditionalFormatting sqref="G14:J14">
    <cfRule type="cellIs" dxfId="27" priority="30" operator="lessThan">
      <formula>0</formula>
    </cfRule>
  </conditionalFormatting>
  <conditionalFormatting sqref="N21">
    <cfRule type="cellIs" dxfId="26" priority="29" operator="lessThan">
      <formula>0</formula>
    </cfRule>
  </conditionalFormatting>
  <conditionalFormatting sqref="N23">
    <cfRule type="cellIs" dxfId="25" priority="28" operator="lessThan">
      <formula>0</formula>
    </cfRule>
  </conditionalFormatting>
  <conditionalFormatting sqref="J23:M23">
    <cfRule type="cellIs" dxfId="24" priority="27" operator="lessThan">
      <formula>0</formula>
    </cfRule>
  </conditionalFormatting>
  <conditionalFormatting sqref="P27">
    <cfRule type="cellIs" dxfId="23" priority="26" operator="lessThan">
      <formula>0</formula>
    </cfRule>
  </conditionalFormatting>
  <conditionalFormatting sqref="P29">
    <cfRule type="cellIs" dxfId="22" priority="25" operator="lessThan">
      <formula>0</formula>
    </cfRule>
  </conditionalFormatting>
  <conditionalFormatting sqref="L29:O29">
    <cfRule type="cellIs" dxfId="21" priority="24" operator="lessThan">
      <formula>0</formula>
    </cfRule>
  </conditionalFormatting>
  <conditionalFormatting sqref="Q29">
    <cfRule type="cellIs" dxfId="20" priority="23" operator="lessThan">
      <formula>0</formula>
    </cfRule>
  </conditionalFormatting>
  <conditionalFormatting sqref="Q30">
    <cfRule type="cellIs" dxfId="19" priority="22" operator="lessThan">
      <formula>0</formula>
    </cfRule>
  </conditionalFormatting>
  <conditionalFormatting sqref="Q32:Q35">
    <cfRule type="cellIs" dxfId="18" priority="21" operator="lessThan">
      <formula>0</formula>
    </cfRule>
  </conditionalFormatting>
  <conditionalFormatting sqref="M32:P35 M37 M36:N36">
    <cfRule type="cellIs" dxfId="17" priority="20" operator="lessThan">
      <formula>0</formula>
    </cfRule>
  </conditionalFormatting>
  <conditionalFormatting sqref="R32:R35">
    <cfRule type="cellIs" dxfId="16" priority="19" operator="lessThan">
      <formula>0</formula>
    </cfRule>
  </conditionalFormatting>
  <conditionalFormatting sqref="M18">
    <cfRule type="cellIs" dxfId="15" priority="17" operator="lessThan">
      <formula>0</formula>
    </cfRule>
  </conditionalFormatting>
  <conditionalFormatting sqref="M20:N20">
    <cfRule type="cellIs" dxfId="14" priority="16" operator="lessThan">
      <formula>0</formula>
    </cfRule>
  </conditionalFormatting>
  <conditionalFormatting sqref="I20:L20">
    <cfRule type="cellIs" dxfId="13" priority="15" operator="lessThan">
      <formula>0</formula>
    </cfRule>
  </conditionalFormatting>
  <conditionalFormatting sqref="O23">
    <cfRule type="cellIs" dxfId="12" priority="14" operator="lessThan">
      <formula>0</formula>
    </cfRule>
  </conditionalFormatting>
  <conditionalFormatting sqref="F14">
    <cfRule type="cellIs" dxfId="11" priority="13" operator="lessThan">
      <formula>0</formula>
    </cfRule>
  </conditionalFormatting>
  <conditionalFormatting sqref="H20">
    <cfRule type="cellIs" dxfId="10" priority="12" operator="lessThan">
      <formula>0</formula>
    </cfRule>
  </conditionalFormatting>
  <conditionalFormatting sqref="I23">
    <cfRule type="cellIs" dxfId="9" priority="11" operator="lessThan">
      <formula>0</formula>
    </cfRule>
  </conditionalFormatting>
  <conditionalFormatting sqref="K29">
    <cfRule type="cellIs" dxfId="8" priority="10" operator="lessThan">
      <formula>0</formula>
    </cfRule>
  </conditionalFormatting>
  <conditionalFormatting sqref="L32:L37">
    <cfRule type="cellIs" dxfId="7" priority="9" operator="lessThan">
      <formula>0</formula>
    </cfRule>
  </conditionalFormatting>
  <conditionalFormatting sqref="S36">
    <cfRule type="cellIs" dxfId="6" priority="8" operator="lessThan">
      <formula>0</formula>
    </cfRule>
  </conditionalFormatting>
  <conditionalFormatting sqref="S38">
    <cfRule type="cellIs" dxfId="5" priority="6" operator="lessThan">
      <formula>0</formula>
    </cfRule>
  </conditionalFormatting>
  <conditionalFormatting sqref="O38:R38">
    <cfRule type="cellIs" dxfId="4" priority="5" operator="lessThan">
      <formula>0</formula>
    </cfRule>
  </conditionalFormatting>
  <conditionalFormatting sqref="T38">
    <cfRule type="cellIs" dxfId="3" priority="4" operator="lessThan">
      <formula>0</formula>
    </cfRule>
  </conditionalFormatting>
  <conditionalFormatting sqref="N38">
    <cfRule type="cellIs" dxfId="2" priority="3" operator="lessThan">
      <formula>0</formula>
    </cfRule>
  </conditionalFormatting>
  <conditionalFormatting sqref="Q39:T39">
    <cfRule type="cellIs" dxfId="1" priority="2" operator="lessThan">
      <formula>0</formula>
    </cfRule>
  </conditionalFormatting>
  <conditionalFormatting sqref="C39:O39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32575-6ADC-41E2-8D72-FAD25D678A4F}">
  <dimension ref="A1:D32"/>
  <sheetViews>
    <sheetView zoomScaleNormal="100" workbookViewId="0">
      <selection sqref="A1:D20"/>
    </sheetView>
  </sheetViews>
  <sheetFormatPr defaultColWidth="9.08984375" defaultRowHeight="14.5" x14ac:dyDescent="0.35"/>
  <cols>
    <col min="1" max="1" width="5.54296875" style="174" customWidth="1"/>
    <col min="2" max="2" width="23.08984375" style="174" customWidth="1"/>
    <col min="3" max="3" width="45.453125" style="174" customWidth="1"/>
    <col min="4" max="4" width="46.36328125" style="174" customWidth="1"/>
    <col min="5" max="16384" width="9.08984375" style="174"/>
  </cols>
  <sheetData>
    <row r="1" spans="1:4" ht="21" x14ac:dyDescent="0.5">
      <c r="C1" s="132" t="s">
        <v>93</v>
      </c>
    </row>
    <row r="3" spans="1:4" x14ac:dyDescent="0.35">
      <c r="A3" s="178" t="s">
        <v>187</v>
      </c>
      <c r="B3" s="178"/>
      <c r="C3" s="133" t="s">
        <v>188</v>
      </c>
    </row>
    <row r="4" spans="1:4" x14ac:dyDescent="0.35">
      <c r="A4" s="178" t="s">
        <v>189</v>
      </c>
      <c r="B4" s="178"/>
      <c r="C4" s="133" t="s">
        <v>188</v>
      </c>
    </row>
    <row r="5" spans="1:4" x14ac:dyDescent="0.35">
      <c r="A5" s="178" t="s">
        <v>190</v>
      </c>
      <c r="B5" s="178"/>
      <c r="C5" s="133" t="s">
        <v>191</v>
      </c>
    </row>
    <row r="6" spans="1:4" x14ac:dyDescent="0.35">
      <c r="A6" s="178" t="s">
        <v>192</v>
      </c>
      <c r="B6" s="178"/>
      <c r="C6" s="133" t="s">
        <v>193</v>
      </c>
    </row>
    <row r="7" spans="1:4" x14ac:dyDescent="0.35">
      <c r="A7" s="178" t="s">
        <v>194</v>
      </c>
      <c r="B7" s="178"/>
      <c r="C7" s="133" t="s">
        <v>195</v>
      </c>
    </row>
    <row r="9" spans="1:4" x14ac:dyDescent="0.35">
      <c r="A9" s="240" t="s">
        <v>94</v>
      </c>
      <c r="B9" s="241" t="s">
        <v>95</v>
      </c>
      <c r="C9" s="241" t="s">
        <v>96</v>
      </c>
      <c r="D9" s="241" t="s">
        <v>23</v>
      </c>
    </row>
    <row r="10" spans="1:4" x14ac:dyDescent="0.35">
      <c r="A10" s="240"/>
      <c r="B10" s="242"/>
      <c r="C10" s="242"/>
      <c r="D10" s="242"/>
    </row>
    <row r="11" spans="1:4" x14ac:dyDescent="0.35">
      <c r="A11" s="180">
        <v>1</v>
      </c>
      <c r="B11" s="176" t="s">
        <v>97</v>
      </c>
      <c r="C11" s="176" t="s">
        <v>9</v>
      </c>
      <c r="D11" s="176" t="s">
        <v>9</v>
      </c>
    </row>
    <row r="12" spans="1:4" x14ac:dyDescent="0.35">
      <c r="A12" s="180">
        <v>2</v>
      </c>
      <c r="B12" s="176" t="s">
        <v>98</v>
      </c>
      <c r="C12" s="181" t="str">
        <f>C7</f>
        <v>100 titik antenna omni, 8 Unit Pole , RBS Room 52,7m2</v>
      </c>
      <c r="D12" s="182" t="str">
        <f>C7</f>
        <v>100 titik antenna omni, 8 Unit Pole , RBS Room 52,7m2</v>
      </c>
    </row>
    <row r="13" spans="1:4" ht="29" x14ac:dyDescent="0.35">
      <c r="A13" s="180">
        <v>3</v>
      </c>
      <c r="B13" s="176" t="s">
        <v>99</v>
      </c>
      <c r="C13" s="176" t="s">
        <v>196</v>
      </c>
      <c r="D13" s="183" t="s">
        <v>197</v>
      </c>
    </row>
    <row r="14" spans="1:4" x14ac:dyDescent="0.35">
      <c r="A14" s="180">
        <v>4</v>
      </c>
      <c r="B14" s="184" t="s">
        <v>198</v>
      </c>
      <c r="C14" s="185" t="s">
        <v>208</v>
      </c>
      <c r="D14" s="185" t="s">
        <v>207</v>
      </c>
    </row>
    <row r="15" spans="1:4" ht="15" customHeight="1" x14ac:dyDescent="0.35">
      <c r="A15" s="186">
        <v>5</v>
      </c>
      <c r="B15" s="187" t="s">
        <v>199</v>
      </c>
      <c r="C15" s="188" t="s">
        <v>200</v>
      </c>
      <c r="D15" s="188" t="s">
        <v>201</v>
      </c>
    </row>
    <row r="16" spans="1:4" x14ac:dyDescent="0.35">
      <c r="A16" s="243">
        <v>6</v>
      </c>
      <c r="B16" s="246" t="s">
        <v>100</v>
      </c>
      <c r="C16" s="176" t="s">
        <v>202</v>
      </c>
      <c r="D16" s="176"/>
    </row>
    <row r="17" spans="1:4" x14ac:dyDescent="0.35">
      <c r="A17" s="244"/>
      <c r="B17" s="247"/>
      <c r="C17" s="176" t="s">
        <v>203</v>
      </c>
      <c r="D17" s="176" t="s">
        <v>228</v>
      </c>
    </row>
    <row r="18" spans="1:4" x14ac:dyDescent="0.35">
      <c r="A18" s="245"/>
      <c r="B18" s="248"/>
      <c r="C18" s="176" t="s">
        <v>204</v>
      </c>
      <c r="D18" s="176" t="s">
        <v>229</v>
      </c>
    </row>
    <row r="19" spans="1:4" x14ac:dyDescent="0.35">
      <c r="A19" s="189"/>
      <c r="B19" s="176"/>
      <c r="C19" s="190" t="s">
        <v>205</v>
      </c>
      <c r="D19" s="176" t="s">
        <v>205</v>
      </c>
    </row>
    <row r="20" spans="1:4" x14ac:dyDescent="0.35">
      <c r="A20" s="177">
        <v>7</v>
      </c>
      <c r="B20" s="176" t="s">
        <v>101</v>
      </c>
      <c r="C20" s="238" t="s">
        <v>206</v>
      </c>
      <c r="D20" s="239"/>
    </row>
    <row r="28" spans="1:4" ht="15.5" x14ac:dyDescent="0.35">
      <c r="B28" s="175"/>
      <c r="C28" s="175"/>
    </row>
    <row r="29" spans="1:4" ht="15.5" x14ac:dyDescent="0.35">
      <c r="B29" s="175"/>
      <c r="C29" s="175"/>
    </row>
    <row r="30" spans="1:4" ht="15.5" x14ac:dyDescent="0.35">
      <c r="B30" s="175"/>
      <c r="C30" s="175"/>
    </row>
    <row r="31" spans="1:4" ht="15.5" x14ac:dyDescent="0.35">
      <c r="B31" s="175"/>
      <c r="C31" s="175"/>
    </row>
    <row r="32" spans="1:4" ht="15.5" x14ac:dyDescent="0.35">
      <c r="B32" s="175"/>
      <c r="C32" s="175"/>
    </row>
  </sheetData>
  <mergeCells count="7">
    <mergeCell ref="C20:D20"/>
    <mergeCell ref="A9:A10"/>
    <mergeCell ref="B9:B10"/>
    <mergeCell ref="C9:C10"/>
    <mergeCell ref="D9:D10"/>
    <mergeCell ref="A16:A18"/>
    <mergeCell ref="B16:B18"/>
  </mergeCells>
  <pageMargins left="0.15748031496062992" right="0.15748031496062992" top="0.74803149606299213" bottom="0.74803149606299213" header="0.31496062992125984" footer="0.31496062992125984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35789-BD97-4F2B-9A73-1A6ED705925B}">
  <dimension ref="A2:M18"/>
  <sheetViews>
    <sheetView workbookViewId="0">
      <selection activeCell="F18" sqref="A2:F18"/>
    </sheetView>
  </sheetViews>
  <sheetFormatPr defaultRowHeight="14.5" x14ac:dyDescent="0.35"/>
  <cols>
    <col min="1" max="1" width="27.08984375" customWidth="1"/>
    <col min="2" max="2" width="12.90625" customWidth="1"/>
    <col min="3" max="3" width="14" customWidth="1"/>
    <col min="4" max="4" width="8.90625" customWidth="1"/>
    <col min="5" max="5" width="16.08984375" bestFit="1" customWidth="1"/>
    <col min="6" max="6" width="14.36328125" bestFit="1" customWidth="1"/>
  </cols>
  <sheetData>
    <row r="2" spans="1:13" x14ac:dyDescent="0.35">
      <c r="A2" s="249" t="s">
        <v>220</v>
      </c>
      <c r="B2" s="249"/>
      <c r="C2" s="249"/>
      <c r="D2" s="249"/>
      <c r="E2" s="249"/>
      <c r="F2" s="249"/>
      <c r="G2" s="191"/>
      <c r="H2" s="191"/>
      <c r="I2" s="191"/>
      <c r="J2" s="191"/>
      <c r="K2" s="191"/>
      <c r="L2" s="191"/>
      <c r="M2" s="191"/>
    </row>
    <row r="3" spans="1:13" x14ac:dyDescent="0.35">
      <c r="A3" s="192" t="s">
        <v>212</v>
      </c>
      <c r="B3" s="192" t="s">
        <v>213</v>
      </c>
      <c r="C3" s="192" t="s">
        <v>214</v>
      </c>
      <c r="D3" s="193"/>
      <c r="G3" s="191"/>
      <c r="H3" s="191"/>
      <c r="I3" s="191"/>
      <c r="J3" s="191"/>
      <c r="K3" s="191"/>
      <c r="L3" s="191"/>
      <c r="M3" s="191"/>
    </row>
    <row r="4" spans="1:13" x14ac:dyDescent="0.35">
      <c r="A4" s="194" t="s">
        <v>221</v>
      </c>
      <c r="B4" s="195">
        <v>45550</v>
      </c>
      <c r="C4" s="195">
        <v>47375</v>
      </c>
      <c r="D4" s="196"/>
      <c r="E4" s="197"/>
      <c r="F4" s="197"/>
      <c r="G4" s="191"/>
      <c r="H4" s="191"/>
      <c r="I4" s="191"/>
      <c r="J4" s="191"/>
      <c r="K4" s="191"/>
      <c r="L4" s="191"/>
      <c r="M4" s="191"/>
    </row>
    <row r="5" spans="1:13" x14ac:dyDescent="0.35">
      <c r="A5" s="194" t="s">
        <v>222</v>
      </c>
      <c r="B5" s="195">
        <v>44724</v>
      </c>
      <c r="C5" s="195">
        <v>46549</v>
      </c>
      <c r="D5" s="196"/>
      <c r="E5" s="197"/>
      <c r="F5" s="197"/>
      <c r="G5" s="191"/>
      <c r="H5" s="191"/>
      <c r="I5" s="191"/>
      <c r="J5" s="191"/>
      <c r="K5" s="191"/>
      <c r="L5" s="191"/>
      <c r="M5" s="191"/>
    </row>
    <row r="6" spans="1:13" x14ac:dyDescent="0.35">
      <c r="A6" s="194" t="s">
        <v>215</v>
      </c>
      <c r="B6" s="195">
        <v>45708</v>
      </c>
      <c r="C6" s="195">
        <v>11008</v>
      </c>
      <c r="D6" s="196"/>
      <c r="G6" s="191"/>
      <c r="H6" s="191"/>
      <c r="I6" s="191"/>
      <c r="J6" s="191"/>
      <c r="K6" s="191"/>
      <c r="L6" s="191"/>
      <c r="M6" s="191"/>
    </row>
    <row r="7" spans="1:13" x14ac:dyDescent="0.35">
      <c r="A7" s="191"/>
      <c r="G7" s="191"/>
      <c r="H7" s="191"/>
      <c r="I7" s="191"/>
      <c r="J7" s="191"/>
      <c r="K7" s="191"/>
      <c r="L7" s="191"/>
      <c r="M7" s="191"/>
    </row>
    <row r="8" spans="1:13" x14ac:dyDescent="0.35">
      <c r="A8" s="191"/>
      <c r="B8" s="192" t="s">
        <v>213</v>
      </c>
      <c r="C8" s="192" t="s">
        <v>214</v>
      </c>
      <c r="D8" s="192" t="s">
        <v>216</v>
      </c>
      <c r="E8" s="196"/>
      <c r="F8" s="196"/>
      <c r="G8" s="191"/>
      <c r="H8" s="191"/>
      <c r="I8" s="191"/>
      <c r="J8" s="191"/>
      <c r="K8" s="191"/>
      <c r="L8" s="191"/>
      <c r="M8" s="191"/>
    </row>
    <row r="9" spans="1:13" x14ac:dyDescent="0.35">
      <c r="A9" s="191" t="s">
        <v>227</v>
      </c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x14ac:dyDescent="0.35">
      <c r="A10" s="191" t="s">
        <v>221</v>
      </c>
      <c r="B10" s="198">
        <v>45708</v>
      </c>
      <c r="C10" s="198">
        <v>47375</v>
      </c>
      <c r="D10" s="199">
        <f t="shared" ref="D10:D16" si="0">C10-B10</f>
        <v>1667</v>
      </c>
      <c r="E10" s="200">
        <v>142640000</v>
      </c>
      <c r="F10" s="201">
        <f>E10/365*D10</f>
        <v>651454465.75342464</v>
      </c>
      <c r="G10" s="191"/>
      <c r="H10" s="191"/>
      <c r="I10" s="191"/>
      <c r="J10" s="191"/>
      <c r="K10" s="191"/>
      <c r="L10" s="191"/>
      <c r="M10" s="191"/>
    </row>
    <row r="11" spans="1:13" x14ac:dyDescent="0.35">
      <c r="A11" s="191" t="s">
        <v>222</v>
      </c>
      <c r="B11" s="204">
        <v>45708</v>
      </c>
      <c r="C11" s="204">
        <v>46549</v>
      </c>
      <c r="D11" s="199">
        <f t="shared" si="0"/>
        <v>841</v>
      </c>
      <c r="E11" s="200">
        <v>151470000</v>
      </c>
      <c r="F11" s="201">
        <f>E11/365*D11</f>
        <v>349003479.4520548</v>
      </c>
      <c r="G11" s="191"/>
      <c r="H11" s="191"/>
      <c r="I11" s="191"/>
      <c r="J11" s="191"/>
      <c r="K11" s="191"/>
      <c r="L11" s="191"/>
      <c r="M11" s="191"/>
    </row>
    <row r="12" spans="1:13" x14ac:dyDescent="0.35">
      <c r="A12" s="191" t="s">
        <v>217</v>
      </c>
      <c r="B12" s="204">
        <v>45708</v>
      </c>
      <c r="C12" s="204">
        <v>47533</v>
      </c>
      <c r="D12" s="199">
        <f t="shared" si="0"/>
        <v>1825</v>
      </c>
      <c r="E12" s="200">
        <f>314771000/5</f>
        <v>62954200</v>
      </c>
      <c r="F12" s="201">
        <f>-E12/365*D12</f>
        <v>-314771000</v>
      </c>
      <c r="G12" s="191"/>
      <c r="H12" s="191"/>
      <c r="I12" s="191"/>
      <c r="J12" s="191"/>
      <c r="K12" s="191"/>
      <c r="L12" s="191"/>
      <c r="M12" s="191"/>
    </row>
    <row r="13" spans="1:13" x14ac:dyDescent="0.35">
      <c r="A13" s="191" t="s">
        <v>223</v>
      </c>
      <c r="B13" s="198">
        <v>45708</v>
      </c>
      <c r="C13" s="198">
        <v>47375</v>
      </c>
      <c r="D13" s="199">
        <f t="shared" si="0"/>
        <v>1667</v>
      </c>
      <c r="E13" s="200">
        <v>7000000</v>
      </c>
      <c r="F13" s="201">
        <f>-E13/365*D13</f>
        <v>-31969863.013698626</v>
      </c>
      <c r="G13" s="191"/>
      <c r="H13" s="191"/>
      <c r="I13" s="191"/>
      <c r="J13" s="191"/>
      <c r="K13" s="191"/>
      <c r="L13" s="191"/>
      <c r="M13" s="191"/>
    </row>
    <row r="14" spans="1:13" x14ac:dyDescent="0.35">
      <c r="A14" s="191" t="s">
        <v>224</v>
      </c>
      <c r="B14" s="204">
        <v>45708</v>
      </c>
      <c r="C14" s="204">
        <v>46549</v>
      </c>
      <c r="D14" s="199">
        <f t="shared" si="0"/>
        <v>841</v>
      </c>
      <c r="E14" s="200">
        <v>7000000</v>
      </c>
      <c r="F14" s="201">
        <f>-E14/365*D14</f>
        <v>-16128767.12328767</v>
      </c>
      <c r="G14" s="191"/>
      <c r="H14" s="191"/>
      <c r="I14" s="191"/>
      <c r="J14" s="191"/>
      <c r="K14" s="191"/>
      <c r="L14" s="191"/>
      <c r="M14" s="191"/>
    </row>
    <row r="15" spans="1:13" x14ac:dyDescent="0.35">
      <c r="A15" s="191" t="s">
        <v>225</v>
      </c>
      <c r="B15" s="198">
        <v>45708</v>
      </c>
      <c r="C15" s="198">
        <v>47375</v>
      </c>
      <c r="D15" s="199">
        <f t="shared" si="0"/>
        <v>1667</v>
      </c>
      <c r="E15" s="200">
        <v>36000000</v>
      </c>
      <c r="F15" s="201">
        <f t="shared" ref="F15:F16" si="1">-E15/365*D15</f>
        <v>-164416438.35616437</v>
      </c>
      <c r="G15" s="191"/>
      <c r="H15" s="191"/>
      <c r="I15" s="191"/>
      <c r="J15" s="191"/>
      <c r="K15" s="191"/>
      <c r="L15" s="191"/>
      <c r="M15" s="191"/>
    </row>
    <row r="16" spans="1:13" x14ac:dyDescent="0.35">
      <c r="A16" s="191" t="s">
        <v>226</v>
      </c>
      <c r="B16" s="204">
        <v>45708</v>
      </c>
      <c r="C16" s="204">
        <v>46549</v>
      </c>
      <c r="D16" s="199">
        <f t="shared" si="0"/>
        <v>841</v>
      </c>
      <c r="E16" s="200">
        <v>24000000</v>
      </c>
      <c r="F16" s="201">
        <f t="shared" si="1"/>
        <v>-55298630.136986293</v>
      </c>
      <c r="G16" s="191"/>
      <c r="H16" s="191"/>
      <c r="I16" s="191"/>
      <c r="J16" s="191"/>
      <c r="K16" s="191"/>
      <c r="L16" s="191"/>
      <c r="M16" s="191"/>
    </row>
    <row r="17" spans="1:13" x14ac:dyDescent="0.35">
      <c r="A17" s="191" t="s">
        <v>218</v>
      </c>
      <c r="B17" s="191"/>
      <c r="C17" s="191"/>
      <c r="D17" s="191"/>
      <c r="E17" s="202">
        <v>100000000</v>
      </c>
      <c r="F17" s="203"/>
      <c r="G17" s="191"/>
      <c r="H17" s="191"/>
      <c r="I17" s="191"/>
      <c r="J17" s="191"/>
      <c r="K17" s="191"/>
      <c r="L17" s="191"/>
      <c r="M17" s="191"/>
    </row>
    <row r="18" spans="1:13" x14ac:dyDescent="0.35">
      <c r="A18" s="191" t="s">
        <v>219</v>
      </c>
      <c r="B18" s="191"/>
      <c r="C18" s="191"/>
      <c r="D18" s="191"/>
      <c r="E18" s="191"/>
      <c r="F18" s="201">
        <f>SUM(F10:F17)</f>
        <v>417873246.57534248</v>
      </c>
      <c r="G18" s="191"/>
      <c r="H18" s="191"/>
      <c r="I18" s="191"/>
      <c r="J18" s="191"/>
      <c r="K18" s="191"/>
      <c r="L18" s="191"/>
      <c r="M18" s="191"/>
    </row>
  </sheetData>
  <mergeCells count="1">
    <mergeCell ref="A2:F2"/>
  </mergeCells>
  <pageMargins left="0.39" right="0.1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</vt:lpstr>
      <vt:lpstr>Parameter</vt:lpstr>
      <vt:lpstr>Summary Review new</vt:lpstr>
      <vt:lpstr>Analisa</vt:lpstr>
      <vt:lpstr>Analisa!Print_Area</vt:lpstr>
      <vt:lpstr>IRR!Print_Area</vt:lpstr>
      <vt:lpstr>Summary!Print_Area</vt:lpstr>
      <vt:lpstr>'Summary Review new'!Print_Area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2024-11-14T06:56:53Z</cp:lastPrinted>
  <dcterms:created xsi:type="dcterms:W3CDTF">2024-01-30T02:49:52Z</dcterms:created>
  <dcterms:modified xsi:type="dcterms:W3CDTF">2024-11-14T07:04:51Z</dcterms:modified>
</cp:coreProperties>
</file>