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Mall Taman Palem\"/>
    </mc:Choice>
  </mc:AlternateContent>
  <xr:revisionPtr revIDLastSave="0" documentId="13_ncr:1_{1FDD37CF-F884-403F-96A5-A634041D2358}" xr6:coauthVersionLast="36" xr6:coauthVersionMax="47" xr10:uidLastSave="{00000000-0000-0000-0000-000000000000}"/>
  <bookViews>
    <workbookView xWindow="0" yWindow="0" windowWidth="19200" windowHeight="7550" xr2:uid="{00000000-000D-0000-FFFF-FFFF00000000}"/>
  </bookViews>
  <sheets>
    <sheet name="Summary" sheetId="8" r:id="rId1"/>
    <sheet name="IRR Approved" sheetId="1" r:id="rId2"/>
    <sheet name="Parameter (2)" sheetId="10" r:id="rId3"/>
    <sheet name="Summary BR" sheetId="11" r:id="rId4"/>
    <sheet name="Analisa" sheetId="12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2">#REF!</definedName>
    <definedName name="jk">#REF!</definedName>
    <definedName name="_xlnm.Print_Area" localSheetId="4">Analisa!$A$2:$F$13</definedName>
    <definedName name="_xlnm.Print_Area" localSheetId="1">'IRR Approved'!$B$1:$R$69</definedName>
    <definedName name="_xlnm.Print_Area" localSheetId="0">Summary!$B$1:$N$34</definedName>
    <definedName name="_xlnm.Print_Area" localSheetId="3">'Summary BR'!$A$7:$D$19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1" l="1"/>
  <c r="K25" i="1"/>
  <c r="J25" i="1"/>
  <c r="I25" i="1"/>
  <c r="S44" i="10"/>
  <c r="D11" i="12"/>
  <c r="F11" i="12" s="1"/>
  <c r="D10" i="12"/>
  <c r="F10" i="12" s="1"/>
  <c r="D9" i="12"/>
  <c r="F9" i="12" l="1"/>
  <c r="F13" i="12" s="1"/>
  <c r="M1" i="8" l="1"/>
  <c r="D12" i="11"/>
  <c r="C12" i="11"/>
  <c r="D9" i="11"/>
  <c r="I59" i="1" l="1"/>
  <c r="O41" i="10"/>
  <c r="O39" i="10"/>
  <c r="P39" i="10" s="1"/>
  <c r="O40" i="10"/>
  <c r="N36" i="10"/>
  <c r="N37" i="10" s="1"/>
  <c r="O36" i="10" s="1"/>
  <c r="I22" i="10"/>
  <c r="M13" i="8"/>
  <c r="M12" i="8"/>
  <c r="M6" i="8"/>
  <c r="M7" i="8" s="1"/>
  <c r="E84" i="10"/>
  <c r="G83" i="10"/>
  <c r="E83" i="10"/>
  <c r="F82" i="10"/>
  <c r="I82" i="10" s="1"/>
  <c r="E81" i="10"/>
  <c r="I81" i="10" s="1"/>
  <c r="E80" i="10"/>
  <c r="I80" i="10" s="1"/>
  <c r="C80" i="10"/>
  <c r="H79" i="10"/>
  <c r="H83" i="10" s="1"/>
  <c r="B53" i="10"/>
  <c r="C55" i="10" s="1"/>
  <c r="C54" i="10" s="1"/>
  <c r="M32" i="10"/>
  <c r="M31" i="10"/>
  <c r="N30" i="10" s="1"/>
  <c r="L29" i="10"/>
  <c r="L28" i="10"/>
  <c r="M27" i="10" s="1"/>
  <c r="N27" i="10" s="1"/>
  <c r="J26" i="10"/>
  <c r="J25" i="10"/>
  <c r="K24" i="10"/>
  <c r="L24" i="10" s="1"/>
  <c r="I23" i="10"/>
  <c r="J21" i="10"/>
  <c r="H20" i="10"/>
  <c r="H19" i="10"/>
  <c r="I18" i="10" s="1"/>
  <c r="G17" i="10"/>
  <c r="G16" i="10"/>
  <c r="H15" i="10" s="1"/>
  <c r="F14" i="10"/>
  <c r="F13" i="10"/>
  <c r="G12" i="10" s="1"/>
  <c r="H12" i="10"/>
  <c r="I12" i="10" s="1"/>
  <c r="E11" i="10"/>
  <c r="E10" i="10"/>
  <c r="F9" i="10" s="1"/>
  <c r="F11" i="10" s="1"/>
  <c r="E8" i="10"/>
  <c r="D8" i="10"/>
  <c r="D7" i="10"/>
  <c r="E6" i="10" s="1"/>
  <c r="A6" i="10"/>
  <c r="A9" i="10" s="1"/>
  <c r="A12" i="10" s="1"/>
  <c r="A15" i="10" s="1"/>
  <c r="A18" i="10" s="1"/>
  <c r="A21" i="10" s="1"/>
  <c r="A24" i="10" s="1"/>
  <c r="A27" i="10" s="1"/>
  <c r="A30" i="10" s="1"/>
  <c r="A33" i="10" s="1"/>
  <c r="A36" i="10" s="1"/>
  <c r="A39" i="10" s="1"/>
  <c r="C5" i="10"/>
  <c r="C44" i="10" s="1"/>
  <c r="C4" i="10"/>
  <c r="D3" i="10" s="1"/>
  <c r="D2" i="10"/>
  <c r="E2" i="10" s="1"/>
  <c r="F2" i="10" s="1"/>
  <c r="G2" i="10" s="1"/>
  <c r="H2" i="10" s="1"/>
  <c r="I2" i="10" s="1"/>
  <c r="J2" i="10" s="1"/>
  <c r="K2" i="10" s="1"/>
  <c r="L2" i="10" s="1"/>
  <c r="M2" i="10" s="1"/>
  <c r="N2" i="10" s="1"/>
  <c r="O2" i="10" s="1"/>
  <c r="P2" i="10" s="1"/>
  <c r="Q2" i="10" s="1"/>
  <c r="R2" i="10" s="1"/>
  <c r="S2" i="10" s="1"/>
  <c r="T2" i="10" s="1"/>
  <c r="U2" i="10" s="1"/>
  <c r="O38" i="10" l="1"/>
  <c r="N38" i="10"/>
  <c r="Q39" i="10"/>
  <c r="Q41" i="10"/>
  <c r="P41" i="10"/>
  <c r="P36" i="10"/>
  <c r="I83" i="10"/>
  <c r="I85" i="10" s="1"/>
  <c r="H84" i="10"/>
  <c r="I84" i="10" s="1"/>
  <c r="I14" i="10"/>
  <c r="J12" i="10"/>
  <c r="J14" i="10"/>
  <c r="O27" i="10"/>
  <c r="M24" i="10"/>
  <c r="C53" i="10"/>
  <c r="D5" i="10"/>
  <c r="D44" i="10" s="1"/>
  <c r="E3" i="10"/>
  <c r="G9" i="10"/>
  <c r="I15" i="10"/>
  <c r="I17" i="10"/>
  <c r="K21" i="10"/>
  <c r="K23" i="10" s="1"/>
  <c r="J23" i="10"/>
  <c r="K26" i="10"/>
  <c r="F6" i="10"/>
  <c r="F8" i="10"/>
  <c r="H14" i="10"/>
  <c r="G14" i="10"/>
  <c r="I20" i="10"/>
  <c r="L26" i="10"/>
  <c r="O30" i="10"/>
  <c r="O32" i="10"/>
  <c r="N32" i="10"/>
  <c r="J18" i="10"/>
  <c r="J20" i="10" s="1"/>
  <c r="H17" i="10"/>
  <c r="N29" i="10"/>
  <c r="M29" i="10"/>
  <c r="P38" i="10" l="1"/>
  <c r="R39" i="10"/>
  <c r="R41" i="10" s="1"/>
  <c r="Q36" i="10"/>
  <c r="N24" i="10"/>
  <c r="N26" i="10" s="1"/>
  <c r="P27" i="10"/>
  <c r="P29" i="10"/>
  <c r="G6" i="10"/>
  <c r="G8" i="10" s="1"/>
  <c r="F3" i="10"/>
  <c r="F5" i="10"/>
  <c r="F44" i="10" s="1"/>
  <c r="E5" i="10"/>
  <c r="E44" i="10" s="1"/>
  <c r="K12" i="10"/>
  <c r="K14" i="10"/>
  <c r="L87" i="10"/>
  <c r="J86" i="10"/>
  <c r="L86" i="10" s="1"/>
  <c r="J85" i="10"/>
  <c r="D55" i="10"/>
  <c r="D54" i="10" s="1"/>
  <c r="D53" i="10"/>
  <c r="J15" i="10"/>
  <c r="J17" i="10" s="1"/>
  <c r="K18" i="10"/>
  <c r="K20" i="10"/>
  <c r="H9" i="10"/>
  <c r="H11" i="10"/>
  <c r="G11" i="10"/>
  <c r="P30" i="10"/>
  <c r="L21" i="10"/>
  <c r="M26" i="10"/>
  <c r="O29" i="10"/>
  <c r="Q38" i="10" l="1"/>
  <c r="S39" i="10"/>
  <c r="S41" i="10" s="1"/>
  <c r="R36" i="10"/>
  <c r="G3" i="10"/>
  <c r="I9" i="10"/>
  <c r="I11" i="10"/>
  <c r="M21" i="10"/>
  <c r="M23" i="10" s="1"/>
  <c r="L18" i="10"/>
  <c r="Q27" i="10"/>
  <c r="Q29" i="10" s="1"/>
  <c r="Q44" i="10" s="1"/>
  <c r="K40" i="1" s="1"/>
  <c r="L23" i="10"/>
  <c r="Q30" i="10"/>
  <c r="Q32" i="10"/>
  <c r="E55" i="10"/>
  <c r="E53" i="10" s="1"/>
  <c r="H6" i="10"/>
  <c r="I8" i="10" s="1"/>
  <c r="P32" i="10"/>
  <c r="P44" i="10" s="1"/>
  <c r="J40" i="1" s="1"/>
  <c r="K15" i="10"/>
  <c r="K17" i="10"/>
  <c r="K44" i="10" s="1"/>
  <c r="O24" i="10"/>
  <c r="O26" i="10" s="1"/>
  <c r="O44" i="10" s="1"/>
  <c r="I40" i="1" s="1"/>
  <c r="R38" i="10" l="1"/>
  <c r="T39" i="10"/>
  <c r="U41" i="10" s="1"/>
  <c r="S36" i="10"/>
  <c r="T38" i="10" s="1"/>
  <c r="F55" i="10"/>
  <c r="F53" i="10" s="1"/>
  <c r="M18" i="10"/>
  <c r="M20" i="10"/>
  <c r="M44" i="10" s="1"/>
  <c r="L15" i="10"/>
  <c r="L17" i="10" s="1"/>
  <c r="H8" i="10"/>
  <c r="J9" i="10"/>
  <c r="J11" i="10" s="1"/>
  <c r="H3" i="10"/>
  <c r="H5" i="10"/>
  <c r="N21" i="10"/>
  <c r="N23" i="10" s="1"/>
  <c r="N44" i="10" s="1"/>
  <c r="H40" i="1" s="1"/>
  <c r="R30" i="10"/>
  <c r="R32" i="10" s="1"/>
  <c r="R44" i="10" s="1"/>
  <c r="L40" i="1" s="1"/>
  <c r="E54" i="10"/>
  <c r="F54" i="10" s="1"/>
  <c r="L20" i="10"/>
  <c r="G5" i="10"/>
  <c r="G44" i="10" s="1"/>
  <c r="S38" i="10" l="1"/>
  <c r="T41" i="10"/>
  <c r="T44" i="10" s="1"/>
  <c r="L44" i="10"/>
  <c r="H44" i="10"/>
  <c r="I3" i="10"/>
  <c r="I5" i="10"/>
  <c r="I44" i="10" s="1"/>
  <c r="G55" i="10"/>
  <c r="G53" i="10" s="1"/>
  <c r="G54" i="10"/>
  <c r="H55" i="10" l="1"/>
  <c r="H54" i="10" s="1"/>
  <c r="J3" i="10"/>
  <c r="J5" i="10"/>
  <c r="J44" i="10" s="1"/>
  <c r="H53" i="10" l="1"/>
  <c r="I55" i="10" l="1"/>
  <c r="I54" i="10" s="1"/>
  <c r="I53" i="10" l="1"/>
  <c r="J55" i="10"/>
  <c r="J54" i="10" s="1"/>
  <c r="J53" i="10"/>
  <c r="K55" i="10" l="1"/>
  <c r="K53" i="10" s="1"/>
  <c r="K54" i="10" l="1"/>
  <c r="I16" i="1"/>
  <c r="H16" i="1"/>
  <c r="R15" i="1"/>
  <c r="H45" i="1" l="1"/>
  <c r="H58" i="1"/>
  <c r="Q31" i="1"/>
  <c r="P31" i="1"/>
  <c r="O31" i="1"/>
  <c r="N31" i="1"/>
  <c r="M31" i="1"/>
  <c r="I31" i="1"/>
  <c r="J31" i="1" s="1"/>
  <c r="K31" i="1" s="1"/>
  <c r="L31" i="1" s="1"/>
  <c r="O30" i="1"/>
  <c r="N30" i="1"/>
  <c r="M30" i="1"/>
  <c r="Q25" i="1"/>
  <c r="P25" i="1"/>
  <c r="O25" i="1"/>
  <c r="N25" i="1"/>
  <c r="M25" i="1"/>
  <c r="K14" i="1"/>
  <c r="J14" i="1"/>
  <c r="R67" i="1" l="1"/>
  <c r="R26" i="1" l="1"/>
  <c r="Q24" i="1"/>
  <c r="P24" i="1"/>
  <c r="O23" i="1"/>
  <c r="P23" i="1"/>
  <c r="P32" i="1" s="1"/>
  <c r="Q23" i="1"/>
  <c r="Q32" i="1" s="1"/>
  <c r="N23" i="1"/>
  <c r="L24" i="1"/>
  <c r="M24" i="1"/>
  <c r="N24" i="1"/>
  <c r="O24" i="1"/>
  <c r="J23" i="1"/>
  <c r="J32" i="1" s="1"/>
  <c r="K23" i="1"/>
  <c r="K32" i="1" s="1"/>
  <c r="L23" i="1"/>
  <c r="M23" i="1"/>
  <c r="I23" i="1"/>
  <c r="K24" i="1"/>
  <c r="M9" i="8"/>
  <c r="H8" i="8"/>
  <c r="R1" i="1"/>
  <c r="L32" i="1" l="1"/>
  <c r="O32" i="1"/>
  <c r="M32" i="1"/>
  <c r="N32" i="1"/>
  <c r="R25" i="1"/>
  <c r="R23" i="1"/>
  <c r="R24" i="1"/>
  <c r="Q45" i="1"/>
  <c r="I45" i="1"/>
  <c r="J45" i="1"/>
  <c r="K45" i="1"/>
  <c r="L45" i="1"/>
  <c r="M45" i="1"/>
  <c r="N45" i="1"/>
  <c r="O45" i="1"/>
  <c r="P45" i="1"/>
  <c r="R14" i="1"/>
  <c r="R13" i="1"/>
  <c r="R16" i="1" l="1"/>
  <c r="R27" i="1"/>
  <c r="O6" i="8" l="1"/>
  <c r="H57" i="1" l="1"/>
  <c r="K61" i="1"/>
  <c r="J60" i="1"/>
  <c r="P30" i="1" l="1"/>
  <c r="Q30" i="1" s="1"/>
  <c r="I18" i="1"/>
  <c r="I57" i="1" s="1"/>
  <c r="J18" i="1" l="1"/>
  <c r="K18" i="1" s="1"/>
  <c r="R30" i="1"/>
  <c r="M14" i="8" s="1"/>
  <c r="J57" i="1" l="1"/>
  <c r="L18" i="1"/>
  <c r="K57" i="1"/>
  <c r="M18" i="1" l="1"/>
  <c r="L57" i="1"/>
  <c r="N18" i="1" l="1"/>
  <c r="M57" i="1"/>
  <c r="O18" i="1" l="1"/>
  <c r="N57" i="1"/>
  <c r="I32" i="1"/>
  <c r="G32" i="1"/>
  <c r="P18" i="1" l="1"/>
  <c r="O57" i="1"/>
  <c r="Q18" i="1" l="1"/>
  <c r="Q57" i="1" s="1"/>
  <c r="P57" i="1"/>
  <c r="H68" i="1" l="1"/>
  <c r="H38" i="1" s="1"/>
  <c r="G45" i="1"/>
  <c r="R45" i="1" s="1"/>
  <c r="K60" i="1"/>
  <c r="L61" i="1"/>
  <c r="L62" i="1"/>
  <c r="M63" i="1"/>
  <c r="N64" i="1"/>
  <c r="O65" i="1"/>
  <c r="P66" i="1"/>
  <c r="R66" i="1" s="1"/>
  <c r="J59" i="1"/>
  <c r="M62" i="1" l="1"/>
  <c r="N62" i="1" s="1"/>
  <c r="O62" i="1" s="1"/>
  <c r="P62" i="1" s="1"/>
  <c r="O64" i="1"/>
  <c r="P64" i="1" s="1"/>
  <c r="N63" i="1"/>
  <c r="O63" i="1" s="1"/>
  <c r="P63" i="1" s="1"/>
  <c r="P65" i="1"/>
  <c r="R65" i="1" s="1"/>
  <c r="M61" i="1"/>
  <c r="N61" i="1" s="1"/>
  <c r="O61" i="1" s="1"/>
  <c r="P61" i="1" s="1"/>
  <c r="Q61" i="1" s="1"/>
  <c r="L60" i="1"/>
  <c r="M60" i="1" s="1"/>
  <c r="N60" i="1" s="1"/>
  <c r="O60" i="1" s="1"/>
  <c r="P60" i="1" s="1"/>
  <c r="Q60" i="1" s="1"/>
  <c r="K59" i="1"/>
  <c r="L59" i="1" s="1"/>
  <c r="N59" i="1" s="1"/>
  <c r="O59" i="1" s="1"/>
  <c r="P59" i="1" s="1"/>
  <c r="Q59" i="1" s="1"/>
  <c r="R59" i="1" l="1"/>
  <c r="R64" i="1"/>
  <c r="R62" i="1"/>
  <c r="R63" i="1"/>
  <c r="R60" i="1"/>
  <c r="R61" i="1"/>
  <c r="P27" i="1" l="1"/>
  <c r="P33" i="1" s="1"/>
  <c r="R32" i="1" l="1"/>
  <c r="M11" i="8"/>
  <c r="R31" i="1"/>
  <c r="P34" i="1" l="1"/>
  <c r="P35" i="1" s="1"/>
  <c r="P36" i="1" s="1"/>
  <c r="M27" i="1"/>
  <c r="M33" i="1" s="1"/>
  <c r="I27" i="1"/>
  <c r="I33" i="1" s="1"/>
  <c r="J27" i="1"/>
  <c r="J33" i="1" s="1"/>
  <c r="K27" i="1"/>
  <c r="L27" i="1"/>
  <c r="L33" i="1" s="1"/>
  <c r="H27" i="1"/>
  <c r="H33" i="1" s="1"/>
  <c r="F33" i="1" l="1"/>
  <c r="K33" i="1"/>
  <c r="N27" i="1"/>
  <c r="N33" i="1" s="1"/>
  <c r="M34" i="1"/>
  <c r="M35" i="1" s="1"/>
  <c r="O27" i="1"/>
  <c r="O33" i="1" s="1"/>
  <c r="Q27" i="1"/>
  <c r="Q33" i="1" s="1"/>
  <c r="L34" i="1"/>
  <c r="L35" i="1" s="1"/>
  <c r="Q34" i="1" l="1"/>
  <c r="Q35" i="1" s="1"/>
  <c r="R40" i="1"/>
  <c r="M36" i="1"/>
  <c r="L36" i="1"/>
  <c r="Q36" i="1" l="1"/>
  <c r="N34" i="1"/>
  <c r="N35" i="1" s="1"/>
  <c r="N36" i="1" s="1"/>
  <c r="O34" i="1"/>
  <c r="O35" i="1" s="1"/>
  <c r="O36" i="1" l="1"/>
  <c r="G27" i="1" l="1"/>
  <c r="S27" i="1" s="1"/>
  <c r="I58" i="1" l="1"/>
  <c r="I68" i="1" l="1"/>
  <c r="I38" i="1" s="1"/>
  <c r="J58" i="1"/>
  <c r="K58" i="1" l="1"/>
  <c r="J68" i="1"/>
  <c r="J38" i="1" s="1"/>
  <c r="K34" i="1"/>
  <c r="K35" i="1" s="1"/>
  <c r="K36" i="1" s="1"/>
  <c r="J34" i="1"/>
  <c r="J35" i="1" s="1"/>
  <c r="J36" i="1" s="1"/>
  <c r="G33" i="1"/>
  <c r="R33" i="1" s="1"/>
  <c r="I34" i="1"/>
  <c r="I35" i="1" s="1"/>
  <c r="I36" i="1" s="1"/>
  <c r="H34" i="1"/>
  <c r="H35" i="1" s="1"/>
  <c r="H39" i="1" s="1"/>
  <c r="H41" i="1" s="1"/>
  <c r="M15" i="8" l="1"/>
  <c r="L58" i="1"/>
  <c r="K68" i="1"/>
  <c r="K38" i="1" s="1"/>
  <c r="I39" i="1"/>
  <c r="G34" i="1"/>
  <c r="M58" i="1" l="1"/>
  <c r="R58" i="1"/>
  <c r="R34" i="1"/>
  <c r="R35" i="1" s="1"/>
  <c r="R36" i="1" s="1"/>
  <c r="F53" i="1" s="1"/>
  <c r="M18" i="8" s="1"/>
  <c r="G35" i="1"/>
  <c r="L68" i="1"/>
  <c r="L38" i="1" s="1"/>
  <c r="L39" i="1" s="1"/>
  <c r="H42" i="1"/>
  <c r="H43" i="1" s="1"/>
  <c r="H36" i="1"/>
  <c r="G39" i="1"/>
  <c r="J39" i="1"/>
  <c r="I41" i="1"/>
  <c r="S34" i="1" l="1"/>
  <c r="S35" i="1"/>
  <c r="G41" i="1"/>
  <c r="I42" i="1"/>
  <c r="I43" i="1" s="1"/>
  <c r="I46" i="1" s="1"/>
  <c r="H46" i="1"/>
  <c r="N58" i="1"/>
  <c r="M68" i="1"/>
  <c r="G42" i="1"/>
  <c r="J41" i="1"/>
  <c r="J42" i="1" l="1"/>
  <c r="J43" i="1" s="1"/>
  <c r="G43" i="1"/>
  <c r="O58" i="1"/>
  <c r="N68" i="1"/>
  <c r="L41" i="1"/>
  <c r="L42" i="1" l="1"/>
  <c r="L43" i="1" s="1"/>
  <c r="J46" i="1"/>
  <c r="G46" i="1"/>
  <c r="P58" i="1"/>
  <c r="Q58" i="1" s="1"/>
  <c r="R68" i="1" s="1"/>
  <c r="O68" i="1"/>
  <c r="M39" i="1"/>
  <c r="M41" i="1" s="1"/>
  <c r="K39" i="1"/>
  <c r="M42" i="1" l="1"/>
  <c r="M43" i="1" s="1"/>
  <c r="L46" i="1"/>
  <c r="G47" i="1"/>
  <c r="Q68" i="1"/>
  <c r="P68" i="1"/>
  <c r="P39" i="1" s="1"/>
  <c r="P41" i="1" s="1"/>
  <c r="N39" i="1"/>
  <c r="K41" i="1"/>
  <c r="P42" i="1" l="1"/>
  <c r="P43" i="1" s="1"/>
  <c r="M46" i="1"/>
  <c r="G48" i="1"/>
  <c r="H47" i="1"/>
  <c r="K42" i="1"/>
  <c r="K43" i="1" s="1"/>
  <c r="Q39" i="1"/>
  <c r="Q41" i="1" s="1"/>
  <c r="R38" i="1"/>
  <c r="R39" i="1" s="1"/>
  <c r="O39" i="1"/>
  <c r="N41" i="1"/>
  <c r="Q42" i="1" l="1"/>
  <c r="Q43" i="1" s="1"/>
  <c r="N42" i="1"/>
  <c r="N43" i="1" s="1"/>
  <c r="P46" i="1"/>
  <c r="S39" i="1"/>
  <c r="K46" i="1"/>
  <c r="I47" i="1"/>
  <c r="H48" i="1"/>
  <c r="O41" i="1"/>
  <c r="N46" i="1" l="1"/>
  <c r="R41" i="1"/>
  <c r="S41" i="1" s="1"/>
  <c r="Q46" i="1"/>
  <c r="I48" i="1"/>
  <c r="J47" i="1"/>
  <c r="O42" i="1"/>
  <c r="R42" i="1" s="1"/>
  <c r="O43" i="1" l="1"/>
  <c r="R43" i="1"/>
  <c r="J48" i="1"/>
  <c r="K47" i="1"/>
  <c r="S43" i="1" l="1"/>
  <c r="O46" i="1"/>
  <c r="K48" i="1"/>
  <c r="L47" i="1"/>
  <c r="R46" i="1" l="1"/>
  <c r="F52" i="1"/>
  <c r="M17" i="8" s="1"/>
  <c r="F51" i="1"/>
  <c r="M16" i="8" s="1"/>
  <c r="M47" i="1"/>
  <c r="L48" i="1"/>
  <c r="M48" i="1" l="1"/>
  <c r="N47" i="1"/>
  <c r="O47" i="1" l="1"/>
  <c r="O48" i="1" s="1"/>
  <c r="N48" i="1"/>
  <c r="P47" i="1" l="1"/>
  <c r="Q47" i="1" s="1"/>
  <c r="Q48" i="1" s="1"/>
  <c r="F54" i="1" s="1"/>
  <c r="M1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79" authorId="0" shapeId="0" xr:uid="{723FE825-AC8A-4906-A99F-D036B4073B8D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80" authorId="1" shapeId="0" xr:uid="{B5722F71-8C96-452F-94F3-2F6BA51DEC9E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<sst xmlns="http://schemas.openxmlformats.org/spreadsheetml/2006/main" count="306" uniqueCount="231">
  <si>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</si>
  <si>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</si>
  <si>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</si>
  <si>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</si>
  <si>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</si>
  <si>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</si>
  <si>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</si>
  <si>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</si>
  <si>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</si>
  <si>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</si>
  <si>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</si>
  <si>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</si>
  <si>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</si>
  <si>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</si>
  <si>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</si>
  <si>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</si>
  <si>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</si>
  <si>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</si>
  <si>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</si>
  <si>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</si>
  <si>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</si>
  <si>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</si>
  <si>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</si>
  <si>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</si>
  <si>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</si>
  <si>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</si>
  <si>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</si>
  <si>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</si>
  <si>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</si>
  <si>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</si>
  <si>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</si>
  <si>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</si>
  <si>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</si>
  <si>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</si>
  <si>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</si>
  <si>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</si>
  <si>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</si>
  <si>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</si>
  <si>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</si>
  <si>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</si>
  <si>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</si>
  <si>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</si>
  <si>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</si>
  <si>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</si>
  <si>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</si>
  <si>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</si>
  <si>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</si>
  <si>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</si>
  <si>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</si>
  <si>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</si>
  <si>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</si>
  <si>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</si>
  <si>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</si>
  <si>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</si>
  <si>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</si>
  <si>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</si>
  <si>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</si>
  <si>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</si>
  <si>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</si>
  <si>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</si>
  <si>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</si>
  <si>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</si>
  <si>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</si>
  <si>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</si>
  <si>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</si>
  <si>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</si>
  <si>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</si>
  <si>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</si>
  <si>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</si>
  <si>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</si>
  <si>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</si>
  <si>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</si>
  <si>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</si>
  <si>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</si>
  <si>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</si>
  <si>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</si>
  <si>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</si>
  <si>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</si>
  <si>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</si>
  <si>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</si>
  <si>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</si>
  <si>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</si>
  <si>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</si>
  <si>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</si>
  <si>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</si>
  <si>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</si>
  <si>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</si>
  <si>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</si>
  <si>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</si>
  <si>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</si>
  <si>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</si>
  <si>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</si>
  <si>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</si>
  <si>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</si>
  <si>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</si>
  <si>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</si>
  <si>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</si>
  <si>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</si>
  <si>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NO :  0001/01/IRR/IBC/V/2023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</si>
  <si>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</si>
  <si>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</si>
  <si>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</si>
  <si>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</si>
  <si>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</si>
  <si>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</si>
  <si>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</si>
  <si>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</si>
  <si>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</si>
  <si>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</si>
  <si>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</si>
  <si>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</si>
  <si>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</si>
  <si>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</si>
  <si>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</si>
  <si>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</si>
  <si>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</si>
  <si>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</si>
  <si>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</si>
  <si>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</si>
  <si>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</si>
  <si>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</si>
  <si>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Sulut</t>
  </si>
  <si>
    <t>Makasar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</si>
  <si>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</si>
  <si>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</si>
  <si>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</si>
  <si>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</si>
  <si>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</si>
  <si>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</si>
  <si>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</si>
  <si>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</si>
  <si>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</si>
  <si>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</si>
  <si>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</si>
  <si>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</si>
  <si>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</si>
  <si>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</si>
  <si>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</si>
  <si>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</si>
  <si>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</si>
  <si>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</si>
  <si>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</si>
  <si>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</si>
  <si>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</si>
  <si>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</si>
  <si>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</si>
  <si>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</si>
  <si>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</si>
  <si>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</si>
  <si>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</si>
  <si>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</si>
  <si>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</si>
  <si>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</si>
  <si>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Mall Taman Palem</t>
  </si>
  <si>
    <t>Jakarta</t>
  </si>
  <si>
    <t>Renewal</t>
  </si>
  <si>
    <t>BV 30NOv24</t>
  </si>
  <si>
    <t>Macro</t>
  </si>
  <si>
    <t>Shelter</t>
  </si>
  <si>
    <t>PERHITUNGAN INTEREST EXPENSE based CAPEX</t>
  </si>
  <si>
    <t>Capex tahun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</si>
  <si>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</si>
  <si>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</si>
  <si>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</si>
  <si>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</si>
  <si>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</si>
  <si>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</si>
  <si>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</si>
  <si>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</si>
  <si>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</si>
  <si>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</si>
  <si>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</si>
  <si>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</si>
  <si>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</si>
  <si>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</si>
  <si>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</si>
  <si>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CM</t>
  </si>
  <si>
    <t>Tiket PP</t>
  </si>
  <si>
    <t>All</t>
  </si>
  <si>
    <t>Jawa/Bali</t>
  </si>
  <si>
    <t>Keterangan</t>
  </si>
  <si>
    <t>Nilai</t>
  </si>
  <si>
    <t>2X Visit</t>
  </si>
  <si>
    <t>4X Visit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</si>
  <si>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</si>
  <si>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</si>
  <si>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</si>
  <si>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</si>
  <si>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</si>
  <si>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</si>
  <si>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SUMMARY REVIEW</t>
  </si>
  <si>
    <t xml:space="preserve">Nama Site                   </t>
  </si>
  <si>
    <t xml:space="preserve">Mall Taman Palem </t>
  </si>
  <si>
    <t xml:space="preserve">Nama Pemilik           </t>
  </si>
  <si>
    <t>PT Bangun Cipta Karya Perkasa</t>
  </si>
  <si>
    <t xml:space="preserve">Alamat Pemilik       </t>
  </si>
  <si>
    <t xml:space="preserve">Jl. Kamal Raya Outer Ring Road Cengkareng </t>
  </si>
  <si>
    <t xml:space="preserve">No. </t>
  </si>
  <si>
    <t>Existing</t>
  </si>
  <si>
    <t>Renewal1</t>
  </si>
  <si>
    <t>Obyek Sewa</t>
  </si>
  <si>
    <t>136 titik antenna, RBS room 40 m2, Pole sesuai kebutuhan  operator</t>
  </si>
  <si>
    <t>Periode Sewa</t>
  </si>
  <si>
    <t>02 Desember 2018 -30 November 2023</t>
  </si>
  <si>
    <t>15 Nov 2024  s/d 14 Nov 2029</t>
  </si>
  <si>
    <t>Harga Sewa / Masa sewa</t>
  </si>
  <si>
    <t>Harga Sewa / tahun</t>
  </si>
  <si>
    <t xml:space="preserve">Termin Pembayaran </t>
  </si>
  <si>
    <t>50% stlh surat konfirmasi sign, 50% 6bln stelah pmbyaran pertama</t>
  </si>
  <si>
    <t>Operator Joint</t>
  </si>
  <si>
    <t>IOH (30 des 2018 s/d 29 Des 2023) Rp. 220.320.000/ year</t>
  </si>
  <si>
    <t>IOH (start dari BALAP On air) Rp. 221.952.000</t>
  </si>
  <si>
    <t>Kenaikan harga Sewa</t>
  </si>
  <si>
    <t>Noted:</t>
  </si>
  <si>
    <t>Sudah ada operator lain (single)</t>
  </si>
  <si>
    <t>Termin pembayaran 50% after surat konfrimasi sign  , 50%, 6 bulan stelah pembayaran ke 1</t>
  </si>
  <si>
    <t>0038/IRR/IBC/XI/2024</t>
  </si>
  <si>
    <t>SITE Mall Taman Palem</t>
  </si>
  <si>
    <t xml:space="preserve">Periode </t>
  </si>
  <si>
    <t>Start</t>
  </si>
  <si>
    <t>End</t>
  </si>
  <si>
    <t>Rev H3I</t>
  </si>
  <si>
    <t>Sewa BM</t>
  </si>
  <si>
    <t>Days</t>
  </si>
  <si>
    <t xml:space="preserve">Sewa BM </t>
  </si>
  <si>
    <t xml:space="preserve">OM </t>
  </si>
  <si>
    <t>Antisipasi Add Capex and Pole</t>
  </si>
  <si>
    <t>Profit</t>
  </si>
  <si>
    <t>Rev H3I-IOH</t>
  </si>
  <si>
    <t>Worse &gt;&gt; Jika Sewa BM diperpanjang 5 tahun dan IOH sesuai periodenya, maka:</t>
  </si>
  <si>
    <t>Total BV 30Nov24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</si>
</sst>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5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1"/>
      <color rgb="FF000000"/>
      <name val="Calibri"/>
      <family val="2"/>
    </font>
    <font>
      <sz val="12"/>
      <color rgb="FF1F3864"/>
      <name val="Calibri"/>
      <family val="2"/>
      <scheme val="minor"/>
    </font>
    <font>
      <sz val="9"/>
      <color rgb="FF002060"/>
      <name val="Comic Sans MS"/>
      <family val="4"/>
    </font>
    <font>
      <b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166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0" fontId="26" fillId="0" borderId="0"/>
    <xf numFmtId="166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5" fontId="12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2" fillId="0" borderId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33" fillId="0" borderId="0"/>
    <xf numFmtId="166" fontId="33" fillId="0" borderId="0" applyFont="0" applyFill="0" applyBorder="0" applyAlignment="0" applyProtection="0"/>
    <xf numFmtId="0" fontId="5" fillId="0" borderId="0"/>
    <xf numFmtId="170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33" fillId="0" borderId="0"/>
    <xf numFmtId="165" fontId="5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41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6" fillId="0" borderId="0"/>
    <xf numFmtId="0" fontId="1" fillId="0" borderId="0"/>
    <xf numFmtId="0" fontId="26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3">
    <xf numFmtId="0" fontId="0" fillId="0" borderId="0" xfId="0"/>
    <xf numFmtId="0" fontId="13" fillId="0" borderId="0" xfId="0" applyFont="1"/>
    <xf numFmtId="0" fontId="0" fillId="0" borderId="0" xfId="0" applyAlignment="1">
      <alignment vertical="center"/>
    </xf>
    <xf numFmtId="0" fontId="0" fillId="0" borderId="1" xfId="0" applyBorder="1"/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4" fillId="0" borderId="0" xfId="0" applyNumberFormat="1" applyFont="1" applyBorder="1"/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5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1" fillId="0" borderId="0" xfId="0" applyFont="1"/>
    <xf numFmtId="0" fontId="21" fillId="0" borderId="0" xfId="0" applyFont="1" applyAlignment="1">
      <alignment vertical="center"/>
    </xf>
    <xf numFmtId="166" fontId="21" fillId="0" borderId="0" xfId="1" applyFont="1"/>
    <xf numFmtId="41" fontId="0" fillId="0" borderId="2" xfId="2" applyFont="1" applyBorder="1" applyAlignment="1">
      <alignment vertical="center"/>
    </xf>
    <xf numFmtId="41" fontId="13" fillId="0" borderId="0" xfId="0" applyNumberFormat="1" applyFont="1" applyAlignment="1">
      <alignment vertical="center"/>
    </xf>
    <xf numFmtId="0" fontId="22" fillId="0" borderId="0" xfId="0" applyFont="1"/>
    <xf numFmtId="0" fontId="23" fillId="0" borderId="0" xfId="0" applyFont="1"/>
    <xf numFmtId="9" fontId="22" fillId="0" borderId="0" xfId="3" applyFont="1" applyAlignment="1">
      <alignment vertical="center"/>
    </xf>
    <xf numFmtId="0" fontId="0" fillId="0" borderId="0" xfId="0" applyFill="1" applyBorder="1"/>
    <xf numFmtId="38" fontId="16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20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3" fillId="0" borderId="4" xfId="0" applyFont="1" applyBorder="1"/>
    <xf numFmtId="0" fontId="0" fillId="0" borderId="4" xfId="0" applyBorder="1"/>
    <xf numFmtId="167" fontId="13" fillId="0" borderId="4" xfId="0" applyNumberFormat="1" applyFont="1" applyBorder="1" applyAlignment="1">
      <alignment vertical="center"/>
    </xf>
    <xf numFmtId="0" fontId="0" fillId="0" borderId="0" xfId="0" applyBorder="1"/>
    <xf numFmtId="41" fontId="19" fillId="0" borderId="0" xfId="0" applyNumberFormat="1" applyFont="1" applyBorder="1"/>
    <xf numFmtId="41" fontId="18" fillId="0" borderId="0" xfId="0" applyNumberFormat="1" applyFont="1" applyBorder="1"/>
    <xf numFmtId="167" fontId="13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1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/>
    <xf numFmtId="9" fontId="22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3" fillId="0" borderId="0" xfId="0" applyFont="1" applyBorder="1" applyAlignment="1">
      <alignment horizontal="center"/>
    </xf>
    <xf numFmtId="0" fontId="25" fillId="0" borderId="6" xfId="0" applyFont="1" applyBorder="1"/>
    <xf numFmtId="0" fontId="25" fillId="0" borderId="3" xfId="0" applyFont="1" applyBorder="1"/>
    <xf numFmtId="0" fontId="25" fillId="0" borderId="8" xfId="0" applyFont="1" applyBorder="1"/>
    <xf numFmtId="0" fontId="25" fillId="0" borderId="0" xfId="0" applyFont="1" applyBorder="1"/>
    <xf numFmtId="9" fontId="25" fillId="0" borderId="9" xfId="3" applyFont="1" applyBorder="1"/>
    <xf numFmtId="0" fontId="25" fillId="0" borderId="10" xfId="0" applyFont="1" applyBorder="1"/>
    <xf numFmtId="0" fontId="25" fillId="0" borderId="2" xfId="0" applyFont="1" applyBorder="1"/>
    <xf numFmtId="168" fontId="25" fillId="0" borderId="11" xfId="1" applyNumberFormat="1" applyFont="1" applyBorder="1"/>
    <xf numFmtId="0" fontId="13" fillId="0" borderId="12" xfId="0" applyFont="1" applyBorder="1"/>
    <xf numFmtId="41" fontId="13" fillId="0" borderId="12" xfId="0" applyNumberFormat="1" applyFont="1" applyBorder="1" applyAlignment="1">
      <alignment vertical="center"/>
    </xf>
    <xf numFmtId="167" fontId="12" fillId="0" borderId="0" xfId="17" applyNumberFormat="1" applyFont="1"/>
    <xf numFmtId="41" fontId="0" fillId="0" borderId="0" xfId="2" applyFont="1" applyAlignment="1">
      <alignment vertical="center"/>
    </xf>
    <xf numFmtId="41" fontId="12" fillId="0" borderId="0" xfId="2" applyFont="1" applyFill="1"/>
    <xf numFmtId="167" fontId="0" fillId="4" borderId="0" xfId="0" applyNumberFormat="1" applyFill="1" applyAlignment="1">
      <alignment vertical="center"/>
    </xf>
    <xf numFmtId="0" fontId="16" fillId="0" borderId="0" xfId="0" applyFont="1"/>
    <xf numFmtId="41" fontId="25" fillId="0" borderId="0" xfId="0" applyNumberFormat="1" applyFont="1" applyBorder="1"/>
    <xf numFmtId="41" fontId="27" fillId="0" borderId="0" xfId="0" applyNumberFormat="1" applyFont="1" applyBorder="1"/>
    <xf numFmtId="0" fontId="25" fillId="0" borderId="0" xfId="0" applyFont="1"/>
    <xf numFmtId="41" fontId="0" fillId="0" borderId="0" xfId="0" applyNumberFormat="1" applyAlignment="1">
      <alignment horizontal="right" vertical="center"/>
    </xf>
    <xf numFmtId="168" fontId="20" fillId="0" borderId="0" xfId="1" applyNumberFormat="1" applyFont="1"/>
    <xf numFmtId="167" fontId="0" fillId="0" borderId="0" xfId="0" applyNumberFormat="1" applyFill="1" applyAlignment="1">
      <alignment vertical="center"/>
    </xf>
    <xf numFmtId="0" fontId="28" fillId="0" borderId="0" xfId="0" applyFont="1"/>
    <xf numFmtId="38" fontId="28" fillId="0" borderId="0" xfId="0" applyNumberFormat="1" applyFont="1"/>
    <xf numFmtId="167" fontId="30" fillId="0" borderId="0" xfId="1" applyNumberFormat="1" applyFont="1"/>
    <xf numFmtId="168" fontId="30" fillId="0" borderId="0" xfId="1" applyNumberFormat="1" applyFont="1"/>
    <xf numFmtId="0" fontId="28" fillId="0" borderId="0" xfId="0" applyFont="1" applyAlignment="1">
      <alignment vertical="center"/>
    </xf>
    <xf numFmtId="41" fontId="28" fillId="0" borderId="0" xfId="0" applyNumberFormat="1" applyFont="1" applyAlignment="1">
      <alignment vertical="center"/>
    </xf>
    <xf numFmtId="41" fontId="28" fillId="0" borderId="0" xfId="0" applyNumberFormat="1" applyFont="1"/>
    <xf numFmtId="0" fontId="0" fillId="0" borderId="0" xfId="0" applyFont="1"/>
    <xf numFmtId="0" fontId="13" fillId="0" borderId="0" xfId="0" applyFont="1" applyBorder="1"/>
    <xf numFmtId="0" fontId="0" fillId="0" borderId="0" xfId="0" applyFont="1" applyBorder="1"/>
    <xf numFmtId="0" fontId="32" fillId="0" borderId="0" xfId="0" applyFont="1"/>
    <xf numFmtId="0" fontId="31" fillId="0" borderId="0" xfId="0" applyFont="1" applyBorder="1"/>
    <xf numFmtId="0" fontId="0" fillId="0" borderId="18" xfId="0" applyFont="1" applyBorder="1"/>
    <xf numFmtId="0" fontId="0" fillId="0" borderId="20" xfId="0" applyFont="1" applyBorder="1"/>
    <xf numFmtId="9" fontId="13" fillId="0" borderId="19" xfId="2" applyNumberFormat="1" applyFont="1" applyBorder="1"/>
    <xf numFmtId="9" fontId="13" fillId="0" borderId="18" xfId="2" applyNumberFormat="1" applyFont="1" applyBorder="1"/>
    <xf numFmtId="169" fontId="13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3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3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0" fontId="13" fillId="0" borderId="23" xfId="0" applyFont="1" applyBorder="1" applyAlignment="1">
      <alignment horizontal="left"/>
    </xf>
    <xf numFmtId="0" fontId="0" fillId="0" borderId="23" xfId="0" applyFont="1" applyBorder="1"/>
    <xf numFmtId="0" fontId="13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5" fillId="0" borderId="9" xfId="0" applyNumberFormat="1" applyFont="1" applyBorder="1"/>
    <xf numFmtId="38" fontId="13" fillId="0" borderId="18" xfId="2" applyNumberFormat="1" applyFont="1" applyBorder="1"/>
    <xf numFmtId="9" fontId="25" fillId="5" borderId="7" xfId="0" applyNumberFormat="1" applyFont="1" applyFill="1" applyBorder="1"/>
    <xf numFmtId="9" fontId="0" fillId="0" borderId="2" xfId="3" applyFont="1" applyBorder="1"/>
    <xf numFmtId="41" fontId="36" fillId="0" borderId="0" xfId="0" applyNumberFormat="1" applyFont="1" applyBorder="1"/>
    <xf numFmtId="0" fontId="0" fillId="0" borderId="0" xfId="0" quotePrefix="1"/>
    <xf numFmtId="9" fontId="28" fillId="9" borderId="0" xfId="0" applyNumberFormat="1" applyFont="1" applyFill="1"/>
    <xf numFmtId="41" fontId="19" fillId="0" borderId="23" xfId="0" applyNumberFormat="1" applyFont="1" applyFill="1" applyBorder="1"/>
    <xf numFmtId="167" fontId="13" fillId="0" borderId="33" xfId="0" applyNumberFormat="1" applyFont="1" applyBorder="1" applyAlignment="1">
      <alignment vertical="center"/>
    </xf>
    <xf numFmtId="0" fontId="25" fillId="0" borderId="29" xfId="0" applyFont="1" applyFill="1" applyBorder="1" applyAlignment="1">
      <alignment horizontal="center"/>
    </xf>
    <xf numFmtId="41" fontId="25" fillId="0" borderId="30" xfId="0" applyNumberFormat="1" applyFont="1" applyFill="1" applyBorder="1" applyAlignment="1">
      <alignment vertical="center"/>
    </xf>
    <xf numFmtId="41" fontId="13" fillId="0" borderId="30" xfId="0" applyNumberFormat="1" applyFont="1" applyFill="1" applyBorder="1" applyAlignment="1">
      <alignment vertical="center"/>
    </xf>
    <xf numFmtId="41" fontId="13" fillId="0" borderId="23" xfId="0" applyNumberFormat="1" applyFont="1" applyFill="1" applyBorder="1" applyAlignment="1">
      <alignment vertical="center"/>
    </xf>
    <xf numFmtId="9" fontId="22" fillId="0" borderId="23" xfId="3" applyFont="1" applyFill="1" applyBorder="1" applyAlignment="1">
      <alignment vertical="center"/>
    </xf>
    <xf numFmtId="0" fontId="25" fillId="0" borderId="36" xfId="0" applyFont="1" applyFill="1" applyBorder="1" applyAlignment="1">
      <alignment horizontal="center"/>
    </xf>
    <xf numFmtId="0" fontId="13" fillId="0" borderId="23" xfId="0" applyFont="1" applyFill="1" applyBorder="1"/>
    <xf numFmtId="41" fontId="25" fillId="0" borderId="35" xfId="0" applyNumberFormat="1" applyFont="1" applyFill="1" applyBorder="1" applyAlignment="1">
      <alignment vertical="center"/>
    </xf>
    <xf numFmtId="41" fontId="25" fillId="0" borderId="31" xfId="0" applyNumberFormat="1" applyFont="1" applyFill="1" applyBorder="1" applyAlignment="1">
      <alignment vertical="center"/>
    </xf>
    <xf numFmtId="0" fontId="25" fillId="0" borderId="23" xfId="0" applyFont="1" applyFill="1" applyBorder="1"/>
    <xf numFmtId="41" fontId="25" fillId="0" borderId="23" xfId="0" applyNumberFormat="1" applyFont="1" applyFill="1" applyBorder="1" applyAlignment="1">
      <alignment vertical="center"/>
    </xf>
    <xf numFmtId="166" fontId="37" fillId="0" borderId="23" xfId="1" applyFont="1" applyFill="1" applyBorder="1"/>
    <xf numFmtId="38" fontId="13" fillId="0" borderId="23" xfId="0" applyNumberFormat="1" applyFont="1" applyFill="1" applyBorder="1" applyAlignment="1">
      <alignment vertical="center"/>
    </xf>
    <xf numFmtId="38" fontId="13" fillId="0" borderId="32" xfId="0" applyNumberFormat="1" applyFont="1" applyFill="1" applyBorder="1" applyAlignment="1">
      <alignment vertical="center"/>
    </xf>
    <xf numFmtId="165" fontId="13" fillId="0" borderId="31" xfId="1" applyNumberFormat="1" applyFont="1" applyFill="1" applyBorder="1"/>
    <xf numFmtId="38" fontId="13" fillId="0" borderId="23" xfId="0" applyNumberFormat="1" applyFont="1" applyFill="1" applyBorder="1"/>
    <xf numFmtId="167" fontId="38" fillId="0" borderId="23" xfId="1" applyNumberFormat="1" applyFont="1" applyFill="1" applyBorder="1"/>
    <xf numFmtId="167" fontId="39" fillId="0" borderId="23" xfId="1" applyNumberFormat="1" applyFont="1" applyFill="1" applyBorder="1"/>
    <xf numFmtId="0" fontId="40" fillId="0" borderId="23" xfId="0" applyFont="1" applyFill="1" applyBorder="1"/>
    <xf numFmtId="0" fontId="13" fillId="0" borderId="23" xfId="0" applyFont="1" applyBorder="1"/>
    <xf numFmtId="0" fontId="13" fillId="0" borderId="29" xfId="0" applyFont="1" applyBorder="1"/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41" fillId="0" borderId="0" xfId="33" applyFont="1"/>
    <xf numFmtId="0" fontId="2" fillId="0" borderId="0" xfId="33"/>
    <xf numFmtId="0" fontId="2" fillId="0" borderId="25" xfId="33" applyBorder="1"/>
    <xf numFmtId="0" fontId="2" fillId="0" borderId="24" xfId="33" applyBorder="1" applyAlignment="1">
      <alignment horizontal="center" vertical="center"/>
    </xf>
    <xf numFmtId="0" fontId="2" fillId="0" borderId="24" xfId="33" applyBorder="1" applyAlignment="1">
      <alignment horizontal="center"/>
    </xf>
    <xf numFmtId="0" fontId="2" fillId="0" borderId="0" xfId="33" quotePrefix="1" applyAlignment="1">
      <alignment horizontal="right"/>
    </xf>
    <xf numFmtId="41" fontId="0" fillId="0" borderId="0" xfId="34" applyFont="1"/>
    <xf numFmtId="41" fontId="2" fillId="0" borderId="0" xfId="33" applyNumberFormat="1"/>
    <xf numFmtId="0" fontId="2" fillId="0" borderId="0" xfId="33" applyAlignment="1">
      <alignment horizontal="right"/>
    </xf>
    <xf numFmtId="0" fontId="2" fillId="0" borderId="37" xfId="33" applyBorder="1"/>
    <xf numFmtId="41" fontId="0" fillId="0" borderId="24" xfId="34" applyFont="1" applyBorder="1"/>
    <xf numFmtId="0" fontId="2" fillId="9" borderId="0" xfId="33" applyFill="1"/>
    <xf numFmtId="165" fontId="0" fillId="0" borderId="0" xfId="35" applyFont="1" applyFill="1"/>
    <xf numFmtId="0" fontId="2" fillId="0" borderId="0" xfId="33" quotePrefix="1"/>
    <xf numFmtId="0" fontId="2" fillId="0" borderId="24" xfId="33" applyBorder="1"/>
    <xf numFmtId="41" fontId="2" fillId="0" borderId="24" xfId="33" applyNumberFormat="1" applyBorder="1"/>
    <xf numFmtId="9" fontId="2" fillId="0" borderId="24" xfId="33" applyNumberFormat="1" applyBorder="1"/>
    <xf numFmtId="41" fontId="2" fillId="9" borderId="0" xfId="33" applyNumberFormat="1" applyFill="1"/>
    <xf numFmtId="0" fontId="2" fillId="8" borderId="25" xfId="33" applyFill="1" applyBorder="1"/>
    <xf numFmtId="0" fontId="2" fillId="8" borderId="12" xfId="33" applyFill="1" applyBorder="1"/>
    <xf numFmtId="41" fontId="2" fillId="8" borderId="37" xfId="33" applyNumberFormat="1" applyFill="1" applyBorder="1"/>
    <xf numFmtId="0" fontId="2" fillId="8" borderId="24" xfId="33" applyFill="1" applyBorder="1" applyAlignment="1">
      <alignment horizontal="center"/>
    </xf>
    <xf numFmtId="0" fontId="2" fillId="10" borderId="24" xfId="33" applyFill="1" applyBorder="1" applyAlignment="1">
      <alignment horizontal="center"/>
    </xf>
    <xf numFmtId="0" fontId="2" fillId="10" borderId="25" xfId="33" applyFill="1" applyBorder="1" applyAlignment="1">
      <alignment horizontal="center"/>
    </xf>
    <xf numFmtId="0" fontId="2" fillId="6" borderId="0" xfId="33" applyFill="1" applyAlignment="1">
      <alignment horizontal="center"/>
    </xf>
    <xf numFmtId="0" fontId="2" fillId="6" borderId="24" xfId="33" applyFill="1" applyBorder="1" applyAlignment="1">
      <alignment horizontal="center"/>
    </xf>
    <xf numFmtId="0" fontId="2" fillId="7" borderId="0" xfId="33" applyFill="1" applyAlignment="1">
      <alignment horizontal="center"/>
    </xf>
    <xf numFmtId="167" fontId="2" fillId="7" borderId="24" xfId="33" applyNumberFormat="1" applyFill="1" applyBorder="1"/>
    <xf numFmtId="0" fontId="2" fillId="0" borderId="25" xfId="33" applyBorder="1" applyAlignment="1">
      <alignment horizontal="center"/>
    </xf>
    <xf numFmtId="167" fontId="2" fillId="0" borderId="24" xfId="33" applyNumberFormat="1" applyBorder="1" applyAlignment="1">
      <alignment horizontal="center"/>
    </xf>
    <xf numFmtId="167" fontId="0" fillId="0" borderId="24" xfId="36" applyNumberFormat="1" applyFont="1" applyBorder="1"/>
    <xf numFmtId="167" fontId="2" fillId="0" borderId="24" xfId="33" applyNumberFormat="1" applyBorder="1"/>
    <xf numFmtId="167" fontId="0" fillId="0" borderId="26" xfId="36" applyNumberFormat="1" applyFont="1" applyFill="1" applyBorder="1"/>
    <xf numFmtId="167" fontId="2" fillId="0" borderId="0" xfId="33" applyNumberFormat="1"/>
    <xf numFmtId="3" fontId="2" fillId="0" borderId="0" xfId="33" applyNumberFormat="1"/>
    <xf numFmtId="41" fontId="0" fillId="0" borderId="17" xfId="2" applyFont="1" applyBorder="1"/>
    <xf numFmtId="41" fontId="0" fillId="0" borderId="1" xfId="2" applyFont="1" applyBorder="1"/>
    <xf numFmtId="0" fontId="43" fillId="0" borderId="0" xfId="33" applyFont="1"/>
    <xf numFmtId="0" fontId="44" fillId="0" borderId="0" xfId="33" applyFont="1" applyAlignment="1">
      <alignment vertical="center"/>
    </xf>
    <xf numFmtId="0" fontId="13" fillId="0" borderId="0" xfId="33" applyFont="1"/>
    <xf numFmtId="0" fontId="47" fillId="0" borderId="29" xfId="33" applyFont="1" applyBorder="1" applyAlignment="1">
      <alignment horizontal="center" vertical="center"/>
    </xf>
    <xf numFmtId="0" fontId="47" fillId="0" borderId="22" xfId="33" applyFont="1" applyBorder="1" applyAlignment="1">
      <alignment vertical="top"/>
    </xf>
    <xf numFmtId="0" fontId="47" fillId="0" borderId="22" xfId="33" applyFont="1" applyBorder="1" applyAlignment="1">
      <alignment horizontal="left" vertical="top" wrapText="1"/>
    </xf>
    <xf numFmtId="41" fontId="47" fillId="0" borderId="22" xfId="37" applyFont="1" applyBorder="1" applyAlignment="1">
      <alignment horizontal="left" vertical="top"/>
    </xf>
    <xf numFmtId="41" fontId="47" fillId="0" borderId="18" xfId="33" applyNumberFormat="1" applyFont="1" applyBorder="1" applyAlignment="1">
      <alignment horizontal="left" vertical="top"/>
    </xf>
    <xf numFmtId="0" fontId="48" fillId="0" borderId="0" xfId="33" applyFont="1" applyAlignment="1">
      <alignment vertical="center"/>
    </xf>
    <xf numFmtId="0" fontId="47" fillId="0" borderId="0" xfId="33" applyFont="1" applyFill="1" applyBorder="1" applyAlignment="1">
      <alignment vertical="top"/>
    </xf>
    <xf numFmtId="0" fontId="49" fillId="0" borderId="0" xfId="33" applyFont="1" applyAlignment="1">
      <alignment horizontal="center" vertical="center"/>
    </xf>
    <xf numFmtId="0" fontId="2" fillId="0" borderId="0" xfId="33" applyAlignment="1">
      <alignment horizontal="center"/>
    </xf>
    <xf numFmtId="0" fontId="9" fillId="0" borderId="0" xfId="13"/>
    <xf numFmtId="0" fontId="31" fillId="0" borderId="0" xfId="13" applyFont="1"/>
    <xf numFmtId="14" fontId="31" fillId="0" borderId="0" xfId="13" applyNumberFormat="1" applyFont="1"/>
    <xf numFmtId="0" fontId="47" fillId="0" borderId="1" xfId="33" applyFont="1" applyBorder="1" applyAlignment="1">
      <alignment vertical="top"/>
    </xf>
    <xf numFmtId="0" fontId="47" fillId="0" borderId="0" xfId="33" applyFont="1" applyBorder="1" applyAlignment="1">
      <alignment vertical="top"/>
    </xf>
    <xf numFmtId="0" fontId="47" fillId="0" borderId="29" xfId="33" applyFont="1" applyBorder="1" applyAlignment="1">
      <alignment horizontal="left" vertical="top" wrapText="1"/>
    </xf>
    <xf numFmtId="0" fontId="47" fillId="0" borderId="29" xfId="33" applyFont="1" applyBorder="1" applyAlignment="1">
      <alignment vertical="top"/>
    </xf>
    <xf numFmtId="41" fontId="47" fillId="0" borderId="29" xfId="37" applyFont="1" applyBorder="1" applyAlignment="1">
      <alignment horizontal="left" vertical="top"/>
    </xf>
    <xf numFmtId="41" fontId="47" fillId="0" borderId="23" xfId="33" applyNumberFormat="1" applyFont="1" applyBorder="1" applyAlignment="1">
      <alignment horizontal="left" vertical="top"/>
    </xf>
    <xf numFmtId="0" fontId="47" fillId="0" borderId="29" xfId="33" applyFont="1" applyBorder="1" applyAlignment="1">
      <alignment vertical="top" wrapText="1"/>
    </xf>
    <xf numFmtId="0" fontId="47" fillId="0" borderId="22" xfId="33" applyFont="1" applyBorder="1" applyAlignment="1">
      <alignment vertical="top" wrapText="1"/>
    </xf>
    <xf numFmtId="0" fontId="47" fillId="0" borderId="29" xfId="33" applyFont="1" applyBorder="1" applyAlignment="1">
      <alignment horizontal="left" vertical="center"/>
    </xf>
    <xf numFmtId="41" fontId="47" fillId="0" borderId="40" xfId="33" applyNumberFormat="1" applyFont="1" applyBorder="1" applyAlignment="1">
      <alignment horizontal="left" vertical="top"/>
    </xf>
    <xf numFmtId="0" fontId="47" fillId="0" borderId="13" xfId="33" applyFont="1" applyBorder="1" applyAlignment="1">
      <alignment horizontal="center" vertical="center"/>
    </xf>
    <xf numFmtId="0" fontId="47" fillId="0" borderId="21" xfId="33" applyFont="1" applyBorder="1" applyAlignment="1">
      <alignment horizontal="center" vertical="center"/>
    </xf>
    <xf numFmtId="0" fontId="47" fillId="0" borderId="40" xfId="33" applyFont="1" applyBorder="1" applyAlignment="1">
      <alignment vertical="top"/>
    </xf>
    <xf numFmtId="0" fontId="47" fillId="0" borderId="29" xfId="33" applyFont="1" applyBorder="1" applyAlignment="1">
      <alignment vertical="center"/>
    </xf>
    <xf numFmtId="41" fontId="47" fillId="0" borderId="40" xfId="33" applyNumberFormat="1" applyFont="1" applyBorder="1" applyAlignment="1">
      <alignment horizontal="left" vertical="top" wrapText="1"/>
    </xf>
    <xf numFmtId="0" fontId="26" fillId="0" borderId="0" xfId="38"/>
    <xf numFmtId="0" fontId="1" fillId="0" borderId="0" xfId="39"/>
    <xf numFmtId="0" fontId="26" fillId="0" borderId="24" xfId="38" applyBorder="1" applyAlignment="1">
      <alignment horizontal="center"/>
    </xf>
    <xf numFmtId="0" fontId="26" fillId="0" borderId="0" xfId="38" applyAlignment="1">
      <alignment horizontal="center"/>
    </xf>
    <xf numFmtId="0" fontId="26" fillId="0" borderId="24" xfId="38" applyBorder="1"/>
    <xf numFmtId="171" fontId="26" fillId="0" borderId="24" xfId="38" applyNumberFormat="1" applyBorder="1" applyAlignment="1">
      <alignment horizontal="center"/>
    </xf>
    <xf numFmtId="171" fontId="26" fillId="0" borderId="0" xfId="38" applyNumberFormat="1"/>
    <xf numFmtId="0" fontId="41" fillId="0" borderId="0" xfId="40" applyFont="1" applyAlignment="1">
      <alignment horizontal="center"/>
    </xf>
    <xf numFmtId="165" fontId="26" fillId="0" borderId="0" xfId="41" applyFont="1" applyBorder="1"/>
    <xf numFmtId="172" fontId="26" fillId="0" borderId="0" xfId="42" applyNumberFormat="1" applyFont="1"/>
    <xf numFmtId="165" fontId="26" fillId="0" borderId="0" xfId="38" applyNumberFormat="1"/>
    <xf numFmtId="173" fontId="26" fillId="0" borderId="0" xfId="43" applyNumberFormat="1" applyFont="1"/>
    <xf numFmtId="41" fontId="26" fillId="0" borderId="2" xfId="42" applyFont="1" applyBorder="1"/>
    <xf numFmtId="0" fontId="13" fillId="0" borderId="0" xfId="0" applyFont="1" applyFill="1"/>
    <xf numFmtId="0" fontId="13" fillId="0" borderId="0" xfId="0" applyFont="1" applyFill="1" applyAlignment="1">
      <alignment vertical="center"/>
    </xf>
    <xf numFmtId="0" fontId="13" fillId="0" borderId="13" xfId="0" applyFont="1" applyFill="1" applyBorder="1"/>
    <xf numFmtId="0" fontId="29" fillId="0" borderId="15" xfId="0" applyFont="1" applyFill="1" applyBorder="1" applyAlignment="1">
      <alignment horizontal="right" vertical="top"/>
    </xf>
    <xf numFmtId="0" fontId="0" fillId="0" borderId="0" xfId="0" applyFill="1"/>
    <xf numFmtId="0" fontId="0" fillId="0" borderId="0" xfId="0" applyFill="1" applyAlignment="1">
      <alignment vertical="center"/>
    </xf>
    <xf numFmtId="0" fontId="24" fillId="0" borderId="0" xfId="0" applyFont="1" applyFill="1" applyAlignment="1">
      <alignment horizontal="center"/>
    </xf>
    <xf numFmtId="0" fontId="0" fillId="0" borderId="0" xfId="0" quotePrefix="1" applyFill="1" applyAlignment="1">
      <alignment horizontal="center"/>
    </xf>
    <xf numFmtId="9" fontId="14" fillId="0" borderId="0" xfId="2" applyNumberFormat="1" applyFont="1" applyFill="1"/>
    <xf numFmtId="0" fontId="0" fillId="0" borderId="0" xfId="0" applyFill="1" applyAlignment="1">
      <alignment horizontal="center"/>
    </xf>
    <xf numFmtId="41" fontId="0" fillId="0" borderId="0" xfId="2" applyFont="1" applyFill="1" applyAlignment="1">
      <alignment vertical="center"/>
    </xf>
    <xf numFmtId="9" fontId="0" fillId="0" borderId="0" xfId="0" applyNumberFormat="1" applyFill="1" applyAlignment="1">
      <alignment horizontal="center"/>
    </xf>
    <xf numFmtId="41" fontId="0" fillId="0" borderId="0" xfId="2" applyFont="1" applyFill="1"/>
    <xf numFmtId="10" fontId="14" fillId="0" borderId="0" xfId="2" applyNumberFormat="1" applyFont="1" applyFill="1"/>
    <xf numFmtId="41" fontId="14" fillId="0" borderId="0" xfId="0" applyNumberFormat="1" applyFont="1" applyFill="1" applyBorder="1"/>
    <xf numFmtId="41" fontId="17" fillId="0" borderId="0" xfId="0" applyNumberFormat="1" applyFont="1" applyFill="1" applyBorder="1"/>
    <xf numFmtId="41" fontId="19" fillId="0" borderId="0" xfId="0" applyNumberFormat="1" applyFont="1" applyFill="1" applyBorder="1"/>
    <xf numFmtId="0" fontId="13" fillId="0" borderId="25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41" fontId="25" fillId="0" borderId="0" xfId="0" applyNumberFormat="1" applyFont="1" applyFill="1"/>
    <xf numFmtId="41" fontId="25" fillId="0" borderId="6" xfId="0" applyNumberFormat="1" applyFont="1" applyFill="1" applyBorder="1"/>
    <xf numFmtId="41" fontId="25" fillId="0" borderId="3" xfId="0" applyNumberFormat="1" applyFont="1" applyFill="1" applyBorder="1"/>
    <xf numFmtId="41" fontId="25" fillId="0" borderId="34" xfId="0" applyNumberFormat="1" applyFont="1" applyFill="1" applyBorder="1"/>
    <xf numFmtId="41" fontId="25" fillId="0" borderId="0" xfId="0" applyNumberFormat="1" applyFont="1" applyFill="1" applyBorder="1"/>
    <xf numFmtId="41" fontId="25" fillId="0" borderId="8" xfId="0" applyNumberFormat="1" applyFont="1" applyFill="1" applyBorder="1"/>
    <xf numFmtId="41" fontId="25" fillId="0" borderId="18" xfId="0" applyNumberFormat="1" applyFont="1" applyFill="1" applyBorder="1"/>
    <xf numFmtId="41" fontId="25" fillId="0" borderId="2" xfId="0" applyNumberFormat="1" applyFont="1" applyFill="1" applyBorder="1"/>
    <xf numFmtId="41" fontId="0" fillId="0" borderId="2" xfId="2" applyFont="1" applyFill="1" applyBorder="1"/>
    <xf numFmtId="41" fontId="19" fillId="0" borderId="2" xfId="0" applyNumberFormat="1" applyFont="1" applyFill="1" applyBorder="1"/>
    <xf numFmtId="0" fontId="16" fillId="0" borderId="0" xfId="0" applyFont="1" applyFill="1"/>
    <xf numFmtId="0" fontId="0" fillId="0" borderId="19" xfId="0" applyFont="1" applyFill="1" applyBorder="1"/>
    <xf numFmtId="0" fontId="0" fillId="0" borderId="18" xfId="0" applyFont="1" applyFill="1" applyBorder="1"/>
    <xf numFmtId="0" fontId="13" fillId="0" borderId="0" xfId="0" applyFont="1" applyFill="1" applyBorder="1" applyAlignment="1">
      <alignment horizontal="left"/>
    </xf>
    <xf numFmtId="0" fontId="0" fillId="0" borderId="18" xfId="0" applyFont="1" applyFill="1" applyBorder="1" applyAlignment="1">
      <alignment horizontal="left" vertical="justify" wrapText="1"/>
    </xf>
    <xf numFmtId="0" fontId="0" fillId="0" borderId="0" xfId="0" applyFont="1" applyFill="1" applyBorder="1"/>
    <xf numFmtId="0" fontId="0" fillId="0" borderId="18" xfId="2" applyNumberFormat="1" applyFont="1" applyFill="1" applyBorder="1" applyAlignment="1">
      <alignment horizontal="left"/>
    </xf>
    <xf numFmtId="167" fontId="0" fillId="0" borderId="0" xfId="19" applyNumberFormat="1" applyFont="1" applyFill="1" applyBorder="1"/>
    <xf numFmtId="0" fontId="0" fillId="0" borderId="0" xfId="0" quotePrefix="1" applyFont="1" applyFill="1" applyBorder="1" applyAlignment="1">
      <alignment horizontal="left" indent="1"/>
    </xf>
    <xf numFmtId="0" fontId="0" fillId="0" borderId="22" xfId="0" applyFont="1" applyFill="1" applyBorder="1"/>
    <xf numFmtId="0" fontId="0" fillId="0" borderId="1" xfId="0" applyFont="1" applyFill="1" applyBorder="1"/>
    <xf numFmtId="0" fontId="0" fillId="0" borderId="17" xfId="0" applyFont="1" applyFill="1" applyBorder="1"/>
    <xf numFmtId="0" fontId="16" fillId="0" borderId="0" xfId="0" applyFont="1" applyFill="1" applyBorder="1"/>
    <xf numFmtId="0" fontId="0" fillId="0" borderId="0" xfId="0" applyFont="1" applyFill="1"/>
    <xf numFmtId="0" fontId="12" fillId="0" borderId="0" xfId="17"/>
    <xf numFmtId="0" fontId="50" fillId="0" borderId="0" xfId="13" applyFont="1" applyAlignment="1">
      <alignment horizontal="right"/>
    </xf>
    <xf numFmtId="0" fontId="1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Fill="1" applyBorder="1" applyAlignment="1">
      <alignment horizontal="left" indent="1"/>
    </xf>
    <xf numFmtId="0" fontId="13" fillId="0" borderId="0" xfId="0" applyFont="1" applyFill="1" applyBorder="1" applyAlignment="1">
      <alignment horizontal="left"/>
    </xf>
    <xf numFmtId="0" fontId="13" fillId="0" borderId="16" xfId="0" applyFont="1" applyFill="1" applyBorder="1" applyAlignment="1" applyProtection="1">
      <alignment horizontal="left" indent="1"/>
    </xf>
    <xf numFmtId="0" fontId="13" fillId="0" borderId="17" xfId="0" applyFont="1" applyFill="1" applyBorder="1" applyAlignment="1" applyProtection="1">
      <alignment horizontal="left" indent="1"/>
    </xf>
    <xf numFmtId="0" fontId="13" fillId="0" borderId="20" xfId="0" applyFont="1" applyFill="1" applyBorder="1" applyAlignment="1" applyProtection="1">
      <alignment horizontal="left" indent="1"/>
    </xf>
    <xf numFmtId="0" fontId="13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1" xfId="0" applyFont="1" applyFill="1" applyBorder="1" applyAlignment="1" applyProtection="1">
      <alignment horizontal="left" indent="1"/>
    </xf>
    <xf numFmtId="0" fontId="13" fillId="0" borderId="17" xfId="0" applyFont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31" fillId="0" borderId="14" xfId="0" applyFont="1" applyBorder="1" applyAlignment="1">
      <alignment horizontal="center"/>
    </xf>
    <xf numFmtId="0" fontId="31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3" fillId="0" borderId="17" xfId="0" applyFont="1" applyFill="1" applyBorder="1" applyAlignment="1">
      <alignment horizontal="left"/>
    </xf>
    <xf numFmtId="0" fontId="0" fillId="0" borderId="17" xfId="0" applyFont="1" applyFill="1" applyBorder="1" applyAlignment="1" applyProtection="1">
      <alignment horizontal="left" indent="1"/>
    </xf>
    <xf numFmtId="0" fontId="13" fillId="0" borderId="21" xfId="0" applyFont="1" applyFill="1" applyBorder="1" applyAlignment="1" applyProtection="1">
      <alignment horizontal="left" indent="1"/>
    </xf>
    <xf numFmtId="0" fontId="13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3" fillId="0" borderId="12" xfId="0" applyNumberFormat="1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2" fillId="0" borderId="26" xfId="33" applyBorder="1" applyAlignment="1">
      <alignment horizontal="center" vertical="center" wrapText="1"/>
    </xf>
    <xf numFmtId="0" fontId="2" fillId="0" borderId="28" xfId="33" applyBorder="1" applyAlignment="1">
      <alignment horizontal="center" vertical="center" wrapText="1"/>
    </xf>
    <xf numFmtId="0" fontId="2" fillId="0" borderId="26" xfId="33" applyBorder="1" applyAlignment="1">
      <alignment horizontal="left" vertical="center" wrapText="1"/>
    </xf>
    <xf numFmtId="0" fontId="2" fillId="0" borderId="27" xfId="33" applyBorder="1" applyAlignment="1">
      <alignment horizontal="left" vertical="center" wrapText="1"/>
    </xf>
    <xf numFmtId="0" fontId="2" fillId="0" borderId="28" xfId="33" applyBorder="1" applyAlignment="1">
      <alignment horizontal="left" vertical="center" wrapText="1"/>
    </xf>
    <xf numFmtId="0" fontId="2" fillId="8" borderId="25" xfId="33" applyFill="1" applyBorder="1" applyAlignment="1">
      <alignment horizontal="center"/>
    </xf>
    <xf numFmtId="0" fontId="2" fillId="8" borderId="37" xfId="33" applyFill="1" applyBorder="1" applyAlignment="1">
      <alignment horizontal="center"/>
    </xf>
    <xf numFmtId="0" fontId="2" fillId="8" borderId="26" xfId="33" applyFill="1" applyBorder="1" applyAlignment="1">
      <alignment horizontal="center" vertical="center"/>
    </xf>
    <xf numFmtId="0" fontId="2" fillId="8" borderId="28" xfId="33" applyFill="1" applyBorder="1" applyAlignment="1">
      <alignment horizontal="center" vertical="center"/>
    </xf>
    <xf numFmtId="0" fontId="2" fillId="0" borderId="24" xfId="33" applyBorder="1" applyAlignment="1">
      <alignment horizontal="center" vertical="center"/>
    </xf>
    <xf numFmtId="0" fontId="2" fillId="6" borderId="24" xfId="33" applyFill="1" applyBorder="1" applyAlignment="1">
      <alignment horizontal="center" vertical="center"/>
    </xf>
    <xf numFmtId="0" fontId="47" fillId="0" borderId="38" xfId="33" applyFont="1" applyBorder="1" applyAlignment="1">
      <alignment horizontal="center" vertical="center"/>
    </xf>
    <xf numFmtId="0" fontId="47" fillId="0" borderId="23" xfId="33" applyFont="1" applyBorder="1" applyAlignment="1">
      <alignment horizontal="center" vertical="center"/>
    </xf>
    <xf numFmtId="9" fontId="47" fillId="0" borderId="42" xfId="33" applyNumberFormat="1" applyFont="1" applyBorder="1" applyAlignment="1">
      <alignment horizontal="center" vertical="center"/>
    </xf>
    <xf numFmtId="0" fontId="47" fillId="0" borderId="43" xfId="33" applyFont="1" applyBorder="1" applyAlignment="1">
      <alignment horizontal="center" vertical="center"/>
    </xf>
    <xf numFmtId="0" fontId="42" fillId="0" borderId="0" xfId="33" applyFont="1" applyAlignment="1">
      <alignment horizontal="center" vertical="center"/>
    </xf>
    <xf numFmtId="0" fontId="44" fillId="0" borderId="0" xfId="33" applyFont="1" applyAlignment="1">
      <alignment vertical="center"/>
    </xf>
    <xf numFmtId="0" fontId="45" fillId="11" borderId="38" xfId="33" applyFont="1" applyFill="1" applyBorder="1" applyAlignment="1">
      <alignment horizontal="center" vertical="center"/>
    </xf>
    <xf numFmtId="0" fontId="45" fillId="11" borderId="29" xfId="33" applyFont="1" applyFill="1" applyBorder="1" applyAlignment="1">
      <alignment horizontal="center" vertical="center"/>
    </xf>
    <xf numFmtId="0" fontId="46" fillId="11" borderId="16" xfId="33" applyFont="1" applyFill="1" applyBorder="1" applyAlignment="1">
      <alignment horizontal="center" vertical="center"/>
    </xf>
    <xf numFmtId="0" fontId="46" fillId="11" borderId="41" xfId="33" applyFont="1" applyFill="1" applyBorder="1" applyAlignment="1">
      <alignment horizontal="center" vertical="center"/>
    </xf>
    <xf numFmtId="0" fontId="46" fillId="11" borderId="38" xfId="33" applyFont="1" applyFill="1" applyBorder="1" applyAlignment="1">
      <alignment horizontal="center" vertical="center"/>
    </xf>
    <xf numFmtId="0" fontId="46" fillId="11" borderId="39" xfId="33" applyFont="1" applyFill="1" applyBorder="1" applyAlignment="1">
      <alignment horizontal="center" vertical="center"/>
    </xf>
    <xf numFmtId="0" fontId="26" fillId="0" borderId="24" xfId="38" applyBorder="1" applyAlignment="1">
      <alignment horizontal="center"/>
    </xf>
  </cellXfs>
  <cellStyles count="45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3 2" xfId="42" xr:uid="{DC0203F8-3545-4CC4-8962-5DEB97CD17A1}"/>
    <cellStyle name="Comma [0] 3 3" xfId="43" xr:uid="{4199A3D9-C0C8-4A6A-B19B-5D9CD8729600}"/>
    <cellStyle name="Comma [0] 4" xfId="31" xr:uid="{00000000-0005-0000-0000-000004000000}"/>
    <cellStyle name="Comma [0] 4 2" xfId="34" xr:uid="{91D09F17-56CB-4AD7-9FC6-D0D6D593A2AE}"/>
    <cellStyle name="Comma [0] 5" xfId="35" xr:uid="{12E733F0-A186-4435-B530-C6ADA6D35866}"/>
    <cellStyle name="Comma [0] 6" xfId="37" xr:uid="{37EFD666-5A26-4DB7-A2E5-6CD4D9B3D61C}"/>
    <cellStyle name="Comma [0] 7" xfId="41" xr:uid="{FBBE8D00-009D-4F77-9395-BD3A994996B2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omma 8" xfId="36" xr:uid="{B85BEEB8-7EC4-4ECF-A348-AEF7BFB7AE67}"/>
    <cellStyle name="Currency [0] 2" xfId="25" xr:uid="{00000000-0005-0000-0000-00000E000000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3" xr:uid="{93F69423-3018-41E5-9077-3F4A7B31EAE3}"/>
    <cellStyle name="Normal 7" xfId="38" xr:uid="{2E2BBAD7-BB42-44E9-B796-ECA14ADCC9B9}"/>
    <cellStyle name="Normal 7 3" xfId="40" xr:uid="{E195A09C-8C90-4A8B-BFC7-AC6CE6F5898F}"/>
    <cellStyle name="Normal 8" xfId="39" xr:uid="{EA0D6205-E861-4181-B408-064E689D0838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4" xr:uid="{65603AE8-B7B0-4080-833C-BCDBAEC54E9A}"/>
  </cellStyles>
  <dxfs count="2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33</xdr:row>
      <xdr:rowOff>104251</xdr:rowOff>
    </xdr:from>
    <xdr:to>
      <xdr:col>0</xdr:col>
      <xdr:colOff>0</xdr:colOff>
      <xdr:row>34</xdr:row>
      <xdr:rowOff>79374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33ED8F97-220C-4867-8C5F-C744C0654A26}"/>
            </a:ext>
          </a:extLst>
        </xdr:cNvPr>
        <xdr:cNvGrpSpPr/>
      </xdr:nvGrpSpPr>
      <xdr:grpSpPr>
        <a:xfrm>
          <a:off x="0" y="6565655"/>
          <a:ext cx="0" cy="170079"/>
          <a:chOff x="722947" y="7327377"/>
          <a:chExt cx="10285884" cy="0"/>
        </a:xfrm>
      </xdr:grpSpPr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0571A305-C464-41A3-A5F1-8CD3D16A1CD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D77CDC54-4A51-4168-9E88-126BF128D30C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83ECB16E-04A3-440E-AE47-A618A7D8CE8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Straight Connector 30">
            <a:extLst>
              <a:ext uri="{FF2B5EF4-FFF2-40B4-BE49-F238E27FC236}">
                <a16:creationId xmlns:a16="http://schemas.microsoft.com/office/drawing/2014/main" id="{FBEA4CA0-424C-43BE-B800-FB5AA6EB4CFC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2" name="Straight Connector 31">
            <a:extLst>
              <a:ext uri="{FF2B5EF4-FFF2-40B4-BE49-F238E27FC236}">
                <a16:creationId xmlns:a16="http://schemas.microsoft.com/office/drawing/2014/main" id="{82634F5E-A554-43FA-9426-9793BF28EAE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3" name="Straight Connector 32">
            <a:extLst>
              <a:ext uri="{FF2B5EF4-FFF2-40B4-BE49-F238E27FC236}">
                <a16:creationId xmlns:a16="http://schemas.microsoft.com/office/drawing/2014/main" id="{9E345F79-024F-4D7F-828E-894A5C461877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5BDA3095-3532-4E82-9206-FA6A52B0309D}"/>
            </a:ext>
          </a:extLst>
        </xdr:cNvPr>
        <xdr:cNvGrpSpPr/>
      </xdr:nvGrpSpPr>
      <xdr:grpSpPr>
        <a:xfrm>
          <a:off x="622078" y="5311736"/>
          <a:ext cx="8830096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1B7FD184-E274-4747-BBA9-51034D43C0DB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AA00BA3D-7009-4268-9D8A-36D88BDC7EE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34" name="TextBox 33">
            <a:extLst>
              <a:ext uri="{FF2B5EF4-FFF2-40B4-BE49-F238E27FC236}">
                <a16:creationId xmlns:a16="http://schemas.microsoft.com/office/drawing/2014/main" id="{E684022B-5B1A-467C-9FB6-C8482C460C67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35" name="TextBox 34">
            <a:extLst>
              <a:ext uri="{FF2B5EF4-FFF2-40B4-BE49-F238E27FC236}">
                <a16:creationId xmlns:a16="http://schemas.microsoft.com/office/drawing/2014/main" id="{CA258324-7868-4A82-89E7-5CB5EE10E620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4089D13C-7B6B-4873-A735-7B7A8AD0321C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82AB50DD-51DB-4E3E-8A47-56CF372548E6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D79587C2-D3A5-4E1F-9E42-9AF40632B4F7}"/>
            </a:ext>
          </a:extLst>
        </xdr:cNvPr>
        <xdr:cNvGrpSpPr/>
      </xdr:nvGrpSpPr>
      <xdr:grpSpPr>
        <a:xfrm>
          <a:off x="633824" y="6565655"/>
          <a:ext cx="9025740" cy="170079"/>
          <a:chOff x="722947" y="7327377"/>
          <a:chExt cx="10285884" cy="0"/>
        </a:xfrm>
      </xdr:grpSpPr>
      <xdr:cxnSp macro="">
        <xdr:nvCxnSpPr>
          <xdr:cNvPr id="39" name="Straight Connector 38">
            <a:extLst>
              <a:ext uri="{FF2B5EF4-FFF2-40B4-BE49-F238E27FC236}">
                <a16:creationId xmlns:a16="http://schemas.microsoft.com/office/drawing/2014/main" id="{636728F7-21E4-44E2-BC19-CBEDEAD3B8F5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0" name="Straight Connector 39">
            <a:extLst>
              <a:ext uri="{FF2B5EF4-FFF2-40B4-BE49-F238E27FC236}">
                <a16:creationId xmlns:a16="http://schemas.microsoft.com/office/drawing/2014/main" id="{2B6E4DBE-B97F-4D08-9795-0E5A842D91F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1" name="Straight Connector 40">
            <a:extLst>
              <a:ext uri="{FF2B5EF4-FFF2-40B4-BE49-F238E27FC236}">
                <a16:creationId xmlns:a16="http://schemas.microsoft.com/office/drawing/2014/main" id="{F8BE179C-27D4-4A39-8426-2A675348A13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2" name="Straight Connector 41">
            <a:extLst>
              <a:ext uri="{FF2B5EF4-FFF2-40B4-BE49-F238E27FC236}">
                <a16:creationId xmlns:a16="http://schemas.microsoft.com/office/drawing/2014/main" id="{E776BCF9-DFB9-4ED2-BCC8-AB9DD303015C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3" name="Straight Connector 42">
            <a:extLst>
              <a:ext uri="{FF2B5EF4-FFF2-40B4-BE49-F238E27FC236}">
                <a16:creationId xmlns:a16="http://schemas.microsoft.com/office/drawing/2014/main" id="{4956459A-D21D-4FFA-9331-B15F72C54854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4" name="Straight Connector 43">
            <a:extLst>
              <a:ext uri="{FF2B5EF4-FFF2-40B4-BE49-F238E27FC236}">
                <a16:creationId xmlns:a16="http://schemas.microsoft.com/office/drawing/2014/main" id="{15493518-9CF4-4CAC-AF13-9BD63D2192AB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%20strategic%20planning/PnL/IBC/PnL%20Swissbell%20Batam%20rev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Summary Review new (2)"/>
    </sheetNames>
    <sheetDataSet>
      <sheetData sheetId="0">
        <row r="9">
          <cell r="H9">
            <v>72</v>
          </cell>
        </row>
      </sheetData>
      <sheetData sheetId="1">
        <row r="4">
          <cell r="E4">
            <v>0.1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34"/>
  <sheetViews>
    <sheetView showGridLines="0" tabSelected="1" zoomScale="114" zoomScaleNormal="114" workbookViewId="0">
      <selection activeCell="K13" sqref="K13:L13"/>
    </sheetView>
  </sheetViews>
  <sheetFormatPr defaultColWidth="8.6640625" defaultRowHeight="15.5" x14ac:dyDescent="0.35"/>
  <cols>
    <col min="1" max="1" width="4.1640625" style="82" customWidth="1"/>
    <col min="2" max="2" width="3" style="82" customWidth="1"/>
    <col min="3" max="3" width="17.33203125" style="82" customWidth="1"/>
    <col min="4" max="4" width="20.1640625" style="82" customWidth="1"/>
    <col min="5" max="5" width="4.1640625" style="82" customWidth="1"/>
    <col min="6" max="6" width="4.83203125" style="82" customWidth="1"/>
    <col min="7" max="7" width="17" style="82" bestFit="1" customWidth="1"/>
    <col min="8" max="8" width="8.33203125" style="82" customWidth="1"/>
    <col min="9" max="9" width="3.58203125" style="82" customWidth="1"/>
    <col min="10" max="10" width="2.08203125" style="82" customWidth="1"/>
    <col min="11" max="11" width="5.08203125" style="82" customWidth="1"/>
    <col min="12" max="12" width="18.33203125" style="82" bestFit="1" customWidth="1"/>
    <col min="13" max="13" width="16.5" style="82" customWidth="1"/>
    <col min="14" max="14" width="2.08203125" style="82" customWidth="1"/>
    <col min="15" max="15" width="3.6640625" style="82" customWidth="1"/>
    <col min="16" max="16384" width="8.6640625" style="82"/>
  </cols>
  <sheetData>
    <row r="1" spans="2:15" ht="21" x14ac:dyDescent="0.5">
      <c r="B1" s="84"/>
      <c r="C1" s="84" t="s">
        <v>216</v>
      </c>
      <c r="D1" s="84"/>
      <c r="E1" s="84"/>
      <c r="F1" s="84"/>
      <c r="G1" s="84"/>
      <c r="H1" s="84"/>
      <c r="I1" s="84"/>
      <c r="J1" s="196"/>
      <c r="K1" s="196"/>
      <c r="L1" s="196"/>
      <c r="M1" s="271" t="str">
        <f>D6</f>
        <v>Mall Taman Palem</v>
      </c>
      <c r="N1" s="84"/>
    </row>
    <row r="2" spans="2:15" ht="18.5" x14ac:dyDescent="0.45">
      <c r="B2" s="84"/>
      <c r="C2" s="86" t="s">
        <v>86</v>
      </c>
      <c r="D2" s="83" t="s">
        <v>95</v>
      </c>
      <c r="E2" s="84"/>
      <c r="F2" s="84"/>
      <c r="G2" s="84"/>
      <c r="H2" s="84"/>
      <c r="J2" s="197" t="s">
        <v>91</v>
      </c>
      <c r="K2" s="197"/>
      <c r="L2" s="197"/>
      <c r="M2" s="198">
        <v>45616</v>
      </c>
      <c r="N2" s="84"/>
    </row>
    <row r="3" spans="2:15" ht="19" thickBot="1" x14ac:dyDescent="0.5">
      <c r="B3" s="84"/>
      <c r="C3" s="86" t="s">
        <v>87</v>
      </c>
      <c r="D3" s="83" t="s">
        <v>88</v>
      </c>
      <c r="E3" s="84"/>
      <c r="F3" s="84"/>
      <c r="G3" s="84"/>
      <c r="H3" s="84"/>
      <c r="M3" s="84"/>
      <c r="N3" s="84"/>
    </row>
    <row r="4" spans="2:15" ht="16" hidden="1" thickBot="1" x14ac:dyDescent="0.4">
      <c r="B4" s="84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</row>
    <row r="5" spans="2:15" s="85" customFormat="1" ht="19" thickBot="1" x14ac:dyDescent="0.5">
      <c r="B5" s="286" t="s">
        <v>70</v>
      </c>
      <c r="C5" s="287"/>
      <c r="D5" s="288"/>
      <c r="E5" s="286" t="s">
        <v>76</v>
      </c>
      <c r="F5" s="287"/>
      <c r="G5" s="287"/>
      <c r="H5" s="287"/>
      <c r="I5" s="287"/>
      <c r="J5" s="286" t="s">
        <v>71</v>
      </c>
      <c r="K5" s="287"/>
      <c r="L5" s="287"/>
      <c r="M5" s="287"/>
      <c r="N5" s="288"/>
    </row>
    <row r="6" spans="2:15" x14ac:dyDescent="0.35">
      <c r="B6" s="289" t="s">
        <v>68</v>
      </c>
      <c r="C6" s="290"/>
      <c r="D6" s="257" t="s">
        <v>153</v>
      </c>
      <c r="E6" s="291" t="s">
        <v>78</v>
      </c>
      <c r="F6" s="291"/>
      <c r="G6" s="291"/>
      <c r="H6" s="291"/>
      <c r="I6" s="291"/>
      <c r="J6" s="98"/>
      <c r="K6" s="292" t="s">
        <v>105</v>
      </c>
      <c r="L6" s="292"/>
      <c r="M6" s="182">
        <f>'Parameter (2)'!C3</f>
        <v>1175497722</v>
      </c>
      <c r="N6" s="104"/>
      <c r="O6" s="81">
        <f>M7-'IRR Approved'!F8</f>
        <v>8707390.5333333332</v>
      </c>
    </row>
    <row r="7" spans="2:15" x14ac:dyDescent="0.35">
      <c r="B7" s="145"/>
      <c r="C7" s="146"/>
      <c r="D7" s="258"/>
      <c r="E7" s="259"/>
      <c r="F7" s="259"/>
      <c r="G7" s="259"/>
      <c r="H7" s="259"/>
      <c r="I7" s="259"/>
      <c r="J7" s="95"/>
      <c r="K7" s="275" t="s">
        <v>74</v>
      </c>
      <c r="L7" s="275"/>
      <c r="M7" s="103">
        <f>M6/H9</f>
        <v>8707390.5333333332</v>
      </c>
      <c r="N7" s="87"/>
      <c r="O7" s="81"/>
    </row>
    <row r="8" spans="2:15" x14ac:dyDescent="0.35">
      <c r="B8" s="295" t="s">
        <v>69</v>
      </c>
      <c r="C8" s="296"/>
      <c r="D8" s="260"/>
      <c r="E8" s="282" t="s">
        <v>65</v>
      </c>
      <c r="F8" s="282"/>
      <c r="G8" s="282"/>
      <c r="H8" s="105">
        <f>'IRR Approved'!$F$13</f>
        <v>136</v>
      </c>
      <c r="I8" s="261"/>
      <c r="J8" s="88"/>
      <c r="K8" s="275" t="s">
        <v>73</v>
      </c>
      <c r="L8" s="275"/>
      <c r="M8" s="106">
        <v>5</v>
      </c>
      <c r="N8" s="87"/>
    </row>
    <row r="9" spans="2:15" x14ac:dyDescent="0.35">
      <c r="B9" s="295" t="s">
        <v>80</v>
      </c>
      <c r="C9" s="296"/>
      <c r="D9" s="258" t="s">
        <v>154</v>
      </c>
      <c r="E9" s="282" t="s">
        <v>66</v>
      </c>
      <c r="F9" s="282"/>
      <c r="G9" s="282"/>
      <c r="H9" s="105">
        <v>135</v>
      </c>
      <c r="I9" s="261"/>
      <c r="J9" s="88"/>
      <c r="K9" s="275" t="s">
        <v>89</v>
      </c>
      <c r="L9" s="275"/>
      <c r="M9" s="107">
        <f>'IRR Approved'!$F$4</f>
        <v>0.1</v>
      </c>
      <c r="N9" s="87"/>
    </row>
    <row r="10" spans="2:15" x14ac:dyDescent="0.35">
      <c r="B10" s="274" t="s">
        <v>81</v>
      </c>
      <c r="C10" s="275"/>
      <c r="D10" s="258"/>
      <c r="E10" s="282" t="s">
        <v>67</v>
      </c>
      <c r="F10" s="282"/>
      <c r="G10" s="282"/>
      <c r="H10" s="108">
        <v>0</v>
      </c>
      <c r="I10" s="261"/>
      <c r="J10" s="88"/>
      <c r="K10" s="275" t="s">
        <v>63</v>
      </c>
      <c r="L10" s="275"/>
      <c r="M10" s="103">
        <v>0</v>
      </c>
      <c r="N10" s="87"/>
    </row>
    <row r="11" spans="2:15" x14ac:dyDescent="0.35">
      <c r="B11" s="100" t="s">
        <v>64</v>
      </c>
      <c r="C11" s="101"/>
      <c r="D11" s="258" t="s">
        <v>155</v>
      </c>
      <c r="E11" s="277" t="s">
        <v>77</v>
      </c>
      <c r="F11" s="277"/>
      <c r="G11" s="277"/>
      <c r="H11" s="277"/>
      <c r="I11" s="277"/>
      <c r="J11" s="95"/>
      <c r="K11" s="283" t="s">
        <v>72</v>
      </c>
      <c r="L11" s="283"/>
      <c r="M11" s="103">
        <f>'IRR Approved'!$R$27</f>
        <v>1109760000</v>
      </c>
      <c r="N11" s="87"/>
    </row>
    <row r="12" spans="2:15" x14ac:dyDescent="0.35">
      <c r="B12" s="96" t="s">
        <v>82</v>
      </c>
      <c r="C12" s="102"/>
      <c r="D12" s="262"/>
      <c r="E12" s="276" t="s">
        <v>75</v>
      </c>
      <c r="F12" s="276"/>
      <c r="G12" s="276"/>
      <c r="H12" s="263">
        <v>0</v>
      </c>
      <c r="I12" s="261"/>
      <c r="J12" s="88"/>
      <c r="K12" s="283" t="s">
        <v>230</v>
      </c>
      <c r="L12" s="283"/>
      <c r="M12" s="103">
        <f>'IRR Approved'!H13</f>
        <v>12308606</v>
      </c>
      <c r="N12" s="87"/>
    </row>
    <row r="13" spans="2:15" x14ac:dyDescent="0.35">
      <c r="B13" s="96" t="s">
        <v>83</v>
      </c>
      <c r="C13" s="102"/>
      <c r="D13" s="262">
        <v>1</v>
      </c>
      <c r="E13" s="276" t="s">
        <v>85</v>
      </c>
      <c r="F13" s="276"/>
      <c r="G13" s="276"/>
      <c r="H13" s="263">
        <v>0</v>
      </c>
      <c r="I13" s="261"/>
      <c r="J13" s="88"/>
      <c r="K13" s="283" t="s">
        <v>106</v>
      </c>
      <c r="L13" s="283"/>
      <c r="M13" s="103">
        <f>'IRR Approved'!H15+'IRR Approved'!I14</f>
        <v>200000000</v>
      </c>
      <c r="N13" s="87"/>
    </row>
    <row r="14" spans="2:15" x14ac:dyDescent="0.35">
      <c r="B14" s="96"/>
      <c r="C14" s="114"/>
      <c r="D14" s="262"/>
      <c r="E14" s="264"/>
      <c r="F14" s="264"/>
      <c r="G14" s="264"/>
      <c r="H14" s="263"/>
      <c r="I14" s="261"/>
      <c r="J14" s="88"/>
      <c r="K14" s="283" t="s">
        <v>103</v>
      </c>
      <c r="L14" s="283"/>
      <c r="M14" s="103">
        <f>'IRR Approved'!$R$30</f>
        <v>400000000</v>
      </c>
      <c r="N14" s="87"/>
    </row>
    <row r="15" spans="2:15" ht="16" thickBot="1" x14ac:dyDescent="0.4">
      <c r="B15" s="88"/>
      <c r="C15" s="84"/>
      <c r="D15" s="258"/>
      <c r="E15" s="276" t="s">
        <v>84</v>
      </c>
      <c r="F15" s="276"/>
      <c r="G15" s="276"/>
      <c r="H15" s="263">
        <v>0</v>
      </c>
      <c r="I15" s="261"/>
      <c r="J15" s="88"/>
      <c r="K15" s="284" t="s">
        <v>104</v>
      </c>
      <c r="L15" s="284"/>
      <c r="M15" s="183">
        <f>'IRR Approved'!$R$31+'IRR Approved'!$R$32+'IRR Approved'!$R$33</f>
        <v>90488000</v>
      </c>
      <c r="N15" s="87"/>
    </row>
    <row r="16" spans="2:15" x14ac:dyDescent="0.35">
      <c r="B16" s="88"/>
      <c r="C16" s="84"/>
      <c r="D16" s="258"/>
      <c r="E16" s="277" t="s">
        <v>79</v>
      </c>
      <c r="F16" s="277"/>
      <c r="G16" s="277"/>
      <c r="H16" s="277"/>
      <c r="I16" s="277"/>
      <c r="J16" s="109"/>
      <c r="K16" s="278" t="s">
        <v>26</v>
      </c>
      <c r="L16" s="279"/>
      <c r="M16" s="89">
        <f>'IRR Approved'!$F$51</f>
        <v>0.85444420518969832</v>
      </c>
      <c r="N16" s="87"/>
    </row>
    <row r="17" spans="2:18" x14ac:dyDescent="0.35">
      <c r="B17" s="88"/>
      <c r="C17" s="84"/>
      <c r="D17" s="258"/>
      <c r="E17" s="261"/>
      <c r="F17" s="261"/>
      <c r="G17" s="261"/>
      <c r="H17" s="261"/>
      <c r="I17" s="261"/>
      <c r="J17" s="110"/>
      <c r="K17" s="280" t="s">
        <v>27</v>
      </c>
      <c r="L17" s="281"/>
      <c r="M17" s="116">
        <f>'IRR Approved'!$F$52</f>
        <v>223809225.21563989</v>
      </c>
      <c r="N17" s="87"/>
    </row>
    <row r="18" spans="2:18" x14ac:dyDescent="0.35">
      <c r="B18" s="88"/>
      <c r="C18" s="84"/>
      <c r="D18" s="258"/>
      <c r="E18" s="261"/>
      <c r="F18" s="261"/>
      <c r="G18" s="261"/>
      <c r="H18" s="261"/>
      <c r="I18" s="261"/>
      <c r="J18" s="110"/>
      <c r="K18" s="280" t="s">
        <v>28</v>
      </c>
      <c r="L18" s="281"/>
      <c r="M18" s="90">
        <f>'IRR Approved'!$F$53</f>
        <v>0.55802335640138412</v>
      </c>
      <c r="N18" s="87"/>
      <c r="R18" s="82" t="s">
        <v>59</v>
      </c>
    </row>
    <row r="19" spans="2:18" ht="16" thickBot="1" x14ac:dyDescent="0.4">
      <c r="B19" s="88"/>
      <c r="C19" s="84"/>
      <c r="D19" s="258"/>
      <c r="E19" s="261"/>
      <c r="F19" s="261"/>
      <c r="G19" s="261"/>
      <c r="H19" s="261"/>
      <c r="I19" s="261"/>
      <c r="J19" s="110"/>
      <c r="K19" s="293" t="s">
        <v>90</v>
      </c>
      <c r="L19" s="294"/>
      <c r="M19" s="91">
        <f>'IRR Approved'!$F$54</f>
        <v>4.2325456727562907</v>
      </c>
      <c r="N19" s="87"/>
      <c r="Q19" s="82" t="s">
        <v>59</v>
      </c>
    </row>
    <row r="20" spans="2:18" ht="16" thickBot="1" x14ac:dyDescent="0.4">
      <c r="B20" s="92"/>
      <c r="C20" s="93"/>
      <c r="D20" s="265"/>
      <c r="E20" s="266"/>
      <c r="F20" s="266" t="s">
        <v>59</v>
      </c>
      <c r="G20" s="266"/>
      <c r="H20" s="266"/>
      <c r="I20" s="266"/>
      <c r="J20" s="88"/>
      <c r="K20" s="113"/>
      <c r="L20" s="97"/>
      <c r="M20" s="97"/>
      <c r="N20" s="87"/>
    </row>
    <row r="21" spans="2:18" x14ac:dyDescent="0.35">
      <c r="B21" s="111" t="s">
        <v>96</v>
      </c>
      <c r="C21" s="112"/>
      <c r="D21" s="267"/>
      <c r="E21" s="267"/>
      <c r="F21" s="267"/>
      <c r="G21" s="267"/>
      <c r="H21" s="267"/>
      <c r="I21" s="267"/>
      <c r="J21" s="112"/>
      <c r="K21" s="112"/>
      <c r="L21" s="285" t="s">
        <v>92</v>
      </c>
      <c r="M21" s="285"/>
      <c r="N21" s="104"/>
    </row>
    <row r="22" spans="2:18" x14ac:dyDescent="0.35">
      <c r="B22" s="88" t="s">
        <v>93</v>
      </c>
      <c r="C22" s="84"/>
      <c r="D22" s="261"/>
      <c r="E22" s="261"/>
      <c r="F22" s="261"/>
      <c r="G22" s="261"/>
      <c r="H22" s="261"/>
      <c r="I22" s="261"/>
      <c r="J22" s="84"/>
      <c r="K22" s="84"/>
      <c r="L22" s="272" t="s">
        <v>100</v>
      </c>
      <c r="M22" s="273"/>
      <c r="N22" s="87"/>
    </row>
    <row r="23" spans="2:18" x14ac:dyDescent="0.35">
      <c r="B23" s="88"/>
      <c r="C23" s="84"/>
      <c r="D23" s="261"/>
      <c r="E23" s="261"/>
      <c r="F23" s="261"/>
      <c r="G23" s="261"/>
      <c r="H23" s="261"/>
      <c r="I23" s="261"/>
      <c r="J23" s="84"/>
      <c r="K23" s="84"/>
      <c r="L23" s="84"/>
      <c r="M23" s="84"/>
      <c r="N23" s="87"/>
    </row>
    <row r="24" spans="2:18" x14ac:dyDescent="0.35">
      <c r="B24" s="88"/>
      <c r="C24" s="84"/>
      <c r="D24" s="268"/>
      <c r="E24" s="261"/>
      <c r="F24" s="261"/>
      <c r="G24" s="261"/>
      <c r="H24" s="261"/>
      <c r="I24" s="261"/>
      <c r="J24" s="84"/>
      <c r="K24" s="84"/>
      <c r="L24" s="84"/>
      <c r="M24" s="84"/>
      <c r="N24" s="87"/>
    </row>
    <row r="25" spans="2:18" x14ac:dyDescent="0.35">
      <c r="B25" s="88"/>
      <c r="C25" s="84"/>
      <c r="D25" s="269"/>
      <c r="E25" s="261"/>
      <c r="F25" s="261"/>
      <c r="G25" s="261"/>
      <c r="H25" s="261"/>
      <c r="I25" s="261"/>
      <c r="J25" s="84"/>
      <c r="K25" s="84"/>
      <c r="L25" s="84"/>
      <c r="M25" s="84"/>
      <c r="N25" s="87"/>
    </row>
    <row r="26" spans="2:18" ht="16" thickBot="1" x14ac:dyDescent="0.4">
      <c r="B26" s="92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4"/>
    </row>
    <row r="27" spans="2:18" x14ac:dyDescent="0.35">
      <c r="B27" s="1" t="s">
        <v>94</v>
      </c>
    </row>
    <row r="28" spans="2:18" x14ac:dyDescent="0.35">
      <c r="B28" s="270"/>
      <c r="C28" s="270"/>
      <c r="D28" s="270"/>
      <c r="E28" s="270"/>
      <c r="F28" s="270"/>
      <c r="G28" s="270"/>
      <c r="H28" s="270"/>
      <c r="I28" s="270"/>
      <c r="J28" s="270"/>
      <c r="K28" s="270"/>
      <c r="L28" s="270"/>
      <c r="M28" s="270"/>
      <c r="N28" s="270"/>
    </row>
    <row r="29" spans="2:18" x14ac:dyDescent="0.35">
      <c r="B29" s="270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</row>
    <row r="30" spans="2:18" x14ac:dyDescent="0.35">
      <c r="B30" s="270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</row>
    <row r="31" spans="2:18" x14ac:dyDescent="0.35">
      <c r="B31" s="270"/>
      <c r="C31" s="270"/>
      <c r="D31" s="270"/>
      <c r="E31" s="270"/>
      <c r="F31" s="270"/>
      <c r="G31" s="270"/>
      <c r="H31" s="270"/>
      <c r="I31" s="270"/>
      <c r="J31" s="270"/>
      <c r="K31" s="270"/>
      <c r="L31" s="270"/>
      <c r="M31" s="270"/>
      <c r="N31" s="270"/>
    </row>
    <row r="32" spans="2:18" x14ac:dyDescent="0.35"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</row>
    <row r="33" spans="2:14" x14ac:dyDescent="0.35">
      <c r="B33" s="270"/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0"/>
    </row>
    <row r="34" spans="2:14" x14ac:dyDescent="0.35">
      <c r="B34" s="270"/>
      <c r="C34" s="270"/>
      <c r="D34" s="270"/>
      <c r="E34" s="270"/>
      <c r="F34" s="270"/>
      <c r="G34" s="270"/>
      <c r="H34" s="270"/>
      <c r="I34" s="270"/>
      <c r="J34" s="270"/>
      <c r="K34" s="270"/>
      <c r="L34" s="270"/>
      <c r="M34" s="270"/>
      <c r="N34" s="270"/>
    </row>
  </sheetData>
  <mergeCells count="32">
    <mergeCell ref="K7:L7"/>
    <mergeCell ref="K6:L6"/>
    <mergeCell ref="K19:L19"/>
    <mergeCell ref="B8:C8"/>
    <mergeCell ref="E8:G8"/>
    <mergeCell ref="K8:L8"/>
    <mergeCell ref="E9:G9"/>
    <mergeCell ref="K9:L9"/>
    <mergeCell ref="B9:C9"/>
    <mergeCell ref="K14:L14"/>
    <mergeCell ref="K13:L13"/>
    <mergeCell ref="B5:D5"/>
    <mergeCell ref="E5:I5"/>
    <mergeCell ref="J5:N5"/>
    <mergeCell ref="B6:C6"/>
    <mergeCell ref="E6:I6"/>
    <mergeCell ref="L22:M22"/>
    <mergeCell ref="B10:C10"/>
    <mergeCell ref="E15:G15"/>
    <mergeCell ref="E16:I16"/>
    <mergeCell ref="K16:L16"/>
    <mergeCell ref="K17:L17"/>
    <mergeCell ref="K18:L18"/>
    <mergeCell ref="E10:G10"/>
    <mergeCell ref="K10:L10"/>
    <mergeCell ref="E11:I11"/>
    <mergeCell ref="K12:L12"/>
    <mergeCell ref="E12:G12"/>
    <mergeCell ref="K15:L15"/>
    <mergeCell ref="L21:M21"/>
    <mergeCell ref="E13:G13"/>
    <mergeCell ref="K11:L11"/>
  </mergeCells>
  <pageMargins left="0.35" right="0.4" top="0.45" bottom="0.48" header="0.5" footer="0.22"/>
  <pageSetup paperSize="9" scale="9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B89"/>
  <sheetViews>
    <sheetView showGridLines="0" topLeftCell="A13" zoomScale="70" zoomScaleNormal="70" workbookViewId="0">
      <selection activeCell="H25" sqref="H2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11.5" customWidth="1"/>
    <col min="6" max="6" width="16.6640625" customWidth="1"/>
    <col min="7" max="7" width="5.58203125" style="2" customWidth="1"/>
    <col min="8" max="8" width="17.6640625" customWidth="1"/>
    <col min="9" max="9" width="15.58203125" bestFit="1" customWidth="1"/>
    <col min="10" max="10" width="15.1640625" bestFit="1" customWidth="1"/>
    <col min="11" max="12" width="13.08203125" bestFit="1" customWidth="1"/>
    <col min="13" max="17" width="12" hidden="1" customWidth="1"/>
    <col min="18" max="18" width="15.1640625" style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98</v>
      </c>
      <c r="C1" s="1" t="s">
        <v>216</v>
      </c>
      <c r="E1" s="227"/>
      <c r="F1" s="227"/>
      <c r="G1" s="228"/>
      <c r="H1" s="227"/>
      <c r="I1" s="227"/>
      <c r="J1" s="227"/>
      <c r="K1" s="227"/>
      <c r="L1" s="227"/>
      <c r="M1" s="227"/>
      <c r="N1" s="227"/>
      <c r="O1" s="227"/>
      <c r="P1" s="227"/>
      <c r="Q1" s="229"/>
      <c r="R1" s="230" t="str">
        <f>Summary!$D$6</f>
        <v>Mall Taman Palem</v>
      </c>
      <c r="S1" s="227"/>
      <c r="T1" s="227"/>
    </row>
    <row r="2" spans="2:26" x14ac:dyDescent="0.35">
      <c r="B2" s="31" t="s">
        <v>97</v>
      </c>
      <c r="E2" s="231"/>
      <c r="F2" s="231"/>
      <c r="G2" s="232"/>
      <c r="H2" s="231"/>
      <c r="I2" s="233" t="s">
        <v>151</v>
      </c>
      <c r="J2" s="231"/>
      <c r="K2" s="231"/>
      <c r="L2" s="234" t="s">
        <v>152</v>
      </c>
      <c r="M2" s="231"/>
      <c r="N2" s="231"/>
      <c r="O2" s="231"/>
      <c r="P2" s="231"/>
      <c r="Q2" s="231"/>
      <c r="R2" s="227"/>
      <c r="S2" s="231"/>
      <c r="T2" s="231"/>
    </row>
    <row r="3" spans="2:26" x14ac:dyDescent="0.35">
      <c r="C3" t="s">
        <v>0</v>
      </c>
      <c r="E3" s="231"/>
      <c r="F3" s="235">
        <v>0.02</v>
      </c>
      <c r="G3" s="232"/>
      <c r="H3" s="231"/>
      <c r="I3" s="236">
        <v>2</v>
      </c>
      <c r="J3" s="231" t="s">
        <v>147</v>
      </c>
      <c r="K3" s="237"/>
      <c r="L3" s="238"/>
      <c r="M3" s="231"/>
      <c r="N3" s="231"/>
      <c r="O3" s="231"/>
      <c r="P3" s="231"/>
      <c r="Q3" s="231"/>
      <c r="R3" s="227"/>
      <c r="S3" s="231"/>
      <c r="T3" s="231"/>
    </row>
    <row r="4" spans="2:26" x14ac:dyDescent="0.35">
      <c r="C4" t="s">
        <v>44</v>
      </c>
      <c r="E4" s="231"/>
      <c r="F4" s="235">
        <v>0.1</v>
      </c>
      <c r="G4" s="232"/>
      <c r="H4" s="231"/>
      <c r="I4" s="236">
        <v>3</v>
      </c>
      <c r="J4" s="231" t="s">
        <v>148</v>
      </c>
      <c r="K4" s="239"/>
      <c r="L4" s="238"/>
      <c r="M4" s="231"/>
      <c r="N4" s="231"/>
      <c r="O4" s="231"/>
      <c r="P4" s="231"/>
      <c r="Q4" s="231"/>
      <c r="R4" s="227"/>
      <c r="S4" s="231"/>
      <c r="T4" s="231"/>
    </row>
    <row r="5" spans="2:26" x14ac:dyDescent="0.35">
      <c r="C5" t="s">
        <v>1</v>
      </c>
      <c r="E5" s="231"/>
      <c r="F5" s="235">
        <v>0.05</v>
      </c>
      <c r="G5" s="232" t="s">
        <v>2</v>
      </c>
      <c r="H5" s="231"/>
      <c r="I5" s="236">
        <v>4</v>
      </c>
      <c r="J5" s="231" t="s">
        <v>149</v>
      </c>
      <c r="K5" s="237"/>
      <c r="L5" s="238">
        <v>0</v>
      </c>
      <c r="M5" s="231"/>
      <c r="N5" s="231"/>
      <c r="O5" s="231"/>
      <c r="P5" s="231"/>
      <c r="Q5" s="231"/>
      <c r="R5" s="227"/>
      <c r="S5" s="231"/>
      <c r="T5" s="231"/>
    </row>
    <row r="6" spans="2:26" x14ac:dyDescent="0.35">
      <c r="C6" t="s">
        <v>3</v>
      </c>
      <c r="E6" s="231"/>
      <c r="F6" s="240">
        <v>0</v>
      </c>
      <c r="G6" s="232" t="s">
        <v>2</v>
      </c>
      <c r="H6" s="231"/>
      <c r="I6" s="231"/>
      <c r="J6" s="231" t="s">
        <v>150</v>
      </c>
      <c r="K6" s="239"/>
      <c r="L6" s="231"/>
      <c r="M6" s="231"/>
      <c r="N6" s="231"/>
      <c r="O6" s="231"/>
      <c r="P6" s="231"/>
      <c r="Q6" s="231"/>
      <c r="R6" s="227"/>
      <c r="S6" s="231"/>
      <c r="T6" s="231"/>
    </row>
    <row r="7" spans="2:26" x14ac:dyDescent="0.35">
      <c r="C7" t="s">
        <v>99</v>
      </c>
      <c r="E7" s="231"/>
      <c r="F7" s="235">
        <v>0.15</v>
      </c>
      <c r="G7" s="232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27"/>
      <c r="S7" s="231"/>
      <c r="T7" s="231"/>
    </row>
    <row r="8" spans="2:26" x14ac:dyDescent="0.35">
      <c r="C8" t="s">
        <v>144</v>
      </c>
      <c r="E8" s="231"/>
      <c r="F8" s="241"/>
      <c r="G8" s="242"/>
      <c r="H8" s="231"/>
      <c r="I8" s="243"/>
      <c r="J8" s="243"/>
      <c r="K8" s="243"/>
      <c r="L8" s="243"/>
      <c r="M8" s="243"/>
      <c r="N8" s="243"/>
      <c r="O8" s="243"/>
      <c r="P8" s="243"/>
      <c r="Q8" s="243"/>
      <c r="R8" s="243"/>
      <c r="S8" s="243"/>
      <c r="T8" s="243"/>
      <c r="U8" s="40"/>
      <c r="V8" s="39"/>
      <c r="W8" s="39"/>
      <c r="X8" s="39"/>
      <c r="Y8" s="39"/>
      <c r="Z8" s="39"/>
    </row>
    <row r="9" spans="2:26" x14ac:dyDescent="0.35">
      <c r="C9" t="s">
        <v>145</v>
      </c>
      <c r="E9" s="231"/>
      <c r="F9" s="241"/>
      <c r="G9" s="242"/>
      <c r="H9" s="231"/>
      <c r="I9" s="243"/>
      <c r="J9" s="243"/>
      <c r="K9" s="243"/>
      <c r="L9" s="243"/>
      <c r="M9" s="243"/>
      <c r="N9" s="243"/>
      <c r="O9" s="243"/>
      <c r="P9" s="243"/>
      <c r="Q9" s="243"/>
      <c r="R9" s="243"/>
      <c r="S9" s="243"/>
      <c r="T9" s="243"/>
      <c r="U9" s="40"/>
      <c r="V9" s="39"/>
      <c r="W9" s="39"/>
      <c r="X9" s="39"/>
      <c r="Y9" s="39"/>
      <c r="Z9" s="39"/>
    </row>
    <row r="10" spans="2:26" ht="4.25" customHeight="1" thickBot="1" x14ac:dyDescent="0.4">
      <c r="E10" s="231"/>
      <c r="F10" s="231"/>
      <c r="G10" s="242"/>
      <c r="H10" s="231"/>
      <c r="I10" s="243"/>
      <c r="J10" s="243"/>
      <c r="K10" s="243"/>
      <c r="L10" s="243"/>
      <c r="M10" s="243"/>
      <c r="N10" s="243"/>
      <c r="O10" s="243"/>
      <c r="P10" s="243"/>
      <c r="Q10" s="243"/>
      <c r="R10" s="243"/>
      <c r="S10" s="243"/>
      <c r="T10" s="243"/>
      <c r="U10" s="40"/>
      <c r="V10" s="39"/>
      <c r="W10" s="39"/>
      <c r="X10" s="39"/>
      <c r="Y10" s="39"/>
      <c r="Z10" s="39"/>
    </row>
    <row r="11" spans="2:26" s="1" customFormat="1" x14ac:dyDescent="0.35">
      <c r="E11" s="227"/>
      <c r="F11" s="227"/>
      <c r="G11" s="244" t="s">
        <v>101</v>
      </c>
      <c r="H11" s="245" t="s">
        <v>39</v>
      </c>
      <c r="I11" s="245" t="s">
        <v>40</v>
      </c>
      <c r="J11" s="245" t="s">
        <v>41</v>
      </c>
      <c r="K11" s="245" t="s">
        <v>42</v>
      </c>
      <c r="L11" s="245" t="s">
        <v>43</v>
      </c>
      <c r="M11" s="245" t="s">
        <v>46</v>
      </c>
      <c r="N11" s="245" t="s">
        <v>47</v>
      </c>
      <c r="O11" s="245" t="s">
        <v>48</v>
      </c>
      <c r="P11" s="245" t="s">
        <v>49</v>
      </c>
      <c r="Q11" s="245" t="s">
        <v>50</v>
      </c>
      <c r="R11" s="129" t="s">
        <v>11</v>
      </c>
      <c r="S11" s="243"/>
      <c r="T11" s="243"/>
      <c r="U11" s="119"/>
      <c r="V11" s="39"/>
      <c r="W11" s="39"/>
      <c r="X11" s="39"/>
      <c r="Y11" s="39"/>
      <c r="Z11" s="39"/>
    </row>
    <row r="12" spans="2:26" x14ac:dyDescent="0.35">
      <c r="B12" s="1" t="s">
        <v>56</v>
      </c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130"/>
      <c r="S12" s="243"/>
      <c r="T12" s="243"/>
      <c r="U12" s="40"/>
      <c r="V12" s="39"/>
      <c r="W12" s="39"/>
      <c r="X12" s="39"/>
      <c r="Y12" s="39"/>
      <c r="Z12" s="39"/>
    </row>
    <row r="13" spans="2:26" s="68" customFormat="1" x14ac:dyDescent="0.35">
      <c r="B13" s="71" t="s">
        <v>57</v>
      </c>
      <c r="E13" s="256" t="s">
        <v>156</v>
      </c>
      <c r="F13" s="246">
        <v>136</v>
      </c>
      <c r="G13" s="247"/>
      <c r="H13" s="248">
        <v>12308606</v>
      </c>
      <c r="I13" s="248">
        <v>0</v>
      </c>
      <c r="J13" s="248">
        <v>0</v>
      </c>
      <c r="K13" s="248"/>
      <c r="L13" s="248"/>
      <c r="M13" s="248"/>
      <c r="N13" s="248"/>
      <c r="O13" s="248"/>
      <c r="P13" s="248"/>
      <c r="Q13" s="249"/>
      <c r="R13" s="131">
        <f>SUM(G13:Q13)</f>
        <v>12308606</v>
      </c>
      <c r="S13" s="250"/>
      <c r="T13" s="250"/>
      <c r="U13" s="70"/>
      <c r="V13" s="69"/>
      <c r="W13" s="69"/>
      <c r="X13" s="69"/>
      <c r="Y13" s="69"/>
      <c r="Z13" s="69"/>
    </row>
    <row r="14" spans="2:26" s="68" customFormat="1" x14ac:dyDescent="0.35">
      <c r="B14" s="71"/>
      <c r="E14" s="256" t="s">
        <v>157</v>
      </c>
      <c r="F14" s="246"/>
      <c r="G14" s="251"/>
      <c r="H14" s="250"/>
      <c r="I14" s="250">
        <v>70000000</v>
      </c>
      <c r="J14" s="250">
        <f>$F$9*0</f>
        <v>0</v>
      </c>
      <c r="K14" s="250">
        <f>$F$9*0</f>
        <v>0</v>
      </c>
      <c r="L14" s="250"/>
      <c r="M14" s="250"/>
      <c r="N14" s="250"/>
      <c r="O14" s="250"/>
      <c r="P14" s="250"/>
      <c r="Q14" s="252"/>
      <c r="R14" s="134">
        <f>SUM(G14:Q14)</f>
        <v>70000000</v>
      </c>
      <c r="S14" s="250"/>
      <c r="T14" s="250"/>
      <c r="U14" s="70"/>
      <c r="V14" s="69"/>
      <c r="W14" s="69"/>
      <c r="X14" s="69"/>
      <c r="Y14" s="69"/>
      <c r="Z14" s="69"/>
    </row>
    <row r="15" spans="2:26" x14ac:dyDescent="0.35">
      <c r="E15" s="231" t="s">
        <v>158</v>
      </c>
      <c r="F15" s="243"/>
      <c r="G15" s="253"/>
      <c r="H15" s="254">
        <v>130000000</v>
      </c>
      <c r="I15" s="255"/>
      <c r="J15" s="255"/>
      <c r="K15" s="255"/>
      <c r="L15" s="255"/>
      <c r="M15" s="255"/>
      <c r="N15" s="255"/>
      <c r="O15" s="255"/>
      <c r="P15" s="255"/>
      <c r="Q15" s="255"/>
      <c r="R15" s="134">
        <f>SUM(G15:Q15)</f>
        <v>130000000</v>
      </c>
      <c r="S15" s="243"/>
      <c r="T15" s="243"/>
      <c r="U15" s="40"/>
      <c r="V15" s="39"/>
      <c r="W15" s="39"/>
      <c r="X15" s="39"/>
      <c r="Y15" s="39"/>
      <c r="Z15" s="39"/>
    </row>
    <row r="16" spans="2:26" x14ac:dyDescent="0.35">
      <c r="E16" s="231"/>
      <c r="F16" s="243"/>
      <c r="G16" s="250"/>
      <c r="H16" s="106">
        <f>SUM(H13:H15)</f>
        <v>142308606</v>
      </c>
      <c r="I16" s="106">
        <f>SUM(I13:I15)</f>
        <v>70000000</v>
      </c>
      <c r="J16" s="243"/>
      <c r="K16" s="243"/>
      <c r="L16" s="243"/>
      <c r="M16" s="243"/>
      <c r="N16" s="243"/>
      <c r="O16" s="243"/>
      <c r="P16" s="243"/>
      <c r="Q16" s="243"/>
      <c r="R16" s="122">
        <f>SUM(R13:R15)</f>
        <v>212308606</v>
      </c>
      <c r="S16" s="243"/>
      <c r="T16" s="243"/>
      <c r="U16" s="40"/>
      <c r="V16" s="39"/>
      <c r="W16" s="39"/>
      <c r="X16" s="39"/>
      <c r="Y16" s="39"/>
      <c r="Z16" s="39"/>
    </row>
    <row r="17" spans="2:27" ht="7.75" customHeight="1" x14ac:dyDescent="0.35">
      <c r="F17" s="6"/>
      <c r="R17" s="130"/>
      <c r="U17" s="38"/>
      <c r="V17" s="38"/>
      <c r="W17" s="38"/>
      <c r="X17" s="38"/>
      <c r="Y17" s="38"/>
      <c r="Z17" s="38"/>
      <c r="AA17" s="38"/>
    </row>
    <row r="18" spans="2:27" ht="16" thickBot="1" x14ac:dyDescent="0.4">
      <c r="B18" s="7" t="s">
        <v>10</v>
      </c>
      <c r="C18" s="3"/>
      <c r="D18" s="3"/>
      <c r="E18" s="3"/>
      <c r="F18" s="3"/>
      <c r="G18" s="4" t="s">
        <v>102</v>
      </c>
      <c r="H18" s="8">
        <v>2024</v>
      </c>
      <c r="I18" s="4">
        <f>H18+1</f>
        <v>2025</v>
      </c>
      <c r="J18" s="4">
        <f t="shared" ref="J18:Q18" si="0">I18+1</f>
        <v>2026</v>
      </c>
      <c r="K18" s="4">
        <f t="shared" si="0"/>
        <v>2027</v>
      </c>
      <c r="L18" s="4">
        <f t="shared" si="0"/>
        <v>2028</v>
      </c>
      <c r="M18" s="4">
        <f t="shared" si="0"/>
        <v>2029</v>
      </c>
      <c r="N18" s="4">
        <f t="shared" si="0"/>
        <v>2030</v>
      </c>
      <c r="O18" s="4">
        <f t="shared" si="0"/>
        <v>2031</v>
      </c>
      <c r="P18" s="4">
        <f t="shared" si="0"/>
        <v>2032</v>
      </c>
      <c r="Q18" s="4">
        <f t="shared" si="0"/>
        <v>2033</v>
      </c>
      <c r="R18" s="124" t="s">
        <v>11</v>
      </c>
      <c r="S18" s="53"/>
      <c r="T18" s="53"/>
      <c r="U18" s="53"/>
      <c r="V18" s="53"/>
      <c r="W18" s="53"/>
      <c r="X18" s="53"/>
      <c r="Y18" s="38"/>
      <c r="Z18" s="38"/>
      <c r="AA18" s="38"/>
    </row>
    <row r="19" spans="2:27" x14ac:dyDescent="0.35">
      <c r="B19" t="s">
        <v>12</v>
      </c>
      <c r="G19" s="5">
        <v>12</v>
      </c>
      <c r="H19" s="5">
        <v>12</v>
      </c>
      <c r="I19" s="5">
        <v>12</v>
      </c>
      <c r="J19" s="5">
        <v>12</v>
      </c>
      <c r="K19" s="5">
        <v>12</v>
      </c>
      <c r="L19" s="5">
        <v>12</v>
      </c>
      <c r="M19" s="5">
        <v>12</v>
      </c>
      <c r="N19" s="5">
        <v>12</v>
      </c>
      <c r="O19" s="5">
        <v>12</v>
      </c>
      <c r="P19" s="5">
        <v>12</v>
      </c>
      <c r="Q19" s="5">
        <v>12</v>
      </c>
      <c r="R19" s="133"/>
    </row>
    <row r="20" spans="2:27" ht="9.65" customHeight="1" x14ac:dyDescent="0.35">
      <c r="B20" s="120" t="s">
        <v>146</v>
      </c>
      <c r="M20" s="121">
        <v>0.1</v>
      </c>
      <c r="R20" s="133"/>
    </row>
    <row r="21" spans="2:27" ht="4.25" customHeight="1" x14ac:dyDescent="0.35">
      <c r="R21" s="133"/>
    </row>
    <row r="22" spans="2:27" x14ac:dyDescent="0.35">
      <c r="B22" s="1" t="s">
        <v>4</v>
      </c>
      <c r="E22" s="14"/>
      <c r="G22" s="15"/>
      <c r="H22" s="14"/>
      <c r="I22" s="16"/>
      <c r="J22" s="16"/>
      <c r="K22" s="16"/>
      <c r="L22" s="16"/>
      <c r="M22" s="16"/>
      <c r="N22" s="16"/>
      <c r="O22" s="16"/>
      <c r="P22" s="16"/>
      <c r="Q22" s="16"/>
      <c r="R22" s="133"/>
    </row>
    <row r="23" spans="2:27" hidden="1" x14ac:dyDescent="0.35">
      <c r="C23" t="s">
        <v>35</v>
      </c>
      <c r="E23" s="11"/>
      <c r="G23" s="65"/>
      <c r="H23" s="65"/>
      <c r="I23" s="65">
        <f>$K$3</f>
        <v>0</v>
      </c>
      <c r="J23" s="65">
        <f>$K$3</f>
        <v>0</v>
      </c>
      <c r="K23" s="65">
        <f>$K$3</f>
        <v>0</v>
      </c>
      <c r="L23" s="65">
        <f>$K$3</f>
        <v>0</v>
      </c>
      <c r="M23" s="65">
        <f>$K$3</f>
        <v>0</v>
      </c>
      <c r="N23" s="65">
        <f>$K$3*(1-$L$3)</f>
        <v>0</v>
      </c>
      <c r="O23" s="65">
        <f>$K$3*(1-$L$3)</f>
        <v>0</v>
      </c>
      <c r="P23" s="65">
        <f>$K$3*(1-$L$3)</f>
        <v>0</v>
      </c>
      <c r="Q23" s="65">
        <f>$K$3*(1-$L$3)</f>
        <v>0</v>
      </c>
      <c r="R23" s="134">
        <f>SUM($G23:Q23)</f>
        <v>0</v>
      </c>
      <c r="S23" s="9"/>
      <c r="T23" s="9"/>
      <c r="U23" s="9"/>
      <c r="V23" s="9"/>
      <c r="W23" s="9"/>
      <c r="X23" s="10"/>
    </row>
    <row r="24" spans="2:27" hidden="1" x14ac:dyDescent="0.35">
      <c r="C24" t="s">
        <v>36</v>
      </c>
      <c r="G24" s="9"/>
      <c r="H24" s="9"/>
      <c r="I24" s="65"/>
      <c r="J24" s="65"/>
      <c r="K24" s="65">
        <f>$K$4</f>
        <v>0</v>
      </c>
      <c r="L24" s="65">
        <f>$K$4</f>
        <v>0</v>
      </c>
      <c r="M24" s="65">
        <f>$K$4</f>
        <v>0</v>
      </c>
      <c r="N24" s="65">
        <f>$K$4</f>
        <v>0</v>
      </c>
      <c r="O24" s="65">
        <f>$K$4</f>
        <v>0</v>
      </c>
      <c r="P24" s="65">
        <f>$K$4*(1-$L$4)</f>
        <v>0</v>
      </c>
      <c r="Q24" s="65">
        <f>$K$4*(1-$L$4)</f>
        <v>0</v>
      </c>
      <c r="R24" s="134">
        <f>SUM($G24:Q24)</f>
        <v>0</v>
      </c>
      <c r="S24" s="9"/>
      <c r="T24" s="9"/>
      <c r="U24" s="9"/>
      <c r="V24" s="9"/>
      <c r="W24" s="9"/>
      <c r="X24" s="10"/>
    </row>
    <row r="25" spans="2:27" x14ac:dyDescent="0.35">
      <c r="C25" t="s">
        <v>38</v>
      </c>
      <c r="G25" s="9"/>
      <c r="H25" s="9">
        <v>221952000</v>
      </c>
      <c r="I25" s="65">
        <f>H25</f>
        <v>221952000</v>
      </c>
      <c r="J25" s="65">
        <f>I25</f>
        <v>221952000</v>
      </c>
      <c r="K25" s="65">
        <f>J25</f>
        <v>221952000</v>
      </c>
      <c r="L25" s="65">
        <f>K25</f>
        <v>221952000</v>
      </c>
      <c r="M25" s="65">
        <f>$K$5*0</f>
        <v>0</v>
      </c>
      <c r="N25" s="65">
        <f>$K$5*0</f>
        <v>0</v>
      </c>
      <c r="O25" s="65">
        <f>$K$5*(1-$L$5)*0</f>
        <v>0</v>
      </c>
      <c r="P25" s="65">
        <f>$K$5*(1-$L$5)*0</f>
        <v>0</v>
      </c>
      <c r="Q25" s="65">
        <f>$K$5*(1-$L$5)*0</f>
        <v>0</v>
      </c>
      <c r="R25" s="134">
        <f>SUM($G25:Q25)</f>
        <v>1109760000</v>
      </c>
      <c r="S25" s="9"/>
      <c r="T25" s="9"/>
      <c r="U25" s="9"/>
      <c r="V25" s="9"/>
      <c r="W25" s="9"/>
      <c r="X25" s="10"/>
    </row>
    <row r="26" spans="2:27" hidden="1" x14ac:dyDescent="0.35">
      <c r="C26" t="s">
        <v>37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34">
        <f>SUM($G26:Q26)</f>
        <v>0</v>
      </c>
      <c r="S26" s="42"/>
      <c r="T26" s="42"/>
      <c r="U26" s="42"/>
      <c r="V26" s="42"/>
      <c r="W26" s="42"/>
      <c r="X26" s="43"/>
      <c r="Y26" s="44"/>
    </row>
    <row r="27" spans="2:27" x14ac:dyDescent="0.35">
      <c r="B27" s="62" t="s">
        <v>13</v>
      </c>
      <c r="C27" s="62"/>
      <c r="D27" s="62"/>
      <c r="E27" s="297"/>
      <c r="F27" s="298"/>
      <c r="G27" s="63">
        <f t="shared" ref="G27:R27" si="1">SUM(G23:G26)</f>
        <v>0</v>
      </c>
      <c r="H27" s="63">
        <f t="shared" si="1"/>
        <v>221952000</v>
      </c>
      <c r="I27" s="63">
        <f t="shared" si="1"/>
        <v>221952000</v>
      </c>
      <c r="J27" s="63">
        <f t="shared" si="1"/>
        <v>221952000</v>
      </c>
      <c r="K27" s="63">
        <f t="shared" si="1"/>
        <v>221952000</v>
      </c>
      <c r="L27" s="63">
        <f t="shared" si="1"/>
        <v>221952000</v>
      </c>
      <c r="M27" s="63">
        <f t="shared" si="1"/>
        <v>0</v>
      </c>
      <c r="N27" s="63">
        <f t="shared" si="1"/>
        <v>0</v>
      </c>
      <c r="O27" s="63">
        <f t="shared" si="1"/>
        <v>0</v>
      </c>
      <c r="P27" s="63">
        <f t="shared" si="1"/>
        <v>0</v>
      </c>
      <c r="Q27" s="63">
        <f t="shared" si="1"/>
        <v>0</v>
      </c>
      <c r="R27" s="125">
        <f t="shared" si="1"/>
        <v>1109760000</v>
      </c>
      <c r="S27" s="42">
        <f>SUM(G27:Q27)-R27</f>
        <v>0</v>
      </c>
      <c r="T27" s="42"/>
      <c r="U27" s="42"/>
      <c r="V27" s="42"/>
      <c r="W27" s="42"/>
      <c r="X27" s="42"/>
      <c r="Y27" s="44"/>
    </row>
    <row r="28" spans="2:27" ht="3" customHeight="1" x14ac:dyDescent="0.35">
      <c r="R28" s="133"/>
      <c r="S28" s="44"/>
      <c r="T28" s="44"/>
      <c r="U28" s="44"/>
      <c r="V28" s="44"/>
      <c r="W28" s="44"/>
      <c r="X28" s="44"/>
      <c r="Y28" s="44"/>
    </row>
    <row r="29" spans="2:27" x14ac:dyDescent="0.35">
      <c r="B29" s="1" t="s">
        <v>14</v>
      </c>
      <c r="E29" s="14"/>
      <c r="F29" s="14"/>
      <c r="G29" s="15"/>
      <c r="H29" s="14"/>
      <c r="I29" s="16"/>
      <c r="J29" s="16"/>
      <c r="K29" s="16"/>
      <c r="L29" s="16"/>
      <c r="M29" s="16"/>
      <c r="N29" s="16"/>
      <c r="O29" s="16"/>
      <c r="P29" s="16"/>
      <c r="Q29" s="16"/>
      <c r="R29" s="135"/>
      <c r="S29" s="45"/>
      <c r="T29" s="45"/>
      <c r="U29" s="45"/>
      <c r="V29" s="45"/>
      <c r="W29" s="45"/>
      <c r="X29" s="44"/>
      <c r="Y29" s="44"/>
    </row>
    <row r="30" spans="2:27" x14ac:dyDescent="0.35">
      <c r="C30" t="s">
        <v>45</v>
      </c>
      <c r="G30" s="9"/>
      <c r="H30" s="9"/>
      <c r="I30" s="9">
        <v>400000000</v>
      </c>
      <c r="J30" s="9"/>
      <c r="K30" s="9"/>
      <c r="L30" s="9"/>
      <c r="M30" s="9">
        <f>800000000*10%*0</f>
        <v>0</v>
      </c>
      <c r="N30" s="9">
        <f>800000000*30%*0</f>
        <v>0</v>
      </c>
      <c r="O30" s="9">
        <f>800000000*20%*0</f>
        <v>0</v>
      </c>
      <c r="P30" s="9">
        <f>O30</f>
        <v>0</v>
      </c>
      <c r="Q30" s="9">
        <f>P30</f>
        <v>0</v>
      </c>
      <c r="R30" s="134">
        <f>SUM($G30:Q30)</f>
        <v>400000000</v>
      </c>
      <c r="S30" s="42"/>
      <c r="T30" s="42"/>
      <c r="U30" s="42"/>
      <c r="V30" s="42"/>
      <c r="W30" s="42"/>
      <c r="X30" s="43"/>
      <c r="Y30" s="44"/>
    </row>
    <row r="31" spans="2:27" ht="6" customHeight="1" x14ac:dyDescent="0.35">
      <c r="C31" t="s">
        <v>15</v>
      </c>
      <c r="G31" s="9"/>
      <c r="H31" s="9">
        <v>0</v>
      </c>
      <c r="I31" s="9">
        <f>H31</f>
        <v>0</v>
      </c>
      <c r="J31" s="9">
        <f>I31</f>
        <v>0</v>
      </c>
      <c r="K31" s="9">
        <f>J31</f>
        <v>0</v>
      </c>
      <c r="L31" s="9">
        <f>K31</f>
        <v>0</v>
      </c>
      <c r="M31" s="9">
        <f>200000000*0.5*0</f>
        <v>0</v>
      </c>
      <c r="N31" s="9">
        <f>200000000*0.5*0</f>
        <v>0</v>
      </c>
      <c r="O31" s="9">
        <f>200000000*0.5*0</f>
        <v>0</v>
      </c>
      <c r="P31" s="9">
        <f>200000000*0.5*0</f>
        <v>0</v>
      </c>
      <c r="Q31" s="9">
        <f>200000000*0.5*0</f>
        <v>0</v>
      </c>
      <c r="R31" s="134">
        <f>SUM($G31:Q31)</f>
        <v>0</v>
      </c>
      <c r="S31" s="42"/>
      <c r="T31" s="42"/>
      <c r="U31" s="42"/>
      <c r="V31" s="42"/>
      <c r="W31" s="42"/>
      <c r="X31" s="43"/>
      <c r="Y31" s="44"/>
    </row>
    <row r="32" spans="2:27" x14ac:dyDescent="0.35">
      <c r="C32" t="s">
        <v>142</v>
      </c>
      <c r="G32" s="99">
        <f>IF(G23&gt;0,COUNTIF(G23:G26,"&gt;0")*7000000,
IF(G24&gt;0,COUNTIF(G23:G26,"&gt;0")*7000000,
IF(G25&gt;0,COUNTIF(G23:G26,"&gt;0")*7000000,
IF(G26&gt;0,COUNTIF(G23:G26,"&gt;0")*7000000,0))))</f>
        <v>0</v>
      </c>
      <c r="H32" s="99">
        <v>7000000</v>
      </c>
      <c r="I32" s="99">
        <f t="shared" ref="I32:Q32" si="2">IF(I23&gt;0,COUNTIF(I23:I26,"&gt;0")*7000000,
IF(I24&gt;0,COUNTIF(I23:I26,"&gt;0")*7000000,
IF(I25&gt;0,COUNTIF(I23:I26,"&gt;0")*7000000,
IF(I26&gt;0,COUNTIF(I23:I26,"&gt;0")*7000000,0))))</f>
        <v>7000000</v>
      </c>
      <c r="J32" s="99">
        <f t="shared" si="2"/>
        <v>7000000</v>
      </c>
      <c r="K32" s="99">
        <f t="shared" si="2"/>
        <v>7000000</v>
      </c>
      <c r="L32" s="99">
        <f t="shared" si="2"/>
        <v>7000000</v>
      </c>
      <c r="M32" s="99">
        <f t="shared" si="2"/>
        <v>0</v>
      </c>
      <c r="N32" s="99">
        <f t="shared" si="2"/>
        <v>0</v>
      </c>
      <c r="O32" s="99">
        <f t="shared" si="2"/>
        <v>0</v>
      </c>
      <c r="P32" s="99">
        <f t="shared" si="2"/>
        <v>0</v>
      </c>
      <c r="Q32" s="99">
        <f t="shared" si="2"/>
        <v>0</v>
      </c>
      <c r="R32" s="134">
        <f>SUM($G32:Q32)</f>
        <v>35000000</v>
      </c>
      <c r="S32" s="42"/>
      <c r="T32" s="42"/>
      <c r="U32" s="42"/>
      <c r="V32" s="42"/>
      <c r="W32" s="42"/>
      <c r="X32" s="43"/>
      <c r="Y32" s="44"/>
    </row>
    <row r="33" spans="2:25" x14ac:dyDescent="0.35">
      <c r="B33" s="12"/>
      <c r="C33" s="12" t="s">
        <v>143</v>
      </c>
      <c r="D33" s="12"/>
      <c r="E33" s="12"/>
      <c r="F33" s="118">
        <f>H33/K27</f>
        <v>0.05</v>
      </c>
      <c r="G33" s="17">
        <f>$F$5*G27</f>
        <v>0</v>
      </c>
      <c r="H33" s="17">
        <f t="shared" ref="H33:Q33" si="3">H27*$F$5</f>
        <v>11097600</v>
      </c>
      <c r="I33" s="17">
        <f t="shared" si="3"/>
        <v>11097600</v>
      </c>
      <c r="J33" s="17">
        <f t="shared" si="3"/>
        <v>11097600</v>
      </c>
      <c r="K33" s="17">
        <f t="shared" si="3"/>
        <v>11097600</v>
      </c>
      <c r="L33" s="17">
        <f t="shared" si="3"/>
        <v>11097600</v>
      </c>
      <c r="M33" s="17">
        <f t="shared" si="3"/>
        <v>0</v>
      </c>
      <c r="N33" s="17">
        <f t="shared" si="3"/>
        <v>0</v>
      </c>
      <c r="O33" s="17">
        <f t="shared" si="3"/>
        <v>0</v>
      </c>
      <c r="P33" s="17">
        <f t="shared" si="3"/>
        <v>0</v>
      </c>
      <c r="Q33" s="17">
        <f t="shared" si="3"/>
        <v>0</v>
      </c>
      <c r="R33" s="134">
        <f>SUM($G33:Q33)</f>
        <v>55488000</v>
      </c>
      <c r="S33" s="46"/>
      <c r="T33" s="46"/>
      <c r="U33" s="46"/>
      <c r="V33" s="46"/>
      <c r="W33" s="46"/>
      <c r="X33" s="43"/>
      <c r="Y33" s="44"/>
    </row>
    <row r="34" spans="2:25" s="1" customFormat="1" x14ac:dyDescent="0.35">
      <c r="B34" s="62" t="s">
        <v>16</v>
      </c>
      <c r="C34" s="62"/>
      <c r="D34" s="62"/>
      <c r="E34" s="62"/>
      <c r="F34" s="62"/>
      <c r="G34" s="63">
        <f>SUM(G30:G33)</f>
        <v>0</v>
      </c>
      <c r="H34" s="63">
        <f>SUM(H30:H33)</f>
        <v>18097600</v>
      </c>
      <c r="I34" s="63">
        <f t="shared" ref="I34:Q34" si="4">SUM(I30:I33)</f>
        <v>418097600</v>
      </c>
      <c r="J34" s="63">
        <f t="shared" si="4"/>
        <v>18097600</v>
      </c>
      <c r="K34" s="63">
        <f t="shared" si="4"/>
        <v>18097600</v>
      </c>
      <c r="L34" s="63">
        <f t="shared" si="4"/>
        <v>18097600</v>
      </c>
      <c r="M34" s="63">
        <f t="shared" si="4"/>
        <v>0</v>
      </c>
      <c r="N34" s="63">
        <f t="shared" si="4"/>
        <v>0</v>
      </c>
      <c r="O34" s="63">
        <f t="shared" si="4"/>
        <v>0</v>
      </c>
      <c r="P34" s="63">
        <f t="shared" si="4"/>
        <v>0</v>
      </c>
      <c r="Q34" s="63">
        <f t="shared" si="4"/>
        <v>0</v>
      </c>
      <c r="R34" s="126">
        <f>SUM(R30:R33)</f>
        <v>490488000</v>
      </c>
      <c r="S34" s="42">
        <f>SUM(G34:Q34)-R34</f>
        <v>0</v>
      </c>
      <c r="T34" s="47"/>
      <c r="U34" s="47"/>
      <c r="V34" s="47"/>
      <c r="W34" s="47"/>
      <c r="X34" s="47"/>
      <c r="Y34" s="48"/>
    </row>
    <row r="35" spans="2:25" s="1" customFormat="1" x14ac:dyDescent="0.35">
      <c r="B35" s="1" t="s">
        <v>17</v>
      </c>
      <c r="G35" s="18">
        <f>G27-G34</f>
        <v>0</v>
      </c>
      <c r="H35" s="18">
        <f>H27-H34</f>
        <v>203854400</v>
      </c>
      <c r="I35" s="18">
        <f t="shared" ref="I35:Q35" si="5">I27-I34</f>
        <v>-196145600</v>
      </c>
      <c r="J35" s="18">
        <f t="shared" si="5"/>
        <v>203854400</v>
      </c>
      <c r="K35" s="18">
        <f t="shared" si="5"/>
        <v>203854400</v>
      </c>
      <c r="L35" s="18">
        <f t="shared" si="5"/>
        <v>203854400</v>
      </c>
      <c r="M35" s="18">
        <f>M27-M34</f>
        <v>0</v>
      </c>
      <c r="N35" s="18">
        <f t="shared" si="5"/>
        <v>0</v>
      </c>
      <c r="O35" s="18">
        <f t="shared" si="5"/>
        <v>0</v>
      </c>
      <c r="P35" s="18">
        <f t="shared" si="5"/>
        <v>0</v>
      </c>
      <c r="Q35" s="18">
        <f t="shared" si="5"/>
        <v>0</v>
      </c>
      <c r="R35" s="127">
        <f>R27-R34</f>
        <v>619272000</v>
      </c>
      <c r="S35" s="42">
        <f>SUM(G35:Q35)-R35</f>
        <v>0</v>
      </c>
      <c r="T35" s="47"/>
      <c r="U35" s="47"/>
      <c r="V35" s="47"/>
      <c r="W35" s="47"/>
      <c r="X35" s="47"/>
      <c r="Y35" s="48"/>
    </row>
    <row r="36" spans="2:25" s="1" customFormat="1" x14ac:dyDescent="0.35">
      <c r="B36" s="19" t="s">
        <v>18</v>
      </c>
      <c r="C36" s="20"/>
      <c r="D36" s="20"/>
      <c r="E36" s="20"/>
      <c r="F36" s="20"/>
      <c r="G36" s="21"/>
      <c r="H36" s="21">
        <f>H35/H27</f>
        <v>0.91846164936562857</v>
      </c>
      <c r="I36" s="21">
        <f t="shared" ref="I36:Q36" si="6">I35/I27</f>
        <v>-0.88372981545559404</v>
      </c>
      <c r="J36" s="21">
        <f t="shared" si="6"/>
        <v>0.91846164936562857</v>
      </c>
      <c r="K36" s="21">
        <f t="shared" si="6"/>
        <v>0.91846164936562857</v>
      </c>
      <c r="L36" s="21">
        <f t="shared" si="6"/>
        <v>0.91846164936562857</v>
      </c>
      <c r="M36" s="21" t="e">
        <f t="shared" si="6"/>
        <v>#DIV/0!</v>
      </c>
      <c r="N36" s="21" t="e">
        <f t="shared" si="6"/>
        <v>#DIV/0!</v>
      </c>
      <c r="O36" s="21" t="e">
        <f t="shared" si="6"/>
        <v>#DIV/0!</v>
      </c>
      <c r="P36" s="21" t="e">
        <f t="shared" si="6"/>
        <v>#DIV/0!</v>
      </c>
      <c r="Q36" s="21" t="e">
        <f t="shared" si="6"/>
        <v>#DIV/0!</v>
      </c>
      <c r="R36" s="128">
        <f>R35/R27</f>
        <v>0.55802335640138412</v>
      </c>
      <c r="S36" s="49"/>
      <c r="T36" s="49"/>
      <c r="U36" s="49"/>
      <c r="V36" s="49"/>
      <c r="W36" s="49"/>
      <c r="X36" s="49"/>
      <c r="Y36" s="48"/>
    </row>
    <row r="37" spans="2:25" ht="4.25" customHeight="1" x14ac:dyDescent="0.35">
      <c r="R37" s="133"/>
      <c r="S37" s="44"/>
      <c r="T37" s="44"/>
      <c r="U37" s="44"/>
      <c r="V37" s="44"/>
      <c r="W37" s="44"/>
      <c r="X37" s="44"/>
      <c r="Y37" s="44"/>
    </row>
    <row r="38" spans="2:25" x14ac:dyDescent="0.35">
      <c r="B38" s="12" t="s">
        <v>19</v>
      </c>
      <c r="C38" s="12"/>
      <c r="D38" s="12"/>
      <c r="E38" s="12"/>
      <c r="F38" s="12"/>
      <c r="G38" s="13"/>
      <c r="H38" s="13">
        <f>H68</f>
        <v>28461721.199999999</v>
      </c>
      <c r="I38" s="13">
        <f>I68</f>
        <v>45961721.200000003</v>
      </c>
      <c r="J38" s="13">
        <f>J68</f>
        <v>45961721.200000003</v>
      </c>
      <c r="K38" s="13">
        <f>K68</f>
        <v>45961721.200000003</v>
      </c>
      <c r="L38" s="13">
        <f>L68</f>
        <v>45961721.200000003</v>
      </c>
      <c r="M38" s="13"/>
      <c r="N38" s="13"/>
      <c r="O38" s="13"/>
      <c r="P38" s="13"/>
      <c r="Q38" s="13"/>
      <c r="R38" s="132">
        <f>SUM($G38:Q38)</f>
        <v>212308606</v>
      </c>
      <c r="S38" s="42"/>
      <c r="T38" s="42"/>
      <c r="U38" s="42"/>
      <c r="V38" s="42"/>
      <c r="W38" s="42"/>
      <c r="X38" s="42"/>
      <c r="Y38" s="44"/>
    </row>
    <row r="39" spans="2:25" x14ac:dyDescent="0.35">
      <c r="B39" s="22" t="s">
        <v>20</v>
      </c>
      <c r="G39" s="23">
        <f>G35-G38</f>
        <v>0</v>
      </c>
      <c r="H39" s="23">
        <f>H35-H38</f>
        <v>175392678.80000001</v>
      </c>
      <c r="I39" s="23">
        <f t="shared" ref="I39:P39" si="7">I35-I38</f>
        <v>-242107321.19999999</v>
      </c>
      <c r="J39" s="23">
        <f t="shared" si="7"/>
        <v>157892678.80000001</v>
      </c>
      <c r="K39" s="23">
        <f t="shared" si="7"/>
        <v>157892678.80000001</v>
      </c>
      <c r="L39" s="23">
        <f>L35-L38</f>
        <v>157892678.80000001</v>
      </c>
      <c r="M39" s="23">
        <f t="shared" si="7"/>
        <v>0</v>
      </c>
      <c r="N39" s="23">
        <f t="shared" si="7"/>
        <v>0</v>
      </c>
      <c r="O39" s="23">
        <f t="shared" si="7"/>
        <v>0</v>
      </c>
      <c r="P39" s="23">
        <f t="shared" si="7"/>
        <v>0</v>
      </c>
      <c r="Q39" s="23">
        <f>Q35-Q38</f>
        <v>0</v>
      </c>
      <c r="R39" s="136">
        <f>R35-R38</f>
        <v>406963394</v>
      </c>
      <c r="S39" s="42">
        <f>SUM(G39:Q39)-R39</f>
        <v>0</v>
      </c>
      <c r="T39" s="50"/>
      <c r="U39" s="50"/>
      <c r="V39" s="50"/>
      <c r="W39" s="50"/>
      <c r="X39" s="50"/>
      <c r="Y39" s="44"/>
    </row>
    <row r="40" spans="2:25" x14ac:dyDescent="0.35">
      <c r="B40" s="12" t="s">
        <v>33</v>
      </c>
      <c r="C40" s="12"/>
      <c r="D40" s="12"/>
      <c r="E40" s="12"/>
      <c r="F40" s="12"/>
      <c r="G40" s="13"/>
      <c r="H40" s="13">
        <f>'Parameter (2)'!N44</f>
        <v>6500000</v>
      </c>
      <c r="I40" s="13">
        <f>'Parameter (2)'!O44</f>
        <v>15200000</v>
      </c>
      <c r="J40" s="13">
        <f>'Parameter (2)'!P44</f>
        <v>15400000</v>
      </c>
      <c r="K40" s="13">
        <f>'Parameter (2)'!Q44</f>
        <v>11400000</v>
      </c>
      <c r="L40" s="13">
        <f>'Parameter (2)'!R44</f>
        <v>7400000</v>
      </c>
      <c r="M40" s="13"/>
      <c r="N40" s="13"/>
      <c r="O40" s="13"/>
      <c r="P40" s="13"/>
      <c r="Q40" s="13"/>
      <c r="R40" s="132">
        <f>SUM($G40:Q40)</f>
        <v>55900000</v>
      </c>
      <c r="S40" s="42"/>
      <c r="T40" s="42"/>
      <c r="U40" s="42"/>
      <c r="V40" s="42"/>
      <c r="W40" s="42"/>
      <c r="X40" s="42"/>
      <c r="Y40" s="44"/>
    </row>
    <row r="41" spans="2:25" x14ac:dyDescent="0.35">
      <c r="B41" s="22" t="s">
        <v>34</v>
      </c>
      <c r="G41" s="66">
        <f t="shared" ref="G41:Q41" si="8">G39-G40</f>
        <v>0</v>
      </c>
      <c r="H41" s="66">
        <f t="shared" si="8"/>
        <v>168892678.80000001</v>
      </c>
      <c r="I41" s="66">
        <f t="shared" si="8"/>
        <v>-257307321.19999999</v>
      </c>
      <c r="J41" s="66">
        <f t="shared" si="8"/>
        <v>142492678.80000001</v>
      </c>
      <c r="K41" s="66">
        <f t="shared" si="8"/>
        <v>146492678.80000001</v>
      </c>
      <c r="L41" s="66">
        <f t="shared" si="8"/>
        <v>150492678.80000001</v>
      </c>
      <c r="M41" s="66">
        <f t="shared" si="8"/>
        <v>0</v>
      </c>
      <c r="N41" s="66">
        <f t="shared" si="8"/>
        <v>0</v>
      </c>
      <c r="O41" s="66">
        <f t="shared" si="8"/>
        <v>0</v>
      </c>
      <c r="P41" s="66">
        <f t="shared" si="8"/>
        <v>0</v>
      </c>
      <c r="Q41" s="66">
        <f t="shared" si="8"/>
        <v>0</v>
      </c>
      <c r="R41" s="134">
        <f>SUM($G41:Q41)</f>
        <v>351063394.00000006</v>
      </c>
      <c r="S41" s="42">
        <f>SUM(G41:Q41)-R41</f>
        <v>0</v>
      </c>
      <c r="T41" s="50"/>
      <c r="U41" s="50"/>
      <c r="V41" s="50"/>
      <c r="W41" s="50"/>
      <c r="X41" s="50"/>
      <c r="Y41" s="44"/>
    </row>
    <row r="42" spans="2:25" x14ac:dyDescent="0.35">
      <c r="B42" s="12" t="s">
        <v>21</v>
      </c>
      <c r="C42" s="12"/>
      <c r="D42" s="12"/>
      <c r="E42" s="12"/>
      <c r="F42" s="12"/>
      <c r="G42" s="64">
        <f>IF(G41&lt;0,0,G41*$F$3)</f>
        <v>0</v>
      </c>
      <c r="H42" s="64">
        <f t="shared" ref="H42:Q42" si="9">IF(H41&lt;0,0,H41*$F$3)</f>
        <v>3377853.5760000004</v>
      </c>
      <c r="I42" s="64">
        <f>IF(I41&lt;0,0,I41*$F$3)</f>
        <v>0</v>
      </c>
      <c r="J42" s="64">
        <f t="shared" si="9"/>
        <v>2849853.5760000004</v>
      </c>
      <c r="K42" s="64">
        <f t="shared" si="9"/>
        <v>2929853.5760000004</v>
      </c>
      <c r="L42" s="64">
        <f t="shared" si="9"/>
        <v>3009853.5760000004</v>
      </c>
      <c r="M42" s="64">
        <f t="shared" si="9"/>
        <v>0</v>
      </c>
      <c r="N42" s="64">
        <f t="shared" si="9"/>
        <v>0</v>
      </c>
      <c r="O42" s="64">
        <f t="shared" si="9"/>
        <v>0</v>
      </c>
      <c r="P42" s="64">
        <f t="shared" si="9"/>
        <v>0</v>
      </c>
      <c r="Q42" s="64">
        <f t="shared" si="9"/>
        <v>0</v>
      </c>
      <c r="R42" s="134">
        <f>SUM($G42:Q42)</f>
        <v>12167414.304000001</v>
      </c>
      <c r="S42" s="52"/>
      <c r="T42" s="52"/>
      <c r="U42" s="52"/>
      <c r="V42" s="52"/>
      <c r="W42" s="52"/>
      <c r="X42" s="51"/>
      <c r="Y42" s="44"/>
    </row>
    <row r="43" spans="2:25" ht="16" thickBot="1" x14ac:dyDescent="0.4">
      <c r="B43" s="25" t="s">
        <v>58</v>
      </c>
      <c r="C43" s="25"/>
      <c r="D43" s="25"/>
      <c r="E43" s="25"/>
      <c r="F43" s="25"/>
      <c r="G43" s="26">
        <f>G41-G42</f>
        <v>0</v>
      </c>
      <c r="H43" s="26">
        <f t="shared" ref="H43:Q43" si="10">H41-H42</f>
        <v>165514825.22400001</v>
      </c>
      <c r="I43" s="26">
        <f t="shared" si="10"/>
        <v>-257307321.19999999</v>
      </c>
      <c r="J43" s="26">
        <f t="shared" si="10"/>
        <v>139642825.22400001</v>
      </c>
      <c r="K43" s="26">
        <f t="shared" si="10"/>
        <v>143562825.22400001</v>
      </c>
      <c r="L43" s="26">
        <f t="shared" si="10"/>
        <v>147482825.22400001</v>
      </c>
      <c r="M43" s="26">
        <f t="shared" si="10"/>
        <v>0</v>
      </c>
      <c r="N43" s="26">
        <f t="shared" si="10"/>
        <v>0</v>
      </c>
      <c r="O43" s="26">
        <f t="shared" si="10"/>
        <v>0</v>
      </c>
      <c r="P43" s="26">
        <f t="shared" si="10"/>
        <v>0</v>
      </c>
      <c r="Q43" s="26">
        <f t="shared" si="10"/>
        <v>0</v>
      </c>
      <c r="R43" s="137">
        <f>R41-R42</f>
        <v>338895979.69600004</v>
      </c>
      <c r="S43" s="42">
        <f>SUM(G43:Q43)-R43</f>
        <v>0</v>
      </c>
      <c r="T43" s="50"/>
      <c r="U43" s="50"/>
      <c r="V43" s="50"/>
      <c r="W43" s="50"/>
      <c r="X43" s="50"/>
      <c r="Y43" s="44"/>
    </row>
    <row r="44" spans="2:25" x14ac:dyDescent="0.35">
      <c r="R44" s="133"/>
      <c r="S44" s="44"/>
      <c r="T44" s="44"/>
      <c r="U44" s="44"/>
      <c r="V44" s="44"/>
      <c r="W44" s="44"/>
      <c r="X44" s="44"/>
      <c r="Y44" s="44"/>
    </row>
    <row r="45" spans="2:25" x14ac:dyDescent="0.35">
      <c r="B45" s="12" t="s">
        <v>22</v>
      </c>
      <c r="C45" s="12"/>
      <c r="D45" s="12"/>
      <c r="E45" s="12"/>
      <c r="F45" s="27"/>
      <c r="G45" s="27">
        <f>-G13+-G14</f>
        <v>0</v>
      </c>
      <c r="H45" s="27">
        <f>-H16</f>
        <v>-142308606</v>
      </c>
      <c r="I45" s="27">
        <f t="shared" ref="I45:P45" si="11">-I14</f>
        <v>-70000000</v>
      </c>
      <c r="J45" s="27">
        <f t="shared" si="11"/>
        <v>0</v>
      </c>
      <c r="K45" s="27">
        <f t="shared" si="11"/>
        <v>0</v>
      </c>
      <c r="L45" s="27">
        <f t="shared" si="11"/>
        <v>0</v>
      </c>
      <c r="M45" s="27">
        <f t="shared" si="11"/>
        <v>0</v>
      </c>
      <c r="N45" s="27">
        <f t="shared" si="11"/>
        <v>0</v>
      </c>
      <c r="O45" s="27">
        <f t="shared" si="11"/>
        <v>0</v>
      </c>
      <c r="P45" s="27">
        <f t="shared" si="11"/>
        <v>0</v>
      </c>
      <c r="Q45" s="27">
        <f>-Q14</f>
        <v>0</v>
      </c>
      <c r="R45" s="138">
        <f>SUM($G$45:Q45)</f>
        <v>-212308606</v>
      </c>
      <c r="S45" s="51"/>
      <c r="T45" s="51"/>
      <c r="U45" s="51"/>
      <c r="V45" s="51"/>
      <c r="W45" s="51"/>
      <c r="X45" s="51"/>
      <c r="Y45" s="44"/>
    </row>
    <row r="46" spans="2:25" x14ac:dyDescent="0.35">
      <c r="B46" t="s">
        <v>23</v>
      </c>
      <c r="F46" s="24"/>
      <c r="G46" s="24">
        <f t="shared" ref="G46:Q46" si="12">G45+G43+G38</f>
        <v>0</v>
      </c>
      <c r="H46" s="24">
        <f t="shared" si="12"/>
        <v>51667940.42400001</v>
      </c>
      <c r="I46" s="24">
        <f t="shared" si="12"/>
        <v>-281345600</v>
      </c>
      <c r="J46" s="24">
        <f t="shared" si="12"/>
        <v>185604546.42400002</v>
      </c>
      <c r="K46" s="24">
        <f t="shared" si="12"/>
        <v>189524546.42400002</v>
      </c>
      <c r="L46" s="24">
        <f t="shared" si="12"/>
        <v>193444546.42400002</v>
      </c>
      <c r="M46" s="24">
        <f t="shared" si="12"/>
        <v>0</v>
      </c>
      <c r="N46" s="24">
        <f t="shared" si="12"/>
        <v>0</v>
      </c>
      <c r="O46" s="24">
        <f t="shared" si="12"/>
        <v>0</v>
      </c>
      <c r="P46" s="24">
        <f t="shared" si="12"/>
        <v>0</v>
      </c>
      <c r="Q46" s="24">
        <f t="shared" si="12"/>
        <v>0</v>
      </c>
      <c r="R46" s="139">
        <f>SUM($G$46:Q46)</f>
        <v>338895979.6960001</v>
      </c>
      <c r="S46" s="51"/>
      <c r="T46" s="51"/>
      <c r="U46" s="51"/>
      <c r="V46" s="51"/>
      <c r="W46" s="51"/>
      <c r="X46" s="51"/>
      <c r="Y46" s="44"/>
    </row>
    <row r="47" spans="2:25" x14ac:dyDescent="0.35">
      <c r="B47" t="s">
        <v>24</v>
      </c>
      <c r="F47" s="24"/>
      <c r="G47" s="24">
        <f>F47+G46</f>
        <v>0</v>
      </c>
      <c r="H47" s="24">
        <f>G47+H46</f>
        <v>51667940.42400001</v>
      </c>
      <c r="I47" s="24">
        <f t="shared" ref="I47:O47" si="13">H47+I46</f>
        <v>-229677659.57599998</v>
      </c>
      <c r="J47" s="24">
        <f t="shared" si="13"/>
        <v>-44073113.15199995</v>
      </c>
      <c r="K47" s="24">
        <f t="shared" si="13"/>
        <v>145451433.27200007</v>
      </c>
      <c r="L47" s="24">
        <f t="shared" si="13"/>
        <v>338895979.6960001</v>
      </c>
      <c r="M47" s="24">
        <f t="shared" si="13"/>
        <v>338895979.6960001</v>
      </c>
      <c r="N47" s="24">
        <f t="shared" si="13"/>
        <v>338895979.6960001</v>
      </c>
      <c r="O47" s="24">
        <f t="shared" si="13"/>
        <v>338895979.6960001</v>
      </c>
      <c r="P47" s="24">
        <f>O47+P46</f>
        <v>338895979.6960001</v>
      </c>
      <c r="Q47" s="24">
        <f>P47+Q46</f>
        <v>338895979.6960001</v>
      </c>
      <c r="R47" s="139"/>
      <c r="S47" s="51"/>
      <c r="T47" s="51"/>
      <c r="U47" s="51"/>
      <c r="V47" s="51"/>
      <c r="W47" s="51"/>
      <c r="X47" s="51"/>
      <c r="Y47" s="44"/>
    </row>
    <row r="48" spans="2:25" x14ac:dyDescent="0.35">
      <c r="B48" t="s">
        <v>25</v>
      </c>
      <c r="F48" s="24"/>
      <c r="G48" s="28">
        <f t="shared" ref="G48:O48" si="14">IF(AND(F47&lt;0,G47&gt;0),H56-(G47/G46),0)</f>
        <v>0</v>
      </c>
      <c r="H48" s="28">
        <f t="shared" si="14"/>
        <v>0</v>
      </c>
      <c r="I48" s="28">
        <f t="shared" si="14"/>
        <v>0</v>
      </c>
      <c r="J48" s="28">
        <f t="shared" si="14"/>
        <v>0</v>
      </c>
      <c r="K48" s="73">
        <f t="shared" si="14"/>
        <v>4.2325456727562907</v>
      </c>
      <c r="L48" s="28">
        <f t="shared" si="14"/>
        <v>0</v>
      </c>
      <c r="M48" s="28">
        <f t="shared" si="14"/>
        <v>0</v>
      </c>
      <c r="N48" s="28">
        <f t="shared" si="14"/>
        <v>0</v>
      </c>
      <c r="O48" s="28">
        <f t="shared" si="14"/>
        <v>0</v>
      </c>
      <c r="P48" s="28"/>
      <c r="Q48" s="28">
        <f>IF(AND(O47&lt;0,Q47&gt;0),R56-(Q47/Q46),0)</f>
        <v>0</v>
      </c>
      <c r="R48" s="140"/>
      <c r="S48" s="28"/>
      <c r="T48" s="28"/>
      <c r="U48" s="28"/>
      <c r="V48" s="28"/>
      <c r="W48" s="28"/>
      <c r="X48" s="28"/>
    </row>
    <row r="49" spans="2:25" s="75" customFormat="1" hidden="1" x14ac:dyDescent="0.35">
      <c r="F49" s="76"/>
      <c r="G49" s="77"/>
      <c r="H49" s="77"/>
      <c r="I49" s="77"/>
      <c r="J49" s="77"/>
      <c r="K49" s="78"/>
      <c r="L49" s="77"/>
      <c r="M49" s="77"/>
      <c r="N49" s="77"/>
      <c r="O49" s="77"/>
      <c r="P49" s="77"/>
      <c r="Q49" s="77"/>
      <c r="R49" s="141"/>
      <c r="S49" s="77"/>
      <c r="T49" s="77"/>
      <c r="U49" s="77"/>
      <c r="V49" s="77"/>
      <c r="W49" s="77"/>
      <c r="X49" s="77"/>
    </row>
    <row r="50" spans="2:25" s="75" customFormat="1" hidden="1" x14ac:dyDescent="0.35">
      <c r="G50" s="79"/>
      <c r="R50" s="142"/>
    </row>
    <row r="51" spans="2:25" x14ac:dyDescent="0.35">
      <c r="B51" s="54" t="s">
        <v>26</v>
      </c>
      <c r="C51" s="55"/>
      <c r="D51" s="55"/>
      <c r="E51" s="55"/>
      <c r="F51" s="117">
        <f>IRR(H46:Q46)</f>
        <v>0.85444420518969832</v>
      </c>
      <c r="R51" s="130"/>
    </row>
    <row r="52" spans="2:25" x14ac:dyDescent="0.35">
      <c r="B52" s="56" t="s">
        <v>27</v>
      </c>
      <c r="C52" s="57"/>
      <c r="D52" s="57"/>
      <c r="E52" s="57"/>
      <c r="F52" s="115">
        <f>NPV(F4,I46:Q46)+H46</f>
        <v>223809225.21563989</v>
      </c>
      <c r="H52" s="72"/>
      <c r="I52" s="10"/>
      <c r="R52" s="143"/>
    </row>
    <row r="53" spans="2:25" x14ac:dyDescent="0.35">
      <c r="B53" s="56" t="s">
        <v>28</v>
      </c>
      <c r="C53" s="57"/>
      <c r="D53" s="57"/>
      <c r="E53" s="57"/>
      <c r="F53" s="58">
        <f>R36</f>
        <v>0.55802335640138412</v>
      </c>
      <c r="H53" s="65"/>
      <c r="R53" s="143"/>
    </row>
    <row r="54" spans="2:25" x14ac:dyDescent="0.35">
      <c r="B54" s="59" t="s">
        <v>29</v>
      </c>
      <c r="C54" s="60"/>
      <c r="D54" s="60"/>
      <c r="E54" s="60"/>
      <c r="F54" s="61">
        <f>SUM(G48:Q48)</f>
        <v>4.2325456727562907</v>
      </c>
      <c r="R54" s="143"/>
    </row>
    <row r="55" spans="2:25" x14ac:dyDescent="0.35">
      <c r="F55" s="29"/>
      <c r="G55" s="29"/>
      <c r="H55" s="2"/>
      <c r="R55" s="143"/>
    </row>
    <row r="56" spans="2:25" x14ac:dyDescent="0.35">
      <c r="G56"/>
      <c r="H56" s="5">
        <v>1</v>
      </c>
      <c r="I56" s="30">
        <v>2</v>
      </c>
      <c r="J56" s="5">
        <v>3</v>
      </c>
      <c r="K56" s="30">
        <v>4</v>
      </c>
      <c r="L56" s="5">
        <v>5</v>
      </c>
      <c r="M56" s="30">
        <v>6</v>
      </c>
      <c r="N56" s="5">
        <v>7</v>
      </c>
      <c r="O56" s="30">
        <v>8</v>
      </c>
      <c r="P56" s="5">
        <v>9</v>
      </c>
      <c r="Q56" s="5">
        <v>10</v>
      </c>
      <c r="R56" s="130"/>
      <c r="S56" s="30"/>
      <c r="T56" s="5"/>
      <c r="U56" s="30"/>
      <c r="V56" s="5"/>
      <c r="W56" s="30"/>
      <c r="X56" s="5"/>
    </row>
    <row r="57" spans="2:25" ht="16" thickBot="1" x14ac:dyDescent="0.4">
      <c r="B57" s="31" t="s">
        <v>30</v>
      </c>
      <c r="E57" s="32" t="s">
        <v>31</v>
      </c>
      <c r="G57"/>
      <c r="H57" s="32">
        <f t="shared" ref="H57:Q57" si="15">H18</f>
        <v>2024</v>
      </c>
      <c r="I57" s="32">
        <f t="shared" si="15"/>
        <v>2025</v>
      </c>
      <c r="J57" s="32">
        <f t="shared" si="15"/>
        <v>2026</v>
      </c>
      <c r="K57" s="32">
        <f t="shared" si="15"/>
        <v>2027</v>
      </c>
      <c r="L57" s="32">
        <f t="shared" si="15"/>
        <v>2028</v>
      </c>
      <c r="M57" s="32">
        <f t="shared" si="15"/>
        <v>2029</v>
      </c>
      <c r="N57" s="32">
        <f t="shared" si="15"/>
        <v>2030</v>
      </c>
      <c r="O57" s="32">
        <f t="shared" si="15"/>
        <v>2031</v>
      </c>
      <c r="P57" s="32">
        <f t="shared" si="15"/>
        <v>2032</v>
      </c>
      <c r="Q57" s="32">
        <f t="shared" si="15"/>
        <v>2033</v>
      </c>
      <c r="R57" s="124" t="s">
        <v>11</v>
      </c>
      <c r="S57" s="32"/>
      <c r="T57" s="32"/>
      <c r="U57" s="32"/>
      <c r="V57" s="32"/>
      <c r="W57" s="32"/>
      <c r="X57" s="32"/>
      <c r="Y57" s="32"/>
    </row>
    <row r="58" spans="2:25" x14ac:dyDescent="0.35">
      <c r="D58" t="s">
        <v>5</v>
      </c>
      <c r="E58">
        <v>5</v>
      </c>
      <c r="G58"/>
      <c r="H58" s="67">
        <f>H16/$E58</f>
        <v>28461721.199999999</v>
      </c>
      <c r="I58" s="33">
        <f>H58</f>
        <v>28461721.199999999</v>
      </c>
      <c r="J58" s="33">
        <f t="shared" ref="J58:Q58" si="16">I58</f>
        <v>28461721.199999999</v>
      </c>
      <c r="K58" s="33">
        <f t="shared" si="16"/>
        <v>28461721.199999999</v>
      </c>
      <c r="L58" s="33">
        <f t="shared" si="16"/>
        <v>28461721.199999999</v>
      </c>
      <c r="M58" s="33">
        <f>L58*0</f>
        <v>0</v>
      </c>
      <c r="N58" s="33">
        <f t="shared" si="16"/>
        <v>0</v>
      </c>
      <c r="O58" s="33">
        <f t="shared" si="16"/>
        <v>0</v>
      </c>
      <c r="P58" s="33">
        <f t="shared" si="16"/>
        <v>0</v>
      </c>
      <c r="Q58" s="33">
        <f t="shared" si="16"/>
        <v>0</v>
      </c>
      <c r="R58" s="134">
        <f>SUM(H58:L58)</f>
        <v>142308606</v>
      </c>
      <c r="S58" s="33"/>
      <c r="T58" s="33"/>
      <c r="U58" s="33"/>
      <c r="V58" s="33"/>
      <c r="W58" s="33"/>
      <c r="X58" s="33"/>
      <c r="Y58" s="34"/>
    </row>
    <row r="59" spans="2:25" x14ac:dyDescent="0.35">
      <c r="D59" t="s">
        <v>6</v>
      </c>
      <c r="E59">
        <v>4</v>
      </c>
      <c r="G59"/>
      <c r="H59" s="2"/>
      <c r="I59" s="67">
        <f>I14/E59</f>
        <v>17500000</v>
      </c>
      <c r="J59" s="33">
        <f>I59</f>
        <v>17500000</v>
      </c>
      <c r="K59" s="33">
        <f t="shared" ref="K59:Q60" si="17">J59</f>
        <v>17500000</v>
      </c>
      <c r="L59" s="33">
        <f t="shared" si="17"/>
        <v>17500000</v>
      </c>
      <c r="M59" s="33"/>
      <c r="N59" s="33">
        <f t="shared" si="17"/>
        <v>0</v>
      </c>
      <c r="O59" s="33">
        <f t="shared" si="17"/>
        <v>0</v>
      </c>
      <c r="P59" s="33">
        <f t="shared" si="17"/>
        <v>0</v>
      </c>
      <c r="Q59" s="33">
        <f t="shared" si="17"/>
        <v>0</v>
      </c>
      <c r="R59" s="134">
        <f>SUM(H59:L59)</f>
        <v>70000000</v>
      </c>
      <c r="S59" s="33"/>
      <c r="T59" s="33"/>
      <c r="U59" s="33"/>
      <c r="V59" s="33"/>
      <c r="W59" s="33"/>
      <c r="X59" s="33"/>
      <c r="Y59" s="34"/>
    </row>
    <row r="60" spans="2:25" hidden="1" x14ac:dyDescent="0.35">
      <c r="D60" t="s">
        <v>7</v>
      </c>
      <c r="E60">
        <v>3</v>
      </c>
      <c r="G60"/>
      <c r="H60" s="2"/>
      <c r="J60" s="67">
        <f>J14/$E60</f>
        <v>0</v>
      </c>
      <c r="K60" s="33">
        <f t="shared" ref="K60:P60" si="18">J60</f>
        <v>0</v>
      </c>
      <c r="L60" s="33">
        <f t="shared" si="18"/>
        <v>0</v>
      </c>
      <c r="M60" s="33">
        <f t="shared" si="18"/>
        <v>0</v>
      </c>
      <c r="N60" s="33">
        <f t="shared" si="18"/>
        <v>0</v>
      </c>
      <c r="O60" s="33">
        <f t="shared" si="18"/>
        <v>0</v>
      </c>
      <c r="P60" s="33">
        <f t="shared" si="18"/>
        <v>0</v>
      </c>
      <c r="Q60" s="33">
        <f t="shared" si="17"/>
        <v>0</v>
      </c>
      <c r="R60" s="134">
        <f>SUM($G60:Q60)</f>
        <v>0</v>
      </c>
      <c r="S60" s="33"/>
      <c r="T60" s="33"/>
      <c r="U60" s="33"/>
      <c r="V60" s="33"/>
      <c r="W60" s="33"/>
      <c r="X60" s="33"/>
      <c r="Y60" s="34"/>
    </row>
    <row r="61" spans="2:25" hidden="1" x14ac:dyDescent="0.35">
      <c r="D61" t="s">
        <v>8</v>
      </c>
      <c r="E61">
        <v>2</v>
      </c>
      <c r="G61"/>
      <c r="H61" s="2"/>
      <c r="K61" s="67">
        <f>K14/$E61</f>
        <v>0</v>
      </c>
      <c r="L61" s="33">
        <f>K61</f>
        <v>0</v>
      </c>
      <c r="M61" s="33">
        <f t="shared" ref="M61:Q64" si="19">L61</f>
        <v>0</v>
      </c>
      <c r="N61" s="33">
        <f t="shared" si="19"/>
        <v>0</v>
      </c>
      <c r="O61" s="33">
        <f t="shared" si="19"/>
        <v>0</v>
      </c>
      <c r="P61" s="33">
        <f t="shared" si="19"/>
        <v>0</v>
      </c>
      <c r="Q61" s="33">
        <f t="shared" si="19"/>
        <v>0</v>
      </c>
      <c r="R61" s="134">
        <f>SUM($G61:Q61)</f>
        <v>0</v>
      </c>
      <c r="S61" s="33"/>
      <c r="T61" s="33"/>
      <c r="U61" s="33"/>
      <c r="V61" s="33"/>
      <c r="W61" s="33"/>
      <c r="X61" s="33"/>
      <c r="Y61" s="34"/>
    </row>
    <row r="62" spans="2:25" hidden="1" x14ac:dyDescent="0.35">
      <c r="D62" t="s">
        <v>9</v>
      </c>
      <c r="E62">
        <v>1</v>
      </c>
      <c r="G62"/>
      <c r="H62" s="2"/>
      <c r="L62" s="67">
        <f>K$13/$E62</f>
        <v>0</v>
      </c>
      <c r="M62" s="33">
        <f>L62</f>
        <v>0</v>
      </c>
      <c r="N62" s="33">
        <f t="shared" si="19"/>
        <v>0</v>
      </c>
      <c r="O62" s="33">
        <f t="shared" si="19"/>
        <v>0</v>
      </c>
      <c r="P62" s="33">
        <f t="shared" si="19"/>
        <v>0</v>
      </c>
      <c r="Q62" s="33"/>
      <c r="R62" s="134">
        <f>SUM($G62:Q62)</f>
        <v>0</v>
      </c>
      <c r="S62" s="33"/>
      <c r="T62" s="33"/>
      <c r="U62" s="33"/>
      <c r="V62" s="33"/>
      <c r="W62" s="33"/>
      <c r="X62" s="33"/>
      <c r="Y62" s="34"/>
    </row>
    <row r="63" spans="2:25" hidden="1" x14ac:dyDescent="0.35">
      <c r="D63" t="s">
        <v>51</v>
      </c>
      <c r="E63">
        <v>5</v>
      </c>
      <c r="G63"/>
      <c r="H63" s="2"/>
      <c r="L63" s="33"/>
      <c r="M63" s="67">
        <f>L$13/$E63</f>
        <v>0</v>
      </c>
      <c r="N63" s="33">
        <f>M63</f>
        <v>0</v>
      </c>
      <c r="O63" s="33">
        <f t="shared" si="19"/>
        <v>0</v>
      </c>
      <c r="P63" s="33">
        <f t="shared" si="19"/>
        <v>0</v>
      </c>
      <c r="Q63" s="33"/>
      <c r="R63" s="134">
        <f>SUM($G63:Q63)</f>
        <v>0</v>
      </c>
      <c r="S63" s="33"/>
      <c r="T63" s="33"/>
      <c r="U63" s="33"/>
      <c r="V63" s="33"/>
      <c r="W63" s="33"/>
      <c r="X63" s="33"/>
      <c r="Y63" s="34"/>
    </row>
    <row r="64" spans="2:25" hidden="1" x14ac:dyDescent="0.35">
      <c r="D64" t="s">
        <v>52</v>
      </c>
      <c r="E64">
        <v>4</v>
      </c>
      <c r="G64"/>
      <c r="H64" s="2"/>
      <c r="L64" s="33"/>
      <c r="M64" s="33"/>
      <c r="N64" s="67">
        <f>M$13/$E64</f>
        <v>0</v>
      </c>
      <c r="O64" s="33">
        <f>N64</f>
        <v>0</v>
      </c>
      <c r="P64" s="33">
        <f t="shared" si="19"/>
        <v>0</v>
      </c>
      <c r="Q64" s="33"/>
      <c r="R64" s="134">
        <f>SUM($G64:Q64)</f>
        <v>0</v>
      </c>
      <c r="S64" s="33"/>
      <c r="T64" s="33"/>
      <c r="U64" s="33"/>
      <c r="V64" s="33"/>
      <c r="W64" s="33"/>
      <c r="X64" s="33"/>
      <c r="Y64" s="34"/>
    </row>
    <row r="65" spans="2:28" hidden="1" x14ac:dyDescent="0.35">
      <c r="D65" t="s">
        <v>53</v>
      </c>
      <c r="E65">
        <v>3</v>
      </c>
      <c r="G65"/>
      <c r="H65" s="2"/>
      <c r="L65" s="33"/>
      <c r="M65" s="33"/>
      <c r="N65" s="33"/>
      <c r="O65" s="67">
        <f>N$13/$E65</f>
        <v>0</v>
      </c>
      <c r="P65" s="33">
        <f>O65</f>
        <v>0</v>
      </c>
      <c r="Q65" s="33"/>
      <c r="R65" s="134">
        <f>SUM($G65:Q65)</f>
        <v>0</v>
      </c>
      <c r="S65" s="33"/>
      <c r="T65" s="33"/>
      <c r="U65" s="33"/>
      <c r="V65" s="33"/>
      <c r="W65" s="33"/>
      <c r="X65" s="33"/>
      <c r="Y65" s="34"/>
    </row>
    <row r="66" spans="2:28" hidden="1" x14ac:dyDescent="0.35">
      <c r="D66" t="s">
        <v>54</v>
      </c>
      <c r="E66">
        <v>2</v>
      </c>
      <c r="G66"/>
      <c r="H66" s="2"/>
      <c r="L66" s="33"/>
      <c r="M66" s="33"/>
      <c r="N66" s="33"/>
      <c r="O66" s="33"/>
      <c r="P66" s="67">
        <f>O$13/$E66</f>
        <v>0</v>
      </c>
      <c r="Q66" s="67"/>
      <c r="R66" s="134">
        <f>SUM($G66:Q66)</f>
        <v>0</v>
      </c>
      <c r="S66" s="33"/>
      <c r="T66" s="33"/>
      <c r="U66" s="33"/>
      <c r="V66" s="33"/>
      <c r="W66" s="33"/>
      <c r="X66" s="33"/>
      <c r="Y66" s="34"/>
    </row>
    <row r="67" spans="2:28" hidden="1" x14ac:dyDescent="0.35">
      <c r="D67" t="s">
        <v>55</v>
      </c>
      <c r="E67">
        <v>1</v>
      </c>
      <c r="G67"/>
      <c r="H67" s="2"/>
      <c r="K67" s="33"/>
      <c r="L67" s="74"/>
      <c r="M67" s="74"/>
      <c r="N67" s="74"/>
      <c r="O67" s="74"/>
      <c r="P67" s="74"/>
      <c r="Q67" s="74"/>
      <c r="R67" s="134">
        <f>SUM($G67:Q67)</f>
        <v>0</v>
      </c>
      <c r="S67" s="33"/>
      <c r="T67" s="33"/>
      <c r="U67" s="33"/>
      <c r="V67" s="33"/>
      <c r="W67" s="33"/>
      <c r="X67" s="33"/>
      <c r="Y67" s="34"/>
    </row>
    <row r="68" spans="2:28" ht="16" thickBot="1" x14ac:dyDescent="0.4">
      <c r="B68" s="35" t="s">
        <v>32</v>
      </c>
      <c r="C68" s="36"/>
      <c r="D68" s="36"/>
      <c r="E68" s="36"/>
      <c r="F68" s="36"/>
      <c r="G68" s="36"/>
      <c r="H68" s="37">
        <f>SUM(H58:H67)</f>
        <v>28461721.199999999</v>
      </c>
      <c r="I68" s="37">
        <f t="shared" ref="I68:P68" si="20">SUM(I58:I67)</f>
        <v>45961721.200000003</v>
      </c>
      <c r="J68" s="37">
        <f t="shared" si="20"/>
        <v>45961721.200000003</v>
      </c>
      <c r="K68" s="37">
        <f t="shared" si="20"/>
        <v>45961721.200000003</v>
      </c>
      <c r="L68" s="37">
        <f t="shared" si="20"/>
        <v>45961721.200000003</v>
      </c>
      <c r="M68" s="37">
        <f t="shared" si="20"/>
        <v>0</v>
      </c>
      <c r="N68" s="37">
        <f t="shared" si="20"/>
        <v>0</v>
      </c>
      <c r="O68" s="37">
        <f t="shared" si="20"/>
        <v>0</v>
      </c>
      <c r="P68" s="37">
        <f t="shared" si="20"/>
        <v>0</v>
      </c>
      <c r="Q68" s="37">
        <f>SUM(Q58:Q67)</f>
        <v>0</v>
      </c>
      <c r="R68" s="123">
        <f>SUM(R58:R67)</f>
        <v>212308606</v>
      </c>
      <c r="S68" s="41"/>
      <c r="T68" s="41"/>
      <c r="U68" s="41"/>
      <c r="V68" s="41"/>
      <c r="W68" s="41"/>
      <c r="X68" s="41"/>
      <c r="Y68" s="41"/>
      <c r="Z68" s="38"/>
      <c r="AA68" s="38"/>
      <c r="AB68" s="38"/>
    </row>
    <row r="69" spans="2:28" ht="16.5" thickTop="1" thickBot="1" x14ac:dyDescent="0.4">
      <c r="G69"/>
      <c r="H69" s="2"/>
      <c r="M69" s="34"/>
      <c r="N69" s="34"/>
      <c r="O69" s="34"/>
      <c r="P69" s="34"/>
      <c r="Q69" s="34"/>
      <c r="R69" s="144"/>
      <c r="Y69" s="10"/>
    </row>
    <row r="71" spans="2:28" x14ac:dyDescent="0.35">
      <c r="F71" t="s">
        <v>59</v>
      </c>
    </row>
    <row r="80" spans="2:28" x14ac:dyDescent="0.35">
      <c r="G80" s="65"/>
      <c r="H80" s="10"/>
    </row>
    <row r="82" spans="6:12" x14ac:dyDescent="0.35">
      <c r="G82" s="9"/>
    </row>
    <row r="83" spans="6:12" x14ac:dyDescent="0.35">
      <c r="G83" s="9"/>
      <c r="H83" s="10"/>
      <c r="I83" s="10"/>
      <c r="J83" s="10"/>
      <c r="K83" s="10"/>
      <c r="L83" s="10"/>
    </row>
    <row r="84" spans="6:12" x14ac:dyDescent="0.35">
      <c r="F84" s="75"/>
      <c r="G84" s="80"/>
      <c r="H84" s="81"/>
      <c r="I84" s="81"/>
      <c r="J84" s="81"/>
      <c r="K84" s="81"/>
      <c r="L84" s="81"/>
    </row>
    <row r="87" spans="6:12" x14ac:dyDescent="0.35">
      <c r="G87" s="9"/>
      <c r="L87" s="10"/>
    </row>
    <row r="89" spans="6:12" x14ac:dyDescent="0.35">
      <c r="G89" s="65"/>
      <c r="H89" s="65"/>
      <c r="I89" s="65"/>
      <c r="J89" s="65"/>
      <c r="K89" s="65"/>
      <c r="L89" s="65"/>
    </row>
  </sheetData>
  <mergeCells count="1">
    <mergeCell ref="E27:F27"/>
  </mergeCells>
  <phoneticPr fontId="27" type="noConversion"/>
  <printOptions horizontalCentered="1" verticalCentered="1"/>
  <pageMargins left="0" right="0" top="0" bottom="0" header="0.31496062992125984" footer="0.31496062992125984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6147C-C782-4C33-9832-3D3BD643BA20}">
  <dimension ref="A1:U111"/>
  <sheetViews>
    <sheetView workbookViewId="0">
      <pane xSplit="2" ySplit="2" topLeftCell="L27" activePane="bottomRight" state="frozen"/>
      <selection pane="topRight" activeCell="C1" sqref="C1"/>
      <selection pane="bottomLeft" activeCell="A3" sqref="A3"/>
      <selection pane="bottomRight" activeCell="Q3" sqref="Q3:T6"/>
    </sheetView>
  </sheetViews>
  <sheetFormatPr defaultColWidth="8.6640625" defaultRowHeight="14.5" x14ac:dyDescent="0.35"/>
  <cols>
    <col min="1" max="1" width="16.5" style="148" customWidth="1"/>
    <col min="2" max="2" width="16.1640625" style="148" bestFit="1" customWidth="1"/>
    <col min="3" max="4" width="13.9140625" style="148" bestFit="1" customWidth="1"/>
    <col min="5" max="6" width="15.1640625" style="148" customWidth="1"/>
    <col min="7" max="7" width="12.6640625" style="148" bestFit="1" customWidth="1"/>
    <col min="8" max="8" width="17" style="148" customWidth="1"/>
    <col min="9" max="9" width="15.6640625" style="148" customWidth="1"/>
    <col min="10" max="11" width="13.9140625" style="148" bestFit="1" customWidth="1"/>
    <col min="12" max="12" width="12.4140625" style="148" bestFit="1" customWidth="1"/>
    <col min="13" max="13" width="14.1640625" style="148" bestFit="1" customWidth="1"/>
    <col min="14" max="14" width="12.4140625" style="148" bestFit="1" customWidth="1"/>
    <col min="15" max="15" width="14.1640625" style="148" bestFit="1" customWidth="1"/>
    <col min="16" max="18" width="12.4140625" style="148" bestFit="1" customWidth="1"/>
    <col min="19" max="19" width="12.9140625" style="148" bestFit="1" customWidth="1"/>
    <col min="20" max="16384" width="8.6640625" style="148"/>
  </cols>
  <sheetData>
    <row r="1" spans="1:21" x14ac:dyDescent="0.35">
      <c r="A1" s="147" t="s">
        <v>159</v>
      </c>
    </row>
    <row r="2" spans="1:21" x14ac:dyDescent="0.35">
      <c r="A2" s="149" t="s">
        <v>160</v>
      </c>
      <c r="B2" s="150">
        <v>5</v>
      </c>
      <c r="C2" s="151">
        <v>2013</v>
      </c>
      <c r="D2" s="151">
        <f>C2+1</f>
        <v>2014</v>
      </c>
      <c r="E2" s="151">
        <f t="shared" ref="E2:R2" si="0">D2+1</f>
        <v>2015</v>
      </c>
      <c r="F2" s="151">
        <f t="shared" si="0"/>
        <v>2016</v>
      </c>
      <c r="G2" s="151">
        <f t="shared" si="0"/>
        <v>2017</v>
      </c>
      <c r="H2" s="151">
        <f t="shared" si="0"/>
        <v>2018</v>
      </c>
      <c r="I2" s="151">
        <f t="shared" si="0"/>
        <v>2019</v>
      </c>
      <c r="J2" s="151">
        <f t="shared" si="0"/>
        <v>2020</v>
      </c>
      <c r="K2" s="151">
        <f t="shared" si="0"/>
        <v>2021</v>
      </c>
      <c r="L2" s="151">
        <f t="shared" si="0"/>
        <v>2022</v>
      </c>
      <c r="M2" s="151">
        <f t="shared" si="0"/>
        <v>2023</v>
      </c>
      <c r="N2" s="151">
        <f t="shared" si="0"/>
        <v>2024</v>
      </c>
      <c r="O2" s="151">
        <f t="shared" si="0"/>
        <v>2025</v>
      </c>
      <c r="P2" s="151">
        <f t="shared" si="0"/>
        <v>2026</v>
      </c>
      <c r="Q2" s="151">
        <f t="shared" si="0"/>
        <v>2027</v>
      </c>
      <c r="R2" s="151">
        <f t="shared" si="0"/>
        <v>2028</v>
      </c>
      <c r="S2" s="151">
        <f>R2+1</f>
        <v>2029</v>
      </c>
      <c r="T2" s="151">
        <f>S2+1</f>
        <v>2030</v>
      </c>
      <c r="U2" s="151">
        <f>T2+1</f>
        <v>2031</v>
      </c>
    </row>
    <row r="3" spans="1:21" ht="15.5" x14ac:dyDescent="0.35">
      <c r="A3" s="152">
        <v>2013</v>
      </c>
      <c r="B3" s="148" t="s">
        <v>60</v>
      </c>
      <c r="C3" s="153">
        <v>1175497722</v>
      </c>
      <c r="D3" s="154">
        <f>C3-C4</f>
        <v>940398177.60000002</v>
      </c>
      <c r="E3" s="154">
        <f>D3-C4</f>
        <v>705298633.20000005</v>
      </c>
      <c r="F3" s="154">
        <f>E3-C4</f>
        <v>470199088.80000007</v>
      </c>
      <c r="G3" s="154">
        <f>F3-C4</f>
        <v>235099544.40000007</v>
      </c>
      <c r="H3" s="154">
        <f>G3-C4</f>
        <v>0</v>
      </c>
      <c r="I3" s="154">
        <f>H3-$E$4</f>
        <v>0</v>
      </c>
      <c r="J3" s="154">
        <f>I3-$E$4</f>
        <v>0</v>
      </c>
      <c r="K3" s="154"/>
      <c r="P3" s="154"/>
      <c r="Q3" s="154"/>
      <c r="R3" s="154"/>
      <c r="S3" s="154"/>
      <c r="T3" s="154"/>
    </row>
    <row r="4" spans="1:21" ht="15.5" x14ac:dyDescent="0.35">
      <c r="A4" s="155"/>
      <c r="B4" s="148" t="s">
        <v>61</v>
      </c>
      <c r="C4" s="153">
        <f>C3/B2</f>
        <v>235099544.40000001</v>
      </c>
      <c r="D4" s="153"/>
      <c r="E4" s="153"/>
    </row>
    <row r="5" spans="1:21" ht="15.5" x14ac:dyDescent="0.35">
      <c r="A5" s="155"/>
      <c r="B5" s="148" t="s">
        <v>62</v>
      </c>
      <c r="C5" s="153">
        <f>(($C$3*[2]IRR!E4*6)/12)</f>
        <v>58774886.100000001</v>
      </c>
      <c r="D5" s="154">
        <f>AVERAGE(C3:D3)*[2]IRR!E4</f>
        <v>105794794.98</v>
      </c>
      <c r="E5" s="154">
        <f>AVERAGE(D3:E3)*[2]IRR!E4</f>
        <v>82284840.540000021</v>
      </c>
      <c r="F5" s="154">
        <f>AVERAGE(E3:F3)*[2]IRR!E4</f>
        <v>58774886.100000001</v>
      </c>
      <c r="G5" s="154">
        <f>AVERAGE(F3:G3)*[2]IRR!E4</f>
        <v>35264931.660000011</v>
      </c>
      <c r="H5" s="154">
        <f>AVERAGE(G3:H3)*[2]IRR!E4</f>
        <v>11754977.220000004</v>
      </c>
      <c r="I5" s="154">
        <f>AVERAGE($H$3:$I$3)*[3]IRR!$G$4</f>
        <v>0</v>
      </c>
      <c r="J5" s="154">
        <f>AVERAGE($I$3:$J$3)*[3]IRR!$G$4</f>
        <v>0</v>
      </c>
      <c r="K5" s="154"/>
      <c r="P5" s="154"/>
      <c r="Q5" s="154"/>
      <c r="R5" s="154"/>
      <c r="S5" s="154"/>
      <c r="T5" s="154"/>
    </row>
    <row r="6" spans="1:21" ht="15.5" x14ac:dyDescent="0.35">
      <c r="A6" s="152">
        <f>A3+1</f>
        <v>2014</v>
      </c>
      <c r="B6" s="148" t="s">
        <v>60</v>
      </c>
      <c r="C6" s="153"/>
      <c r="D6" s="154"/>
      <c r="E6" s="154">
        <f>D6-D7</f>
        <v>0</v>
      </c>
      <c r="F6" s="154">
        <f>E6-D7</f>
        <v>0</v>
      </c>
      <c r="G6" s="154">
        <f>F6-D7</f>
        <v>0</v>
      </c>
      <c r="H6" s="154">
        <f>G6-D7</f>
        <v>0</v>
      </c>
      <c r="I6" s="154"/>
      <c r="J6" s="154"/>
      <c r="K6" s="154"/>
    </row>
    <row r="7" spans="1:21" ht="15.5" x14ac:dyDescent="0.35">
      <c r="A7" s="155"/>
      <c r="B7" s="148" t="s">
        <v>61</v>
      </c>
      <c r="C7" s="153"/>
      <c r="D7" s="154">
        <f>D6/B2</f>
        <v>0</v>
      </c>
      <c r="E7" s="154"/>
      <c r="F7" s="154"/>
      <c r="G7" s="154"/>
      <c r="H7" s="154"/>
      <c r="I7" s="154"/>
      <c r="J7" s="154"/>
      <c r="K7" s="154"/>
    </row>
    <row r="8" spans="1:21" ht="15.5" x14ac:dyDescent="0.35">
      <c r="A8" s="155"/>
      <c r="B8" s="148" t="s">
        <v>62</v>
      </c>
      <c r="C8" s="153"/>
      <c r="D8" s="153">
        <f>((D6*[2]IRR!E4*6)/12)</f>
        <v>0</v>
      </c>
      <c r="E8" s="154">
        <f>AVERAGE(D6:E6)*[2]IRR!E4</f>
        <v>0</v>
      </c>
      <c r="F8" s="154">
        <f>AVERAGE(E6:F6)*[2]IRR!E4</f>
        <v>0</v>
      </c>
      <c r="G8" s="154">
        <f>AVERAGE(F6:G6)*[2]IRR!E4</f>
        <v>0</v>
      </c>
      <c r="H8" s="154">
        <f>AVERAGE(G6:H6)*[2]IRR!E4</f>
        <v>0</v>
      </c>
      <c r="I8" s="154">
        <f>AVERAGE(H6:I6)*[2]IRR!E4</f>
        <v>0</v>
      </c>
      <c r="J8" s="154"/>
      <c r="K8" s="154"/>
    </row>
    <row r="9" spans="1:21" ht="15.5" x14ac:dyDescent="0.35">
      <c r="A9" s="152">
        <f>A6+1</f>
        <v>2015</v>
      </c>
      <c r="B9" s="148" t="s">
        <v>60</v>
      </c>
      <c r="C9" s="153"/>
      <c r="D9" s="154"/>
      <c r="E9" s="154">
        <v>112080222</v>
      </c>
      <c r="F9" s="154">
        <f>E9-E10</f>
        <v>89664177.599999994</v>
      </c>
      <c r="G9" s="154">
        <f>F9-E10</f>
        <v>67248133.199999988</v>
      </c>
      <c r="H9" s="154">
        <f>G9-E10</f>
        <v>44832088.79999999</v>
      </c>
      <c r="I9" s="154">
        <f>H9-E10</f>
        <v>22416044.399999991</v>
      </c>
      <c r="J9" s="154">
        <f>I9-E10</f>
        <v>0</v>
      </c>
    </row>
    <row r="10" spans="1:21" ht="15.5" x14ac:dyDescent="0.35">
      <c r="A10" s="155"/>
      <c r="B10" s="148" t="s">
        <v>61</v>
      </c>
      <c r="C10" s="153"/>
      <c r="D10" s="154"/>
      <c r="E10" s="154">
        <f>E9/B2</f>
        <v>22416044.399999999</v>
      </c>
      <c r="F10" s="154"/>
      <c r="G10" s="154"/>
      <c r="H10" s="154"/>
      <c r="I10" s="154"/>
      <c r="J10" s="154"/>
    </row>
    <row r="11" spans="1:21" ht="15.5" x14ac:dyDescent="0.35">
      <c r="A11" s="155"/>
      <c r="B11" s="148" t="s">
        <v>62</v>
      </c>
      <c r="C11" s="153"/>
      <c r="D11" s="154"/>
      <c r="E11" s="153">
        <f>((E9*[2]IRR!E4*6)/12)</f>
        <v>5604011.1000000006</v>
      </c>
      <c r="F11" s="154">
        <f>AVERAGE(E9:F9)*[2]IRR!$E$4</f>
        <v>10087219.98</v>
      </c>
      <c r="G11" s="154">
        <f>AVERAGE(F9:G9)*[2]IRR!$E$4</f>
        <v>7845615.5399999991</v>
      </c>
      <c r="H11" s="154">
        <f>AVERAGE(G9:H9)*[2]IRR!$E$4</f>
        <v>5604011.0999999987</v>
      </c>
      <c r="I11" s="154">
        <f>AVERAGE(H9:I9)*[2]IRR!$E$4</f>
        <v>3362406.6599999997</v>
      </c>
      <c r="J11" s="154">
        <f>AVERAGE(I9:J9)*[2]IRR!$E$4</f>
        <v>1120802.2199999995</v>
      </c>
    </row>
    <row r="12" spans="1:21" ht="15.5" x14ac:dyDescent="0.35">
      <c r="A12" s="152">
        <f>A9+1</f>
        <v>2016</v>
      </c>
      <c r="B12" s="148" t="s">
        <v>60</v>
      </c>
      <c r="C12" s="153"/>
      <c r="D12" s="154"/>
      <c r="E12" s="154"/>
      <c r="F12" s="154"/>
      <c r="G12" s="154">
        <f>F12-F13</f>
        <v>0</v>
      </c>
      <c r="H12" s="154">
        <f>G12-F13</f>
        <v>0</v>
      </c>
      <c r="I12" s="154">
        <f>H12-F13</f>
        <v>0</v>
      </c>
      <c r="J12" s="154">
        <f>I12-F13</f>
        <v>0</v>
      </c>
      <c r="K12" s="154">
        <f>J12-F13</f>
        <v>0</v>
      </c>
    </row>
    <row r="13" spans="1:21" ht="15.5" x14ac:dyDescent="0.35">
      <c r="B13" s="148" t="s">
        <v>61</v>
      </c>
      <c r="C13" s="153"/>
      <c r="D13" s="154"/>
      <c r="E13" s="154"/>
      <c r="F13" s="154">
        <f>F12/B2</f>
        <v>0</v>
      </c>
      <c r="G13" s="154"/>
      <c r="H13" s="154"/>
      <c r="I13" s="154"/>
      <c r="J13" s="154"/>
      <c r="K13" s="154"/>
    </row>
    <row r="14" spans="1:21" ht="15.5" x14ac:dyDescent="0.35">
      <c r="B14" s="148" t="s">
        <v>62</v>
      </c>
      <c r="C14" s="153"/>
      <c r="D14" s="154"/>
      <c r="E14" s="153"/>
      <c r="F14" s="153">
        <f>((F12*[2]IRR!E4*6)/12)</f>
        <v>0</v>
      </c>
      <c r="G14" s="154">
        <f>AVERAGE(F12:G12)*[2]IRR!$E$4</f>
        <v>0</v>
      </c>
      <c r="H14" s="154">
        <f>AVERAGE(G12:H12)*[2]IRR!$E$4</f>
        <v>0</v>
      </c>
      <c r="I14" s="154">
        <f>AVERAGE(H12:I12)*[2]IRR!$E$4</f>
        <v>0</v>
      </c>
      <c r="J14" s="154">
        <f>AVERAGE(I12:J12)*[2]IRR!$E$4</f>
        <v>0</v>
      </c>
      <c r="K14" s="154">
        <f>AVERAGE(J12:K12)*[2]IRR!$E$4</f>
        <v>0</v>
      </c>
    </row>
    <row r="15" spans="1:21" ht="15.5" x14ac:dyDescent="0.35">
      <c r="A15" s="152">
        <f>A12+1</f>
        <v>2017</v>
      </c>
      <c r="B15" s="148" t="s">
        <v>60</v>
      </c>
      <c r="C15" s="153"/>
      <c r="D15" s="154"/>
      <c r="E15" s="154"/>
      <c r="F15" s="154"/>
      <c r="G15" s="154"/>
      <c r="H15" s="154">
        <f>G15-G16</f>
        <v>0</v>
      </c>
      <c r="I15" s="154">
        <f>H15-G16</f>
        <v>0</v>
      </c>
      <c r="J15" s="154">
        <f>I15-G16</f>
        <v>0</v>
      </c>
      <c r="K15" s="154">
        <f>J15-G16</f>
        <v>0</v>
      </c>
      <c r="L15" s="154">
        <f>K15-G16</f>
        <v>0</v>
      </c>
    </row>
    <row r="16" spans="1:21" ht="15.5" x14ac:dyDescent="0.35">
      <c r="B16" s="148" t="s">
        <v>61</v>
      </c>
      <c r="C16" s="153"/>
      <c r="D16" s="154"/>
      <c r="E16" s="154"/>
      <c r="F16" s="154"/>
      <c r="G16" s="154">
        <f>G15/B2</f>
        <v>0</v>
      </c>
      <c r="H16" s="154"/>
      <c r="I16" s="154"/>
      <c r="J16" s="154"/>
      <c r="K16" s="154"/>
      <c r="L16" s="154"/>
    </row>
    <row r="17" spans="1:18" ht="15.5" x14ac:dyDescent="0.35">
      <c r="B17" s="148" t="s">
        <v>62</v>
      </c>
      <c r="C17" s="153"/>
      <c r="D17" s="154"/>
      <c r="E17" s="153"/>
      <c r="F17" s="154"/>
      <c r="G17" s="153">
        <f>((G15*[2]IRR!E4*6)/12)</f>
        <v>0</v>
      </c>
      <c r="H17" s="154">
        <f>AVERAGE(G15:H15)*[2]IRR!$E$4</f>
        <v>0</v>
      </c>
      <c r="I17" s="154">
        <f>AVERAGE(H15:I15)*[2]IRR!$E$4</f>
        <v>0</v>
      </c>
      <c r="J17" s="154">
        <f>AVERAGE(I15:J15)*[2]IRR!$E$4</f>
        <v>0</v>
      </c>
      <c r="K17" s="154">
        <f>AVERAGE(J15:K15)*[2]IRR!$E$4</f>
        <v>0</v>
      </c>
      <c r="L17" s="154">
        <f>AVERAGE(K15:L15)*[2]IRR!$E$4</f>
        <v>0</v>
      </c>
    </row>
    <row r="18" spans="1:18" ht="15.5" x14ac:dyDescent="0.35">
      <c r="A18" s="152">
        <f>A15+1</f>
        <v>2018</v>
      </c>
      <c r="B18" s="148" t="s">
        <v>60</v>
      </c>
      <c r="C18" s="153"/>
      <c r="D18" s="154"/>
      <c r="E18" s="154"/>
      <c r="F18" s="154"/>
      <c r="H18" s="154">
        <v>56267516</v>
      </c>
      <c r="I18" s="154">
        <f>H18-H19</f>
        <v>45014012.799999997</v>
      </c>
      <c r="J18" s="154">
        <f>I18-H19</f>
        <v>33760509.599999994</v>
      </c>
      <c r="K18" s="154">
        <f>J18-H19</f>
        <v>22507006.399999995</v>
      </c>
      <c r="L18" s="154">
        <f>K18-H19</f>
        <v>11253503.199999996</v>
      </c>
      <c r="M18" s="154">
        <f>L18-H19</f>
        <v>0</v>
      </c>
    </row>
    <row r="19" spans="1:18" ht="15.5" x14ac:dyDescent="0.35">
      <c r="B19" s="148" t="s">
        <v>61</v>
      </c>
      <c r="C19" s="153"/>
      <c r="D19" s="154"/>
      <c r="E19" s="154"/>
      <c r="F19" s="154"/>
      <c r="H19" s="154">
        <f>H18/B2</f>
        <v>11253503.199999999</v>
      </c>
      <c r="I19" s="154"/>
      <c r="J19" s="154"/>
      <c r="K19" s="154"/>
      <c r="L19" s="154"/>
      <c r="M19" s="154"/>
    </row>
    <row r="20" spans="1:18" ht="15.5" x14ac:dyDescent="0.35">
      <c r="B20" s="148" t="s">
        <v>62</v>
      </c>
      <c r="C20" s="153"/>
      <c r="D20" s="154"/>
      <c r="E20" s="153"/>
      <c r="F20" s="154"/>
      <c r="H20" s="153">
        <f>((H18*[2]IRR!E4*6)/12)</f>
        <v>2813375.8000000003</v>
      </c>
      <c r="I20" s="154">
        <f>AVERAGE(H18:I18)*[2]IRR!$E$4</f>
        <v>5064076.4400000004</v>
      </c>
      <c r="J20" s="154">
        <f>AVERAGE(I18:J18)*[2]IRR!$E$4</f>
        <v>3938726.1199999996</v>
      </c>
      <c r="K20" s="154">
        <f>AVERAGE(J18:K18)*[2]IRR!$E$4</f>
        <v>2813375.7999999993</v>
      </c>
      <c r="L20" s="154">
        <f>AVERAGE(K18:L18)*[2]IRR!$E$4</f>
        <v>1688025.4799999997</v>
      </c>
      <c r="M20" s="154">
        <f>AVERAGE(L18:M18)*[2]IRR!$E$4</f>
        <v>562675.1599999998</v>
      </c>
    </row>
    <row r="21" spans="1:18" ht="15.5" x14ac:dyDescent="0.35">
      <c r="A21" s="152">
        <f>A18+1</f>
        <v>2019</v>
      </c>
      <c r="B21" s="148" t="s">
        <v>60</v>
      </c>
      <c r="C21" s="153"/>
      <c r="D21" s="154"/>
      <c r="E21" s="154"/>
      <c r="F21" s="154"/>
      <c r="I21" s="154"/>
      <c r="J21" s="154">
        <f>I21-I22</f>
        <v>0</v>
      </c>
      <c r="K21" s="154">
        <f>J21-I22</f>
        <v>0</v>
      </c>
      <c r="L21" s="154">
        <f>K21-I22</f>
        <v>0</v>
      </c>
      <c r="M21" s="154">
        <f>L21-I22</f>
        <v>0</v>
      </c>
      <c r="N21" s="154">
        <f>M21-I22</f>
        <v>0</v>
      </c>
    </row>
    <row r="22" spans="1:18" ht="15.5" x14ac:dyDescent="0.35">
      <c r="B22" s="148" t="s">
        <v>61</v>
      </c>
      <c r="C22" s="153"/>
      <c r="D22" s="154"/>
      <c r="E22" s="154"/>
      <c r="F22" s="154"/>
      <c r="I22" s="154">
        <f>I21/$B$2</f>
        <v>0</v>
      </c>
      <c r="J22" s="154"/>
      <c r="K22" s="154"/>
      <c r="L22" s="154"/>
      <c r="M22" s="154"/>
      <c r="N22" s="154"/>
    </row>
    <row r="23" spans="1:18" ht="15.5" x14ac:dyDescent="0.35">
      <c r="B23" s="148" t="s">
        <v>62</v>
      </c>
      <c r="C23" s="153"/>
      <c r="D23" s="154"/>
      <c r="E23" s="153"/>
      <c r="F23" s="154"/>
      <c r="I23" s="153">
        <f>((I21*[2]IRR!E4*6)/12)</f>
        <v>0</v>
      </c>
      <c r="J23" s="154">
        <f>AVERAGE(I21:J21)*[2]IRR!$E$4</f>
        <v>0</v>
      </c>
      <c r="K23" s="154">
        <f>AVERAGE(J21:K21)*[2]IRR!$E$4</f>
        <v>0</v>
      </c>
      <c r="L23" s="154">
        <f>AVERAGE(K21:L21)*[2]IRR!$E$4</f>
        <v>0</v>
      </c>
      <c r="M23" s="154">
        <f>AVERAGE(L21:M21)*[2]IRR!$E$4</f>
        <v>0</v>
      </c>
      <c r="N23" s="154">
        <f>AVERAGE(M21:N21)*[2]IRR!$E$4</f>
        <v>0</v>
      </c>
    </row>
    <row r="24" spans="1:18" ht="15.5" x14ac:dyDescent="0.35">
      <c r="A24" s="152">
        <f>A21+1</f>
        <v>2020</v>
      </c>
      <c r="B24" s="148" t="s">
        <v>60</v>
      </c>
      <c r="C24" s="153"/>
      <c r="D24" s="154"/>
      <c r="E24" s="154"/>
      <c r="F24" s="154"/>
      <c r="J24" s="154"/>
      <c r="K24" s="154">
        <f>J24-J25</f>
        <v>0</v>
      </c>
      <c r="L24" s="154">
        <f>K24-J25</f>
        <v>0</v>
      </c>
      <c r="M24" s="154">
        <f>L24-J25</f>
        <v>0</v>
      </c>
      <c r="N24" s="154">
        <f>M24-J25</f>
        <v>0</v>
      </c>
      <c r="O24" s="154">
        <f>N24-J25</f>
        <v>0</v>
      </c>
    </row>
    <row r="25" spans="1:18" ht="15.5" x14ac:dyDescent="0.35">
      <c r="B25" s="148" t="s">
        <v>61</v>
      </c>
      <c r="C25" s="153"/>
      <c r="D25" s="154"/>
      <c r="E25" s="154"/>
      <c r="F25" s="154"/>
      <c r="J25" s="154">
        <f>J24/B2</f>
        <v>0</v>
      </c>
      <c r="K25" s="154"/>
      <c r="L25" s="154"/>
      <c r="M25" s="154"/>
      <c r="N25" s="154"/>
      <c r="O25" s="154"/>
    </row>
    <row r="26" spans="1:18" ht="15.5" x14ac:dyDescent="0.35">
      <c r="B26" s="148" t="s">
        <v>62</v>
      </c>
      <c r="C26" s="153"/>
      <c r="D26" s="154"/>
      <c r="E26" s="153"/>
      <c r="F26" s="154"/>
      <c r="J26" s="153">
        <f>((J24*[2]IRR!E4*6)/12)</f>
        <v>0</v>
      </c>
      <c r="K26" s="154">
        <f>AVERAGE(J24:K24)*[2]IRR!$E$4</f>
        <v>0</v>
      </c>
      <c r="L26" s="154">
        <f>AVERAGE(K24:L24)*[2]IRR!$E$4</f>
        <v>0</v>
      </c>
      <c r="M26" s="154">
        <f>AVERAGE(L24:M24)*[2]IRR!$E$4</f>
        <v>0</v>
      </c>
      <c r="N26" s="154">
        <f>AVERAGE(M24:N24)*[2]IRR!$E$4</f>
        <v>0</v>
      </c>
      <c r="O26" s="154">
        <f>AVERAGE(N24:O24)*[2]IRR!$E$4</f>
        <v>0</v>
      </c>
    </row>
    <row r="27" spans="1:18" ht="15.5" x14ac:dyDescent="0.35">
      <c r="A27" s="152">
        <f>A24+1</f>
        <v>2021</v>
      </c>
      <c r="B27" s="148" t="s">
        <v>60</v>
      </c>
      <c r="C27" s="153"/>
      <c r="D27" s="154"/>
      <c r="E27" s="154"/>
      <c r="F27" s="154"/>
      <c r="L27" s="154"/>
      <c r="M27" s="154">
        <f>L27-L28</f>
        <v>0</v>
      </c>
      <c r="N27" s="154">
        <f>M27-L28</f>
        <v>0</v>
      </c>
      <c r="O27" s="154">
        <f>N27-L28</f>
        <v>0</v>
      </c>
      <c r="P27" s="154">
        <f>O27-L28</f>
        <v>0</v>
      </c>
      <c r="Q27" s="154">
        <f>P27-L28</f>
        <v>0</v>
      </c>
    </row>
    <row r="28" spans="1:18" ht="15.5" x14ac:dyDescent="0.35">
      <c r="B28" s="148" t="s">
        <v>61</v>
      </c>
      <c r="C28" s="153"/>
      <c r="D28" s="154"/>
      <c r="E28" s="154"/>
      <c r="F28" s="154"/>
      <c r="L28" s="154">
        <f>L27/B2</f>
        <v>0</v>
      </c>
      <c r="M28" s="154"/>
      <c r="N28" s="154"/>
      <c r="O28" s="154"/>
      <c r="P28" s="154"/>
      <c r="Q28" s="154"/>
    </row>
    <row r="29" spans="1:18" ht="15.5" x14ac:dyDescent="0.35">
      <c r="B29" s="148" t="s">
        <v>62</v>
      </c>
      <c r="C29" s="153"/>
      <c r="D29" s="154"/>
      <c r="E29" s="153"/>
      <c r="F29" s="154"/>
      <c r="L29" s="153">
        <f>((L27*[2]IRR!E4*6)/12)</f>
        <v>0</v>
      </c>
      <c r="M29" s="154">
        <f>AVERAGE(L27:M27)*[2]IRR!$E$4</f>
        <v>0</v>
      </c>
      <c r="N29" s="154">
        <f>AVERAGE(M27:N27)*[2]IRR!$E$4</f>
        <v>0</v>
      </c>
      <c r="O29" s="154">
        <f>AVERAGE(N27:O27)*[2]IRR!$E$4</f>
        <v>0</v>
      </c>
      <c r="P29" s="154">
        <f>AVERAGE(O27:P27)*[2]IRR!$E$4</f>
        <v>0</v>
      </c>
      <c r="Q29" s="154">
        <f>AVERAGE(P27:Q27)*[2]IRR!$E$4</f>
        <v>0</v>
      </c>
    </row>
    <row r="30" spans="1:18" ht="15.5" x14ac:dyDescent="0.35">
      <c r="A30" s="148">
        <f>A27+1</f>
        <v>2022</v>
      </c>
      <c r="B30" s="148" t="s">
        <v>60</v>
      </c>
      <c r="C30" s="153"/>
      <c r="D30" s="154"/>
      <c r="E30" s="153"/>
      <c r="F30" s="154"/>
      <c r="L30" s="153"/>
      <c r="M30" s="154"/>
      <c r="N30" s="154">
        <f>M30-M31</f>
        <v>0</v>
      </c>
      <c r="O30" s="154">
        <f>N30-M31</f>
        <v>0</v>
      </c>
      <c r="P30" s="154">
        <f>O30-M31</f>
        <v>0</v>
      </c>
      <c r="Q30" s="154">
        <f>P30-M31</f>
        <v>0</v>
      </c>
      <c r="R30" s="154">
        <f>Q30-M31</f>
        <v>0</v>
      </c>
    </row>
    <row r="31" spans="1:18" ht="15.5" x14ac:dyDescent="0.35">
      <c r="B31" s="148" t="s">
        <v>61</v>
      </c>
      <c r="C31" s="153"/>
      <c r="D31" s="154"/>
      <c r="E31" s="153"/>
      <c r="F31" s="154"/>
      <c r="L31" s="153"/>
      <c r="M31" s="154">
        <f>M30/B2</f>
        <v>0</v>
      </c>
      <c r="N31" s="154"/>
      <c r="O31" s="154"/>
      <c r="P31" s="154"/>
      <c r="Q31" s="154"/>
    </row>
    <row r="32" spans="1:18" ht="15.5" x14ac:dyDescent="0.35">
      <c r="B32" s="148" t="s">
        <v>62</v>
      </c>
      <c r="C32" s="153"/>
      <c r="D32" s="154"/>
      <c r="E32" s="153"/>
      <c r="F32" s="154"/>
      <c r="L32" s="153"/>
      <c r="M32" s="153">
        <f>((M30*[2]IRR!E4*6)/12)</f>
        <v>0</v>
      </c>
      <c r="N32" s="154">
        <f>AVERAGE(M30:N30)*[2]IRR!$E$4</f>
        <v>0</v>
      </c>
      <c r="O32" s="154">
        <f>AVERAGE(N30:O30)*[2]IRR!$E$4</f>
        <v>0</v>
      </c>
      <c r="P32" s="154">
        <f>AVERAGE(O30:P30)*[2]IRR!$E$4</f>
        <v>0</v>
      </c>
      <c r="Q32" s="154">
        <f>AVERAGE(P30:Q30)*[2]IRR!$E$4</f>
        <v>0</v>
      </c>
      <c r="R32" s="154">
        <f>AVERAGE(Q30:R30)*[2]IRR!$E$4</f>
        <v>0</v>
      </c>
    </row>
    <row r="33" spans="1:21" ht="15.5" x14ac:dyDescent="0.35">
      <c r="A33" s="148">
        <f>A30+1</f>
        <v>2023</v>
      </c>
      <c r="B33" s="148" t="s">
        <v>60</v>
      </c>
      <c r="C33" s="153"/>
      <c r="D33" s="154"/>
      <c r="E33" s="153"/>
      <c r="F33" s="154"/>
      <c r="L33" s="153"/>
      <c r="M33" s="153"/>
      <c r="N33" s="154"/>
      <c r="O33" s="154"/>
      <c r="P33" s="154"/>
      <c r="Q33" s="154"/>
      <c r="R33" s="154"/>
    </row>
    <row r="34" spans="1:21" ht="15.5" x14ac:dyDescent="0.35">
      <c r="B34" s="148" t="s">
        <v>61</v>
      </c>
      <c r="C34" s="153"/>
      <c r="D34" s="154"/>
      <c r="E34" s="153"/>
      <c r="F34" s="154"/>
      <c r="L34" s="153"/>
      <c r="M34" s="153"/>
      <c r="N34" s="154"/>
      <c r="O34" s="154"/>
      <c r="P34" s="154"/>
      <c r="Q34" s="154"/>
      <c r="R34" s="154"/>
    </row>
    <row r="35" spans="1:21" ht="15.5" x14ac:dyDescent="0.35">
      <c r="B35" s="148" t="s">
        <v>62</v>
      </c>
      <c r="C35" s="153"/>
      <c r="D35" s="154"/>
      <c r="E35" s="153"/>
      <c r="F35" s="154"/>
      <c r="L35" s="153"/>
      <c r="M35" s="153"/>
      <c r="N35" s="154"/>
      <c r="O35" s="154"/>
      <c r="P35" s="154"/>
      <c r="Q35" s="154"/>
      <c r="R35" s="154"/>
    </row>
    <row r="36" spans="1:21" ht="15.5" x14ac:dyDescent="0.35">
      <c r="A36" s="148">
        <f>A33+1</f>
        <v>2024</v>
      </c>
      <c r="B36" s="148" t="s">
        <v>60</v>
      </c>
      <c r="C36" s="153"/>
      <c r="D36" s="154"/>
      <c r="E36" s="153"/>
      <c r="F36" s="154"/>
      <c r="L36" s="153"/>
      <c r="M36" s="153"/>
      <c r="N36" s="154">
        <f>'IRR Approved'!H15</f>
        <v>130000000</v>
      </c>
      <c r="O36" s="154">
        <f>N36-N37</f>
        <v>104000000</v>
      </c>
      <c r="P36" s="154">
        <f>O36-N37</f>
        <v>78000000</v>
      </c>
      <c r="Q36" s="154">
        <f>P36-N37</f>
        <v>52000000</v>
      </c>
      <c r="R36" s="154">
        <f>Q36-N37</f>
        <v>26000000</v>
      </c>
      <c r="S36" s="154">
        <f>R36-N37</f>
        <v>0</v>
      </c>
    </row>
    <row r="37" spans="1:21" ht="15.5" x14ac:dyDescent="0.35">
      <c r="B37" s="148" t="s">
        <v>61</v>
      </c>
      <c r="C37" s="153"/>
      <c r="D37" s="154"/>
      <c r="E37" s="153"/>
      <c r="F37" s="154"/>
      <c r="L37" s="153"/>
      <c r="M37" s="153"/>
      <c r="N37" s="154">
        <f>N36/$B$2</f>
        <v>26000000</v>
      </c>
      <c r="O37" s="154"/>
      <c r="P37" s="154"/>
      <c r="Q37" s="154"/>
      <c r="R37" s="154"/>
      <c r="S37" s="154"/>
    </row>
    <row r="38" spans="1:21" ht="15.5" x14ac:dyDescent="0.35">
      <c r="B38" s="148" t="s">
        <v>62</v>
      </c>
      <c r="C38" s="153"/>
      <c r="D38" s="154"/>
      <c r="E38" s="153"/>
      <c r="F38" s="154"/>
      <c r="L38" s="153"/>
      <c r="M38" s="153"/>
      <c r="N38" s="153">
        <f>((N36*'IRR Approved'!$F$4*6)/12)</f>
        <v>6500000</v>
      </c>
      <c r="O38" s="154">
        <f>AVERAGE(N36:O36)*'IRR Approved'!$F$4</f>
        <v>11700000</v>
      </c>
      <c r="P38" s="154">
        <f>AVERAGE(O36:P36)*'IRR Approved'!$F$4</f>
        <v>9100000</v>
      </c>
      <c r="Q38" s="154">
        <f>AVERAGE(P36:Q36)*'IRR Approved'!$F$4</f>
        <v>6500000</v>
      </c>
      <c r="R38" s="154">
        <f>AVERAGE(Q36:R36)*'IRR Approved'!$F$4</f>
        <v>3900000</v>
      </c>
      <c r="S38" s="154">
        <f>AVERAGE(R36:S36)*'IRR Approved'!$F$4</f>
        <v>1300000</v>
      </c>
      <c r="T38" s="154">
        <f>AVERAGE(S36:T36)*'IRR Approved'!$F$4</f>
        <v>0</v>
      </c>
    </row>
    <row r="39" spans="1:21" ht="15.5" x14ac:dyDescent="0.35">
      <c r="A39" s="148">
        <f>A36+1</f>
        <v>2025</v>
      </c>
      <c r="B39" s="148" t="s">
        <v>60</v>
      </c>
      <c r="C39" s="153"/>
      <c r="D39" s="154"/>
      <c r="E39" s="153"/>
      <c r="F39" s="154"/>
      <c r="L39" s="153"/>
      <c r="M39" s="153"/>
      <c r="N39" s="154"/>
      <c r="O39" s="154">
        <f>'IRR Approved'!I14</f>
        <v>70000000</v>
      </c>
      <c r="P39" s="154">
        <f>O39-O40</f>
        <v>56000000</v>
      </c>
      <c r="Q39" s="154">
        <f>P39-O40</f>
        <v>42000000</v>
      </c>
      <c r="R39" s="154">
        <f>Q39-O40</f>
        <v>28000000</v>
      </c>
      <c r="S39" s="154">
        <f>R39-O40</f>
        <v>14000000</v>
      </c>
      <c r="T39" s="154">
        <f>S39-O40</f>
        <v>0</v>
      </c>
    </row>
    <row r="40" spans="1:21" ht="15.5" x14ac:dyDescent="0.35">
      <c r="B40" s="148" t="s">
        <v>61</v>
      </c>
      <c r="C40" s="153"/>
      <c r="D40" s="154"/>
      <c r="E40" s="153"/>
      <c r="F40" s="154"/>
      <c r="L40" s="153"/>
      <c r="M40" s="153"/>
      <c r="N40" s="154"/>
      <c r="O40" s="154">
        <f>O39/$B$2</f>
        <v>14000000</v>
      </c>
      <c r="P40" s="154"/>
      <c r="Q40" s="154"/>
      <c r="R40" s="154"/>
      <c r="S40" s="154"/>
      <c r="T40" s="154"/>
    </row>
    <row r="41" spans="1:21" ht="15.5" x14ac:dyDescent="0.35">
      <c r="B41" s="148" t="s">
        <v>62</v>
      </c>
      <c r="C41" s="153"/>
      <c r="D41" s="154"/>
      <c r="E41" s="153"/>
      <c r="F41" s="154"/>
      <c r="L41" s="153"/>
      <c r="M41" s="153"/>
      <c r="N41" s="154"/>
      <c r="O41" s="153">
        <f>((O39*'IRR Approved'!$F$4*6)/12)</f>
        <v>3500000</v>
      </c>
      <c r="P41" s="154">
        <f>AVERAGE(O39:P39)*'IRR Approved'!$F$4</f>
        <v>6300000</v>
      </c>
      <c r="Q41" s="154">
        <f>AVERAGE(P39:Q39)*'IRR Approved'!$F$4</f>
        <v>4900000</v>
      </c>
      <c r="R41" s="154">
        <f>AVERAGE(Q39:R39)*'IRR Approved'!$F$4</f>
        <v>3500000</v>
      </c>
      <c r="S41" s="154">
        <f>AVERAGE(R39:S39)*'IRR Approved'!$F$4</f>
        <v>2100000</v>
      </c>
      <c r="T41" s="154">
        <f>AVERAGE(S39:T39)*'IRR Approved'!$F$4</f>
        <v>700000</v>
      </c>
      <c r="U41" s="154">
        <f>AVERAGE(T39:U39)*'IRR Approved'!$F$4</f>
        <v>0</v>
      </c>
    </row>
    <row r="42" spans="1:21" ht="15.5" x14ac:dyDescent="0.35">
      <c r="C42" s="153"/>
      <c r="D42" s="154"/>
      <c r="E42" s="153"/>
      <c r="F42" s="154"/>
      <c r="L42" s="153"/>
      <c r="M42" s="153"/>
      <c r="N42" s="154"/>
      <c r="O42" s="154"/>
      <c r="P42" s="154"/>
      <c r="Q42" s="154"/>
      <c r="R42" s="154"/>
    </row>
    <row r="43" spans="1:21" ht="15.5" x14ac:dyDescent="0.35">
      <c r="C43" s="153"/>
      <c r="D43" s="154"/>
      <c r="E43" s="154"/>
      <c r="F43" s="154"/>
      <c r="G43" s="154"/>
      <c r="H43" s="154"/>
      <c r="I43" s="154"/>
      <c r="J43" s="154"/>
      <c r="K43" s="154"/>
    </row>
    <row r="44" spans="1:21" ht="15.5" x14ac:dyDescent="0.35">
      <c r="A44" s="149"/>
      <c r="B44" s="156" t="s">
        <v>161</v>
      </c>
      <c r="C44" s="157">
        <f t="shared" ref="C44:L44" si="1">C5+C8+C11+C14+C17+C20+C23+C26+C29+C32</f>
        <v>58774886.100000001</v>
      </c>
      <c r="D44" s="157">
        <f t="shared" si="1"/>
        <v>105794794.98</v>
      </c>
      <c r="E44" s="157">
        <f t="shared" si="1"/>
        <v>87888851.640000015</v>
      </c>
      <c r="F44" s="157">
        <f t="shared" si="1"/>
        <v>68862106.079999998</v>
      </c>
      <c r="G44" s="157">
        <f t="shared" si="1"/>
        <v>43110547.20000001</v>
      </c>
      <c r="H44" s="157">
        <f t="shared" si="1"/>
        <v>20172364.120000005</v>
      </c>
      <c r="I44" s="157">
        <f t="shared" si="1"/>
        <v>8426483.0999999996</v>
      </c>
      <c r="J44" s="157">
        <f t="shared" si="1"/>
        <v>5059528.3399999989</v>
      </c>
      <c r="K44" s="157">
        <f t="shared" si="1"/>
        <v>2813375.7999999993</v>
      </c>
      <c r="L44" s="157">
        <f t="shared" si="1"/>
        <v>1688025.4799999997</v>
      </c>
      <c r="M44" s="157">
        <f t="shared" ref="M44:T44" si="2">M5+M8+M11+M14+M17+M20+M23+M26+M29+M32+M35+M38+M41</f>
        <v>562675.1599999998</v>
      </c>
      <c r="N44" s="157">
        <f t="shared" si="2"/>
        <v>6500000</v>
      </c>
      <c r="O44" s="157">
        <f t="shared" si="2"/>
        <v>15200000</v>
      </c>
      <c r="P44" s="157">
        <f t="shared" si="2"/>
        <v>15400000</v>
      </c>
      <c r="Q44" s="157">
        <f t="shared" si="2"/>
        <v>11400000</v>
      </c>
      <c r="R44" s="157">
        <f t="shared" si="2"/>
        <v>7400000</v>
      </c>
      <c r="S44" s="157">
        <f t="shared" si="2"/>
        <v>3400000</v>
      </c>
      <c r="T44" s="157">
        <f t="shared" si="2"/>
        <v>700000</v>
      </c>
    </row>
    <row r="45" spans="1:21" ht="15.5" x14ac:dyDescent="0.35">
      <c r="B45" s="153"/>
      <c r="C45" s="154"/>
      <c r="D45" s="154"/>
      <c r="E45" s="154"/>
      <c r="F45" s="154"/>
      <c r="G45" s="154"/>
      <c r="H45" s="154"/>
      <c r="I45" s="154"/>
      <c r="J45" s="154"/>
      <c r="K45" s="154"/>
    </row>
    <row r="46" spans="1:21" x14ac:dyDescent="0.35">
      <c r="A46" s="158"/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</row>
    <row r="47" spans="1:21" x14ac:dyDescent="0.35">
      <c r="A47" s="147" t="s">
        <v>162</v>
      </c>
    </row>
    <row r="48" spans="1:21" ht="15.5" x14ac:dyDescent="0.35">
      <c r="A48" s="148" t="s">
        <v>163</v>
      </c>
      <c r="B48" s="148" t="s">
        <v>164</v>
      </c>
      <c r="C48" s="159">
        <v>50000000</v>
      </c>
    </row>
    <row r="49" spans="1:15" ht="15.5" x14ac:dyDescent="0.35">
      <c r="A49" s="148" t="s">
        <v>165</v>
      </c>
      <c r="B49" s="148" t="s">
        <v>164</v>
      </c>
      <c r="C49" s="159">
        <v>20000000</v>
      </c>
    </row>
    <row r="50" spans="1:15" ht="15.5" x14ac:dyDescent="0.35">
      <c r="A50" s="148" t="s">
        <v>166</v>
      </c>
      <c r="B50" s="160" t="s">
        <v>167</v>
      </c>
      <c r="C50" s="159"/>
    </row>
    <row r="51" spans="1:15" ht="15.5" x14ac:dyDescent="0.35">
      <c r="A51" s="148" t="s">
        <v>168</v>
      </c>
      <c r="B51" s="160" t="s">
        <v>167</v>
      </c>
      <c r="C51" s="159"/>
    </row>
    <row r="53" spans="1:15" ht="15.5" x14ac:dyDescent="0.35">
      <c r="A53" s="161" t="s">
        <v>1</v>
      </c>
      <c r="B53" s="157">
        <f>C48</f>
        <v>50000000</v>
      </c>
      <c r="C53" s="162">
        <f>B53+C54</f>
        <v>51000000</v>
      </c>
      <c r="D53" s="162">
        <f>C53+D55</f>
        <v>52020000</v>
      </c>
      <c r="E53" s="162">
        <f t="shared" ref="E53:K53" si="3">D53+E55</f>
        <v>53060400</v>
      </c>
      <c r="F53" s="162">
        <f t="shared" si="3"/>
        <v>54121608</v>
      </c>
      <c r="G53" s="162">
        <f t="shared" si="3"/>
        <v>55204040.159999996</v>
      </c>
      <c r="H53" s="162">
        <f t="shared" si="3"/>
        <v>56308120.963199995</v>
      </c>
      <c r="I53" s="162">
        <f t="shared" si="3"/>
        <v>57434283.382463992</v>
      </c>
      <c r="J53" s="162">
        <f t="shared" si="3"/>
        <v>58582969.050113268</v>
      </c>
      <c r="K53" s="162">
        <f t="shared" si="3"/>
        <v>59754628.43111553</v>
      </c>
    </row>
    <row r="54" spans="1:15" x14ac:dyDescent="0.35">
      <c r="A54" s="163">
        <v>0.02</v>
      </c>
      <c r="B54" s="161"/>
      <c r="C54" s="162">
        <f>C55</f>
        <v>1000000</v>
      </c>
      <c r="D54" s="162">
        <f>C54+D55</f>
        <v>2020000</v>
      </c>
      <c r="E54" s="162">
        <f t="shared" ref="E54:K54" si="4">D54+E55</f>
        <v>3060400</v>
      </c>
      <c r="F54" s="162">
        <f t="shared" si="4"/>
        <v>4121608</v>
      </c>
      <c r="G54" s="162">
        <f t="shared" si="4"/>
        <v>5204040.16</v>
      </c>
      <c r="H54" s="162">
        <f t="shared" si="4"/>
        <v>6308120.9632000001</v>
      </c>
      <c r="I54" s="162">
        <f t="shared" si="4"/>
        <v>7434283.382464</v>
      </c>
      <c r="J54" s="162">
        <f t="shared" si="4"/>
        <v>8582969.0501132794</v>
      </c>
      <c r="K54" s="162">
        <f t="shared" si="4"/>
        <v>9754628.4311155453</v>
      </c>
    </row>
    <row r="55" spans="1:15" x14ac:dyDescent="0.35">
      <c r="A55" s="161"/>
      <c r="B55" s="161"/>
      <c r="C55" s="162">
        <f t="shared" ref="C55:K55" si="5">B53*$A$54</f>
        <v>1000000</v>
      </c>
      <c r="D55" s="162">
        <f t="shared" si="5"/>
        <v>1020000</v>
      </c>
      <c r="E55" s="162">
        <f t="shared" si="5"/>
        <v>1040400</v>
      </c>
      <c r="F55" s="162">
        <f t="shared" si="5"/>
        <v>1061208</v>
      </c>
      <c r="G55" s="162">
        <f t="shared" si="5"/>
        <v>1082432.1599999999</v>
      </c>
      <c r="H55" s="162">
        <f t="shared" si="5"/>
        <v>1104080.8032</v>
      </c>
      <c r="I55" s="162">
        <f t="shared" si="5"/>
        <v>1126162.4192639999</v>
      </c>
      <c r="J55" s="162">
        <f t="shared" si="5"/>
        <v>1148685.6676492798</v>
      </c>
      <c r="K55" s="162">
        <f t="shared" si="5"/>
        <v>1171659.3810022655</v>
      </c>
    </row>
    <row r="56" spans="1:15" x14ac:dyDescent="0.35">
      <c r="C56" s="154"/>
      <c r="D56" s="154"/>
      <c r="E56" s="154"/>
      <c r="F56" s="154"/>
      <c r="G56" s="154"/>
      <c r="H56" s="154"/>
      <c r="I56" s="154"/>
      <c r="J56" s="154"/>
      <c r="K56" s="154"/>
    </row>
    <row r="57" spans="1:15" x14ac:dyDescent="0.35">
      <c r="A57" s="158"/>
      <c r="B57" s="158"/>
      <c r="C57" s="164"/>
      <c r="D57" s="164"/>
      <c r="E57" s="164"/>
      <c r="F57" s="164"/>
      <c r="G57" s="164"/>
      <c r="H57" s="164"/>
      <c r="I57" s="164"/>
      <c r="J57" s="164"/>
      <c r="K57" s="164"/>
      <c r="L57" s="158"/>
      <c r="M57" s="158"/>
      <c r="N57" s="158"/>
      <c r="O57" s="158"/>
    </row>
    <row r="58" spans="1:15" x14ac:dyDescent="0.35">
      <c r="A58" s="147" t="s">
        <v>169</v>
      </c>
      <c r="C58" s="154"/>
      <c r="D58" s="154"/>
      <c r="E58" s="154"/>
      <c r="F58" s="154"/>
      <c r="G58" s="154"/>
      <c r="H58" s="154"/>
      <c r="I58" s="154"/>
      <c r="J58" s="154"/>
      <c r="K58" s="154"/>
    </row>
    <row r="59" spans="1:15" x14ac:dyDescent="0.35">
      <c r="A59" s="148" t="s">
        <v>170</v>
      </c>
      <c r="C59" s="154"/>
      <c r="D59" s="154"/>
      <c r="E59" s="154"/>
      <c r="F59" s="154"/>
      <c r="G59" s="154"/>
      <c r="H59" s="154"/>
      <c r="I59" s="154"/>
      <c r="J59" s="154"/>
      <c r="K59" s="154"/>
    </row>
    <row r="60" spans="1:15" x14ac:dyDescent="0.35">
      <c r="A60" s="148" t="s">
        <v>171</v>
      </c>
      <c r="C60" s="154"/>
      <c r="D60" s="154"/>
      <c r="E60" s="154"/>
      <c r="F60" s="154"/>
      <c r="G60" s="154"/>
      <c r="H60" s="154"/>
      <c r="I60" s="154"/>
      <c r="J60" s="154"/>
      <c r="K60" s="154"/>
    </row>
    <row r="61" spans="1:15" x14ac:dyDescent="0.35">
      <c r="A61" s="148" t="s">
        <v>172</v>
      </c>
      <c r="C61" s="154"/>
      <c r="D61" s="154"/>
      <c r="E61" s="154"/>
      <c r="F61" s="154"/>
      <c r="G61" s="154"/>
      <c r="H61" s="154"/>
      <c r="I61" s="154"/>
      <c r="J61" s="154"/>
      <c r="K61" s="154"/>
    </row>
    <row r="62" spans="1:15" x14ac:dyDescent="0.35">
      <c r="A62" s="148" t="s">
        <v>173</v>
      </c>
      <c r="C62" s="154"/>
      <c r="D62" s="154"/>
      <c r="E62" s="154"/>
      <c r="F62" s="154"/>
      <c r="G62" s="154"/>
      <c r="H62" s="154"/>
      <c r="I62" s="154"/>
      <c r="J62" s="154"/>
      <c r="K62" s="154"/>
    </row>
    <row r="63" spans="1:15" x14ac:dyDescent="0.35">
      <c r="A63" s="165" t="s">
        <v>174</v>
      </c>
      <c r="B63" s="166"/>
      <c r="C63" s="167"/>
      <c r="D63" s="154"/>
      <c r="E63" s="154"/>
      <c r="F63" s="154"/>
      <c r="G63" s="154"/>
      <c r="H63" s="154"/>
      <c r="I63" s="154"/>
      <c r="J63" s="154"/>
      <c r="K63" s="154"/>
    </row>
    <row r="64" spans="1:15" x14ac:dyDescent="0.35">
      <c r="C64" s="154"/>
      <c r="D64" s="154"/>
      <c r="E64" s="154"/>
      <c r="F64" s="154"/>
      <c r="G64" s="154"/>
      <c r="H64" s="154"/>
      <c r="I64" s="154"/>
      <c r="J64" s="154"/>
      <c r="K64" s="154"/>
    </row>
    <row r="65" spans="1:11" x14ac:dyDescent="0.35">
      <c r="A65" s="168" t="s">
        <v>175</v>
      </c>
      <c r="B65" s="151" t="s">
        <v>120</v>
      </c>
      <c r="D65" s="168" t="s">
        <v>176</v>
      </c>
      <c r="E65" s="151" t="s">
        <v>134</v>
      </c>
      <c r="G65" s="304" t="s">
        <v>173</v>
      </c>
      <c r="H65" s="305"/>
      <c r="J65" s="151" t="s">
        <v>115</v>
      </c>
      <c r="K65" s="151" t="s">
        <v>177</v>
      </c>
    </row>
    <row r="66" spans="1:11" ht="15.5" x14ac:dyDescent="0.35">
      <c r="A66" s="148" t="s">
        <v>121</v>
      </c>
      <c r="B66" s="153">
        <v>16800000</v>
      </c>
      <c r="D66" s="148" t="s">
        <v>178</v>
      </c>
      <c r="E66" s="153">
        <v>7000000</v>
      </c>
      <c r="G66" s="148" t="s">
        <v>179</v>
      </c>
      <c r="H66" s="153">
        <v>10000000</v>
      </c>
      <c r="J66" s="148" t="s">
        <v>121</v>
      </c>
      <c r="K66" s="153">
        <v>4000000</v>
      </c>
    </row>
    <row r="67" spans="1:11" ht="15.5" x14ac:dyDescent="0.35">
      <c r="A67" s="148" t="s">
        <v>122</v>
      </c>
      <c r="B67" s="153"/>
      <c r="G67" s="148" t="s">
        <v>124</v>
      </c>
      <c r="H67" s="153">
        <v>12000000</v>
      </c>
      <c r="J67" s="148" t="s">
        <v>122</v>
      </c>
      <c r="K67" s="153">
        <v>3000000</v>
      </c>
    </row>
    <row r="68" spans="1:11" ht="15.5" x14ac:dyDescent="0.35">
      <c r="A68" s="148" t="s">
        <v>123</v>
      </c>
      <c r="B68" s="153">
        <v>15600000</v>
      </c>
      <c r="G68" s="148" t="s">
        <v>126</v>
      </c>
      <c r="H68" s="153">
        <v>14000000</v>
      </c>
      <c r="J68" s="148" t="s">
        <v>123</v>
      </c>
      <c r="K68" s="153">
        <v>2500000</v>
      </c>
    </row>
    <row r="69" spans="1:11" ht="15.5" x14ac:dyDescent="0.35">
      <c r="A69" s="148" t="s">
        <v>125</v>
      </c>
      <c r="B69" s="153">
        <v>15000000</v>
      </c>
      <c r="G69" s="148" t="s">
        <v>128</v>
      </c>
      <c r="H69" s="153">
        <v>14000000</v>
      </c>
      <c r="J69" s="148" t="s">
        <v>125</v>
      </c>
      <c r="K69" s="153">
        <v>2000000</v>
      </c>
    </row>
    <row r="70" spans="1:11" ht="15.5" x14ac:dyDescent="0.35">
      <c r="A70" s="148" t="s">
        <v>127</v>
      </c>
      <c r="B70" s="153">
        <v>15000000</v>
      </c>
      <c r="G70" s="148" t="s">
        <v>121</v>
      </c>
      <c r="H70" s="153">
        <v>17000000</v>
      </c>
      <c r="J70" s="148" t="s">
        <v>127</v>
      </c>
      <c r="K70" s="153">
        <v>1850000</v>
      </c>
    </row>
    <row r="71" spans="1:11" ht="15.5" x14ac:dyDescent="0.35">
      <c r="A71" s="148" t="s">
        <v>129</v>
      </c>
      <c r="B71" s="153">
        <v>12000000</v>
      </c>
      <c r="G71" s="148" t="s">
        <v>130</v>
      </c>
      <c r="H71" s="153">
        <v>14000000</v>
      </c>
      <c r="J71" s="148" t="s">
        <v>129</v>
      </c>
      <c r="K71" s="153">
        <v>1200000</v>
      </c>
    </row>
    <row r="72" spans="1:11" ht="15.5" x14ac:dyDescent="0.35">
      <c r="A72" s="148" t="s">
        <v>130</v>
      </c>
      <c r="B72" s="153">
        <v>16800000</v>
      </c>
      <c r="J72" s="148" t="s">
        <v>130</v>
      </c>
      <c r="K72" s="153">
        <v>2000000</v>
      </c>
    </row>
    <row r="73" spans="1:11" ht="15.5" x14ac:dyDescent="0.35">
      <c r="A73" s="148" t="s">
        <v>131</v>
      </c>
      <c r="B73" s="153">
        <v>15720000</v>
      </c>
      <c r="J73" s="148" t="s">
        <v>131</v>
      </c>
      <c r="K73" s="153">
        <v>3500000</v>
      </c>
    </row>
    <row r="74" spans="1:11" ht="15.5" x14ac:dyDescent="0.35">
      <c r="A74" s="148" t="s">
        <v>132</v>
      </c>
      <c r="J74" s="148" t="s">
        <v>132</v>
      </c>
      <c r="K74" s="153">
        <v>2800000</v>
      </c>
    </row>
    <row r="75" spans="1:11" x14ac:dyDescent="0.35">
      <c r="A75" s="148" t="s">
        <v>133</v>
      </c>
      <c r="B75" s="148">
        <v>0</v>
      </c>
    </row>
    <row r="77" spans="1:11" x14ac:dyDescent="0.35">
      <c r="C77" s="154"/>
      <c r="D77" s="154"/>
      <c r="E77" s="154"/>
      <c r="F77" s="154"/>
      <c r="G77" s="154"/>
      <c r="H77" s="154"/>
      <c r="I77" s="154"/>
      <c r="J77" s="154"/>
      <c r="K77" s="154"/>
    </row>
    <row r="78" spans="1:11" ht="14.4" customHeight="1" x14ac:dyDescent="0.35">
      <c r="A78" s="306" t="s">
        <v>172</v>
      </c>
      <c r="B78" s="308" t="s">
        <v>180</v>
      </c>
      <c r="C78" s="308" t="s">
        <v>181</v>
      </c>
      <c r="D78" s="309" t="s">
        <v>113</v>
      </c>
      <c r="E78" s="169" t="s">
        <v>107</v>
      </c>
      <c r="F78" s="169" t="s">
        <v>108</v>
      </c>
      <c r="G78" s="169" t="s">
        <v>109</v>
      </c>
      <c r="H78" s="170" t="s">
        <v>110</v>
      </c>
      <c r="I78" s="299" t="s">
        <v>111</v>
      </c>
      <c r="J78" s="299" t="s">
        <v>112</v>
      </c>
    </row>
    <row r="79" spans="1:11" x14ac:dyDescent="0.35">
      <c r="A79" s="307"/>
      <c r="B79" s="308"/>
      <c r="C79" s="308"/>
      <c r="D79" s="309"/>
      <c r="E79" s="171">
        <v>1</v>
      </c>
      <c r="F79" s="172">
        <v>1</v>
      </c>
      <c r="G79" s="172">
        <v>1</v>
      </c>
      <c r="H79" s="173">
        <f>[2]Summary!H9</f>
        <v>72</v>
      </c>
      <c r="I79" s="300"/>
      <c r="J79" s="300"/>
    </row>
    <row r="80" spans="1:11" x14ac:dyDescent="0.35">
      <c r="A80" s="301" t="s">
        <v>114</v>
      </c>
      <c r="B80" s="161" t="s">
        <v>115</v>
      </c>
      <c r="C80" s="174">
        <f>K73</f>
        <v>3500000</v>
      </c>
      <c r="D80" s="161" t="s">
        <v>107</v>
      </c>
      <c r="E80" s="151">
        <f>E79</f>
        <v>1</v>
      </c>
      <c r="F80" s="151"/>
      <c r="G80" s="151"/>
      <c r="H80" s="175"/>
      <c r="I80" s="176">
        <f>E80*C80</f>
        <v>3500000</v>
      </c>
    </row>
    <row r="81" spans="1:15" ht="15.5" x14ac:dyDescent="0.35">
      <c r="A81" s="302"/>
      <c r="B81" s="161" t="s">
        <v>116</v>
      </c>
      <c r="C81" s="177">
        <v>600000</v>
      </c>
      <c r="D81" s="161" t="s">
        <v>107</v>
      </c>
      <c r="E81" s="151">
        <f>E79</f>
        <v>1</v>
      </c>
      <c r="F81" s="151"/>
      <c r="G81" s="151"/>
      <c r="H81" s="175"/>
      <c r="I81" s="177">
        <f>C81*E81</f>
        <v>600000</v>
      </c>
    </row>
    <row r="82" spans="1:15" ht="15.5" x14ac:dyDescent="0.35">
      <c r="A82" s="303"/>
      <c r="B82" s="161" t="s">
        <v>114</v>
      </c>
      <c r="C82" s="177">
        <v>200000</v>
      </c>
      <c r="D82" s="161" t="s">
        <v>117</v>
      </c>
      <c r="E82" s="151"/>
      <c r="F82" s="151">
        <f>F79</f>
        <v>1</v>
      </c>
      <c r="G82" s="151"/>
      <c r="H82" s="175"/>
      <c r="I82" s="177">
        <f>F82*C82</f>
        <v>200000</v>
      </c>
    </row>
    <row r="83" spans="1:15" ht="15.5" x14ac:dyDescent="0.35">
      <c r="A83" s="161" t="s">
        <v>118</v>
      </c>
      <c r="B83" s="161" t="s">
        <v>118</v>
      </c>
      <c r="C83" s="177">
        <v>450000</v>
      </c>
      <c r="D83" s="161" t="s">
        <v>109</v>
      </c>
      <c r="E83" s="151">
        <f>E79</f>
        <v>1</v>
      </c>
      <c r="F83" s="151"/>
      <c r="G83" s="151">
        <f>G79</f>
        <v>1</v>
      </c>
      <c r="H83" s="175">
        <f>IF($H$79&lt;=120,2,IF($H$79&gt;220,4,3))</f>
        <v>2</v>
      </c>
      <c r="I83" s="177">
        <f>G83*C83*H83</f>
        <v>900000</v>
      </c>
    </row>
    <row r="84" spans="1:15" ht="15.5" x14ac:dyDescent="0.35">
      <c r="A84" s="161" t="s">
        <v>119</v>
      </c>
      <c r="B84" s="161" t="s">
        <v>119</v>
      </c>
      <c r="C84" s="177">
        <v>120000</v>
      </c>
      <c r="D84" s="161" t="s">
        <v>107</v>
      </c>
      <c r="E84" s="151">
        <f>E79</f>
        <v>1</v>
      </c>
      <c r="F84" s="151"/>
      <c r="G84" s="151"/>
      <c r="H84" s="175">
        <f>IF($H$79&lt;=120,2,IF($H$79&gt;220,4,3))</f>
        <v>2</v>
      </c>
      <c r="I84" s="177">
        <f>H84*C84*E84</f>
        <v>240000</v>
      </c>
    </row>
    <row r="85" spans="1:15" ht="15.5" x14ac:dyDescent="0.35">
      <c r="I85" s="178">
        <f>SUM(I80:I84)</f>
        <v>5440000</v>
      </c>
      <c r="J85" s="179">
        <f>I85*2</f>
        <v>10880000</v>
      </c>
      <c r="K85" s="148" t="s">
        <v>182</v>
      </c>
    </row>
    <row r="86" spans="1:15" x14ac:dyDescent="0.35">
      <c r="J86" s="178">
        <f>I85*4</f>
        <v>21760000</v>
      </c>
      <c r="K86" s="148" t="s">
        <v>183</v>
      </c>
      <c r="L86" s="180">
        <f>J86+B73+E66</f>
        <v>44480000</v>
      </c>
    </row>
    <row r="87" spans="1:15" x14ac:dyDescent="0.35">
      <c r="K87" s="154"/>
      <c r="L87" s="180">
        <f>I85+B73+E66*1</f>
        <v>28160000</v>
      </c>
    </row>
    <row r="89" spans="1:15" x14ac:dyDescent="0.35">
      <c r="A89" s="158"/>
      <c r="B89" s="158"/>
      <c r="C89" s="164"/>
      <c r="D89" s="164"/>
      <c r="E89" s="164"/>
      <c r="F89" s="164"/>
      <c r="G89" s="164"/>
      <c r="H89" s="164"/>
      <c r="I89" s="164"/>
      <c r="J89" s="164"/>
      <c r="K89" s="164"/>
      <c r="L89" s="158"/>
      <c r="M89" s="158"/>
      <c r="N89" s="158"/>
      <c r="O89" s="158"/>
    </row>
    <row r="90" spans="1:15" x14ac:dyDescent="0.35">
      <c r="A90" s="147" t="s">
        <v>135</v>
      </c>
    </row>
    <row r="92" spans="1:15" x14ac:dyDescent="0.35">
      <c r="A92" s="161" t="s">
        <v>135</v>
      </c>
      <c r="B92" s="154"/>
    </row>
    <row r="93" spans="1:15" x14ac:dyDescent="0.35">
      <c r="A93" s="148" t="s">
        <v>136</v>
      </c>
    </row>
    <row r="94" spans="1:15" ht="15.5" x14ac:dyDescent="0.35">
      <c r="A94" s="148" t="s">
        <v>137</v>
      </c>
      <c r="B94" s="153">
        <v>36000000</v>
      </c>
    </row>
    <row r="95" spans="1:15" ht="15.5" x14ac:dyDescent="0.35">
      <c r="A95" s="148" t="s">
        <v>138</v>
      </c>
      <c r="B95" s="153">
        <v>42000000</v>
      </c>
    </row>
    <row r="96" spans="1:15" ht="15.5" x14ac:dyDescent="0.35">
      <c r="A96" s="148" t="s">
        <v>139</v>
      </c>
      <c r="B96" s="153">
        <v>48000000</v>
      </c>
    </row>
    <row r="98" spans="1:15" x14ac:dyDescent="0.35">
      <c r="A98" s="148" t="s">
        <v>140</v>
      </c>
    </row>
    <row r="99" spans="1:15" ht="15.5" x14ac:dyDescent="0.35">
      <c r="A99" s="148" t="s">
        <v>141</v>
      </c>
      <c r="B99" s="153">
        <v>75000000</v>
      </c>
    </row>
    <row r="100" spans="1:15" ht="15.5" x14ac:dyDescent="0.35">
      <c r="A100" s="148" t="s">
        <v>139</v>
      </c>
      <c r="B100" s="153">
        <v>95000000</v>
      </c>
    </row>
    <row r="102" spans="1:15" x14ac:dyDescent="0.35">
      <c r="A102" s="158"/>
      <c r="B102" s="158"/>
      <c r="C102" s="164"/>
      <c r="D102" s="164"/>
      <c r="E102" s="164"/>
      <c r="F102" s="164"/>
      <c r="G102" s="164"/>
      <c r="H102" s="164"/>
      <c r="I102" s="164"/>
      <c r="J102" s="164"/>
      <c r="K102" s="164"/>
      <c r="L102" s="158"/>
      <c r="M102" s="158"/>
      <c r="N102" s="158"/>
      <c r="O102" s="158"/>
    </row>
    <row r="103" spans="1:15" x14ac:dyDescent="0.35">
      <c r="A103" s="147" t="s">
        <v>184</v>
      </c>
    </row>
    <row r="105" spans="1:15" x14ac:dyDescent="0.35">
      <c r="A105" s="148" t="s">
        <v>185</v>
      </c>
      <c r="C105" s="181">
        <v>150000000</v>
      </c>
    </row>
    <row r="106" spans="1:15" x14ac:dyDescent="0.35">
      <c r="A106" s="148" t="s">
        <v>186</v>
      </c>
      <c r="C106" s="181">
        <v>200000000</v>
      </c>
    </row>
    <row r="107" spans="1:15" x14ac:dyDescent="0.35">
      <c r="A107" s="148" t="s">
        <v>187</v>
      </c>
      <c r="C107" s="181">
        <v>85000000</v>
      </c>
    </row>
    <row r="108" spans="1:15" x14ac:dyDescent="0.35">
      <c r="A108" s="148" t="s">
        <v>188</v>
      </c>
      <c r="C108" s="181">
        <v>150000000</v>
      </c>
    </row>
    <row r="109" spans="1:15" x14ac:dyDescent="0.35">
      <c r="A109" s="148" t="s">
        <v>189</v>
      </c>
      <c r="C109" s="181">
        <v>50000000</v>
      </c>
    </row>
    <row r="111" spans="1:15" x14ac:dyDescent="0.35">
      <c r="A111" s="158"/>
      <c r="B111" s="158"/>
      <c r="C111" s="164"/>
      <c r="D111" s="164"/>
      <c r="E111" s="164"/>
      <c r="F111" s="164"/>
      <c r="G111" s="164"/>
      <c r="H111" s="164"/>
      <c r="I111" s="164"/>
      <c r="J111" s="164"/>
      <c r="K111" s="164"/>
      <c r="L111" s="158"/>
      <c r="M111" s="158"/>
      <c r="N111" s="158"/>
      <c r="O111" s="158"/>
    </row>
  </sheetData>
  <mergeCells count="8">
    <mergeCell ref="J78:J79"/>
    <mergeCell ref="A80:A82"/>
    <mergeCell ref="G65:H65"/>
    <mergeCell ref="A78:A79"/>
    <mergeCell ref="B78:B79"/>
    <mergeCell ref="C78:C79"/>
    <mergeCell ref="D78:D79"/>
    <mergeCell ref="I78:I79"/>
  </mergeCells>
  <conditionalFormatting sqref="B45:K45 C43:K43 C5:K8 C9:J11 C44:R44 P5:T5">
    <cfRule type="cellIs" dxfId="19" priority="22" operator="lessThan">
      <formula>0</formula>
    </cfRule>
  </conditionalFormatting>
  <conditionalFormatting sqref="C12:E14">
    <cfRule type="cellIs" dxfId="18" priority="20" operator="lessThan">
      <formula>0</formula>
    </cfRule>
  </conditionalFormatting>
  <conditionalFormatting sqref="F12:K14">
    <cfRule type="cellIs" dxfId="17" priority="19" operator="lessThan">
      <formula>0</formula>
    </cfRule>
  </conditionalFormatting>
  <conditionalFormatting sqref="C15:F17">
    <cfRule type="cellIs" dxfId="16" priority="18" operator="lessThan">
      <formula>0</formula>
    </cfRule>
  </conditionalFormatting>
  <conditionalFormatting sqref="G15:L17">
    <cfRule type="cellIs" dxfId="15" priority="17" operator="lessThan">
      <formula>0</formula>
    </cfRule>
  </conditionalFormatting>
  <conditionalFormatting sqref="C18:F20">
    <cfRule type="cellIs" dxfId="14" priority="16" operator="lessThan">
      <formula>0</formula>
    </cfRule>
  </conditionalFormatting>
  <conditionalFormatting sqref="H18:M20">
    <cfRule type="cellIs" dxfId="13" priority="15" operator="lessThan">
      <formula>0</formula>
    </cfRule>
  </conditionalFormatting>
  <conditionalFormatting sqref="C21:F23">
    <cfRule type="cellIs" dxfId="12" priority="14" operator="lessThan">
      <formula>0</formula>
    </cfRule>
  </conditionalFormatting>
  <conditionalFormatting sqref="I21:N23">
    <cfRule type="cellIs" dxfId="11" priority="13" operator="lessThan">
      <formula>0</formula>
    </cfRule>
  </conditionalFormatting>
  <conditionalFormatting sqref="C24:F26">
    <cfRule type="cellIs" dxfId="10" priority="12" operator="lessThan">
      <formula>0</formula>
    </cfRule>
  </conditionalFormatting>
  <conditionalFormatting sqref="J24:O26">
    <cfRule type="cellIs" dxfId="9" priority="11" operator="lessThan">
      <formula>0</formula>
    </cfRule>
  </conditionalFormatting>
  <conditionalFormatting sqref="C27:F42">
    <cfRule type="cellIs" dxfId="8" priority="10" operator="lessThan">
      <formula>0</formula>
    </cfRule>
  </conditionalFormatting>
  <conditionalFormatting sqref="L27:Q31 L32:R35 R30 L42:R42 L36:M38 L39:N41">
    <cfRule type="cellIs" dxfId="7" priority="9" operator="lessThan">
      <formula>0</formula>
    </cfRule>
  </conditionalFormatting>
  <conditionalFormatting sqref="N36:S37 N38:O38">
    <cfRule type="cellIs" dxfId="6" priority="8" operator="lessThan">
      <formula>0</formula>
    </cfRule>
  </conditionalFormatting>
  <conditionalFormatting sqref="P38:T38">
    <cfRule type="cellIs" dxfId="5" priority="6" operator="lessThan">
      <formula>0</formula>
    </cfRule>
  </conditionalFormatting>
  <conditionalFormatting sqref="O39:T40 P41">
    <cfRule type="cellIs" dxfId="4" priority="5" operator="lessThan">
      <formula>0</formula>
    </cfRule>
  </conditionalFormatting>
  <conditionalFormatting sqref="Q41:U41">
    <cfRule type="cellIs" dxfId="3" priority="4" operator="lessThan">
      <formula>0</formula>
    </cfRule>
  </conditionalFormatting>
  <conditionalFormatting sqref="O41">
    <cfRule type="cellIs" dxfId="2" priority="3" operator="lessThan">
      <formula>0</formula>
    </cfRule>
  </conditionalFormatting>
  <conditionalFormatting sqref="S44">
    <cfRule type="cellIs" dxfId="1" priority="2" operator="lessThan">
      <formula>0</formula>
    </cfRule>
  </conditionalFormatting>
  <conditionalFormatting sqref="T4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7908F-3BDE-42C5-BBED-39E179E3A51D}">
  <dimension ref="A1:D20"/>
  <sheetViews>
    <sheetView topLeftCell="A6" workbookViewId="0">
      <selection activeCell="C9" sqref="C9"/>
    </sheetView>
  </sheetViews>
  <sheetFormatPr defaultColWidth="8.6640625" defaultRowHeight="14.5" x14ac:dyDescent="0.35"/>
  <cols>
    <col min="1" max="1" width="3.9140625" style="148" customWidth="1"/>
    <col min="2" max="2" width="21" style="148" customWidth="1"/>
    <col min="3" max="3" width="34.6640625" style="148" customWidth="1"/>
    <col min="4" max="4" width="37.58203125" style="148" customWidth="1"/>
    <col min="5" max="16384" width="8.6640625" style="148"/>
  </cols>
  <sheetData>
    <row r="1" spans="1:4" ht="21" x14ac:dyDescent="0.35">
      <c r="A1" s="314" t="s">
        <v>190</v>
      </c>
      <c r="B1" s="314"/>
      <c r="C1" s="314"/>
      <c r="D1" s="314"/>
    </row>
    <row r="2" spans="1:4" x14ac:dyDescent="0.35">
      <c r="A2" s="184"/>
      <c r="B2" s="184"/>
      <c r="C2" s="184"/>
      <c r="D2" s="184"/>
    </row>
    <row r="3" spans="1:4" ht="15.5" x14ac:dyDescent="0.35">
      <c r="A3" s="315" t="s">
        <v>191</v>
      </c>
      <c r="B3" s="315"/>
      <c r="C3" s="185" t="s">
        <v>192</v>
      </c>
      <c r="D3" s="184"/>
    </row>
    <row r="4" spans="1:4" ht="15.5" x14ac:dyDescent="0.35">
      <c r="A4" s="315" t="s">
        <v>193</v>
      </c>
      <c r="B4" s="315"/>
      <c r="C4" s="186" t="s">
        <v>194</v>
      </c>
    </row>
    <row r="5" spans="1:4" ht="15" customHeight="1" x14ac:dyDescent="0.35">
      <c r="A5" s="315" t="s">
        <v>195</v>
      </c>
      <c r="B5" s="315"/>
      <c r="C5" s="185" t="s">
        <v>196</v>
      </c>
      <c r="D5" s="184"/>
    </row>
    <row r="6" spans="1:4" ht="15" customHeight="1" thickBot="1" x14ac:dyDescent="0.4">
      <c r="A6" s="315"/>
      <c r="B6" s="315"/>
      <c r="C6" s="185"/>
      <c r="D6" s="184"/>
    </row>
    <row r="7" spans="1:4" ht="15.75" customHeight="1" x14ac:dyDescent="0.35">
      <c r="A7" s="316" t="s">
        <v>197</v>
      </c>
      <c r="B7" s="318" t="s">
        <v>180</v>
      </c>
      <c r="C7" s="320" t="s">
        <v>198</v>
      </c>
      <c r="D7" s="320" t="s">
        <v>199</v>
      </c>
    </row>
    <row r="8" spans="1:4" ht="15.75" customHeight="1" thickBot="1" x14ac:dyDescent="0.4">
      <c r="A8" s="317"/>
      <c r="B8" s="319"/>
      <c r="C8" s="321"/>
      <c r="D8" s="321"/>
    </row>
    <row r="9" spans="1:4" ht="33" customHeight="1" thickBot="1" x14ac:dyDescent="0.4">
      <c r="A9" s="187">
        <v>1</v>
      </c>
      <c r="B9" s="199" t="s">
        <v>200</v>
      </c>
      <c r="C9" s="201" t="s">
        <v>201</v>
      </c>
      <c r="D9" s="189" t="str">
        <f>C9</f>
        <v>136 titik antenna, RBS room 40 m2, Pole sesuai kebutuhan  operator</v>
      </c>
    </row>
    <row r="10" spans="1:4" ht="15" thickBot="1" x14ac:dyDescent="0.4">
      <c r="A10" s="187">
        <v>2</v>
      </c>
      <c r="B10" s="199" t="s">
        <v>202</v>
      </c>
      <c r="C10" s="202" t="s">
        <v>203</v>
      </c>
      <c r="D10" s="188" t="s">
        <v>204</v>
      </c>
    </row>
    <row r="11" spans="1:4" ht="15" thickBot="1" x14ac:dyDescent="0.4">
      <c r="A11" s="310">
        <v>3</v>
      </c>
      <c r="B11" s="199" t="s">
        <v>205</v>
      </c>
      <c r="C11" s="203">
        <v>193200000</v>
      </c>
      <c r="D11" s="190">
        <v>400000000</v>
      </c>
    </row>
    <row r="12" spans="1:4" ht="15" thickBot="1" x14ac:dyDescent="0.4">
      <c r="A12" s="311"/>
      <c r="B12" s="200" t="s">
        <v>206</v>
      </c>
      <c r="C12" s="204">
        <f>C11/5</f>
        <v>38640000</v>
      </c>
      <c r="D12" s="191">
        <f>D11/5</f>
        <v>80000000</v>
      </c>
    </row>
    <row r="13" spans="1:4" ht="33" customHeight="1" thickBot="1" x14ac:dyDescent="0.4">
      <c r="A13" s="209">
        <v>4</v>
      </c>
      <c r="B13" s="211" t="s">
        <v>207</v>
      </c>
      <c r="C13" s="208"/>
      <c r="D13" s="213" t="s">
        <v>208</v>
      </c>
    </row>
    <row r="14" spans="1:4" ht="34.5" customHeight="1" thickBot="1" x14ac:dyDescent="0.4">
      <c r="A14" s="210">
        <v>5</v>
      </c>
      <c r="B14" s="207" t="s">
        <v>209</v>
      </c>
      <c r="C14" s="205" t="s">
        <v>210</v>
      </c>
      <c r="D14" s="206" t="s">
        <v>211</v>
      </c>
    </row>
    <row r="15" spans="1:4" ht="34.5" customHeight="1" thickBot="1" x14ac:dyDescent="0.4">
      <c r="A15" s="210">
        <v>6</v>
      </c>
      <c r="B15" s="212" t="s">
        <v>212</v>
      </c>
      <c r="C15" s="312">
        <v>1.07</v>
      </c>
      <c r="D15" s="313"/>
    </row>
    <row r="16" spans="1:4" ht="15.5" x14ac:dyDescent="0.35">
      <c r="A16" s="192"/>
    </row>
    <row r="17" spans="1:2" ht="15.5" x14ac:dyDescent="0.35">
      <c r="A17" s="192"/>
      <c r="B17" s="193" t="s">
        <v>213</v>
      </c>
    </row>
    <row r="18" spans="1:2" x14ac:dyDescent="0.35">
      <c r="A18" s="194">
        <v>1</v>
      </c>
      <c r="B18" s="193" t="s">
        <v>214</v>
      </c>
    </row>
    <row r="19" spans="1:2" x14ac:dyDescent="0.35">
      <c r="A19" s="195">
        <v>2</v>
      </c>
      <c r="B19" s="193" t="s">
        <v>215</v>
      </c>
    </row>
    <row r="20" spans="1:2" x14ac:dyDescent="0.35">
      <c r="A20" s="195"/>
    </row>
  </sheetData>
  <mergeCells count="11">
    <mergeCell ref="A11:A12"/>
    <mergeCell ref="C15:D15"/>
    <mergeCell ref="A1:D1"/>
    <mergeCell ref="A3:B3"/>
    <mergeCell ref="A4:B4"/>
    <mergeCell ref="A5:B5"/>
    <mergeCell ref="A6:B6"/>
    <mergeCell ref="A7:A8"/>
    <mergeCell ref="B7:B8"/>
    <mergeCell ref="C7:C8"/>
    <mergeCell ref="D7:D8"/>
  </mergeCells>
  <pageMargins left="1.67" right="0.70866141732283472" top="1.43" bottom="0.74803149606299213" header="0.31496062992125984" footer="0.31496062992125984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09C11-0A01-4322-A94E-CEBFEDCC0569}">
  <dimension ref="A2:M13"/>
  <sheetViews>
    <sheetView workbookViewId="0">
      <selection activeCell="F13" sqref="A2:F13"/>
    </sheetView>
  </sheetViews>
  <sheetFormatPr defaultColWidth="8.83203125" defaultRowHeight="14.5" x14ac:dyDescent="0.35"/>
  <cols>
    <col min="1" max="1" width="16" style="215" customWidth="1"/>
    <col min="2" max="2" width="11.58203125" style="215" customWidth="1"/>
    <col min="3" max="3" width="12.58203125" style="215" customWidth="1"/>
    <col min="4" max="4" width="8" style="215" customWidth="1"/>
    <col min="5" max="5" width="14.5" style="215" bestFit="1" customWidth="1"/>
    <col min="6" max="6" width="12.9140625" style="215" bestFit="1" customWidth="1"/>
    <col min="7" max="16384" width="8.83203125" style="215"/>
  </cols>
  <sheetData>
    <row r="2" spans="1:13" x14ac:dyDescent="0.35">
      <c r="A2" s="322" t="s">
        <v>217</v>
      </c>
      <c r="B2" s="322"/>
      <c r="C2" s="322"/>
      <c r="D2" s="322"/>
      <c r="E2" s="322"/>
      <c r="F2" s="322"/>
      <c r="G2" s="214"/>
      <c r="H2" s="214"/>
      <c r="I2" s="214"/>
      <c r="J2" s="214"/>
      <c r="K2" s="214"/>
      <c r="L2" s="214"/>
      <c r="M2" s="214"/>
    </row>
    <row r="3" spans="1:13" x14ac:dyDescent="0.35">
      <c r="A3" s="216" t="s">
        <v>218</v>
      </c>
      <c r="B3" s="216" t="s">
        <v>219</v>
      </c>
      <c r="C3" s="216" t="s">
        <v>220</v>
      </c>
      <c r="D3" s="217"/>
      <c r="G3" s="214"/>
      <c r="H3" s="214"/>
      <c r="I3" s="214"/>
      <c r="J3" s="214"/>
      <c r="K3" s="214"/>
      <c r="L3" s="214"/>
      <c r="M3" s="214"/>
    </row>
    <row r="4" spans="1:13" x14ac:dyDescent="0.35">
      <c r="A4" s="218" t="s">
        <v>228</v>
      </c>
      <c r="B4" s="219">
        <v>45302</v>
      </c>
      <c r="C4" s="219">
        <v>47128</v>
      </c>
      <c r="D4" s="220"/>
      <c r="E4" s="221"/>
      <c r="F4" s="221"/>
      <c r="G4" s="214"/>
      <c r="H4" s="214"/>
      <c r="I4" s="214"/>
      <c r="J4" s="214"/>
      <c r="K4" s="214"/>
      <c r="L4" s="214"/>
      <c r="M4" s="214"/>
    </row>
    <row r="5" spans="1:13" x14ac:dyDescent="0.35">
      <c r="A5" s="218" t="s">
        <v>222</v>
      </c>
      <c r="B5" s="219">
        <v>45611</v>
      </c>
      <c r="C5" s="219">
        <v>47436</v>
      </c>
      <c r="D5" s="220"/>
      <c r="G5" s="214"/>
      <c r="H5" s="214"/>
      <c r="I5" s="214"/>
      <c r="J5" s="214"/>
      <c r="K5" s="214"/>
      <c r="L5" s="214"/>
      <c r="M5" s="214"/>
    </row>
    <row r="6" spans="1:13" x14ac:dyDescent="0.35">
      <c r="A6" s="214"/>
      <c r="G6" s="214"/>
      <c r="H6" s="214"/>
      <c r="I6" s="214"/>
      <c r="J6" s="214"/>
      <c r="K6" s="214"/>
      <c r="L6" s="214"/>
      <c r="M6" s="214"/>
    </row>
    <row r="7" spans="1:13" x14ac:dyDescent="0.35">
      <c r="A7" s="214"/>
      <c r="B7" s="216" t="s">
        <v>219</v>
      </c>
      <c r="C7" s="216" t="s">
        <v>220</v>
      </c>
      <c r="D7" s="216" t="s">
        <v>223</v>
      </c>
      <c r="E7" s="220"/>
      <c r="F7" s="220"/>
      <c r="G7" s="214"/>
      <c r="H7" s="214"/>
      <c r="I7" s="214"/>
      <c r="J7" s="214"/>
      <c r="K7" s="214"/>
      <c r="L7" s="214"/>
      <c r="M7" s="214"/>
    </row>
    <row r="8" spans="1:13" x14ac:dyDescent="0.35">
      <c r="A8" s="214" t="s">
        <v>229</v>
      </c>
      <c r="B8" s="214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</row>
    <row r="9" spans="1:13" x14ac:dyDescent="0.35">
      <c r="A9" s="214" t="s">
        <v>221</v>
      </c>
      <c r="B9" s="219">
        <v>45611</v>
      </c>
      <c r="C9" s="219">
        <v>47128</v>
      </c>
      <c r="D9" s="222">
        <f>C9-B9</f>
        <v>1517</v>
      </c>
      <c r="E9" s="223">
        <v>221952000</v>
      </c>
      <c r="F9" s="224">
        <f>E9/365*D9</f>
        <v>922468997.26027393</v>
      </c>
      <c r="G9" s="214"/>
      <c r="H9" s="214"/>
      <c r="I9" s="214"/>
      <c r="J9" s="214"/>
      <c r="K9" s="214"/>
      <c r="L9" s="214"/>
      <c r="M9" s="214"/>
    </row>
    <row r="10" spans="1:13" x14ac:dyDescent="0.35">
      <c r="A10" s="214" t="s">
        <v>224</v>
      </c>
      <c r="B10" s="219">
        <v>45611</v>
      </c>
      <c r="C10" s="219">
        <v>47436</v>
      </c>
      <c r="D10" s="222">
        <f>C10-B10</f>
        <v>1825</v>
      </c>
      <c r="E10" s="223">
        <v>80000000</v>
      </c>
      <c r="F10" s="224">
        <f>-E10/365*D10</f>
        <v>-400000000</v>
      </c>
      <c r="G10" s="214"/>
      <c r="H10" s="214"/>
      <c r="I10" s="214"/>
      <c r="J10" s="214"/>
      <c r="K10" s="214"/>
      <c r="L10" s="214"/>
      <c r="M10" s="214"/>
    </row>
    <row r="11" spans="1:13" x14ac:dyDescent="0.35">
      <c r="A11" s="214" t="s">
        <v>225</v>
      </c>
      <c r="B11" s="219">
        <v>45611</v>
      </c>
      <c r="C11" s="219">
        <v>47128</v>
      </c>
      <c r="D11" s="222">
        <f>C11-B11</f>
        <v>1517</v>
      </c>
      <c r="E11" s="223">
        <v>7000000</v>
      </c>
      <c r="F11" s="224">
        <f>-E11/365*D11</f>
        <v>-29093150.684931505</v>
      </c>
      <c r="G11" s="214"/>
      <c r="H11" s="214"/>
      <c r="I11" s="214"/>
      <c r="J11" s="214"/>
      <c r="K11" s="214"/>
      <c r="L11" s="214"/>
      <c r="M11" s="214"/>
    </row>
    <row r="12" spans="1:13" x14ac:dyDescent="0.35">
      <c r="A12" s="214" t="s">
        <v>226</v>
      </c>
      <c r="B12" s="214"/>
      <c r="C12" s="214"/>
      <c r="D12" s="214"/>
      <c r="E12" s="225">
        <v>100000000</v>
      </c>
      <c r="F12" s="226"/>
      <c r="G12" s="214"/>
      <c r="H12" s="214"/>
      <c r="I12" s="214"/>
      <c r="J12" s="214"/>
      <c r="K12" s="214"/>
      <c r="L12" s="214"/>
      <c r="M12" s="214"/>
    </row>
    <row r="13" spans="1:13" x14ac:dyDescent="0.35">
      <c r="A13" s="214" t="s">
        <v>227</v>
      </c>
      <c r="B13" s="214"/>
      <c r="C13" s="214"/>
      <c r="D13" s="214"/>
      <c r="E13" s="214"/>
      <c r="F13" s="224">
        <f>SUM(F9:F12)</f>
        <v>493375846.57534242</v>
      </c>
      <c r="G13" s="214"/>
      <c r="H13" s="214"/>
      <c r="I13" s="214"/>
      <c r="J13" s="214"/>
      <c r="K13" s="214"/>
      <c r="L13" s="214"/>
      <c r="M13" s="214"/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 Approved</vt:lpstr>
      <vt:lpstr>Parameter (2)</vt:lpstr>
      <vt:lpstr>Summary BR</vt:lpstr>
      <vt:lpstr>Analisa</vt:lpstr>
      <vt:lpstr>Analisa!Print_Area</vt:lpstr>
      <vt:lpstr>'IRR Approved'!Print_Area</vt:lpstr>
      <vt:lpstr>Summary!Print_Area</vt:lpstr>
      <vt:lpstr>'Summary BR'!Print_Area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2024-11-20T07:27:59Z</cp:lastPrinted>
  <dcterms:created xsi:type="dcterms:W3CDTF">2020-06-08T08:40:20Z</dcterms:created>
  <dcterms:modified xsi:type="dcterms:W3CDTF">2024-11-20T08:06:43Z</dcterms:modified>
</cp:coreProperties>
</file>