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Mall Season City\"/>
    </mc:Choice>
  </mc:AlternateContent>
  <xr:revisionPtr revIDLastSave="0" documentId="13_ncr:1_{656E39EB-179D-4CBB-A1E9-62B9948E6B0E}" xr6:coauthVersionLast="36" xr6:coauthVersionMax="47" xr10:uidLastSave="{00000000-0000-0000-0000-000000000000}"/>
  <bookViews>
    <workbookView xWindow="0" yWindow="0" windowWidth="19200" windowHeight="7550" activeTab="1" xr2:uid="{A4174494-61B9-4994-8303-9C4639E059BD}"/>
  </bookViews>
  <sheets>
    <sheet name="Summary" sheetId="1" r:id="rId1"/>
    <sheet name="IRR" sheetId="12" r:id="rId2"/>
    <sheet name="Summary Review " sheetId="14" r:id="rId3"/>
    <sheet name="Parameter" sheetId="4" r:id="rId4"/>
    <sheet name="Analisa" sheetId="16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4">Analisa!$A$2:$F$21</definedName>
    <definedName name="_xlnm.Print_Area" localSheetId="1">IRR!$B$1:$Q$52</definedName>
    <definedName name="_xlnm.Print_Area" localSheetId="0">Summary!$B$2:$N$35</definedName>
    <definedName name="_xlnm.Print_Area" localSheetId="2">'Summary Review '!$A$1:$D$19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2" l="1"/>
  <c r="I17" i="12"/>
  <c r="D14" i="16"/>
  <c r="D15" i="16"/>
  <c r="F15" i="16" s="1"/>
  <c r="D16" i="16"/>
  <c r="F16" i="16" s="1"/>
  <c r="D17" i="16"/>
  <c r="F17" i="16" s="1"/>
  <c r="D18" i="16"/>
  <c r="F18" i="16" s="1"/>
  <c r="D19" i="16"/>
  <c r="F19" i="16" s="1"/>
  <c r="D13" i="16"/>
  <c r="F13" i="16" s="1"/>
  <c r="D12" i="16"/>
  <c r="F12" i="16" s="1"/>
  <c r="H19" i="12"/>
  <c r="D11" i="16"/>
  <c r="F11" i="16" l="1"/>
  <c r="H24" i="12" l="1"/>
  <c r="I24" i="12" s="1"/>
  <c r="J24" i="12" s="1"/>
  <c r="K24" i="12" s="1"/>
  <c r="I19" i="12" l="1"/>
  <c r="D15" i="14"/>
  <c r="E14" i="16" s="1"/>
  <c r="F14" i="16" s="1"/>
  <c r="F21" i="16" s="1"/>
  <c r="J32" i="12"/>
  <c r="K32" i="12"/>
  <c r="G25" i="12"/>
  <c r="G20" i="12"/>
  <c r="J19" i="12" l="1"/>
  <c r="K19" i="12" s="1"/>
  <c r="Q19" i="12" s="1"/>
  <c r="H9" i="1"/>
  <c r="M35" i="4"/>
  <c r="M34" i="4"/>
  <c r="N33" i="4" s="1"/>
  <c r="A33" i="4"/>
  <c r="A36" i="4" s="1"/>
  <c r="A39" i="4" s="1"/>
  <c r="D12" i="14"/>
  <c r="C15" i="14"/>
  <c r="M2" i="1"/>
  <c r="O33" i="4" l="1"/>
  <c r="N35" i="4"/>
  <c r="O35" i="4"/>
  <c r="Q1" i="12"/>
  <c r="P33" i="4" l="1"/>
  <c r="M12" i="1"/>
  <c r="H17" i="12"/>
  <c r="L32" i="4"/>
  <c r="L31" i="4"/>
  <c r="M30" i="4" s="1"/>
  <c r="K29" i="4"/>
  <c r="K28" i="4"/>
  <c r="L27" i="4" s="1"/>
  <c r="J26" i="4"/>
  <c r="I23" i="4"/>
  <c r="H20" i="4"/>
  <c r="G17" i="4"/>
  <c r="F14" i="4"/>
  <c r="E11" i="4"/>
  <c r="D8" i="4"/>
  <c r="C5" i="4"/>
  <c r="I49" i="12"/>
  <c r="K49" i="12" s="1"/>
  <c r="H48" i="12"/>
  <c r="J48" i="12" s="1"/>
  <c r="K48" i="12" s="1"/>
  <c r="K46" i="12"/>
  <c r="J46" i="12"/>
  <c r="I46" i="12"/>
  <c r="H46" i="12"/>
  <c r="G46" i="12"/>
  <c r="F38" i="12"/>
  <c r="F39" i="12" s="1"/>
  <c r="K37" i="12"/>
  <c r="J37" i="12"/>
  <c r="I37" i="12"/>
  <c r="H37" i="12"/>
  <c r="H25" i="12"/>
  <c r="Q23" i="12"/>
  <c r="M13" i="1" s="1"/>
  <c r="I18" i="12"/>
  <c r="H12" i="12"/>
  <c r="I12" i="12" s="1"/>
  <c r="J12" i="12" s="1"/>
  <c r="K12" i="12" s="1"/>
  <c r="L12" i="12" s="1"/>
  <c r="M12" i="12" s="1"/>
  <c r="N12" i="12" s="1"/>
  <c r="O12" i="12" s="1"/>
  <c r="P12" i="12" s="1"/>
  <c r="G11" i="12"/>
  <c r="G37" i="12" s="1"/>
  <c r="G47" i="12"/>
  <c r="H47" i="12" s="1"/>
  <c r="H52" i="12" s="1"/>
  <c r="H30" i="12" s="1"/>
  <c r="Q9" i="12"/>
  <c r="I20" i="12" l="1"/>
  <c r="H20" i="12"/>
  <c r="Q33" i="4"/>
  <c r="Q35" i="4"/>
  <c r="P35" i="4"/>
  <c r="M27" i="4"/>
  <c r="L29" i="4"/>
  <c r="N30" i="4"/>
  <c r="M32" i="4"/>
  <c r="N32" i="4"/>
  <c r="J18" i="12"/>
  <c r="K18" i="12" s="1"/>
  <c r="I47" i="12"/>
  <c r="G52" i="12"/>
  <c r="J17" i="12"/>
  <c r="I25" i="12"/>
  <c r="J25" i="12" s="1"/>
  <c r="K25" i="12" s="1"/>
  <c r="Q10" i="12"/>
  <c r="Q11" i="12" s="1"/>
  <c r="J20" i="12" l="1"/>
  <c r="R33" i="4"/>
  <c r="S35" i="4" s="1"/>
  <c r="O30" i="4"/>
  <c r="O32" i="4"/>
  <c r="N27" i="4"/>
  <c r="M29" i="4"/>
  <c r="G30" i="12"/>
  <c r="I52" i="12"/>
  <c r="I30" i="12" s="1"/>
  <c r="J47" i="12"/>
  <c r="Q25" i="12"/>
  <c r="G26" i="12"/>
  <c r="K17" i="12"/>
  <c r="K20" i="12" s="1"/>
  <c r="Q18" i="12"/>
  <c r="R35" i="4" l="1"/>
  <c r="O27" i="4"/>
  <c r="O29" i="4"/>
  <c r="N29" i="4"/>
  <c r="P30" i="4"/>
  <c r="P32" i="4" s="1"/>
  <c r="H26" i="12"/>
  <c r="H27" i="12" s="1"/>
  <c r="H28" i="12" s="1"/>
  <c r="Q17" i="12"/>
  <c r="J52" i="12"/>
  <c r="J30" i="12" s="1"/>
  <c r="K47" i="12"/>
  <c r="K52" i="12" s="1"/>
  <c r="K30" i="12" s="1"/>
  <c r="G27" i="12"/>
  <c r="G28" i="12" s="1"/>
  <c r="G31" i="12" s="1"/>
  <c r="Q30" i="4" l="1"/>
  <c r="Q32" i="4"/>
  <c r="P27" i="4"/>
  <c r="Q29" i="4" s="1"/>
  <c r="Q47" i="4" s="1"/>
  <c r="H32" i="12" s="1"/>
  <c r="Q30" i="12"/>
  <c r="Q47" i="12"/>
  <c r="I26" i="12"/>
  <c r="Q52" i="12"/>
  <c r="H29" i="12"/>
  <c r="H31" i="12"/>
  <c r="P29" i="4" l="1"/>
  <c r="Q20" i="12"/>
  <c r="M11" i="1" s="1"/>
  <c r="Q24" i="12"/>
  <c r="I27" i="12"/>
  <c r="I28" i="12" s="1"/>
  <c r="J26" i="12"/>
  <c r="J27" i="12" s="1"/>
  <c r="J28" i="12" s="1"/>
  <c r="I29" i="12" l="1"/>
  <c r="I31" i="12"/>
  <c r="J31" i="12"/>
  <c r="J29" i="12"/>
  <c r="K26" i="12"/>
  <c r="K27" i="12" s="1"/>
  <c r="K28" i="12" s="1"/>
  <c r="K31" i="12" l="1"/>
  <c r="K29" i="12"/>
  <c r="Q26" i="12"/>
  <c r="Q27" i="12" l="1"/>
  <c r="Q28" i="12" s="1"/>
  <c r="Q31" i="12" s="1"/>
  <c r="M14" i="1"/>
  <c r="Q29" i="12" l="1"/>
  <c r="F43" i="12" s="1"/>
  <c r="M18" i="1" s="1"/>
  <c r="M8" i="1"/>
  <c r="A6" i="4" l="1"/>
  <c r="A9" i="4" l="1"/>
  <c r="A12" i="4" s="1"/>
  <c r="A15" i="4" l="1"/>
  <c r="A18" i="4" s="1"/>
  <c r="A21" i="4" s="1"/>
  <c r="A24" i="4" s="1"/>
  <c r="A27" i="4" s="1"/>
  <c r="C83" i="4"/>
  <c r="H82" i="4"/>
  <c r="H87" i="4" s="1"/>
  <c r="J25" i="4"/>
  <c r="K24" i="4" s="1"/>
  <c r="I22" i="4"/>
  <c r="J21" i="4" s="1"/>
  <c r="H19" i="4"/>
  <c r="I18" i="4" s="1"/>
  <c r="G16" i="4"/>
  <c r="H15" i="4" s="1"/>
  <c r="F13" i="4"/>
  <c r="D7" i="4"/>
  <c r="C47" i="4"/>
  <c r="H17" i="4" l="1"/>
  <c r="I20" i="4"/>
  <c r="J23" i="4"/>
  <c r="K26" i="4"/>
  <c r="H86" i="4"/>
  <c r="L24" i="4"/>
  <c r="L26" i="4" s="1"/>
  <c r="K21" i="4"/>
  <c r="K23" i="4" s="1"/>
  <c r="J18" i="4"/>
  <c r="I15" i="4"/>
  <c r="J20" i="4" l="1"/>
  <c r="I17" i="4"/>
  <c r="M24" i="4"/>
  <c r="M26" i="4" s="1"/>
  <c r="L21" i="4"/>
  <c r="L23" i="4" s="1"/>
  <c r="K18" i="4"/>
  <c r="K20" i="4" s="1"/>
  <c r="J15" i="4"/>
  <c r="J17" i="4" l="1"/>
  <c r="N24" i="4"/>
  <c r="M21" i="4"/>
  <c r="L18" i="4"/>
  <c r="L20" i="4" s="1"/>
  <c r="K15" i="4"/>
  <c r="N26" i="4" l="1"/>
  <c r="M23" i="4"/>
  <c r="K17" i="4"/>
  <c r="O24" i="4"/>
  <c r="O26" i="4" s="1"/>
  <c r="N21" i="4"/>
  <c r="O23" i="4" s="1"/>
  <c r="O47" i="4" s="1"/>
  <c r="M18" i="4"/>
  <c r="N20" i="4" s="1"/>
  <c r="L15" i="4"/>
  <c r="M17" i="4" s="1"/>
  <c r="L17" i="4" l="1"/>
  <c r="J33" i="12"/>
  <c r="J34" i="12" s="1"/>
  <c r="J35" i="12" s="1"/>
  <c r="J38" i="12" s="1"/>
  <c r="P26" i="4"/>
  <c r="N23" i="4"/>
  <c r="N47" i="4" s="1"/>
  <c r="M20" i="4"/>
  <c r="M47" i="4" s="1"/>
  <c r="R30" i="4"/>
  <c r="R32" i="4" s="1"/>
  <c r="R47" i="4" s="1"/>
  <c r="I32" i="12" s="1"/>
  <c r="I33" i="12" l="1"/>
  <c r="I34" i="12" s="1"/>
  <c r="I35" i="12" s="1"/>
  <c r="I38" i="12" s="1"/>
  <c r="P47" i="4"/>
  <c r="H33" i="12"/>
  <c r="H34" i="12" s="1"/>
  <c r="H35" i="12" s="1"/>
  <c r="H38" i="12" s="1"/>
  <c r="E87" i="4"/>
  <c r="I87" i="4" s="1"/>
  <c r="G86" i="4"/>
  <c r="E86" i="4"/>
  <c r="F85" i="4"/>
  <c r="I85" i="4" s="1"/>
  <c r="E84" i="4"/>
  <c r="I84" i="4" s="1"/>
  <c r="E83" i="4"/>
  <c r="B56" i="4"/>
  <c r="C58" i="4" s="1"/>
  <c r="C57" i="4" s="1"/>
  <c r="G12" i="4"/>
  <c r="E10" i="4"/>
  <c r="F9" i="4" s="1"/>
  <c r="E6" i="4"/>
  <c r="C4" i="4"/>
  <c r="D3" i="4" s="1"/>
  <c r="D2" i="4"/>
  <c r="M10" i="1"/>
  <c r="K33" i="12" l="1"/>
  <c r="K34" i="12" s="1"/>
  <c r="K35" i="12" s="1"/>
  <c r="K38" i="12" s="1"/>
  <c r="G32" i="12"/>
  <c r="D5" i="4"/>
  <c r="D47" i="4" s="1"/>
  <c r="E2" i="4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E8" i="4"/>
  <c r="F11" i="4"/>
  <c r="G14" i="4"/>
  <c r="I83" i="4"/>
  <c r="I86" i="4"/>
  <c r="H12" i="4"/>
  <c r="G9" i="4"/>
  <c r="C56" i="4"/>
  <c r="E3" i="4"/>
  <c r="F6" i="4"/>
  <c r="E5" i="4" l="1"/>
  <c r="E47" i="4" s="1"/>
  <c r="H14" i="4"/>
  <c r="G11" i="4"/>
  <c r="F8" i="4"/>
  <c r="I88" i="4"/>
  <c r="J88" i="4" s="1"/>
  <c r="L90" i="4" s="1"/>
  <c r="D58" i="4"/>
  <c r="D57" i="4" s="1"/>
  <c r="F3" i="4"/>
  <c r="H9" i="4"/>
  <c r="I12" i="4"/>
  <c r="G6" i="4"/>
  <c r="F5" i="4" l="1"/>
  <c r="F47" i="4" s="1"/>
  <c r="G8" i="4"/>
  <c r="I14" i="4"/>
  <c r="H11" i="4"/>
  <c r="J89" i="4"/>
  <c r="L89" i="4" s="1"/>
  <c r="D56" i="4"/>
  <c r="H6" i="4"/>
  <c r="J12" i="4"/>
  <c r="G3" i="4"/>
  <c r="I9" i="4"/>
  <c r="E58" i="4"/>
  <c r="E57" i="4" s="1"/>
  <c r="G5" i="4" l="1"/>
  <c r="G47" i="4" s="1"/>
  <c r="I11" i="4"/>
  <c r="J14" i="4"/>
  <c r="I6" i="4"/>
  <c r="J8" i="4" s="1"/>
  <c r="H8" i="4"/>
  <c r="E56" i="4"/>
  <c r="F58" i="4" s="1"/>
  <c r="J9" i="4"/>
  <c r="K11" i="4" s="1"/>
  <c r="K12" i="4"/>
  <c r="H3" i="4"/>
  <c r="I8" i="4" l="1"/>
  <c r="H5" i="4"/>
  <c r="H47" i="4" s="1"/>
  <c r="L14" i="4"/>
  <c r="L47" i="4" s="1"/>
  <c r="K14" i="4"/>
  <c r="K47" i="4" s="1"/>
  <c r="J11" i="4"/>
  <c r="F56" i="4"/>
  <c r="F57" i="4"/>
  <c r="I3" i="4"/>
  <c r="G58" i="4"/>
  <c r="G57" i="4" s="1"/>
  <c r="I5" i="4" l="1"/>
  <c r="I47" i="4" s="1"/>
  <c r="Q32" i="12"/>
  <c r="G33" i="12"/>
  <c r="G56" i="4"/>
  <c r="H58" i="4" s="1"/>
  <c r="J3" i="4"/>
  <c r="J5" i="4"/>
  <c r="J47" i="4" s="1"/>
  <c r="G34" i="12" l="1"/>
  <c r="Q33" i="12"/>
  <c r="H57" i="4"/>
  <c r="H56" i="4"/>
  <c r="I58" i="4" s="1"/>
  <c r="I57" i="4" s="1"/>
  <c r="G35" i="12" l="1"/>
  <c r="G38" i="12" s="1"/>
  <c r="Q34" i="12"/>
  <c r="Q35" i="12" s="1"/>
  <c r="I56" i="4"/>
  <c r="J58" i="4"/>
  <c r="J57" i="4" s="1"/>
  <c r="G39" i="12" l="1"/>
  <c r="Q38" i="12"/>
  <c r="F41" i="12"/>
  <c r="M16" i="1" s="1"/>
  <c r="F42" i="12"/>
  <c r="M17" i="1" s="1"/>
  <c r="J56" i="4"/>
  <c r="K58" i="4" s="1"/>
  <c r="K57" i="4" s="1"/>
  <c r="H39" i="12" l="1"/>
  <c r="G40" i="12"/>
  <c r="K56" i="4"/>
  <c r="H40" i="12" l="1"/>
  <c r="I39" i="12"/>
  <c r="I40" i="12" s="1"/>
  <c r="J39" i="12" l="1"/>
  <c r="K39" i="12" s="1"/>
  <c r="K40" i="12" s="1"/>
  <c r="J40" i="12" l="1"/>
  <c r="F44" i="1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82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83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<sst xmlns="http://schemas.openxmlformats.org/spreadsheetml/2006/main" count="314" uniqueCount="230">
  <si>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</si>
  <si>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</si>
  <si>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</si>
  <si>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</si>
  <si>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</si>
  <si>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</si>
  <si>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</si>
  <si>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</si>
  <si>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</si>
  <si>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</si>
  <si>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</si>
  <si>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</si>
  <si>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</si>
  <si>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</si>
  <si>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</si>
  <si>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</si>
  <si>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</si>
  <si>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</si>
  <si>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</si>
  <si>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</si>
  <si>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</si>
  <si>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</si>
  <si>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</si>
  <si>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</si>
  <si>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</si>
  <si>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</si>
  <si>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</si>
  <si>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</si>
  <si>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</si>
  <si>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</si>
  <si>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</si>
  <si>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</si>
  <si>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</si>
  <si>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</si>
  <si>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</si>
  <si>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</si>
  <si>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</si>
  <si>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</si>
  <si>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</si>
  <si>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</si>
  <si>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</si>
  <si>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</si>
  <si>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</si>
  <si>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</si>
  <si>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</si>
  <si>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</si>
  <si>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</si>
  <si>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</si>
  <si>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</si>
  <si>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</si>
  <si>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</si>
  <si>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</si>
  <si>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</si>
  <si>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</si>
  <si>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</si>
  <si>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</si>
  <si>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</si>
  <si>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</si>
  <si>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</si>
  <si>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</si>
  <si>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</si>
  <si>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</si>
  <si>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</si>
  <si>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</si>
  <si>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</si>
  <si>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</si>
  <si>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</si>
  <si>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</si>
  <si>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</si>
  <si>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</si>
  <si>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</si>
  <si>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</si>
  <si>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</si>
  <si>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</si>
  <si>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</si>
  <si>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</si>
  <si>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</si>
  <si>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</si>
  <si>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</si>
  <si>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</si>
  <si>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</si>
  <si>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</si>
  <si>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</si>
  <si>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</si>
  <si>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</si>
  <si>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</si>
  <si>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</si>
  <si>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</si>
  <si>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</si>
  <si>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</si>
  <si>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</si>
  <si>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</si>
  <si>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</si>
  <si>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</si>
  <si>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</si>
  <si>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</si>
  <si>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</si>
  <si>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</si>
  <si>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</si>
  <si>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</si>
  <si>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</si>
  <si>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</si>
  <si>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</si>
  <si>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</si>
  <si>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</si>
  <si>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</si>
  <si>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</si>
  <si>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</si>
  <si>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</si>
  <si>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</si>
  <si>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</si>
  <si>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</si>
  <si>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</si>
  <si>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</si>
  <si>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</si>
  <si>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</si>
  <si>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</si>
  <si>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</si>
  <si>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</si>
  <si>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</si>
  <si>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</si>
  <si>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</si>
  <si>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</si>
  <si>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</si>
  <si>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</si>
  <si>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</si>
  <si>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</si>
  <si>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</si>
  <si>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</si>
  <si>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</si>
  <si>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</si>
  <si>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</si>
  <si>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</si>
  <si>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</si>
  <si>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</si>
  <si>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</si>
  <si>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</si>
  <si>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</si>
  <si>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</si>
  <si>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</si>
  <si>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</si>
  <si>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</si>
  <si>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</si>
  <si>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</si>
  <si>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</si>
  <si>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</si>
  <si>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</si>
  <si>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</si>
  <si>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</si>
  <si>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</si>
  <si>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</si>
  <si>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</si>
  <si>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</si>
  <si>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</si>
  <si>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</si>
  <si>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</si>
  <si>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</si>
  <si>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</si>
  <si>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</si>
  <si>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</si>
  <si>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</si>
  <si>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</si>
  <si>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</si>
  <si>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</si>
  <si>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</si>
  <si>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</si>
  <si>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</si>
  <si>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</si>
  <si>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</si>
  <si>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</si>
  <si>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</si>
  <si>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</si>
  <si>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</si>
  <si>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</si>
  <si>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</si>
  <si>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</si>
  <si>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</si>
  <si>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</si>
  <si>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</si>
  <si>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</si>
  <si>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</si>
  <si>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</si>
  <si>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</si>
  <si>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Banten</t>
  </si>
  <si>
    <t xml:space="preserve">Harga Sewa </t>
  </si>
  <si>
    <t xml:space="preserve">Harga Sewa / Yearly </t>
  </si>
  <si>
    <t xml:space="preserve">Operator Joint </t>
  </si>
  <si>
    <t>Penurunan Harga</t>
  </si>
  <si>
    <t xml:space="preserve">BTS dan Pole  </t>
  </si>
  <si>
    <t>Jl. Dr. Latumenten No. 33 Jembaan Besi Jakarta Barat</t>
  </si>
  <si>
    <t>Mall Season City</t>
  </si>
  <si>
    <t>Mall</t>
  </si>
  <si>
    <t>XL : 22 Sep 21 s/d 21 Sep 26</t>
  </si>
  <si>
    <t>XL : 22 Sep 21 s/d 21 Sep 26                                           Rp. 522.571.500</t>
  </si>
  <si>
    <t xml:space="preserve">Telkomsel : 02 Apr 22 s/d  01 apr 27
</t>
  </si>
  <si>
    <t xml:space="preserve">Telkomsel : 02 Apr 22 s/d  01 apr 27                          Rp. 464.640.000
</t>
  </si>
  <si>
    <t xml:space="preserve">09 July 2020 s/d 08 Juli 2025 </t>
  </si>
  <si>
    <t xml:space="preserve">345 antenna Omni, BTS dan Pole </t>
  </si>
  <si>
    <t xml:space="preserve">: Antenna omni 345, BTS dan Pole  </t>
  </si>
  <si>
    <t>: Jl. Dr. Latumenten No. 33 Jembaan Besi Jakarta Barat</t>
  </si>
  <si>
    <t>: PT. Cakra Kelola Lestari</t>
  </si>
  <si>
    <t>: Mall Season City</t>
  </si>
  <si>
    <t>IOH</t>
  </si>
  <si>
    <t>Cost sewa: nego agar kenaikan dibawah 50%</t>
  </si>
  <si>
    <t>BV 30Jun2025</t>
  </si>
  <si>
    <t>Total Capex BV 30Jun25</t>
  </si>
  <si>
    <t>IOH  : 05 July 21 s/d 04 July 26                                     Rp. 350.918.596</t>
  </si>
  <si>
    <t>IOH  : 05 July 21 s/d 04 July 26</t>
  </si>
  <si>
    <t>0034/IRR/IBC/X/2024</t>
  </si>
  <si>
    <t>Negosiasi Tarif Listrik Gedung agar menjadi tarif PLN</t>
  </si>
  <si>
    <t xml:space="preserve">Periode </t>
  </si>
  <si>
    <t>Start</t>
  </si>
  <si>
    <t>End</t>
  </si>
  <si>
    <t>Sewa BM</t>
  </si>
  <si>
    <t>Days</t>
  </si>
  <si>
    <t xml:space="preserve">Sewa BM </t>
  </si>
  <si>
    <t>Antisipasi Add Capex and Pole</t>
  </si>
  <si>
    <t>Profit</t>
  </si>
  <si>
    <t>SITE Mall Seasons City</t>
  </si>
  <si>
    <t>Rev IOH</t>
  </si>
  <si>
    <t>Rev Tsel</t>
  </si>
  <si>
    <t>Rev XL</t>
  </si>
  <si>
    <t xml:space="preserve">09 July 2025 - 08 July 2030 </t>
  </si>
  <si>
    <t>Listrik IOH</t>
  </si>
  <si>
    <t>LISTRIk Tsel</t>
  </si>
  <si>
    <t>OM IOH</t>
  </si>
  <si>
    <t>OM Tsel</t>
  </si>
  <si>
    <t>OM XL</t>
  </si>
  <si>
    <t>Worse &gt;&gt; Jika Sewa BM diperpanjang 5 tahun dan Operator sesuai periode existing, maka:</t>
  </si>
  <si>
    <t xml:space="preserve"> mengalami kenaikan 33,33%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</si>
</sst>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&quot;Rp&quot;#,##0"/>
    <numFmt numFmtId="172" formatCode="[$-C09]dd\-mmm\-yy;@"/>
    <numFmt numFmtId="173" formatCode="#,###&quot;/thn&quot;"/>
    <numFmt numFmtId="174" formatCode="#,###&quot;/pole&quot;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9" fontId="1" fillId="0" borderId="0" applyFont="0" applyFill="0" applyBorder="0" applyAlignment="0" applyProtection="0"/>
  </cellStyleXfs>
  <cellXfs count="271">
    <xf numFmtId="0" fontId="0" fillId="0" borderId="0" xfId="0"/>
    <xf numFmtId="0" fontId="3" fillId="0" borderId="0" xfId="3"/>
    <xf numFmtId="0" fontId="4" fillId="0" borderId="0" xfId="3" applyFont="1"/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6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6" fillId="0" borderId="0" xfId="4" applyFont="1" applyFill="1"/>
    <xf numFmtId="0" fontId="19" fillId="0" borderId="0" xfId="8" applyFont="1"/>
    <xf numFmtId="0" fontId="19" fillId="0" borderId="24" xfId="8" applyFont="1" applyBorder="1"/>
    <xf numFmtId="0" fontId="19" fillId="0" borderId="24" xfId="8" applyFont="1" applyFill="1" applyBorder="1"/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6" fillId="0" borderId="0" xfId="3" applyFont="1"/>
    <xf numFmtId="41" fontId="26" fillId="2" borderId="0" xfId="3" applyNumberFormat="1" applyFont="1" applyFill="1" applyAlignment="1">
      <alignment vertical="center"/>
    </xf>
    <xf numFmtId="41" fontId="28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21" fillId="0" borderId="0" xfId="16" applyFont="1" applyAlignment="1">
      <alignment horizontal="left" vertical="top"/>
    </xf>
    <xf numFmtId="0" fontId="21" fillId="0" borderId="0" xfId="16" applyFont="1"/>
    <xf numFmtId="0" fontId="19" fillId="0" borderId="34" xfId="8" applyFont="1" applyBorder="1" applyAlignment="1">
      <alignment horizontal="center" vertical="center"/>
    </xf>
    <xf numFmtId="0" fontId="19" fillId="0" borderId="36" xfId="8" applyFont="1" applyBorder="1"/>
    <xf numFmtId="0" fontId="0" fillId="0" borderId="0" xfId="8" applyFont="1" applyBorder="1"/>
    <xf numFmtId="0" fontId="1" fillId="0" borderId="36" xfId="8" applyFont="1" applyBorder="1"/>
    <xf numFmtId="0" fontId="19" fillId="0" borderId="24" xfId="16" applyFont="1" applyBorder="1"/>
    <xf numFmtId="0" fontId="19" fillId="0" borderId="36" xfId="16" applyFont="1" applyBorder="1"/>
    <xf numFmtId="0" fontId="19" fillId="0" borderId="24" xfId="8" applyFont="1" applyBorder="1" applyAlignment="1">
      <alignment wrapText="1"/>
    </xf>
    <xf numFmtId="164" fontId="0" fillId="0" borderId="36" xfId="9" applyFont="1" applyBorder="1"/>
    <xf numFmtId="0" fontId="19" fillId="0" borderId="37" xfId="8" applyFont="1" applyBorder="1" applyAlignment="1">
      <alignment horizontal="center" vertical="center"/>
    </xf>
    <xf numFmtId="0" fontId="19" fillId="0" borderId="27" xfId="8" applyFont="1" applyBorder="1"/>
    <xf numFmtId="0" fontId="19" fillId="0" borderId="38" xfId="8" applyFont="1" applyBorder="1" applyAlignment="1">
      <alignment horizontal="center" vertical="center"/>
    </xf>
    <xf numFmtId="0" fontId="19" fillId="0" borderId="39" xfId="8" applyFont="1" applyFill="1" applyBorder="1"/>
    <xf numFmtId="41" fontId="19" fillId="0" borderId="0" xfId="11" applyFont="1"/>
    <xf numFmtId="41" fontId="4" fillId="0" borderId="0" xfId="17" applyNumberFormat="1" applyFont="1"/>
    <xf numFmtId="165" fontId="0" fillId="0" borderId="0" xfId="2" applyFont="1"/>
    <xf numFmtId="165" fontId="0" fillId="0" borderId="0" xfId="0" applyNumberFormat="1"/>
    <xf numFmtId="0" fontId="19" fillId="0" borderId="27" xfId="8" applyFont="1" applyBorder="1" applyAlignment="1">
      <alignment horizontal="left" vertical="top" wrapText="1"/>
    </xf>
    <xf numFmtId="0" fontId="19" fillId="0" borderId="36" xfId="8" applyFont="1" applyBorder="1" applyAlignment="1">
      <alignment horizontal="left" vertical="top" wrapText="1"/>
    </xf>
    <xf numFmtId="164" fontId="19" fillId="0" borderId="36" xfId="8" applyNumberFormat="1" applyFont="1" applyBorder="1"/>
    <xf numFmtId="171" fontId="19" fillId="0" borderId="24" xfId="8" applyNumberFormat="1" applyFont="1" applyBorder="1"/>
    <xf numFmtId="9" fontId="19" fillId="0" borderId="0" xfId="20" applyFont="1"/>
    <xf numFmtId="171" fontId="0" fillId="0" borderId="24" xfId="11" applyNumberFormat="1" applyFont="1" applyBorder="1" applyAlignment="1">
      <alignment horizontal="right" vertical="top"/>
    </xf>
    <xf numFmtId="0" fontId="3" fillId="0" borderId="0" xfId="3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2" fontId="19" fillId="0" borderId="24" xfId="8" applyNumberFormat="1" applyBorder="1" applyAlignment="1">
      <alignment horizontal="center"/>
    </xf>
    <xf numFmtId="172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3" fontId="19" fillId="0" borderId="0" xfId="11" applyNumberFormat="1" applyFont="1"/>
    <xf numFmtId="165" fontId="19" fillId="0" borderId="0" xfId="8" applyNumberFormat="1"/>
    <xf numFmtId="174" fontId="19" fillId="0" borderId="0" xfId="12" applyNumberFormat="1" applyFont="1"/>
    <xf numFmtId="41" fontId="19" fillId="0" borderId="15" xfId="11" applyFont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40" xfId="8" applyFont="1" applyBorder="1" applyAlignment="1">
      <alignment horizontal="center"/>
    </xf>
    <xf numFmtId="0" fontId="19" fillId="0" borderId="41" xfId="8" applyFont="1" applyBorder="1" applyAlignment="1">
      <alignment horizontal="center"/>
    </xf>
    <xf numFmtId="0" fontId="22" fillId="6" borderId="31" xfId="8" applyFont="1" applyFill="1" applyBorder="1" applyAlignment="1">
      <alignment horizontal="center" vertical="center"/>
    </xf>
    <xf numFmtId="0" fontId="22" fillId="6" borderId="34" xfId="8" applyFont="1" applyFill="1" applyBorder="1" applyAlignment="1">
      <alignment horizontal="center" vertical="center"/>
    </xf>
    <xf numFmtId="0" fontId="23" fillId="6" borderId="32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23" fillId="6" borderId="33" xfId="8" applyFont="1" applyFill="1" applyBorder="1" applyAlignment="1">
      <alignment horizontal="center" vertical="center"/>
    </xf>
    <xf numFmtId="0" fontId="23" fillId="6" borderId="35" xfId="8" applyFont="1" applyFill="1" applyBorder="1" applyAlignment="1">
      <alignment horizontal="center" vertical="center"/>
    </xf>
    <xf numFmtId="0" fontId="19" fillId="0" borderId="25" xfId="8" applyFont="1" applyFill="1" applyBorder="1" applyAlignment="1">
      <alignment horizontal="center" vertical="center"/>
    </xf>
    <xf numFmtId="0" fontId="19" fillId="0" borderId="28" xfId="8" applyFont="1" applyFill="1" applyBorder="1" applyAlignment="1">
      <alignment horizontal="center" vertical="center"/>
    </xf>
    <xf numFmtId="0" fontId="19" fillId="0" borderId="26" xfId="8" applyFont="1" applyFill="1" applyBorder="1" applyAlignment="1">
      <alignment horizontal="center" vertical="center"/>
    </xf>
    <xf numFmtId="0" fontId="19" fillId="0" borderId="37" xfId="8" applyFont="1" applyBorder="1" applyAlignment="1">
      <alignment horizontal="center" vertical="center"/>
    </xf>
    <xf numFmtId="0" fontId="19" fillId="0" borderId="43" xfId="8" applyFont="1" applyBorder="1" applyAlignment="1">
      <alignment horizontal="center" vertical="center"/>
    </xf>
    <xf numFmtId="0" fontId="19" fillId="0" borderId="42" xfId="8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1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" xfId="20" builtinId="5"/>
    <cellStyle name="Percent 3" xfId="7" xr:uid="{54F020B5-68BB-4710-814E-90969CA1DF9C}"/>
  </cellStyles>
  <dxfs count="3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59790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87081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zoomScaleNormal="100" workbookViewId="0">
      <selection activeCell="B2" sqref="B2:N35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208</v>
      </c>
      <c r="M2" s="3" t="str">
        <f>D7</f>
        <v>Mall Season City</v>
      </c>
      <c r="N2" s="3"/>
    </row>
    <row r="3" spans="2:14" ht="18.5" x14ac:dyDescent="0.45">
      <c r="C3" s="4" t="s">
        <v>1</v>
      </c>
      <c r="D3" s="2" t="s">
        <v>2</v>
      </c>
      <c r="J3" s="4" t="s">
        <v>3</v>
      </c>
      <c r="K3" s="4"/>
      <c r="L3" s="4"/>
      <c r="M3" s="5">
        <v>45567</v>
      </c>
    </row>
    <row r="4" spans="2:14" ht="18.5" x14ac:dyDescent="0.45">
      <c r="C4" s="4" t="s">
        <v>4</v>
      </c>
      <c r="D4" s="2" t="s">
        <v>175</v>
      </c>
    </row>
    <row r="5" spans="2:14" ht="0.9" customHeight="1" thickBot="1" x14ac:dyDescent="0.4">
      <c r="C5" s="2"/>
    </row>
    <row r="6" spans="2:14" s="6" customFormat="1" ht="19" thickBot="1" x14ac:dyDescent="0.5">
      <c r="B6" s="237" t="s">
        <v>5</v>
      </c>
      <c r="C6" s="238"/>
      <c r="D6" s="239"/>
      <c r="E6" s="237" t="s">
        <v>6</v>
      </c>
      <c r="F6" s="238"/>
      <c r="G6" s="238"/>
      <c r="H6" s="238"/>
      <c r="I6" s="238"/>
      <c r="J6" s="237" t="s">
        <v>7</v>
      </c>
      <c r="K6" s="238"/>
      <c r="L6" s="238"/>
      <c r="M6" s="238"/>
      <c r="N6" s="239"/>
    </row>
    <row r="7" spans="2:14" x14ac:dyDescent="0.35">
      <c r="B7" s="240" t="s">
        <v>8</v>
      </c>
      <c r="C7" s="241"/>
      <c r="D7" s="7" t="s">
        <v>190</v>
      </c>
      <c r="E7" s="242" t="s">
        <v>9</v>
      </c>
      <c r="F7" s="242"/>
      <c r="G7" s="242"/>
      <c r="H7" s="242"/>
      <c r="I7" s="242"/>
      <c r="J7" s="8"/>
      <c r="K7" s="241" t="s">
        <v>10</v>
      </c>
      <c r="L7" s="241"/>
      <c r="M7" s="170">
        <v>6896100395</v>
      </c>
      <c r="N7" s="7"/>
    </row>
    <row r="8" spans="2:14" ht="31" x14ac:dyDescent="0.35">
      <c r="B8" s="233" t="s">
        <v>11</v>
      </c>
      <c r="C8" s="234"/>
      <c r="D8" s="9" t="s">
        <v>189</v>
      </c>
      <c r="E8" s="232" t="s">
        <v>12</v>
      </c>
      <c r="F8" s="232"/>
      <c r="G8" s="232"/>
      <c r="H8" s="10">
        <v>345</v>
      </c>
      <c r="J8" s="11"/>
      <c r="K8" s="232" t="s">
        <v>13</v>
      </c>
      <c r="L8" s="232"/>
      <c r="M8" s="171">
        <f>M7/H9</f>
        <v>18340692.539893616</v>
      </c>
      <c r="N8" s="12"/>
    </row>
    <row r="9" spans="2:14" x14ac:dyDescent="0.35">
      <c r="B9" s="233"/>
      <c r="C9" s="234"/>
      <c r="D9" s="12"/>
      <c r="E9" s="232" t="s">
        <v>14</v>
      </c>
      <c r="F9" s="232"/>
      <c r="G9" s="232"/>
      <c r="H9" s="10">
        <f>345+31</f>
        <v>376</v>
      </c>
      <c r="J9" s="11"/>
      <c r="K9" s="232" t="s">
        <v>15</v>
      </c>
      <c r="L9" s="232"/>
      <c r="M9" s="172">
        <v>5</v>
      </c>
      <c r="N9" s="12"/>
    </row>
    <row r="10" spans="2:14" x14ac:dyDescent="0.35">
      <c r="B10" s="13" t="s">
        <v>16</v>
      </c>
      <c r="C10" s="14"/>
      <c r="D10" s="12" t="s">
        <v>183</v>
      </c>
      <c r="E10" s="232" t="s">
        <v>17</v>
      </c>
      <c r="F10" s="232"/>
      <c r="G10" s="232"/>
      <c r="H10" s="235" t="s">
        <v>188</v>
      </c>
      <c r="I10" s="236"/>
      <c r="J10" s="11"/>
      <c r="K10" s="15" t="s">
        <v>18</v>
      </c>
      <c r="L10" s="15"/>
      <c r="M10" s="173">
        <f>[2]IRR!F3</f>
        <v>0.1</v>
      </c>
      <c r="N10" s="12"/>
    </row>
    <row r="11" spans="2:14" x14ac:dyDescent="0.35">
      <c r="B11" s="16" t="s">
        <v>19</v>
      </c>
      <c r="C11" s="15"/>
      <c r="D11" s="12" t="s">
        <v>191</v>
      </c>
      <c r="H11" s="235"/>
      <c r="I11" s="236"/>
      <c r="J11" s="17"/>
      <c r="K11" s="232" t="s">
        <v>21</v>
      </c>
      <c r="L11" s="232"/>
      <c r="M11" s="170">
        <f>IRR!Q20</f>
        <v>6421434295.3500004</v>
      </c>
      <c r="N11" s="12"/>
    </row>
    <row r="12" spans="2:14" x14ac:dyDescent="0.35">
      <c r="B12" s="16" t="s">
        <v>22</v>
      </c>
      <c r="C12" s="15"/>
      <c r="D12" s="12" t="s">
        <v>23</v>
      </c>
      <c r="E12" s="226" t="s">
        <v>20</v>
      </c>
      <c r="F12" s="226"/>
      <c r="G12" s="226"/>
      <c r="H12" s="226"/>
      <c r="I12" s="226"/>
      <c r="J12" s="11"/>
      <c r="K12" s="232" t="s">
        <v>205</v>
      </c>
      <c r="L12" s="232"/>
      <c r="M12" s="170">
        <f>IRR!G9</f>
        <v>147019380</v>
      </c>
      <c r="N12" s="12"/>
    </row>
    <row r="13" spans="2:14" x14ac:dyDescent="0.35">
      <c r="B13" s="16" t="s">
        <v>25</v>
      </c>
      <c r="C13" s="15"/>
      <c r="D13" s="19"/>
      <c r="E13" s="225" t="s">
        <v>24</v>
      </c>
      <c r="F13" s="225"/>
      <c r="G13" s="225"/>
      <c r="H13" s="18">
        <v>0</v>
      </c>
      <c r="J13" s="11"/>
      <c r="K13" s="232" t="s">
        <v>27</v>
      </c>
      <c r="L13" s="232"/>
      <c r="M13" s="170">
        <f>IRR!Q23</f>
        <v>2000000000</v>
      </c>
      <c r="N13" s="12"/>
    </row>
    <row r="14" spans="2:14" x14ac:dyDescent="0.35">
      <c r="B14" s="16" t="s">
        <v>28</v>
      </c>
      <c r="C14" s="15"/>
      <c r="D14" s="19"/>
      <c r="E14" s="225" t="s">
        <v>26</v>
      </c>
      <c r="F14" s="225"/>
      <c r="G14" s="225"/>
      <c r="H14" s="18">
        <v>0</v>
      </c>
      <c r="J14" s="11"/>
      <c r="K14" s="161" t="s">
        <v>30</v>
      </c>
      <c r="L14" s="161"/>
      <c r="M14" s="171">
        <f>SUM(IRR!Q24:Q26)</f>
        <v>1426071714.7674999</v>
      </c>
      <c r="N14" s="12"/>
    </row>
    <row r="15" spans="2:14" ht="16" thickBot="1" x14ac:dyDescent="0.4">
      <c r="B15" s="16" t="s">
        <v>31</v>
      </c>
      <c r="C15" s="15"/>
      <c r="D15" s="20"/>
      <c r="E15" s="225" t="s">
        <v>29</v>
      </c>
      <c r="F15" s="225"/>
      <c r="G15" s="225"/>
      <c r="H15" s="18">
        <v>0</v>
      </c>
      <c r="J15" s="11"/>
      <c r="N15" s="12"/>
    </row>
    <row r="16" spans="2:14" x14ac:dyDescent="0.35">
      <c r="B16" s="11"/>
      <c r="D16" s="12"/>
      <c r="E16" s="226" t="s">
        <v>32</v>
      </c>
      <c r="F16" s="226"/>
      <c r="G16" s="226"/>
      <c r="H16" s="226"/>
      <c r="I16" s="226"/>
      <c r="J16" s="21"/>
      <c r="K16" s="227" t="s">
        <v>33</v>
      </c>
      <c r="L16" s="228"/>
      <c r="M16" s="22">
        <f>IRR!F41</f>
        <v>0.804437231454046</v>
      </c>
      <c r="N16" s="12"/>
    </row>
    <row r="17" spans="2:18" x14ac:dyDescent="0.35">
      <c r="B17" s="11"/>
      <c r="D17" s="12"/>
      <c r="J17" s="23"/>
      <c r="K17" s="229" t="s">
        <v>34</v>
      </c>
      <c r="L17" s="230"/>
      <c r="M17" s="24">
        <f>IRR!F42</f>
        <v>1971182034.5175872</v>
      </c>
      <c r="N17" s="12"/>
    </row>
    <row r="18" spans="2:18" x14ac:dyDescent="0.35">
      <c r="B18" s="11"/>
      <c r="D18" s="12"/>
      <c r="J18" s="23"/>
      <c r="K18" s="229" t="s">
        <v>35</v>
      </c>
      <c r="L18" s="230"/>
      <c r="M18" s="25">
        <f>IRR!F43</f>
        <v>0.46646316738793919</v>
      </c>
      <c r="N18" s="12"/>
      <c r="R18" s="1" t="s">
        <v>36</v>
      </c>
    </row>
    <row r="19" spans="2:18" ht="16" thickBot="1" x14ac:dyDescent="0.4">
      <c r="B19" s="11"/>
      <c r="D19" s="12"/>
      <c r="J19" s="23"/>
      <c r="K19" s="221" t="s">
        <v>37</v>
      </c>
      <c r="L19" s="222"/>
      <c r="M19" s="26">
        <f>IRR!F44</f>
        <v>2.114011010478678</v>
      </c>
      <c r="N19" s="12"/>
      <c r="Q19" s="1" t="s">
        <v>36</v>
      </c>
    </row>
    <row r="20" spans="2:18" ht="16" thickBot="1" x14ac:dyDescent="0.4">
      <c r="B20" s="27"/>
      <c r="C20" s="28"/>
      <c r="D20" s="29"/>
      <c r="E20" s="28"/>
      <c r="F20" s="28" t="s">
        <v>36</v>
      </c>
      <c r="G20" s="28"/>
      <c r="H20" s="28"/>
      <c r="I20" s="28"/>
      <c r="J20" s="11"/>
      <c r="K20" s="30"/>
      <c r="L20" s="15"/>
      <c r="M20" s="15"/>
      <c r="N20" s="12"/>
    </row>
    <row r="21" spans="2:18" x14ac:dyDescent="0.35">
      <c r="B21" s="31" t="s">
        <v>38</v>
      </c>
      <c r="C21" s="32"/>
      <c r="D21" s="32"/>
      <c r="E21" s="32"/>
      <c r="F21" s="32"/>
      <c r="G21" s="32"/>
      <c r="H21" s="32"/>
      <c r="I21" s="32"/>
      <c r="J21" s="32"/>
      <c r="K21" s="231" t="s">
        <v>39</v>
      </c>
      <c r="L21" s="231"/>
      <c r="M21" s="231"/>
      <c r="N21" s="7"/>
    </row>
    <row r="22" spans="2:18" x14ac:dyDescent="0.35">
      <c r="B22" s="11"/>
      <c r="C22" s="208" t="s">
        <v>203</v>
      </c>
      <c r="L22" s="223" t="s">
        <v>41</v>
      </c>
      <c r="M22" s="224"/>
      <c r="N22" s="12"/>
    </row>
    <row r="23" spans="2:18" x14ac:dyDescent="0.35">
      <c r="B23" s="11"/>
      <c r="C23" s="1" t="s">
        <v>209</v>
      </c>
      <c r="N23" s="12"/>
    </row>
    <row r="24" spans="2:18" x14ac:dyDescent="0.35">
      <c r="B24" s="11"/>
      <c r="N24" s="12"/>
    </row>
    <row r="25" spans="2:18" x14ac:dyDescent="0.35">
      <c r="B25" s="11"/>
      <c r="N25" s="12"/>
    </row>
    <row r="26" spans="2:18" ht="16" thickBot="1" x14ac:dyDescent="0.4">
      <c r="B26" s="27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9"/>
    </row>
    <row r="27" spans="2:18" ht="6" customHeight="1" x14ac:dyDescent="0.35"/>
    <row r="28" spans="2:18" x14ac:dyDescent="0.35">
      <c r="B28" s="2" t="s">
        <v>42</v>
      </c>
    </row>
    <row r="29" spans="2:18" x14ac:dyDescent="0.3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</row>
    <row r="30" spans="2:18" x14ac:dyDescent="0.3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</row>
    <row r="31" spans="2:18" x14ac:dyDescent="0.3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</row>
    <row r="32" spans="2:18" x14ac:dyDescent="0.35"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</row>
    <row r="33" spans="2:15" x14ac:dyDescent="0.3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</row>
    <row r="34" spans="2:15" x14ac:dyDescent="0.35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</row>
    <row r="35" spans="2:15" x14ac:dyDescent="0.35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57999999999999996" right="0.7" top="0.52" bottom="0.59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B806C-E31A-46EF-85F7-21063FD8399D}">
  <sheetPr>
    <pageSetUpPr fitToPage="1"/>
  </sheetPr>
  <dimension ref="B1:Y58"/>
  <sheetViews>
    <sheetView showGridLines="0" tabSelected="1" zoomScale="90" zoomScaleNormal="90" workbookViewId="0">
      <selection activeCell="J18" sqref="J18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4" customWidth="1"/>
    <col min="8" max="8" width="16.81640625" style="1" customWidth="1"/>
    <col min="9" max="9" width="15.6328125" style="1" customWidth="1"/>
    <col min="10" max="10" width="16.81640625" style="1" customWidth="1"/>
    <col min="11" max="11" width="15.54296875" style="1" customWidth="1"/>
    <col min="12" max="15" width="6.81640625" style="1" hidden="1" customWidth="1"/>
    <col min="16" max="16" width="7.90625" style="1" hidden="1" customWidth="1"/>
    <col min="17" max="17" width="15.906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177</v>
      </c>
      <c r="C1" s="1" t="s">
        <v>208</v>
      </c>
      <c r="Q1" s="3" t="str">
        <f>Summary!M2</f>
        <v>Mall Season City</v>
      </c>
    </row>
    <row r="2" spans="2:25" x14ac:dyDescent="0.35">
      <c r="B2" s="35" t="s">
        <v>43</v>
      </c>
      <c r="H2" s="158" t="s">
        <v>44</v>
      </c>
      <c r="I2" s="159" t="s">
        <v>45</v>
      </c>
    </row>
    <row r="3" spans="2:25" x14ac:dyDescent="0.35">
      <c r="C3" s="1" t="s">
        <v>46</v>
      </c>
      <c r="E3" s="36">
        <v>0.02</v>
      </c>
      <c r="H3" s="160"/>
      <c r="I3" s="37"/>
      <c r="L3" s="37"/>
      <c r="M3" s="37"/>
      <c r="N3" s="37"/>
      <c r="O3" s="37"/>
      <c r="P3" s="37"/>
      <c r="R3" s="38"/>
      <c r="S3" s="38"/>
    </row>
    <row r="4" spans="2:25" x14ac:dyDescent="0.35">
      <c r="C4" s="1" t="s">
        <v>47</v>
      </c>
      <c r="E4" s="36">
        <v>0.1</v>
      </c>
      <c r="H4" s="160"/>
      <c r="I4" s="37"/>
      <c r="L4" s="37"/>
      <c r="M4" s="37"/>
      <c r="N4" s="37"/>
      <c r="O4" s="37"/>
      <c r="P4" s="37"/>
      <c r="R4" s="38"/>
      <c r="S4" s="38"/>
    </row>
    <row r="5" spans="2:25" x14ac:dyDescent="0.35">
      <c r="C5" s="1" t="s">
        <v>48</v>
      </c>
      <c r="E5" s="36">
        <v>0.05</v>
      </c>
      <c r="F5" s="34" t="s">
        <v>49</v>
      </c>
      <c r="H5" s="160"/>
      <c r="I5" s="37"/>
      <c r="S5" s="38"/>
      <c r="T5" s="182"/>
      <c r="U5" s="182"/>
      <c r="V5" s="182"/>
    </row>
    <row r="6" spans="2:25" x14ac:dyDescent="0.35">
      <c r="C6" s="1" t="s">
        <v>50</v>
      </c>
      <c r="E6" s="39">
        <v>0</v>
      </c>
      <c r="F6" s="34" t="s">
        <v>49</v>
      </c>
      <c r="H6" s="160"/>
      <c r="S6" s="38"/>
    </row>
    <row r="7" spans="2:25" ht="4.25" customHeight="1" x14ac:dyDescent="0.35">
      <c r="F7" s="36"/>
      <c r="S7" s="38"/>
    </row>
    <row r="8" spans="2:25" ht="14.4" customHeight="1" x14ac:dyDescent="0.35">
      <c r="B8" s="41" t="s">
        <v>56</v>
      </c>
      <c r="G8" s="183" t="s">
        <v>51</v>
      </c>
      <c r="H8" s="183" t="s">
        <v>52</v>
      </c>
      <c r="I8" s="183" t="s">
        <v>53</v>
      </c>
      <c r="J8" s="183" t="s">
        <v>54</v>
      </c>
      <c r="K8" s="183" t="s">
        <v>55</v>
      </c>
      <c r="L8" s="183" t="s">
        <v>170</v>
      </c>
      <c r="M8" s="183" t="s">
        <v>171</v>
      </c>
      <c r="N8" s="183" t="s">
        <v>172</v>
      </c>
      <c r="O8" s="183" t="s">
        <v>173</v>
      </c>
      <c r="P8" s="183" t="s">
        <v>174</v>
      </c>
      <c r="R8" s="40"/>
      <c r="W8" s="40"/>
      <c r="X8" s="40"/>
      <c r="Y8" s="40"/>
    </row>
    <row r="9" spans="2:25" s="42" customFormat="1" x14ac:dyDescent="0.35">
      <c r="D9" s="42" t="s">
        <v>204</v>
      </c>
      <c r="F9" s="43"/>
      <c r="G9" s="180">
        <v>147019380</v>
      </c>
      <c r="H9" s="180">
        <v>0</v>
      </c>
      <c r="I9" s="180">
        <v>0</v>
      </c>
      <c r="J9" s="180">
        <v>0</v>
      </c>
      <c r="K9" s="180"/>
      <c r="L9" s="180"/>
      <c r="M9" s="180"/>
      <c r="N9" s="180"/>
      <c r="O9" s="180"/>
      <c r="P9" s="180"/>
      <c r="Q9" s="180">
        <f>SUM(G9:K9)</f>
        <v>147019380</v>
      </c>
      <c r="R9" s="178"/>
      <c r="S9" s="1"/>
      <c r="T9" s="1"/>
      <c r="U9" s="1"/>
      <c r="V9" s="1"/>
      <c r="W9" s="43"/>
      <c r="X9" s="43"/>
      <c r="Y9" s="43"/>
    </row>
    <row r="10" spans="2:25" s="42" customFormat="1" ht="16" thickBot="1" x14ac:dyDescent="0.4">
      <c r="B10" s="41"/>
      <c r="F10" s="43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>
        <f>G10</f>
        <v>0</v>
      </c>
      <c r="R10" s="178"/>
      <c r="S10" s="1"/>
      <c r="T10" s="1"/>
      <c r="U10" s="1"/>
      <c r="V10" s="1"/>
      <c r="W10" s="43"/>
      <c r="X10" s="43"/>
      <c r="Y10" s="43"/>
    </row>
    <row r="11" spans="2:25" s="42" customFormat="1" ht="16" thickTop="1" x14ac:dyDescent="0.35">
      <c r="B11" s="41"/>
      <c r="F11" s="43"/>
      <c r="G11" s="43">
        <f>SUM(G9:G10)</f>
        <v>147019380</v>
      </c>
      <c r="H11" s="43"/>
      <c r="I11" s="43"/>
      <c r="J11" s="43"/>
      <c r="K11" s="43"/>
      <c r="L11" s="43"/>
      <c r="M11" s="43"/>
      <c r="N11" s="43"/>
      <c r="O11" s="43"/>
      <c r="P11" s="43"/>
      <c r="Q11" s="43">
        <f>Q10+Q9</f>
        <v>147019380</v>
      </c>
      <c r="R11" s="43"/>
      <c r="S11" s="1"/>
      <c r="T11" s="1"/>
      <c r="U11" s="1"/>
      <c r="V11" s="1"/>
      <c r="W11" s="43"/>
      <c r="X11" s="43"/>
      <c r="Y11" s="43"/>
    </row>
    <row r="12" spans="2:25" x14ac:dyDescent="0.35">
      <c r="F12" s="44"/>
      <c r="G12" s="45">
        <v>2025</v>
      </c>
      <c r="H12" s="45">
        <f>G12+1</f>
        <v>2026</v>
      </c>
      <c r="I12" s="45">
        <f t="shared" ref="I12:P12" si="0">H12+1</f>
        <v>2027</v>
      </c>
      <c r="J12" s="45">
        <f t="shared" si="0"/>
        <v>2028</v>
      </c>
      <c r="K12" s="45">
        <f t="shared" si="0"/>
        <v>2029</v>
      </c>
      <c r="L12" s="45">
        <f t="shared" si="0"/>
        <v>2030</v>
      </c>
      <c r="M12" s="45">
        <f t="shared" si="0"/>
        <v>2031</v>
      </c>
      <c r="N12" s="45">
        <f t="shared" si="0"/>
        <v>2032</v>
      </c>
      <c r="O12" s="45">
        <f t="shared" si="0"/>
        <v>2033</v>
      </c>
      <c r="P12" s="45">
        <f t="shared" si="0"/>
        <v>2034</v>
      </c>
      <c r="Q12" s="45"/>
    </row>
    <row r="13" spans="2:25" ht="16" thickBot="1" x14ac:dyDescent="0.4">
      <c r="B13" s="46" t="s">
        <v>57</v>
      </c>
      <c r="C13" s="28"/>
      <c r="D13" s="28"/>
      <c r="E13" s="28"/>
      <c r="F13" s="47" t="s">
        <v>169</v>
      </c>
      <c r="G13" s="47" t="s">
        <v>58</v>
      </c>
      <c r="H13" s="48" t="s">
        <v>59</v>
      </c>
      <c r="I13" s="47" t="s">
        <v>60</v>
      </c>
      <c r="J13" s="48" t="s">
        <v>61</v>
      </c>
      <c r="K13" s="47" t="s">
        <v>62</v>
      </c>
      <c r="L13" s="47" t="s">
        <v>88</v>
      </c>
      <c r="M13" s="47" t="s">
        <v>165</v>
      </c>
      <c r="N13" s="47" t="s">
        <v>166</v>
      </c>
      <c r="O13" s="47" t="s">
        <v>167</v>
      </c>
      <c r="P13" s="47" t="s">
        <v>168</v>
      </c>
      <c r="Q13" s="49" t="s">
        <v>63</v>
      </c>
      <c r="R13" s="182"/>
      <c r="S13" s="50"/>
      <c r="T13" s="50"/>
      <c r="U13" s="50"/>
      <c r="V13" s="50"/>
      <c r="W13" s="182"/>
    </row>
    <row r="14" spans="2:25" x14ac:dyDescent="0.35">
      <c r="B14" s="1" t="s">
        <v>64</v>
      </c>
      <c r="G14" s="45">
        <v>12</v>
      </c>
      <c r="H14" s="45">
        <v>12</v>
      </c>
      <c r="I14" s="45">
        <v>12</v>
      </c>
      <c r="J14" s="45">
        <v>12</v>
      </c>
      <c r="K14" s="45">
        <v>12</v>
      </c>
      <c r="L14" s="45"/>
      <c r="M14" s="45"/>
      <c r="N14" s="45"/>
      <c r="O14" s="45"/>
      <c r="P14" s="45"/>
      <c r="Q14" s="51"/>
      <c r="S14" s="38"/>
      <c r="T14" s="38"/>
      <c r="U14" s="38"/>
      <c r="V14" s="38"/>
    </row>
    <row r="15" spans="2:25" ht="1.75" customHeight="1" x14ac:dyDescent="0.35">
      <c r="Q15" s="51"/>
      <c r="S15" s="52"/>
      <c r="T15" s="52"/>
      <c r="U15" s="52"/>
      <c r="V15" s="52"/>
    </row>
    <row r="16" spans="2:25" x14ac:dyDescent="0.35">
      <c r="B16" s="2" t="s">
        <v>65</v>
      </c>
      <c r="E16" s="53"/>
      <c r="G16" s="54"/>
      <c r="H16" s="55"/>
      <c r="I16" s="56"/>
      <c r="J16" s="56"/>
      <c r="K16" s="56"/>
      <c r="L16" s="56"/>
      <c r="M16" s="56"/>
      <c r="N16" s="56"/>
      <c r="O16" s="56"/>
      <c r="P16" s="56"/>
      <c r="Q16" s="51"/>
      <c r="S16" s="50"/>
      <c r="T16" s="50"/>
      <c r="U16" s="50"/>
      <c r="V16" s="50"/>
    </row>
    <row r="17" spans="2:24" x14ac:dyDescent="0.35">
      <c r="B17" s="2"/>
      <c r="C17" s="1" t="s">
        <v>66</v>
      </c>
      <c r="E17" s="53"/>
      <c r="G17" s="55">
        <v>464640000</v>
      </c>
      <c r="H17" s="162">
        <f>G17</f>
        <v>464640000</v>
      </c>
      <c r="I17" s="55">
        <f>H17*95%</f>
        <v>441408000</v>
      </c>
      <c r="J17" s="55">
        <f>I17</f>
        <v>441408000</v>
      </c>
      <c r="K17" s="55">
        <f>J17</f>
        <v>441408000</v>
      </c>
      <c r="L17" s="55"/>
      <c r="M17" s="55"/>
      <c r="N17" s="55"/>
      <c r="O17" s="55"/>
      <c r="P17" s="55"/>
      <c r="Q17" s="57">
        <f>SUM(G17:K17)</f>
        <v>2253504000</v>
      </c>
      <c r="R17" s="176"/>
      <c r="S17" s="50"/>
      <c r="T17" s="50"/>
      <c r="U17" s="50"/>
      <c r="V17" s="50"/>
    </row>
    <row r="18" spans="2:24" x14ac:dyDescent="0.35">
      <c r="B18" s="2"/>
      <c r="C18" s="1" t="s">
        <v>176</v>
      </c>
      <c r="E18" s="53"/>
      <c r="F18" s="109"/>
      <c r="G18" s="55">
        <v>522571500</v>
      </c>
      <c r="H18" s="162">
        <f>G18*95%</f>
        <v>496442925</v>
      </c>
      <c r="I18" s="55">
        <f>H18</f>
        <v>496442925</v>
      </c>
      <c r="J18" s="55">
        <f>I18</f>
        <v>496442925</v>
      </c>
      <c r="K18" s="55">
        <f>J18*95%</f>
        <v>471620778.75</v>
      </c>
      <c r="L18" s="55"/>
      <c r="M18" s="55"/>
      <c r="N18" s="55"/>
      <c r="O18" s="55"/>
      <c r="P18" s="55"/>
      <c r="Q18" s="57">
        <f t="shared" ref="Q18:Q19" si="1">SUM(G18:K18)</f>
        <v>2483521053.75</v>
      </c>
      <c r="S18" s="50"/>
      <c r="T18" s="50"/>
      <c r="U18" s="50"/>
      <c r="V18" s="50"/>
    </row>
    <row r="19" spans="2:24" x14ac:dyDescent="0.35">
      <c r="B19" s="2"/>
      <c r="C19" s="1" t="s">
        <v>202</v>
      </c>
      <c r="E19" s="53"/>
      <c r="G19" s="55">
        <v>350918592</v>
      </c>
      <c r="H19" s="162">
        <f>G19*95%</f>
        <v>333372662.39999998</v>
      </c>
      <c r="I19" s="55">
        <f>H19</f>
        <v>333372662.39999998</v>
      </c>
      <c r="J19" s="55">
        <f>I19</f>
        <v>333372662.39999998</v>
      </c>
      <c r="K19" s="55">
        <f>J19</f>
        <v>333372662.39999998</v>
      </c>
      <c r="L19" s="55"/>
      <c r="M19" s="55"/>
      <c r="N19" s="55"/>
      <c r="O19" s="55"/>
      <c r="P19" s="55"/>
      <c r="Q19" s="57">
        <f t="shared" si="1"/>
        <v>1684409241.5999999</v>
      </c>
      <c r="S19" s="50"/>
      <c r="T19" s="50"/>
      <c r="U19" s="50"/>
      <c r="V19" s="50"/>
    </row>
    <row r="20" spans="2:24" x14ac:dyDescent="0.35">
      <c r="B20" s="60" t="s">
        <v>67</v>
      </c>
      <c r="C20" s="60"/>
      <c r="D20" s="60"/>
      <c r="E20" s="243"/>
      <c r="F20" s="244"/>
      <c r="G20" s="61">
        <f>SUM(G17:G19)</f>
        <v>1338130092</v>
      </c>
      <c r="H20" s="61">
        <f t="shared" ref="H20:K20" si="2">SUM(H17:H19)</f>
        <v>1294455587.4000001</v>
      </c>
      <c r="I20" s="61">
        <f t="shared" si="2"/>
        <v>1271223587.4000001</v>
      </c>
      <c r="J20" s="61">
        <f t="shared" si="2"/>
        <v>1271223587.4000001</v>
      </c>
      <c r="K20" s="61">
        <f t="shared" si="2"/>
        <v>1246401441.1500001</v>
      </c>
      <c r="L20" s="61"/>
      <c r="M20" s="61"/>
      <c r="N20" s="61"/>
      <c r="O20" s="61"/>
      <c r="P20" s="61"/>
      <c r="Q20" s="62">
        <f>SUM(G20:K20)</f>
        <v>6421434295.3500004</v>
      </c>
      <c r="R20" s="50"/>
      <c r="S20" s="63"/>
      <c r="T20" s="63"/>
      <c r="U20" s="63"/>
      <c r="V20" s="63"/>
      <c r="W20" s="50"/>
      <c r="X20" s="38"/>
    </row>
    <row r="21" spans="2:24" ht="2.4" customHeight="1" x14ac:dyDescent="0.35">
      <c r="Q21" s="51"/>
      <c r="R21" s="38"/>
      <c r="S21" s="63"/>
      <c r="T21" s="63"/>
      <c r="U21" s="63"/>
      <c r="V21" s="63"/>
      <c r="W21" s="38"/>
      <c r="X21" s="38"/>
    </row>
    <row r="22" spans="2:24" ht="13.75" customHeight="1" x14ac:dyDescent="0.35">
      <c r="B22" s="2" t="s">
        <v>68</v>
      </c>
      <c r="E22" s="53"/>
      <c r="F22" s="53"/>
      <c r="G22" s="54"/>
      <c r="H22" s="53"/>
      <c r="I22" s="56"/>
      <c r="J22" s="56"/>
      <c r="K22" s="56"/>
      <c r="L22" s="56"/>
      <c r="M22" s="56"/>
      <c r="N22" s="56"/>
      <c r="O22" s="56"/>
      <c r="P22" s="56"/>
      <c r="Q22" s="64"/>
      <c r="R22" s="52"/>
      <c r="S22" s="65"/>
      <c r="T22" s="65"/>
      <c r="U22" s="65"/>
      <c r="V22" s="65"/>
      <c r="W22" s="38"/>
      <c r="X22" s="38"/>
    </row>
    <row r="23" spans="2:24" x14ac:dyDescent="0.35">
      <c r="C23" s="1" t="s">
        <v>69</v>
      </c>
      <c r="E23" s="66"/>
      <c r="G23" s="67">
        <v>2000000000</v>
      </c>
      <c r="H23" s="67"/>
      <c r="I23" s="67"/>
      <c r="J23" s="67"/>
      <c r="K23" s="67"/>
      <c r="L23" s="67"/>
      <c r="M23" s="67"/>
      <c r="N23" s="67"/>
      <c r="O23" s="67"/>
      <c r="P23" s="67"/>
      <c r="Q23" s="68">
        <f>SUM(G23:K23)</f>
        <v>2000000000</v>
      </c>
      <c r="R23" s="52"/>
      <c r="S23" s="50"/>
      <c r="T23" s="50"/>
      <c r="U23" s="50"/>
      <c r="V23" s="50"/>
      <c r="W23" s="69"/>
      <c r="X23" s="38"/>
    </row>
    <row r="24" spans="2:24" x14ac:dyDescent="0.35">
      <c r="C24" s="1" t="s">
        <v>70</v>
      </c>
      <c r="F24" s="70"/>
      <c r="G24" s="67">
        <v>200000000</v>
      </c>
      <c r="H24" s="67">
        <f>G24</f>
        <v>200000000</v>
      </c>
      <c r="I24" s="67">
        <f>H24</f>
        <v>200000000</v>
      </c>
      <c r="J24" s="67">
        <f>I24</f>
        <v>200000000</v>
      </c>
      <c r="K24" s="67">
        <f>J24</f>
        <v>200000000</v>
      </c>
      <c r="L24" s="67"/>
      <c r="M24" s="67"/>
      <c r="N24" s="67"/>
      <c r="O24" s="67"/>
      <c r="P24" s="67"/>
      <c r="Q24" s="68">
        <f>SUM(G24:K24)</f>
        <v>1000000000</v>
      </c>
      <c r="R24" s="177"/>
      <c r="S24" s="71"/>
      <c r="T24" s="71"/>
      <c r="U24" s="71"/>
      <c r="V24" s="71"/>
      <c r="W24" s="69"/>
      <c r="X24" s="38"/>
    </row>
    <row r="25" spans="2:24" x14ac:dyDescent="0.35">
      <c r="C25" s="1" t="s">
        <v>71</v>
      </c>
      <c r="G25" s="72">
        <f>7000000*3</f>
        <v>21000000</v>
      </c>
      <c r="H25" s="72">
        <f>G25</f>
        <v>21000000</v>
      </c>
      <c r="I25" s="72">
        <f t="shared" ref="I25:K25" si="3">H25</f>
        <v>21000000</v>
      </c>
      <c r="J25" s="72">
        <f>I25</f>
        <v>21000000</v>
      </c>
      <c r="K25" s="72">
        <f t="shared" si="3"/>
        <v>21000000</v>
      </c>
      <c r="L25" s="72"/>
      <c r="M25" s="72"/>
      <c r="N25" s="72"/>
      <c r="O25" s="72"/>
      <c r="P25" s="72"/>
      <c r="Q25" s="68">
        <f t="shared" ref="Q25:Q26" si="4">SUM(G25:K25)</f>
        <v>105000000</v>
      </c>
      <c r="R25" s="50"/>
      <c r="S25" s="71"/>
      <c r="T25" s="71"/>
      <c r="U25" s="71"/>
      <c r="V25" s="71"/>
      <c r="W25" s="69"/>
      <c r="X25" s="38"/>
    </row>
    <row r="26" spans="2:24" x14ac:dyDescent="0.35">
      <c r="B26" s="73"/>
      <c r="C26" s="73" t="s">
        <v>48</v>
      </c>
      <c r="D26" s="73"/>
      <c r="E26" s="73"/>
      <c r="F26" s="73"/>
      <c r="G26" s="164">
        <f>G20*$E$5</f>
        <v>66906504.600000001</v>
      </c>
      <c r="H26" s="164">
        <f>H20*$E$5</f>
        <v>64722779.370000005</v>
      </c>
      <c r="I26" s="164">
        <f>I20*$E$5</f>
        <v>63561179.370000005</v>
      </c>
      <c r="J26" s="164">
        <f>J20*$E$5</f>
        <v>63561179.370000005</v>
      </c>
      <c r="K26" s="164">
        <f>K20*$E$5</f>
        <v>62320072.057500005</v>
      </c>
      <c r="L26" s="155"/>
      <c r="M26" s="155"/>
      <c r="N26" s="155"/>
      <c r="O26" s="155"/>
      <c r="P26" s="155"/>
      <c r="Q26" s="68">
        <f t="shared" si="4"/>
        <v>321071714.76750004</v>
      </c>
      <c r="R26" s="59"/>
      <c r="S26" s="71"/>
      <c r="T26" s="71"/>
      <c r="U26" s="71"/>
      <c r="V26" s="71"/>
      <c r="W26" s="69"/>
      <c r="X26" s="38"/>
    </row>
    <row r="27" spans="2:24" s="2" customFormat="1" x14ac:dyDescent="0.35">
      <c r="B27" s="60" t="s">
        <v>72</v>
      </c>
      <c r="C27" s="60"/>
      <c r="D27" s="60"/>
      <c r="E27" s="60"/>
      <c r="F27" s="60"/>
      <c r="G27" s="61">
        <f>SUM(G23:G26)</f>
        <v>2287906504.5999999</v>
      </c>
      <c r="H27" s="61">
        <f t="shared" ref="H27:K27" si="5">SUM(H23:H26)</f>
        <v>285722779.37</v>
      </c>
      <c r="I27" s="61">
        <f t="shared" si="5"/>
        <v>284561179.37</v>
      </c>
      <c r="J27" s="61">
        <f>SUM(J23:J26)</f>
        <v>284561179.37</v>
      </c>
      <c r="K27" s="61">
        <f t="shared" si="5"/>
        <v>283320072.0575</v>
      </c>
      <c r="L27" s="61"/>
      <c r="M27" s="61"/>
      <c r="N27" s="61"/>
      <c r="O27" s="61"/>
      <c r="P27" s="61"/>
      <c r="Q27" s="74">
        <f>SUM(Q23:Q26)</f>
        <v>3426071714.7674999</v>
      </c>
      <c r="R27" s="63"/>
      <c r="S27" s="75"/>
      <c r="T27" s="75"/>
      <c r="U27" s="75"/>
      <c r="V27" s="75"/>
      <c r="W27" s="63"/>
      <c r="X27" s="76"/>
    </row>
    <row r="28" spans="2:24" s="2" customFormat="1" x14ac:dyDescent="0.35">
      <c r="B28" s="2" t="s">
        <v>73</v>
      </c>
      <c r="G28" s="157">
        <f>G20-G27</f>
        <v>-949776412.5999999</v>
      </c>
      <c r="H28" s="77">
        <f>H20-H27</f>
        <v>1008732808.0300001</v>
      </c>
      <c r="I28" s="77">
        <f t="shared" ref="I28:K28" si="6">I20-I27</f>
        <v>986662408.03000009</v>
      </c>
      <c r="J28" s="77">
        <f t="shared" si="6"/>
        <v>986662408.03000009</v>
      </c>
      <c r="K28" s="77">
        <f t="shared" si="6"/>
        <v>963081369.09250009</v>
      </c>
      <c r="L28" s="77"/>
      <c r="M28" s="77"/>
      <c r="N28" s="77"/>
      <c r="O28" s="77"/>
      <c r="P28" s="77"/>
      <c r="Q28" s="78">
        <f>Q20-Q27</f>
        <v>2995362580.5825005</v>
      </c>
      <c r="R28" s="63"/>
      <c r="S28" s="71"/>
      <c r="T28" s="71"/>
      <c r="U28" s="71"/>
      <c r="V28" s="71"/>
      <c r="W28" s="63"/>
      <c r="X28" s="76"/>
    </row>
    <row r="29" spans="2:24" s="2" customFormat="1" x14ac:dyDescent="0.35">
      <c r="B29" s="79" t="s">
        <v>74</v>
      </c>
      <c r="C29" s="80"/>
      <c r="D29" s="80"/>
      <c r="E29" s="80"/>
      <c r="F29" s="80"/>
      <c r="G29" s="81">
        <v>0</v>
      </c>
      <c r="H29" s="81">
        <f>H28/H20</f>
        <v>0.77927185594378467</v>
      </c>
      <c r="I29" s="81">
        <f t="shared" ref="I29:K29" si="7">I28/I20</f>
        <v>0.77615174687561816</v>
      </c>
      <c r="J29" s="81">
        <f t="shared" si="7"/>
        <v>0.77615174687561816</v>
      </c>
      <c r="K29" s="81">
        <f t="shared" si="7"/>
        <v>0.7726895503297132</v>
      </c>
      <c r="L29" s="81"/>
      <c r="M29" s="81"/>
      <c r="N29" s="81"/>
      <c r="O29" s="81"/>
      <c r="P29" s="81"/>
      <c r="Q29" s="82">
        <f>Q28/Q20</f>
        <v>0.46646316738793919</v>
      </c>
      <c r="R29" s="65"/>
      <c r="S29" s="38"/>
      <c r="T29" s="38"/>
      <c r="U29" s="38"/>
      <c r="V29" s="38"/>
      <c r="W29" s="65"/>
      <c r="X29" s="76"/>
    </row>
    <row r="30" spans="2:24" x14ac:dyDescent="0.35">
      <c r="B30" s="73" t="s">
        <v>75</v>
      </c>
      <c r="C30" s="73"/>
      <c r="D30" s="73"/>
      <c r="E30" s="73"/>
      <c r="F30" s="73"/>
      <c r="G30" s="83">
        <f>G52</f>
        <v>29403876</v>
      </c>
      <c r="H30" s="83">
        <f>H52</f>
        <v>29403876</v>
      </c>
      <c r="I30" s="83">
        <f>I52</f>
        <v>29403876</v>
      </c>
      <c r="J30" s="83">
        <f>J52</f>
        <v>29403876</v>
      </c>
      <c r="K30" s="83">
        <f>K52</f>
        <v>29403876</v>
      </c>
      <c r="L30" s="83"/>
      <c r="M30" s="83"/>
      <c r="N30" s="83"/>
      <c r="O30" s="83"/>
      <c r="P30" s="83"/>
      <c r="Q30" s="84">
        <f>SUM(G30:K30)</f>
        <v>147019380</v>
      </c>
      <c r="R30" s="50"/>
      <c r="S30" s="85"/>
      <c r="T30" s="85"/>
      <c r="U30" s="85"/>
      <c r="V30" s="85"/>
      <c r="W30" s="50"/>
      <c r="X30" s="38"/>
    </row>
    <row r="31" spans="2:24" x14ac:dyDescent="0.35">
      <c r="B31" s="1" t="s">
        <v>76</v>
      </c>
      <c r="G31" s="86">
        <f t="shared" ref="G31:Q31" si="8">G28-G30</f>
        <v>-979180288.5999999</v>
      </c>
      <c r="H31" s="86">
        <f t="shared" si="8"/>
        <v>979328932.03000009</v>
      </c>
      <c r="I31" s="86">
        <f t="shared" si="8"/>
        <v>957258532.03000009</v>
      </c>
      <c r="J31" s="86">
        <f t="shared" si="8"/>
        <v>957258532.03000009</v>
      </c>
      <c r="K31" s="86">
        <f t="shared" si="8"/>
        <v>933677493.09250009</v>
      </c>
      <c r="L31" s="86"/>
      <c r="M31" s="86"/>
      <c r="N31" s="86"/>
      <c r="O31" s="86"/>
      <c r="P31" s="86"/>
      <c r="Q31" s="87">
        <f t="shared" si="8"/>
        <v>2848343200.5825005</v>
      </c>
      <c r="R31" s="71"/>
      <c r="S31" s="85"/>
      <c r="T31" s="85"/>
      <c r="U31" s="85"/>
      <c r="V31" s="85"/>
      <c r="W31" s="71"/>
      <c r="X31" s="38"/>
    </row>
    <row r="32" spans="2:24" x14ac:dyDescent="0.35">
      <c r="B32" s="1" t="s">
        <v>77</v>
      </c>
      <c r="G32" s="88">
        <f>Parameter!P47</f>
        <v>1650610.75</v>
      </c>
      <c r="H32" s="88">
        <f>Parameter!Q47</f>
        <v>990366.45000000007</v>
      </c>
      <c r="I32" s="88">
        <f>Parameter!R47</f>
        <v>330122.15000000002</v>
      </c>
      <c r="J32" s="88">
        <f>Parameter!S47</f>
        <v>0</v>
      </c>
      <c r="K32" s="88">
        <f>Parameter!T47</f>
        <v>0</v>
      </c>
      <c r="L32" s="88"/>
      <c r="M32" s="88"/>
      <c r="N32" s="88"/>
      <c r="O32" s="88"/>
      <c r="P32" s="88"/>
      <c r="Q32" s="89">
        <f>SUM(G32:K32)</f>
        <v>2971099.35</v>
      </c>
      <c r="R32" s="71"/>
      <c r="S32" s="85"/>
      <c r="T32" s="85"/>
      <c r="U32" s="85"/>
      <c r="V32" s="85"/>
      <c r="W32" s="71"/>
      <c r="X32" s="38"/>
    </row>
    <row r="33" spans="2:24" x14ac:dyDescent="0.35">
      <c r="B33" s="1" t="s">
        <v>78</v>
      </c>
      <c r="G33" s="165">
        <f t="shared" ref="G33:K33" si="9">G31-G32</f>
        <v>-980830899.3499999</v>
      </c>
      <c r="H33" s="88">
        <f t="shared" si="9"/>
        <v>978338565.58000004</v>
      </c>
      <c r="I33" s="88">
        <f t="shared" si="9"/>
        <v>956928409.88000011</v>
      </c>
      <c r="J33" s="88">
        <f t="shared" si="9"/>
        <v>957258532.03000009</v>
      </c>
      <c r="K33" s="88">
        <f t="shared" si="9"/>
        <v>933677493.09250009</v>
      </c>
      <c r="L33" s="88"/>
      <c r="M33" s="88"/>
      <c r="N33" s="88"/>
      <c r="O33" s="88"/>
      <c r="P33" s="88"/>
      <c r="Q33" s="89">
        <f>SUM(G33:K33)</f>
        <v>2845372101.2325006</v>
      </c>
      <c r="R33" s="71"/>
      <c r="S33" s="90"/>
      <c r="T33" s="90"/>
      <c r="U33" s="90"/>
      <c r="V33" s="90"/>
      <c r="W33" s="71"/>
      <c r="X33" s="38"/>
    </row>
    <row r="34" spans="2:24" x14ac:dyDescent="0.35">
      <c r="B34" s="73" t="s">
        <v>79</v>
      </c>
      <c r="C34" s="73"/>
      <c r="D34" s="73"/>
      <c r="E34" s="73"/>
      <c r="F34" s="73"/>
      <c r="G34" s="91">
        <f>IF(G33&lt;0,0,G33*$E$3)</f>
        <v>0</v>
      </c>
      <c r="H34" s="91">
        <f>IF(H33&lt;0,0,H33*$E$3)</f>
        <v>19566771.3116</v>
      </c>
      <c r="I34" s="91">
        <f>IF(I33&lt;0,0,I33*$E$3)</f>
        <v>19138568.197600003</v>
      </c>
      <c r="J34" s="91">
        <f>IF(J33&lt;0,0,J33*$E$3)</f>
        <v>19145170.640600003</v>
      </c>
      <c r="K34" s="91">
        <f>IF(K33&lt;0,0,K33*$E$3)</f>
        <v>18673549.861850001</v>
      </c>
      <c r="L34" s="91"/>
      <c r="M34" s="91"/>
      <c r="N34" s="91"/>
      <c r="O34" s="91"/>
      <c r="P34" s="91"/>
      <c r="Q34" s="92">
        <f>SUM(G34:K34)</f>
        <v>76524060.011650011</v>
      </c>
      <c r="R34" s="75"/>
      <c r="W34" s="85"/>
      <c r="X34" s="38"/>
    </row>
    <row r="35" spans="2:24" ht="16" thickBot="1" x14ac:dyDescent="0.4">
      <c r="B35" s="93" t="s">
        <v>80</v>
      </c>
      <c r="C35" s="93"/>
      <c r="D35" s="93"/>
      <c r="E35" s="93"/>
      <c r="F35" s="93"/>
      <c r="G35" s="94">
        <f>G33-G34</f>
        <v>-980830899.3499999</v>
      </c>
      <c r="H35" s="94">
        <f t="shared" ref="H35:J35" si="10">H33-H34</f>
        <v>958771794.26840007</v>
      </c>
      <c r="I35" s="94">
        <f t="shared" si="10"/>
        <v>937789841.68240011</v>
      </c>
      <c r="J35" s="94">
        <f t="shared" si="10"/>
        <v>938113361.38940012</v>
      </c>
      <c r="K35" s="94">
        <f>K33-K34</f>
        <v>915003943.23065007</v>
      </c>
      <c r="L35" s="94"/>
      <c r="M35" s="94"/>
      <c r="N35" s="94"/>
      <c r="O35" s="94"/>
      <c r="P35" s="94"/>
      <c r="Q35" s="95">
        <f>Q33-Q34</f>
        <v>2768848041.2208505</v>
      </c>
      <c r="R35" s="71"/>
      <c r="W35" s="71"/>
      <c r="X35" s="38"/>
    </row>
    <row r="36" spans="2:24" ht="5.4" customHeight="1" x14ac:dyDescent="0.35">
      <c r="Q36" s="51"/>
      <c r="R36" s="38"/>
      <c r="W36" s="38"/>
      <c r="X36" s="38"/>
    </row>
    <row r="37" spans="2:24" x14ac:dyDescent="0.35">
      <c r="B37" s="73" t="s">
        <v>81</v>
      </c>
      <c r="C37" s="73"/>
      <c r="D37" s="73"/>
      <c r="E37" s="73"/>
      <c r="F37" s="96"/>
      <c r="G37" s="96">
        <f>-G11</f>
        <v>-147019380</v>
      </c>
      <c r="H37" s="96">
        <f>-I9+-I11</f>
        <v>0</v>
      </c>
      <c r="I37" s="96">
        <f>-J9+-J11</f>
        <v>0</v>
      </c>
      <c r="J37" s="96">
        <f>-K9+-K11</f>
        <v>0</v>
      </c>
      <c r="K37" s="96">
        <f>-L9+-L11</f>
        <v>0</v>
      </c>
      <c r="L37" s="96"/>
      <c r="M37" s="96"/>
      <c r="N37" s="96"/>
      <c r="O37" s="96"/>
      <c r="P37" s="96"/>
      <c r="Q37" s="97"/>
      <c r="R37" s="85"/>
      <c r="W37" s="85"/>
      <c r="X37" s="38"/>
    </row>
    <row r="38" spans="2:24" x14ac:dyDescent="0.35">
      <c r="B38" s="1" t="s">
        <v>82</v>
      </c>
      <c r="F38" s="98">
        <f>F37</f>
        <v>0</v>
      </c>
      <c r="G38" s="98">
        <f>G37+G35+G30</f>
        <v>-1098446403.3499999</v>
      </c>
      <c r="H38" s="98">
        <f t="shared" ref="H38:J38" si="11">H37+H35+H30</f>
        <v>988175670.26840007</v>
      </c>
      <c r="I38" s="98">
        <f t="shared" si="11"/>
        <v>967193717.68240011</v>
      </c>
      <c r="J38" s="98">
        <f t="shared" si="11"/>
        <v>967517237.38940012</v>
      </c>
      <c r="K38" s="98">
        <f>K37+K35+K30</f>
        <v>944407819.23065007</v>
      </c>
      <c r="L38" s="98"/>
      <c r="M38" s="98"/>
      <c r="N38" s="98"/>
      <c r="O38" s="98"/>
      <c r="P38" s="98"/>
      <c r="Q38" s="99">
        <f>SUM(F38:K38)</f>
        <v>2768848041.2208505</v>
      </c>
      <c r="R38" s="85"/>
      <c r="S38" s="183"/>
      <c r="T38" s="45"/>
      <c r="U38" s="183"/>
      <c r="V38" s="45"/>
      <c r="W38" s="85"/>
      <c r="X38" s="38"/>
    </row>
    <row r="39" spans="2:24" x14ac:dyDescent="0.35">
      <c r="B39" s="1" t="s">
        <v>83</v>
      </c>
      <c r="F39" s="98">
        <f>F38</f>
        <v>0</v>
      </c>
      <c r="G39" s="98">
        <f>F39+G38</f>
        <v>-1098446403.3499999</v>
      </c>
      <c r="H39" s="98">
        <f t="shared" ref="H39:K39" si="12">G39+H38</f>
        <v>-110270733.08159983</v>
      </c>
      <c r="I39" s="98">
        <f t="shared" si="12"/>
        <v>856922984.60080028</v>
      </c>
      <c r="J39" s="98">
        <f t="shared" si="12"/>
        <v>1824440221.9902005</v>
      </c>
      <c r="K39" s="98">
        <f t="shared" si="12"/>
        <v>2768848041.2208505</v>
      </c>
      <c r="L39" s="98"/>
      <c r="M39" s="98"/>
      <c r="N39" s="98"/>
      <c r="O39" s="98"/>
      <c r="P39" s="98"/>
      <c r="Q39" s="99"/>
      <c r="R39" s="85"/>
      <c r="S39" s="100"/>
      <c r="T39" s="100"/>
      <c r="U39" s="100"/>
      <c r="V39" s="100"/>
      <c r="W39" s="85"/>
      <c r="X39" s="38"/>
    </row>
    <row r="40" spans="2:24" x14ac:dyDescent="0.35">
      <c r="B40" s="1" t="s">
        <v>84</v>
      </c>
      <c r="F40" s="98"/>
      <c r="G40" s="90">
        <f>IF(AND(F39&lt;0,G39&gt;0),G45-(G39/G38),0)</f>
        <v>0</v>
      </c>
      <c r="H40" s="90">
        <f>IF(AND(G39&lt;0,H39&gt;0),H45-(H39/H38),0)</f>
        <v>0</v>
      </c>
      <c r="I40" s="90">
        <f t="shared" ref="I40:K40" si="13">IF(AND(H39&lt;0,I39&gt;0),I45-(I39/I38),0)</f>
        <v>2.114011010478678</v>
      </c>
      <c r="J40" s="90">
        <f t="shared" si="13"/>
        <v>0</v>
      </c>
      <c r="K40" s="90">
        <f t="shared" si="13"/>
        <v>0</v>
      </c>
      <c r="L40" s="90"/>
      <c r="M40" s="90"/>
      <c r="N40" s="90"/>
      <c r="O40" s="90"/>
      <c r="P40" s="90"/>
      <c r="Q40" s="101"/>
      <c r="R40" s="90"/>
      <c r="S40" s="102"/>
      <c r="T40" s="102"/>
      <c r="U40" s="102"/>
      <c r="V40" s="102"/>
      <c r="W40" s="90"/>
    </row>
    <row r="41" spans="2:24" x14ac:dyDescent="0.35">
      <c r="B41" s="103" t="s">
        <v>33</v>
      </c>
      <c r="C41" s="104"/>
      <c r="D41" s="104"/>
      <c r="E41" s="104"/>
      <c r="F41" s="105">
        <f>IRR(G38:K38)</f>
        <v>0.804437231454046</v>
      </c>
      <c r="S41" s="102"/>
      <c r="T41" s="102"/>
      <c r="U41" s="102"/>
      <c r="V41" s="102"/>
    </row>
    <row r="42" spans="2:24" x14ac:dyDescent="0.35">
      <c r="B42" s="106" t="s">
        <v>34</v>
      </c>
      <c r="C42" s="41"/>
      <c r="D42" s="41"/>
      <c r="E42" s="41"/>
      <c r="F42" s="107">
        <f>NPV(E4,H38:K38)+G38</f>
        <v>1971182034.5175872</v>
      </c>
      <c r="H42" s="108"/>
      <c r="I42" s="109"/>
      <c r="S42" s="102"/>
      <c r="T42" s="102"/>
      <c r="U42" s="102"/>
      <c r="V42" s="102"/>
    </row>
    <row r="43" spans="2:24" x14ac:dyDescent="0.35">
      <c r="B43" s="106" t="s">
        <v>35</v>
      </c>
      <c r="C43" s="41"/>
      <c r="D43" s="41"/>
      <c r="E43" s="41"/>
      <c r="F43" s="110">
        <f>Q29</f>
        <v>0.46646316738793919</v>
      </c>
      <c r="H43" s="58"/>
      <c r="S43" s="102"/>
      <c r="T43" s="102"/>
      <c r="U43" s="102"/>
      <c r="V43" s="102"/>
    </row>
    <row r="44" spans="2:24" x14ac:dyDescent="0.35">
      <c r="B44" s="111" t="s">
        <v>85</v>
      </c>
      <c r="C44" s="112"/>
      <c r="D44" s="112"/>
      <c r="E44" s="112"/>
      <c r="F44" s="113">
        <f>SUM(F40:K40)</f>
        <v>2.114011010478678</v>
      </c>
      <c r="S44" s="102"/>
      <c r="T44" s="102"/>
      <c r="U44" s="102"/>
      <c r="V44" s="102"/>
    </row>
    <row r="45" spans="2:24" ht="9.65" customHeight="1" x14ac:dyDescent="0.35">
      <c r="G45" s="45">
        <v>1</v>
      </c>
      <c r="H45" s="183">
        <v>2</v>
      </c>
      <c r="I45" s="45">
        <v>3</v>
      </c>
      <c r="J45" s="183">
        <v>4</v>
      </c>
      <c r="K45" s="45">
        <v>5</v>
      </c>
      <c r="L45" s="45"/>
      <c r="M45" s="45"/>
      <c r="N45" s="45"/>
      <c r="O45" s="45"/>
      <c r="P45" s="45"/>
      <c r="Q45" s="183"/>
      <c r="R45" s="45"/>
      <c r="S45" s="114"/>
      <c r="T45" s="114"/>
      <c r="U45" s="114"/>
      <c r="V45" s="114"/>
    </row>
    <row r="46" spans="2:24" x14ac:dyDescent="0.35">
      <c r="B46" s="115" t="s">
        <v>86</v>
      </c>
      <c r="E46" s="100" t="s">
        <v>87</v>
      </c>
      <c r="G46" s="100" t="str">
        <f>G13</f>
        <v>Year 1</v>
      </c>
      <c r="H46" s="100" t="str">
        <f>H13</f>
        <v>Year 2</v>
      </c>
      <c r="I46" s="100" t="str">
        <f>I13</f>
        <v>Year 3</v>
      </c>
      <c r="J46" s="100" t="str">
        <f>J13</f>
        <v>Year 4</v>
      </c>
      <c r="K46" s="100" t="str">
        <f>K13</f>
        <v>Year 5</v>
      </c>
      <c r="L46" s="100"/>
      <c r="M46" s="100"/>
      <c r="N46" s="100"/>
      <c r="O46" s="100"/>
      <c r="P46" s="100"/>
      <c r="Q46" s="100"/>
      <c r="R46" s="100"/>
      <c r="W46" s="100"/>
    </row>
    <row r="47" spans="2:24" x14ac:dyDescent="0.35">
      <c r="D47" s="1" t="s">
        <v>58</v>
      </c>
      <c r="E47" s="1">
        <v>5</v>
      </c>
      <c r="G47" s="116">
        <f>SUM(G9:G10)/$E47</f>
        <v>29403876</v>
      </c>
      <c r="H47" s="102">
        <f>G47</f>
        <v>29403876</v>
      </c>
      <c r="I47" s="102">
        <f t="shared" ref="I47:K48" si="14">H47</f>
        <v>29403876</v>
      </c>
      <c r="J47" s="102">
        <f>I47</f>
        <v>29403876</v>
      </c>
      <c r="K47" s="102">
        <f t="shared" si="14"/>
        <v>29403876</v>
      </c>
      <c r="L47" s="102"/>
      <c r="M47" s="102"/>
      <c r="N47" s="102"/>
      <c r="O47" s="102"/>
      <c r="P47" s="102"/>
      <c r="Q47" s="102">
        <f>SUM(G47:K47)</f>
        <v>147019380</v>
      </c>
      <c r="R47" s="102"/>
      <c r="W47" s="117"/>
    </row>
    <row r="48" spans="2:24" hidden="1" x14ac:dyDescent="0.35">
      <c r="D48" s="1" t="s">
        <v>60</v>
      </c>
      <c r="E48" s="1">
        <v>4</v>
      </c>
      <c r="H48" s="116">
        <f>I$11/$E48</f>
        <v>0</v>
      </c>
      <c r="J48" s="102">
        <f>H48</f>
        <v>0</v>
      </c>
      <c r="K48" s="102">
        <f t="shared" si="14"/>
        <v>0</v>
      </c>
      <c r="L48" s="102"/>
      <c r="M48" s="102"/>
      <c r="N48" s="102"/>
      <c r="O48" s="102"/>
      <c r="P48" s="102"/>
      <c r="Q48" s="102"/>
      <c r="R48" s="102"/>
      <c r="W48" s="117"/>
    </row>
    <row r="49" spans="2:23" hidden="1" x14ac:dyDescent="0.35">
      <c r="D49" s="1" t="s">
        <v>61</v>
      </c>
      <c r="E49" s="1">
        <v>3</v>
      </c>
      <c r="I49" s="116">
        <f>J$9/$E49</f>
        <v>0</v>
      </c>
      <c r="K49" s="102">
        <f>I49</f>
        <v>0</v>
      </c>
      <c r="L49" s="102"/>
      <c r="M49" s="102"/>
      <c r="N49" s="102"/>
      <c r="O49" s="102"/>
      <c r="P49" s="102"/>
      <c r="Q49" s="102"/>
      <c r="R49" s="102"/>
      <c r="W49" s="117"/>
    </row>
    <row r="50" spans="2:23" hidden="1" x14ac:dyDescent="0.35">
      <c r="D50" s="1" t="s">
        <v>62</v>
      </c>
      <c r="E50" s="1">
        <v>2</v>
      </c>
      <c r="J50" s="116"/>
      <c r="Q50" s="102"/>
      <c r="R50" s="102"/>
      <c r="W50" s="117"/>
    </row>
    <row r="51" spans="2:23" hidden="1" x14ac:dyDescent="0.35">
      <c r="D51" s="1" t="s">
        <v>88</v>
      </c>
      <c r="E51" s="1">
        <v>1</v>
      </c>
      <c r="K51" s="116"/>
      <c r="L51" s="116"/>
      <c r="M51" s="116"/>
      <c r="N51" s="116"/>
      <c r="O51" s="116"/>
      <c r="P51" s="116"/>
      <c r="Q51" s="102"/>
      <c r="R51" s="102"/>
      <c r="W51" s="117"/>
    </row>
    <row r="52" spans="2:23" ht="16" thickBot="1" x14ac:dyDescent="0.4">
      <c r="B52" s="118" t="s">
        <v>89</v>
      </c>
      <c r="C52" s="119"/>
      <c r="D52" s="119"/>
      <c r="E52" s="119"/>
      <c r="F52" s="119"/>
      <c r="G52" s="120">
        <f>SUM(G47:G50)</f>
        <v>29403876</v>
      </c>
      <c r="H52" s="120">
        <f>SUM(H47:H50)</f>
        <v>29403876</v>
      </c>
      <c r="I52" s="120">
        <f>SUM(I47:I50)</f>
        <v>29403876</v>
      </c>
      <c r="J52" s="120">
        <f>SUM(J47:J50)</f>
        <v>29403876</v>
      </c>
      <c r="K52" s="120">
        <f>SUM(K47:K50)</f>
        <v>29403876</v>
      </c>
      <c r="L52" s="156"/>
      <c r="M52" s="156"/>
      <c r="N52" s="156"/>
      <c r="O52" s="156"/>
      <c r="P52" s="156"/>
      <c r="Q52" s="120">
        <f>SUM(G52:K52)</f>
        <v>147019380</v>
      </c>
      <c r="R52" s="114"/>
      <c r="W52" s="114"/>
    </row>
    <row r="53" spans="2:23" ht="5.4" customHeight="1" thickTop="1" x14ac:dyDescent="0.35">
      <c r="W53" s="109"/>
    </row>
    <row r="54" spans="2:23" ht="3.65" customHeight="1" x14ac:dyDescent="0.35"/>
    <row r="55" spans="2:23" x14ac:dyDescent="0.35">
      <c r="B55" s="174"/>
    </row>
    <row r="56" spans="2:23" x14ac:dyDescent="0.35">
      <c r="B56" s="175"/>
    </row>
    <row r="57" spans="2:23" x14ac:dyDescent="0.35">
      <c r="B57" s="179"/>
    </row>
    <row r="58" spans="2:23" x14ac:dyDescent="0.35">
      <c r="B58" s="175"/>
    </row>
  </sheetData>
  <mergeCells count="1">
    <mergeCell ref="E20:F20"/>
  </mergeCells>
  <pageMargins left="0.93" right="0.25" top="0.2" bottom="0.16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C3002-100E-4405-9F71-EFBD5930882E}">
  <sheetPr>
    <tabColor theme="9" tint="0.39997558519241921"/>
  </sheetPr>
  <dimension ref="A1:E31"/>
  <sheetViews>
    <sheetView zoomScaleNormal="100" workbookViewId="0">
      <selection activeCell="C19" sqref="A1:D19"/>
    </sheetView>
  </sheetViews>
  <sheetFormatPr defaultColWidth="9.1796875" defaultRowHeight="14.5" x14ac:dyDescent="0.35"/>
  <cols>
    <col min="1" max="1" width="5.54296875" style="166" customWidth="1"/>
    <col min="2" max="2" width="31.54296875" style="166" customWidth="1"/>
    <col min="3" max="3" width="37.54296875" style="166" customWidth="1"/>
    <col min="4" max="4" width="39.453125" style="166" customWidth="1"/>
    <col min="5" max="16384" width="9.1796875" style="166"/>
  </cols>
  <sheetData>
    <row r="1" spans="1:5" ht="21" x14ac:dyDescent="0.5">
      <c r="C1" s="121" t="s">
        <v>90</v>
      </c>
    </row>
    <row r="3" spans="1:5" x14ac:dyDescent="0.35">
      <c r="A3" s="184" t="s">
        <v>178</v>
      </c>
      <c r="B3" s="184"/>
      <c r="C3" s="185" t="s">
        <v>201</v>
      </c>
    </row>
    <row r="4" spans="1:5" x14ac:dyDescent="0.35">
      <c r="A4" s="184" t="s">
        <v>179</v>
      </c>
      <c r="B4" s="184"/>
      <c r="C4" s="185" t="s">
        <v>200</v>
      </c>
    </row>
    <row r="5" spans="1:5" x14ac:dyDescent="0.35">
      <c r="A5" s="184" t="s">
        <v>180</v>
      </c>
      <c r="B5" s="184"/>
      <c r="C5" s="185" t="s">
        <v>199</v>
      </c>
    </row>
    <row r="6" spans="1:5" x14ac:dyDescent="0.35">
      <c r="A6" s="184" t="s">
        <v>181</v>
      </c>
      <c r="B6" s="184"/>
      <c r="C6" s="185" t="s">
        <v>40</v>
      </c>
    </row>
    <row r="7" spans="1:5" x14ac:dyDescent="0.35">
      <c r="A7" s="184" t="s">
        <v>182</v>
      </c>
      <c r="B7" s="184"/>
      <c r="C7" s="185" t="s">
        <v>198</v>
      </c>
    </row>
    <row r="8" spans="1:5" ht="15" thickBot="1" x14ac:dyDescent="0.4"/>
    <row r="9" spans="1:5" x14ac:dyDescent="0.35">
      <c r="A9" s="247" t="s">
        <v>91</v>
      </c>
      <c r="B9" s="249" t="s">
        <v>92</v>
      </c>
      <c r="C9" s="249" t="s">
        <v>93</v>
      </c>
      <c r="D9" s="251" t="s">
        <v>23</v>
      </c>
    </row>
    <row r="10" spans="1:5" x14ac:dyDescent="0.35">
      <c r="A10" s="248"/>
      <c r="B10" s="250"/>
      <c r="C10" s="250"/>
      <c r="D10" s="252"/>
    </row>
    <row r="11" spans="1:5" x14ac:dyDescent="0.35">
      <c r="A11" s="186">
        <v>1</v>
      </c>
      <c r="B11" s="167" t="s">
        <v>94</v>
      </c>
      <c r="C11" s="167" t="s">
        <v>9</v>
      </c>
      <c r="D11" s="187" t="s">
        <v>9</v>
      </c>
    </row>
    <row r="12" spans="1:5" x14ac:dyDescent="0.35">
      <c r="A12" s="186">
        <v>2</v>
      </c>
      <c r="B12" s="167" t="s">
        <v>95</v>
      </c>
      <c r="C12" s="188" t="s">
        <v>197</v>
      </c>
      <c r="D12" s="189" t="str">
        <f>C12</f>
        <v xml:space="preserve">345 antenna Omni, BTS dan Pole </v>
      </c>
    </row>
    <row r="13" spans="1:5" x14ac:dyDescent="0.35">
      <c r="A13" s="186">
        <v>3</v>
      </c>
      <c r="B13" s="190" t="s">
        <v>96</v>
      </c>
      <c r="C13" s="190" t="s">
        <v>196</v>
      </c>
      <c r="D13" s="191" t="s">
        <v>222</v>
      </c>
    </row>
    <row r="14" spans="1:5" x14ac:dyDescent="0.35">
      <c r="A14" s="186">
        <v>4</v>
      </c>
      <c r="B14" s="192" t="s">
        <v>184</v>
      </c>
      <c r="C14" s="207">
        <v>1200000000</v>
      </c>
      <c r="D14" s="193">
        <v>2000000000</v>
      </c>
      <c r="E14" s="206"/>
    </row>
    <row r="15" spans="1:5" x14ac:dyDescent="0.35">
      <c r="A15" s="194">
        <v>6</v>
      </c>
      <c r="B15" s="168" t="s">
        <v>185</v>
      </c>
      <c r="C15" s="205">
        <f>C14/5</f>
        <v>240000000</v>
      </c>
      <c r="D15" s="204">
        <f>D14/5</f>
        <v>400000000</v>
      </c>
      <c r="E15" s="206"/>
    </row>
    <row r="16" spans="1:5" x14ac:dyDescent="0.35">
      <c r="A16" s="256">
        <v>7</v>
      </c>
      <c r="B16" s="253" t="s">
        <v>186</v>
      </c>
      <c r="C16" s="195" t="s">
        <v>206</v>
      </c>
      <c r="D16" s="187" t="s">
        <v>207</v>
      </c>
      <c r="E16" s="206"/>
    </row>
    <row r="17" spans="1:4" ht="19.5" customHeight="1" x14ac:dyDescent="0.35">
      <c r="A17" s="257"/>
      <c r="B17" s="254"/>
      <c r="C17" s="202" t="s">
        <v>195</v>
      </c>
      <c r="D17" s="203" t="s">
        <v>194</v>
      </c>
    </row>
    <row r="18" spans="1:4" x14ac:dyDescent="0.35">
      <c r="A18" s="258"/>
      <c r="B18" s="255"/>
      <c r="C18" s="195" t="s">
        <v>193</v>
      </c>
      <c r="D18" s="187" t="s">
        <v>192</v>
      </c>
    </row>
    <row r="19" spans="1:4" ht="15" thickBot="1" x14ac:dyDescent="0.4">
      <c r="A19" s="196"/>
      <c r="B19" s="197" t="s">
        <v>187</v>
      </c>
      <c r="C19" s="245" t="s">
        <v>229</v>
      </c>
      <c r="D19" s="246"/>
    </row>
    <row r="26" spans="1:4" x14ac:dyDescent="0.35">
      <c r="C26" s="198"/>
    </row>
    <row r="27" spans="1:4" ht="15.5" x14ac:dyDescent="0.35">
      <c r="B27" s="169"/>
      <c r="C27" s="199"/>
    </row>
    <row r="28" spans="1:4" ht="15.5" x14ac:dyDescent="0.35">
      <c r="B28" s="169"/>
      <c r="C28" s="169"/>
    </row>
    <row r="29" spans="1:4" ht="15.5" x14ac:dyDescent="0.35">
      <c r="B29" s="169"/>
      <c r="C29" s="169"/>
    </row>
    <row r="30" spans="1:4" ht="15.5" x14ac:dyDescent="0.35">
      <c r="B30" s="169"/>
      <c r="C30" s="169"/>
    </row>
    <row r="31" spans="1:4" ht="15.5" x14ac:dyDescent="0.35">
      <c r="B31" s="169"/>
      <c r="C31" s="169"/>
    </row>
  </sheetData>
  <mergeCells count="7">
    <mergeCell ref="C19:D19"/>
    <mergeCell ref="A9:A10"/>
    <mergeCell ref="B9:B10"/>
    <mergeCell ref="C9:C10"/>
    <mergeCell ref="D9:D10"/>
    <mergeCell ref="B16:B18"/>
    <mergeCell ref="A16:A18"/>
  </mergeCells>
  <pageMargins left="1.47" right="0.70866141732283472" top="0.74803149606299213" bottom="0.74803149606299213" header="0.31496062992125984" footer="0.31496062992125984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14"/>
  <sheetViews>
    <sheetView workbookViewId="0">
      <pane xSplit="2" ySplit="2" topLeftCell="L28" activePane="bottomRight" state="frozen"/>
      <selection pane="topRight" activeCell="C1" sqref="C1"/>
      <selection pane="bottomLeft" activeCell="A3" sqref="A3"/>
      <selection pane="bottomRight" activeCell="T28" sqref="T28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2" t="s">
        <v>97</v>
      </c>
    </row>
    <row r="2" spans="1:20" x14ac:dyDescent="0.35">
      <c r="A2" s="123" t="s">
        <v>98</v>
      </c>
      <c r="B2" s="124">
        <v>5</v>
      </c>
      <c r="C2" s="125">
        <v>2012</v>
      </c>
      <c r="D2" s="125">
        <f>C2+1</f>
        <v>2013</v>
      </c>
      <c r="E2" s="125">
        <f t="shared" ref="E2:M2" si="0">D2+1</f>
        <v>2014</v>
      </c>
      <c r="F2" s="125">
        <f t="shared" si="0"/>
        <v>2015</v>
      </c>
      <c r="G2" s="125">
        <f t="shared" si="0"/>
        <v>2016</v>
      </c>
      <c r="H2" s="125">
        <f t="shared" si="0"/>
        <v>2017</v>
      </c>
      <c r="I2" s="125">
        <f t="shared" si="0"/>
        <v>2018</v>
      </c>
      <c r="J2" s="125">
        <f t="shared" si="0"/>
        <v>2019</v>
      </c>
      <c r="K2" s="125">
        <f t="shared" si="0"/>
        <v>2020</v>
      </c>
      <c r="L2" s="125">
        <f t="shared" si="0"/>
        <v>2021</v>
      </c>
      <c r="M2" s="125">
        <f t="shared" si="0"/>
        <v>2022</v>
      </c>
      <c r="N2" s="125">
        <f t="shared" ref="N2" si="1">M2+1</f>
        <v>2023</v>
      </c>
      <c r="O2" s="125">
        <f t="shared" ref="O2" si="2">N2+1</f>
        <v>2024</v>
      </c>
      <c r="P2" s="125">
        <f t="shared" ref="P2" si="3">O2+1</f>
        <v>2025</v>
      </c>
      <c r="Q2" s="125">
        <f t="shared" ref="Q2:R2" si="4">P2+1</f>
        <v>2026</v>
      </c>
      <c r="R2" s="125">
        <f t="shared" si="4"/>
        <v>2027</v>
      </c>
    </row>
    <row r="3" spans="1:20" x14ac:dyDescent="0.35">
      <c r="A3" s="126">
        <v>2012</v>
      </c>
      <c r="B3" t="s">
        <v>99</v>
      </c>
      <c r="C3" s="127">
        <v>6896100395</v>
      </c>
      <c r="D3" s="128">
        <f>C3-C4</f>
        <v>5516880316</v>
      </c>
      <c r="E3" s="128">
        <f>D3-C4</f>
        <v>4137660237</v>
      </c>
      <c r="F3" s="128">
        <f>E3-C4</f>
        <v>2758440158</v>
      </c>
      <c r="G3" s="128">
        <f>F3-C4</f>
        <v>1379220079</v>
      </c>
      <c r="H3" s="128">
        <f>G3-C4</f>
        <v>0</v>
      </c>
      <c r="I3" s="128">
        <f>H3-$E$4</f>
        <v>0</v>
      </c>
      <c r="J3" s="128">
        <f>I3-$E$4</f>
        <v>0</v>
      </c>
      <c r="K3" s="128"/>
      <c r="P3" s="128"/>
      <c r="Q3" s="128"/>
      <c r="S3" s="127"/>
    </row>
    <row r="4" spans="1:20" x14ac:dyDescent="0.35">
      <c r="A4" s="129"/>
      <c r="B4" t="s">
        <v>100</v>
      </c>
      <c r="C4" s="127">
        <f>C3/B2</f>
        <v>1379220079</v>
      </c>
      <c r="D4" s="127"/>
      <c r="E4" s="127"/>
      <c r="S4" s="127"/>
    </row>
    <row r="5" spans="1:20" x14ac:dyDescent="0.35">
      <c r="A5" s="129"/>
      <c r="B5" t="s">
        <v>101</v>
      </c>
      <c r="C5" s="127">
        <f>(($C$3*IRR!E4*6)/12)</f>
        <v>344805019.75</v>
      </c>
      <c r="D5" s="128">
        <f>AVERAGE(C3:D3)*IRR!$E$4</f>
        <v>620649035.55000007</v>
      </c>
      <c r="E5" s="128">
        <f>AVERAGE(D3:E3)*IRR!$E$4</f>
        <v>482727027.65000004</v>
      </c>
      <c r="F5" s="128">
        <f>AVERAGE(E3:F3)*IRR!$E$4</f>
        <v>344805019.75</v>
      </c>
      <c r="G5" s="128">
        <f>AVERAGE(F3:G3)*IRR!$E$4</f>
        <v>206883011.85000002</v>
      </c>
      <c r="H5" s="128">
        <f>AVERAGE(G3:H3)*IRR!$E$4</f>
        <v>68961003.950000003</v>
      </c>
      <c r="I5" s="128">
        <f>AVERAGE(H3:I3)*IRR!$E$4</f>
        <v>0</v>
      </c>
      <c r="J5" s="128">
        <f>AVERAGE($I$3:$J$3)*[3]IRR!$G$4</f>
        <v>0</v>
      </c>
      <c r="K5" s="128"/>
      <c r="P5" s="128"/>
      <c r="Q5" s="128"/>
      <c r="S5" s="127"/>
      <c r="T5" s="128"/>
    </row>
    <row r="6" spans="1:20" x14ac:dyDescent="0.35">
      <c r="A6" s="126">
        <f>A3+1</f>
        <v>2013</v>
      </c>
      <c r="B6" t="s">
        <v>99</v>
      </c>
      <c r="C6" s="127"/>
      <c r="D6" s="128">
        <v>420150441</v>
      </c>
      <c r="E6" s="128">
        <f>D6-D7</f>
        <v>336120352.80000001</v>
      </c>
      <c r="F6" s="128">
        <f>E6-D7</f>
        <v>252090264.60000002</v>
      </c>
      <c r="G6" s="128">
        <f>F6-D7</f>
        <v>168060176.40000004</v>
      </c>
      <c r="H6" s="128">
        <f>G6-D7</f>
        <v>84030088.200000033</v>
      </c>
      <c r="I6" s="128">
        <f>H6-D7</f>
        <v>0</v>
      </c>
      <c r="J6" s="128"/>
      <c r="K6" s="128"/>
      <c r="S6" s="127"/>
    </row>
    <row r="7" spans="1:20" x14ac:dyDescent="0.35">
      <c r="A7" s="129"/>
      <c r="B7" t="s">
        <v>100</v>
      </c>
      <c r="C7" s="127"/>
      <c r="D7" s="128">
        <f>D6/B2</f>
        <v>84030088.200000003</v>
      </c>
      <c r="E7" s="128"/>
      <c r="F7" s="128"/>
      <c r="G7" s="128"/>
      <c r="H7" s="128"/>
      <c r="I7" s="128"/>
      <c r="J7" s="128"/>
      <c r="K7" s="128"/>
    </row>
    <row r="8" spans="1:20" x14ac:dyDescent="0.35">
      <c r="A8" s="129"/>
      <c r="B8" t="s">
        <v>101</v>
      </c>
      <c r="C8" s="127"/>
      <c r="D8" s="127">
        <f>((D6*IRR!$E$4*6)/12)</f>
        <v>21007522.050000001</v>
      </c>
      <c r="E8" s="128">
        <f>AVERAGE(D6:E6)*IRR!$E$4</f>
        <v>37813539.689999998</v>
      </c>
      <c r="F8" s="128">
        <f>AVERAGE(E6:F6)*IRR!$E$4</f>
        <v>29410530.870000005</v>
      </c>
      <c r="G8" s="128">
        <f>AVERAGE(F6:G6)*IRR!$E$4</f>
        <v>21007522.050000004</v>
      </c>
      <c r="H8" s="128">
        <f>AVERAGE(G6:H6)*IRR!$E$4</f>
        <v>12604513.230000004</v>
      </c>
      <c r="I8" s="128">
        <f>AVERAGE(H6:I6)*IRR!$E$4</f>
        <v>4201504.410000002</v>
      </c>
      <c r="J8" s="128">
        <f>AVERAGE(I6:J6)*IRR!$E$4</f>
        <v>0</v>
      </c>
      <c r="K8" s="128"/>
    </row>
    <row r="9" spans="1:20" x14ac:dyDescent="0.35">
      <c r="A9" s="126">
        <f>A6+1</f>
        <v>2014</v>
      </c>
      <c r="B9" t="s">
        <v>99</v>
      </c>
      <c r="C9" s="127"/>
      <c r="D9" s="128"/>
      <c r="E9" s="128">
        <v>327253826</v>
      </c>
      <c r="F9" s="128">
        <f>E9-E10</f>
        <v>261803060.80000001</v>
      </c>
      <c r="G9" s="128">
        <f>F9-E10</f>
        <v>196352295.60000002</v>
      </c>
      <c r="H9" s="128">
        <f>G9-E10</f>
        <v>130901530.40000002</v>
      </c>
      <c r="I9" s="128">
        <f>H9-E10</f>
        <v>65450765.200000018</v>
      </c>
      <c r="J9" s="128">
        <f>I9-E10</f>
        <v>0</v>
      </c>
    </row>
    <row r="10" spans="1:20" x14ac:dyDescent="0.35">
      <c r="A10" s="129"/>
      <c r="B10" t="s">
        <v>100</v>
      </c>
      <c r="C10" s="127"/>
      <c r="D10" s="128"/>
      <c r="E10" s="128">
        <f>E9/B2</f>
        <v>65450765.200000003</v>
      </c>
      <c r="F10" s="128"/>
      <c r="G10" s="128"/>
      <c r="H10" s="128"/>
      <c r="I10" s="128"/>
      <c r="J10" s="128"/>
    </row>
    <row r="11" spans="1:20" x14ac:dyDescent="0.35">
      <c r="A11" s="129"/>
      <c r="B11" t="s">
        <v>101</v>
      </c>
      <c r="C11" s="127"/>
      <c r="D11" s="128"/>
      <c r="E11" s="127">
        <f>((E9*IRR!$E$4*6)/12)</f>
        <v>16362691.300000003</v>
      </c>
      <c r="F11" s="128">
        <f>AVERAGE(E9:F9)*IRR!$E$4</f>
        <v>29452844.34</v>
      </c>
      <c r="G11" s="128">
        <f>AVERAGE(F9:G9)*IRR!$E$4</f>
        <v>22907767.820000004</v>
      </c>
      <c r="H11" s="128">
        <f>AVERAGE(G9:H9)*IRR!$E$4</f>
        <v>16362691.300000004</v>
      </c>
      <c r="I11" s="128">
        <f>AVERAGE(H9:I9)*IRR!$E$4</f>
        <v>9817614.7800000012</v>
      </c>
      <c r="J11" s="128">
        <f>AVERAGE(I9:J9)*IRR!$E$4</f>
        <v>3272538.2600000012</v>
      </c>
      <c r="K11" s="128">
        <f>AVERAGE(J9:K9)*IRR!$E$4</f>
        <v>0</v>
      </c>
    </row>
    <row r="12" spans="1:20" x14ac:dyDescent="0.35">
      <c r="A12" s="126">
        <f>A9+1</f>
        <v>2015</v>
      </c>
      <c r="B12" t="s">
        <v>99</v>
      </c>
      <c r="C12" s="127"/>
      <c r="D12" s="128"/>
      <c r="E12" s="128"/>
      <c r="F12" s="128">
        <v>465383768</v>
      </c>
      <c r="G12" s="128">
        <f>F12-F13</f>
        <v>372307014.39999998</v>
      </c>
      <c r="H12" s="128">
        <f>G12-F13</f>
        <v>279230260.79999995</v>
      </c>
      <c r="I12" s="128">
        <f>H12-F13</f>
        <v>186153507.19999996</v>
      </c>
      <c r="J12" s="128">
        <f>I12-F13</f>
        <v>93076753.599999964</v>
      </c>
      <c r="K12" s="128">
        <f>J12-F13</f>
        <v>0</v>
      </c>
    </row>
    <row r="13" spans="1:20" x14ac:dyDescent="0.35">
      <c r="B13" t="s">
        <v>100</v>
      </c>
      <c r="C13" s="127"/>
      <c r="D13" s="128"/>
      <c r="E13" s="128"/>
      <c r="F13" s="128">
        <f>F12/B2</f>
        <v>93076753.599999994</v>
      </c>
      <c r="G13" s="128"/>
      <c r="H13" s="128"/>
      <c r="I13" s="128"/>
      <c r="J13" s="128"/>
      <c r="K13" s="128"/>
    </row>
    <row r="14" spans="1:20" x14ac:dyDescent="0.35">
      <c r="B14" t="s">
        <v>101</v>
      </c>
      <c r="C14" s="127"/>
      <c r="D14" s="128"/>
      <c r="E14" s="127"/>
      <c r="F14" s="127">
        <f>((F12*IRR!$E$4*6)/12)</f>
        <v>23269188.400000002</v>
      </c>
      <c r="G14" s="128">
        <f>AVERAGE(F12:G12)*IRR!$E$4</f>
        <v>41884539.120000005</v>
      </c>
      <c r="H14" s="128">
        <f>AVERAGE(G12:H12)*IRR!$E$4</f>
        <v>32576863.759999998</v>
      </c>
      <c r="I14" s="128">
        <f>AVERAGE(H12:I12)*IRR!$E$4</f>
        <v>23269188.399999995</v>
      </c>
      <c r="J14" s="128">
        <f>AVERAGE(I12:J12)*IRR!$E$4</f>
        <v>13961513.039999999</v>
      </c>
      <c r="K14" s="128">
        <f>AVERAGE(J12:K12)*IRR!$E$4</f>
        <v>4653837.6799999988</v>
      </c>
      <c r="L14" s="128">
        <f>AVERAGE(K12:L12)*IRR!$E$4</f>
        <v>0</v>
      </c>
    </row>
    <row r="15" spans="1:20" x14ac:dyDescent="0.35">
      <c r="A15" s="126">
        <f>A12+1</f>
        <v>2016</v>
      </c>
      <c r="B15" t="s">
        <v>99</v>
      </c>
      <c r="C15" s="127"/>
      <c r="D15" s="128"/>
      <c r="E15" s="128"/>
      <c r="F15" s="128"/>
      <c r="G15" s="128">
        <v>47504038</v>
      </c>
      <c r="H15" s="128">
        <f>G15-G16</f>
        <v>38003230.399999999</v>
      </c>
      <c r="I15" s="128">
        <f>H15-G16</f>
        <v>28502422.799999997</v>
      </c>
      <c r="J15" s="128">
        <f>I15-G16</f>
        <v>19001615.199999996</v>
      </c>
      <c r="K15" s="128">
        <f>J15-G16</f>
        <v>9500807.5999999959</v>
      </c>
      <c r="L15" s="128">
        <f>K15-G16</f>
        <v>0</v>
      </c>
    </row>
    <row r="16" spans="1:20" x14ac:dyDescent="0.35">
      <c r="B16" t="s">
        <v>100</v>
      </c>
      <c r="C16" s="127"/>
      <c r="D16" s="128"/>
      <c r="E16" s="128"/>
      <c r="F16" s="128"/>
      <c r="G16" s="128">
        <f>G15/B2</f>
        <v>9500807.5999999996</v>
      </c>
      <c r="H16" s="128"/>
      <c r="I16" s="128"/>
      <c r="J16" s="128"/>
      <c r="K16" s="128"/>
      <c r="L16" s="128"/>
    </row>
    <row r="17" spans="1:18" x14ac:dyDescent="0.35">
      <c r="B17" t="s">
        <v>101</v>
      </c>
      <c r="C17" s="127"/>
      <c r="D17" s="128"/>
      <c r="E17" s="127"/>
      <c r="F17" s="128"/>
      <c r="G17" s="127">
        <f>((G15*IRR!$E$4*6)/12)</f>
        <v>2375201.9</v>
      </c>
      <c r="H17" s="128">
        <f>AVERAGE(G15:H15)*IRR!$E$4</f>
        <v>4275363.4200000009</v>
      </c>
      <c r="I17" s="128">
        <f>AVERAGE(H15:I15)*IRR!$E$4</f>
        <v>3325282.66</v>
      </c>
      <c r="J17" s="128">
        <f>AVERAGE(I15:J15)*IRR!$E$4</f>
        <v>2375201.9</v>
      </c>
      <c r="K17" s="128">
        <f>AVERAGE(J15:K15)*IRR!$E$4</f>
        <v>1425121.1399999997</v>
      </c>
      <c r="L17" s="128">
        <f>AVERAGE(K15:L15)*IRR!$E$4</f>
        <v>475040.37999999983</v>
      </c>
      <c r="M17" s="128">
        <f>AVERAGE(L15:M15)*IRR!$E$4</f>
        <v>0</v>
      </c>
    </row>
    <row r="18" spans="1:18" x14ac:dyDescent="0.35">
      <c r="A18" s="126">
        <f>A15+1</f>
        <v>2017</v>
      </c>
      <c r="B18" t="s">
        <v>99</v>
      </c>
      <c r="C18" s="127"/>
      <c r="D18" s="128"/>
      <c r="E18" s="128"/>
      <c r="F18" s="128"/>
      <c r="H18" s="128">
        <v>105737276</v>
      </c>
      <c r="I18" s="128">
        <f>H18-H19</f>
        <v>84589820.799999997</v>
      </c>
      <c r="J18" s="128">
        <f>I18-H19</f>
        <v>63442365.599999994</v>
      </c>
      <c r="K18" s="128">
        <f>J18-H19</f>
        <v>42294910.399999991</v>
      </c>
      <c r="L18" s="128">
        <f>K18-H19</f>
        <v>21147455.199999992</v>
      </c>
      <c r="M18" s="128">
        <f>L18-H19</f>
        <v>0</v>
      </c>
    </row>
    <row r="19" spans="1:18" x14ac:dyDescent="0.35">
      <c r="B19" t="s">
        <v>100</v>
      </c>
      <c r="C19" s="127"/>
      <c r="D19" s="128"/>
      <c r="E19" s="128"/>
      <c r="F19" s="128"/>
      <c r="H19" s="128">
        <f>H18/B2</f>
        <v>21147455.199999999</v>
      </c>
      <c r="I19" s="128"/>
      <c r="J19" s="128"/>
      <c r="K19" s="128"/>
      <c r="L19" s="128"/>
      <c r="M19" s="128"/>
    </row>
    <row r="20" spans="1:18" x14ac:dyDescent="0.35">
      <c r="B20" t="s">
        <v>101</v>
      </c>
      <c r="C20" s="127"/>
      <c r="D20" s="128"/>
      <c r="E20" s="127"/>
      <c r="F20" s="128"/>
      <c r="H20" s="127">
        <f>((H18*IRR!$E$4*6)/12)</f>
        <v>5286863.8000000007</v>
      </c>
      <c r="I20" s="128">
        <f>AVERAGE(H18:I18)*IRR!$E$4</f>
        <v>9516354.8400000017</v>
      </c>
      <c r="J20" s="128">
        <f>AVERAGE(I18:J18)*IRR!$E$4</f>
        <v>7401609.3199999994</v>
      </c>
      <c r="K20" s="128">
        <f>AVERAGE(J18:K18)*IRR!$E$4</f>
        <v>5286863.8</v>
      </c>
      <c r="L20" s="128">
        <f>AVERAGE(K18:L18)*IRR!$E$4</f>
        <v>3172118.2799999993</v>
      </c>
      <c r="M20" s="128">
        <f>AVERAGE(L18:M18)*IRR!$E$4</f>
        <v>1057372.7599999995</v>
      </c>
      <c r="N20" s="128">
        <f>AVERAGE(M18:N18)*IRR!$E$4</f>
        <v>0</v>
      </c>
    </row>
    <row r="21" spans="1:18" x14ac:dyDescent="0.35">
      <c r="A21" s="126">
        <f>A18+1</f>
        <v>2018</v>
      </c>
      <c r="B21" t="s">
        <v>99</v>
      </c>
      <c r="C21" s="127"/>
      <c r="D21" s="128"/>
      <c r="E21" s="128"/>
      <c r="F21" s="128"/>
      <c r="I21" s="128">
        <v>24869000</v>
      </c>
      <c r="J21" s="128">
        <f>I21-I22</f>
        <v>19895200</v>
      </c>
      <c r="K21" s="128">
        <f>J21-I22</f>
        <v>14921400</v>
      </c>
      <c r="L21" s="128">
        <f>K21-I22</f>
        <v>9947600</v>
      </c>
      <c r="M21" s="128">
        <f>L21-I22</f>
        <v>4973800</v>
      </c>
      <c r="N21" s="128">
        <f>M21-I22</f>
        <v>0</v>
      </c>
    </row>
    <row r="22" spans="1:18" x14ac:dyDescent="0.35">
      <c r="B22" t="s">
        <v>100</v>
      </c>
      <c r="C22" s="127"/>
      <c r="D22" s="128"/>
      <c r="E22" s="128"/>
      <c r="F22" s="128"/>
      <c r="I22" s="128">
        <f>I21/B2</f>
        <v>4973800</v>
      </c>
      <c r="J22" s="128"/>
      <c r="K22" s="128"/>
      <c r="L22" s="128"/>
      <c r="M22" s="128"/>
      <c r="N22" s="128"/>
    </row>
    <row r="23" spans="1:18" x14ac:dyDescent="0.35">
      <c r="B23" t="s">
        <v>101</v>
      </c>
      <c r="C23" s="127"/>
      <c r="D23" s="128"/>
      <c r="E23" s="127"/>
      <c r="F23" s="128"/>
      <c r="I23" s="127">
        <f>((I21*IRR!$E$4*6)/12)</f>
        <v>1243450</v>
      </c>
      <c r="J23" s="128">
        <f>AVERAGE(I21:J21)*IRR!$E$4</f>
        <v>2238210</v>
      </c>
      <c r="K23" s="128">
        <f>AVERAGE(J21:K21)*IRR!$E$4</f>
        <v>1740830</v>
      </c>
      <c r="L23" s="128">
        <f>AVERAGE(K21:L21)*IRR!$E$4</f>
        <v>1243450</v>
      </c>
      <c r="M23" s="128">
        <f>AVERAGE(L21:M21)*IRR!$E$4</f>
        <v>746070</v>
      </c>
      <c r="N23" s="128">
        <f>AVERAGE(M21:N21)*IRR!$E$4</f>
        <v>248690</v>
      </c>
      <c r="O23" s="128">
        <f>AVERAGE(N21:O21)*IRR!$E$4</f>
        <v>0</v>
      </c>
    </row>
    <row r="24" spans="1:18" x14ac:dyDescent="0.35">
      <c r="A24" s="126">
        <f>A21+1</f>
        <v>2019</v>
      </c>
      <c r="B24" t="s">
        <v>99</v>
      </c>
      <c r="C24" s="127"/>
      <c r="D24" s="128"/>
      <c r="E24" s="128"/>
      <c r="F24" s="128"/>
      <c r="J24" s="128"/>
      <c r="K24" s="128">
        <f>J24-J25</f>
        <v>0</v>
      </c>
      <c r="L24" s="128">
        <f>K24-J25</f>
        <v>0</v>
      </c>
      <c r="M24" s="128">
        <f>L24-J25</f>
        <v>0</v>
      </c>
      <c r="N24" s="128">
        <f>M24-J25</f>
        <v>0</v>
      </c>
      <c r="O24" s="128">
        <f>N24-J25</f>
        <v>0</v>
      </c>
    </row>
    <row r="25" spans="1:18" x14ac:dyDescent="0.35">
      <c r="B25" t="s">
        <v>100</v>
      </c>
      <c r="C25" s="127"/>
      <c r="D25" s="128"/>
      <c r="E25" s="128"/>
      <c r="F25" s="128"/>
      <c r="J25" s="128">
        <f>J24/B2</f>
        <v>0</v>
      </c>
      <c r="K25" s="128"/>
      <c r="L25" s="128"/>
      <c r="M25" s="128"/>
      <c r="N25" s="128"/>
      <c r="O25" s="128"/>
    </row>
    <row r="26" spans="1:18" x14ac:dyDescent="0.35">
      <c r="B26" t="s">
        <v>101</v>
      </c>
      <c r="C26" s="127"/>
      <c r="D26" s="128"/>
      <c r="E26" s="127"/>
      <c r="F26" s="128"/>
      <c r="J26" s="127">
        <f>((J24*IRR!$E$4*6)/12)</f>
        <v>0</v>
      </c>
      <c r="K26" s="128">
        <f>AVERAGE(J24:K24)*IRR!$E$4</f>
        <v>0</v>
      </c>
      <c r="L26" s="128">
        <f>AVERAGE(K24:L24)*IRR!$E$4</f>
        <v>0</v>
      </c>
      <c r="M26" s="128">
        <f>AVERAGE(L24:M24)*IRR!$E$4</f>
        <v>0</v>
      </c>
      <c r="N26" s="128">
        <f>AVERAGE(M24:N24)*IRR!$E$4</f>
        <v>0</v>
      </c>
      <c r="O26" s="128">
        <f>AVERAGE(N24:O24)*IRR!$E$4</f>
        <v>0</v>
      </c>
      <c r="P26" s="128">
        <f>AVERAGE(O24:P24)*IRR!$E$4</f>
        <v>0</v>
      </c>
    </row>
    <row r="27" spans="1:18" x14ac:dyDescent="0.35">
      <c r="A27" s="126">
        <f>A24+1</f>
        <v>2020</v>
      </c>
      <c r="B27" t="s">
        <v>99</v>
      </c>
      <c r="C27" s="127"/>
      <c r="D27" s="128"/>
      <c r="E27" s="128"/>
      <c r="F27" s="128"/>
      <c r="K27" s="200"/>
      <c r="L27" s="128">
        <f>K27-K28</f>
        <v>0</v>
      </c>
      <c r="M27" s="128">
        <f>L27-$K$28</f>
        <v>0</v>
      </c>
      <c r="N27" s="128">
        <f t="shared" ref="N27:P27" si="5">M27-$K$28</f>
        <v>0</v>
      </c>
      <c r="O27" s="128">
        <f t="shared" si="5"/>
        <v>0</v>
      </c>
      <c r="P27" s="128">
        <f t="shared" si="5"/>
        <v>0</v>
      </c>
      <c r="Q27" s="128"/>
    </row>
    <row r="28" spans="1:18" x14ac:dyDescent="0.35">
      <c r="B28" t="s">
        <v>100</v>
      </c>
      <c r="C28" s="127"/>
      <c r="D28" s="128"/>
      <c r="E28" s="128"/>
      <c r="F28" s="128"/>
      <c r="K28" s="201">
        <f>K27/B2</f>
        <v>0</v>
      </c>
      <c r="L28" s="128"/>
      <c r="M28" s="128"/>
      <c r="N28" s="128"/>
      <c r="O28" s="128"/>
      <c r="P28" s="128"/>
      <c r="Q28" s="128"/>
    </row>
    <row r="29" spans="1:18" x14ac:dyDescent="0.35">
      <c r="B29" t="s">
        <v>101</v>
      </c>
      <c r="C29" s="127"/>
      <c r="D29" s="128"/>
      <c r="E29" s="127"/>
      <c r="F29" s="128"/>
      <c r="K29" s="127">
        <f>((K27*IRR!$E$4*6)/12)</f>
        <v>0</v>
      </c>
      <c r="L29" s="128">
        <f>AVERAGE(K27:L27)*IRR!$E$4</f>
        <v>0</v>
      </c>
      <c r="M29" s="128">
        <f>AVERAGE(L27:M27)*IRR!$E$4</f>
        <v>0</v>
      </c>
      <c r="N29" s="128">
        <f>AVERAGE(M27:N27)*IRR!$E$4</f>
        <v>0</v>
      </c>
      <c r="O29" s="128">
        <f>AVERAGE(N27:O27)*IRR!$E$4</f>
        <v>0</v>
      </c>
      <c r="P29" s="128">
        <f>AVERAGE(O27:P27)*IRR!$E$4</f>
        <v>0</v>
      </c>
      <c r="Q29" s="128">
        <f>AVERAGE(P27:Q27)*IRR!$E$4</f>
        <v>0</v>
      </c>
    </row>
    <row r="30" spans="1:18" x14ac:dyDescent="0.35">
      <c r="A30">
        <v>2021</v>
      </c>
      <c r="B30" t="s">
        <v>99</v>
      </c>
      <c r="C30" s="127"/>
      <c r="D30" s="128"/>
      <c r="E30" s="127"/>
      <c r="F30" s="128"/>
      <c r="L30" s="127"/>
      <c r="M30" s="128">
        <f>L30-$L$31</f>
        <v>0</v>
      </c>
      <c r="N30" s="128">
        <f t="shared" ref="N30:Q30" si="6">M30-$L$31</f>
        <v>0</v>
      </c>
      <c r="O30" s="128">
        <f t="shared" si="6"/>
        <v>0</v>
      </c>
      <c r="P30" s="128">
        <f t="shared" si="6"/>
        <v>0</v>
      </c>
      <c r="Q30" s="128">
        <f t="shared" si="6"/>
        <v>0</v>
      </c>
      <c r="R30" s="128">
        <f>Q30-M31</f>
        <v>0</v>
      </c>
    </row>
    <row r="31" spans="1:18" x14ac:dyDescent="0.35">
      <c r="B31" t="s">
        <v>100</v>
      </c>
      <c r="C31" s="127"/>
      <c r="D31" s="128"/>
      <c r="E31" s="127"/>
      <c r="F31" s="128"/>
      <c r="L31" s="127">
        <f>L30/B2</f>
        <v>0</v>
      </c>
      <c r="M31" s="128"/>
      <c r="N31" s="128"/>
      <c r="O31" s="128"/>
      <c r="P31" s="128"/>
      <c r="Q31" s="128"/>
    </row>
    <row r="32" spans="1:18" x14ac:dyDescent="0.35">
      <c r="B32" t="s">
        <v>101</v>
      </c>
      <c r="C32" s="127"/>
      <c r="D32" s="128"/>
      <c r="E32" s="127"/>
      <c r="F32" s="128"/>
      <c r="L32" s="127">
        <f>((L30*IRR!$E$4*6)/12)</f>
        <v>0</v>
      </c>
      <c r="M32" s="128">
        <f>AVERAGE(L30:M30)*IRR!$E$4</f>
        <v>0</v>
      </c>
      <c r="N32" s="128">
        <f>AVERAGE(M30:N30)*IRR!$E$4</f>
        <v>0</v>
      </c>
      <c r="O32" s="128">
        <f>AVERAGE(N30:O30)*IRR!$E$4</f>
        <v>0</v>
      </c>
      <c r="P32" s="128">
        <f>AVERAGE(O30:P30)*IRR!$E$4</f>
        <v>0</v>
      </c>
      <c r="Q32" s="128">
        <f>AVERAGE(P30:Q30)*IRR!$E$4</f>
        <v>0</v>
      </c>
      <c r="R32" s="128">
        <f>AVERAGE(Q30:R30)*IRR!$E$4</f>
        <v>0</v>
      </c>
    </row>
    <row r="33" spans="1:19" x14ac:dyDescent="0.35">
      <c r="A33">
        <f>A30+1</f>
        <v>2022</v>
      </c>
      <c r="B33" t="s">
        <v>99</v>
      </c>
      <c r="C33" s="127"/>
      <c r="D33" s="128"/>
      <c r="E33" s="127"/>
      <c r="F33" s="128"/>
      <c r="L33" s="127"/>
      <c r="M33" s="128">
        <v>33012215</v>
      </c>
      <c r="N33" s="128">
        <f>M33-M34</f>
        <v>26409772</v>
      </c>
      <c r="O33" s="128">
        <f>N33-M34</f>
        <v>19807329</v>
      </c>
      <c r="P33" s="128">
        <f>O33-M34</f>
        <v>13204886</v>
      </c>
      <c r="Q33" s="128">
        <f>P33-M34</f>
        <v>6602443</v>
      </c>
      <c r="R33" s="128">
        <f>Q33-M34</f>
        <v>0</v>
      </c>
    </row>
    <row r="34" spans="1:19" x14ac:dyDescent="0.35">
      <c r="B34" t="s">
        <v>100</v>
      </c>
      <c r="C34" s="127"/>
      <c r="D34" s="128"/>
      <c r="E34" s="127"/>
      <c r="F34" s="128"/>
      <c r="L34" s="127"/>
      <c r="M34" s="127">
        <f>M33/B2</f>
        <v>6602443</v>
      </c>
      <c r="N34" s="128"/>
      <c r="O34" s="128"/>
      <c r="P34" s="128"/>
      <c r="Q34" s="128"/>
      <c r="R34" s="128"/>
    </row>
    <row r="35" spans="1:19" x14ac:dyDescent="0.35">
      <c r="B35" t="s">
        <v>101</v>
      </c>
      <c r="C35" s="127"/>
      <c r="D35" s="128"/>
      <c r="E35" s="127"/>
      <c r="F35" s="128"/>
      <c r="L35" s="127"/>
      <c r="M35" s="127">
        <f>((M33*IRR!$E$4*6)/12)</f>
        <v>1650610.75</v>
      </c>
      <c r="N35" s="128">
        <f>AVERAGE(M33:N33)*IRR!$E$4</f>
        <v>2971099.35</v>
      </c>
      <c r="O35" s="128">
        <f>AVERAGE(N33:O33)*IRR!$E$4</f>
        <v>2310855.0500000003</v>
      </c>
      <c r="P35" s="128">
        <f>AVERAGE(O33:P33)*IRR!$E$4</f>
        <v>1650610.75</v>
      </c>
      <c r="Q35" s="128">
        <f>AVERAGE(P33:Q33)*IRR!$E$4</f>
        <v>990366.45000000007</v>
      </c>
      <c r="R35" s="128">
        <f>AVERAGE(Q33:R33)*IRR!$E$4</f>
        <v>330122.15000000002</v>
      </c>
      <c r="S35" s="128">
        <f>AVERAGE(R33:S33)*IRR!$E$4</f>
        <v>0</v>
      </c>
    </row>
    <row r="36" spans="1:19" x14ac:dyDescent="0.35">
      <c r="A36">
        <f>A33+1</f>
        <v>2023</v>
      </c>
      <c r="B36" t="s">
        <v>99</v>
      </c>
      <c r="C36" s="127"/>
      <c r="D36" s="128"/>
      <c r="E36" s="127"/>
      <c r="F36" s="128"/>
      <c r="L36" s="127"/>
      <c r="M36" s="128"/>
      <c r="N36" s="128"/>
      <c r="O36" s="128"/>
      <c r="P36" s="128"/>
      <c r="Q36" s="128"/>
      <c r="R36" s="128"/>
    </row>
    <row r="37" spans="1:19" x14ac:dyDescent="0.35">
      <c r="B37" t="s">
        <v>100</v>
      </c>
      <c r="C37" s="127"/>
      <c r="D37" s="128"/>
      <c r="E37" s="127"/>
      <c r="F37" s="128"/>
      <c r="L37" s="127"/>
      <c r="M37" s="128"/>
      <c r="N37" s="128"/>
      <c r="O37" s="128"/>
      <c r="P37" s="128"/>
      <c r="Q37" s="128"/>
      <c r="R37" s="128"/>
    </row>
    <row r="38" spans="1:19" x14ac:dyDescent="0.35">
      <c r="B38" t="s">
        <v>101</v>
      </c>
      <c r="C38" s="127"/>
      <c r="D38" s="128"/>
      <c r="E38" s="127"/>
      <c r="F38" s="128"/>
      <c r="L38" s="127"/>
      <c r="M38" s="128"/>
      <c r="N38" s="128"/>
      <c r="O38" s="128"/>
      <c r="P38" s="128"/>
      <c r="Q38" s="128"/>
      <c r="R38" s="128"/>
    </row>
    <row r="39" spans="1:19" x14ac:dyDescent="0.35">
      <c r="A39">
        <f>A36+1</f>
        <v>2024</v>
      </c>
      <c r="B39" t="s">
        <v>99</v>
      </c>
      <c r="C39" s="127"/>
      <c r="D39" s="128"/>
      <c r="E39" s="127"/>
      <c r="F39" s="128"/>
      <c r="L39" s="127"/>
      <c r="M39" s="128"/>
      <c r="N39" s="128"/>
      <c r="O39" s="128"/>
      <c r="P39" s="128"/>
      <c r="Q39" s="128"/>
      <c r="R39" s="128"/>
    </row>
    <row r="40" spans="1:19" x14ac:dyDescent="0.35">
      <c r="B40" t="s">
        <v>100</v>
      </c>
      <c r="C40" s="127"/>
      <c r="D40" s="128"/>
      <c r="E40" s="127"/>
      <c r="F40" s="128"/>
      <c r="L40" s="127"/>
      <c r="M40" s="128"/>
      <c r="N40" s="128"/>
      <c r="O40" s="128"/>
      <c r="P40" s="128"/>
      <c r="Q40" s="128"/>
      <c r="R40" s="128"/>
    </row>
    <row r="41" spans="1:19" x14ac:dyDescent="0.35">
      <c r="B41" t="s">
        <v>101</v>
      </c>
      <c r="C41" s="127"/>
      <c r="D41" s="128"/>
      <c r="E41" s="127"/>
      <c r="F41" s="128"/>
      <c r="L41" s="127"/>
      <c r="M41" s="128"/>
      <c r="N41" s="128"/>
      <c r="O41" s="128"/>
      <c r="P41" s="128"/>
      <c r="Q41" s="128"/>
      <c r="R41" s="128"/>
    </row>
    <row r="42" spans="1:19" x14ac:dyDescent="0.35">
      <c r="C42" s="127"/>
      <c r="D42" s="128"/>
      <c r="E42" s="127"/>
      <c r="F42" s="128"/>
      <c r="L42" s="127"/>
      <c r="M42" s="128"/>
      <c r="N42" s="128"/>
      <c r="O42" s="128"/>
      <c r="P42" s="128"/>
      <c r="Q42" s="128"/>
      <c r="R42" s="128"/>
    </row>
    <row r="43" spans="1:19" x14ac:dyDescent="0.35">
      <c r="C43" s="127"/>
      <c r="D43" s="128"/>
      <c r="E43" s="127"/>
      <c r="F43" s="128"/>
      <c r="L43" s="127"/>
      <c r="M43" s="128"/>
      <c r="N43" s="128"/>
      <c r="O43" s="128"/>
      <c r="P43" s="128"/>
      <c r="Q43" s="128"/>
      <c r="R43" s="128"/>
    </row>
    <row r="44" spans="1:19" x14ac:dyDescent="0.35">
      <c r="C44" s="127"/>
      <c r="D44" s="128"/>
      <c r="E44" s="127"/>
      <c r="F44" s="128"/>
      <c r="L44" s="127"/>
      <c r="M44" s="128"/>
      <c r="N44" s="128"/>
      <c r="O44" s="128"/>
      <c r="P44" s="128"/>
      <c r="Q44" s="128"/>
      <c r="R44" s="128"/>
    </row>
    <row r="45" spans="1:19" x14ac:dyDescent="0.35">
      <c r="C45" s="127"/>
      <c r="D45" s="128"/>
      <c r="E45" s="127"/>
      <c r="F45" s="128"/>
      <c r="L45" s="127"/>
      <c r="M45" s="128"/>
      <c r="N45" s="128"/>
      <c r="O45" s="128"/>
      <c r="P45" s="128"/>
      <c r="Q45" s="128"/>
      <c r="R45" s="128"/>
    </row>
    <row r="46" spans="1:19" x14ac:dyDescent="0.35">
      <c r="C46" s="127"/>
      <c r="D46" s="128"/>
      <c r="E46" s="128"/>
      <c r="F46" s="128"/>
      <c r="G46" s="128"/>
      <c r="H46" s="128"/>
      <c r="I46" s="128"/>
      <c r="J46" s="128"/>
      <c r="K46" s="128"/>
    </row>
    <row r="47" spans="1:19" x14ac:dyDescent="0.35">
      <c r="A47" s="123"/>
      <c r="B47" s="130" t="s">
        <v>102</v>
      </c>
      <c r="C47" s="131">
        <f t="shared" ref="C47:L47" si="7">C5+C8+C11+C14+C17+C20+C23+C26+C29+C32</f>
        <v>344805019.75</v>
      </c>
      <c r="D47" s="131">
        <f t="shared" si="7"/>
        <v>641656557.60000002</v>
      </c>
      <c r="E47" s="131">
        <f t="shared" si="7"/>
        <v>536903258.63999999</v>
      </c>
      <c r="F47" s="131">
        <f t="shared" si="7"/>
        <v>426937583.35999995</v>
      </c>
      <c r="G47" s="131">
        <f t="shared" si="7"/>
        <v>295058042.74000001</v>
      </c>
      <c r="H47" s="131">
        <f t="shared" si="7"/>
        <v>140067299.46000001</v>
      </c>
      <c r="I47" s="131">
        <f t="shared" si="7"/>
        <v>51373395.090000004</v>
      </c>
      <c r="J47" s="131">
        <f t="shared" si="7"/>
        <v>29249072.52</v>
      </c>
      <c r="K47" s="131">
        <f t="shared" si="7"/>
        <v>13106652.619999997</v>
      </c>
      <c r="L47" s="131">
        <f t="shared" si="7"/>
        <v>4890608.6599999992</v>
      </c>
      <c r="M47" s="131">
        <f>M5+M8+M11+M14+M17+M20+M23+M26+M29+M32+M35</f>
        <v>3454053.51</v>
      </c>
      <c r="N47" s="131">
        <f t="shared" ref="N47:R47" si="8">N5+N8+N11+N14+N17+N20+N23+N26+N29+N32+N35</f>
        <v>3219789.35</v>
      </c>
      <c r="O47" s="131">
        <f t="shared" si="8"/>
        <v>2310855.0500000003</v>
      </c>
      <c r="P47" s="131">
        <f t="shared" si="8"/>
        <v>1650610.75</v>
      </c>
      <c r="Q47" s="131">
        <f t="shared" si="8"/>
        <v>990366.45000000007</v>
      </c>
      <c r="R47" s="131">
        <f t="shared" si="8"/>
        <v>330122.15000000002</v>
      </c>
    </row>
    <row r="48" spans="1:19" x14ac:dyDescent="0.35">
      <c r="B48" s="127"/>
      <c r="C48" s="128"/>
      <c r="D48" s="128"/>
      <c r="E48" s="128"/>
      <c r="F48" s="128"/>
      <c r="G48" s="128"/>
      <c r="H48" s="128"/>
      <c r="I48" s="128"/>
      <c r="J48" s="128"/>
      <c r="K48" s="128"/>
    </row>
    <row r="49" spans="1:15" x14ac:dyDescent="0.35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</row>
    <row r="50" spans="1:15" x14ac:dyDescent="0.35">
      <c r="A50" s="122" t="s">
        <v>103</v>
      </c>
    </row>
    <row r="51" spans="1:15" x14ac:dyDescent="0.35">
      <c r="A51" t="s">
        <v>104</v>
      </c>
      <c r="B51" t="s">
        <v>105</v>
      </c>
      <c r="C51" s="133">
        <v>50000000</v>
      </c>
    </row>
    <row r="52" spans="1:15" x14ac:dyDescent="0.35">
      <c r="A52" t="s">
        <v>106</v>
      </c>
      <c r="B52" t="s">
        <v>105</v>
      </c>
      <c r="C52" s="133">
        <v>20000000</v>
      </c>
    </row>
    <row r="53" spans="1:15" x14ac:dyDescent="0.35">
      <c r="A53" t="s">
        <v>107</v>
      </c>
      <c r="B53" s="134" t="s">
        <v>108</v>
      </c>
      <c r="C53" s="133"/>
    </row>
    <row r="54" spans="1:15" x14ac:dyDescent="0.35">
      <c r="A54" t="s">
        <v>109</v>
      </c>
      <c r="B54" s="134" t="s">
        <v>108</v>
      </c>
      <c r="C54" s="133"/>
    </row>
    <row r="56" spans="1:15" x14ac:dyDescent="0.35">
      <c r="A56" s="135" t="s">
        <v>48</v>
      </c>
      <c r="B56" s="131">
        <f>C51</f>
        <v>50000000</v>
      </c>
      <c r="C56" s="136">
        <f>B56+C57</f>
        <v>51000000</v>
      </c>
      <c r="D56" s="136">
        <f>C56+D58</f>
        <v>52020000</v>
      </c>
      <c r="E56" s="136">
        <f t="shared" ref="E56:K56" si="9">D56+E58</f>
        <v>53060400</v>
      </c>
      <c r="F56" s="136">
        <f t="shared" si="9"/>
        <v>54121608</v>
      </c>
      <c r="G56" s="136">
        <f t="shared" si="9"/>
        <v>55204040.159999996</v>
      </c>
      <c r="H56" s="136">
        <f t="shared" si="9"/>
        <v>56308120.963199995</v>
      </c>
      <c r="I56" s="136">
        <f t="shared" si="9"/>
        <v>57434283.382463992</v>
      </c>
      <c r="J56" s="136">
        <f t="shared" si="9"/>
        <v>58582969.050113268</v>
      </c>
      <c r="K56" s="136">
        <f t="shared" si="9"/>
        <v>59754628.43111553</v>
      </c>
    </row>
    <row r="57" spans="1:15" x14ac:dyDescent="0.35">
      <c r="A57" s="137">
        <v>0.02</v>
      </c>
      <c r="B57" s="135"/>
      <c r="C57" s="136">
        <f>C58</f>
        <v>1000000</v>
      </c>
      <c r="D57" s="136">
        <f>C57+D58</f>
        <v>2020000</v>
      </c>
      <c r="E57" s="136">
        <f t="shared" ref="E57:K57" si="10">D57+E58</f>
        <v>3060400</v>
      </c>
      <c r="F57" s="136">
        <f t="shared" si="10"/>
        <v>4121608</v>
      </c>
      <c r="G57" s="136">
        <f t="shared" si="10"/>
        <v>5204040.16</v>
      </c>
      <c r="H57" s="136">
        <f t="shared" si="10"/>
        <v>6308120.9632000001</v>
      </c>
      <c r="I57" s="136">
        <f t="shared" si="10"/>
        <v>7434283.382464</v>
      </c>
      <c r="J57" s="136">
        <f t="shared" si="10"/>
        <v>8582969.0501132794</v>
      </c>
      <c r="K57" s="136">
        <f t="shared" si="10"/>
        <v>9754628.4311155453</v>
      </c>
    </row>
    <row r="58" spans="1:15" x14ac:dyDescent="0.35">
      <c r="A58" s="135"/>
      <c r="B58" s="135"/>
      <c r="C58" s="136">
        <f t="shared" ref="C58:K58" si="11">B56*$A$57</f>
        <v>1000000</v>
      </c>
      <c r="D58" s="136">
        <f t="shared" si="11"/>
        <v>1020000</v>
      </c>
      <c r="E58" s="136">
        <f t="shared" si="11"/>
        <v>1040400</v>
      </c>
      <c r="F58" s="136">
        <f t="shared" si="11"/>
        <v>1061208</v>
      </c>
      <c r="G58" s="136">
        <f t="shared" si="11"/>
        <v>1082432.1599999999</v>
      </c>
      <c r="H58" s="136">
        <f t="shared" si="11"/>
        <v>1104080.8032</v>
      </c>
      <c r="I58" s="136">
        <f t="shared" si="11"/>
        <v>1126162.4192639999</v>
      </c>
      <c r="J58" s="136">
        <f t="shared" si="11"/>
        <v>1148685.6676492798</v>
      </c>
      <c r="K58" s="136">
        <f t="shared" si="11"/>
        <v>1171659.3810022655</v>
      </c>
    </row>
    <row r="59" spans="1:15" x14ac:dyDescent="0.35">
      <c r="C59" s="128"/>
      <c r="D59" s="128"/>
      <c r="E59" s="128"/>
      <c r="F59" s="128"/>
      <c r="G59" s="128"/>
      <c r="H59" s="128"/>
      <c r="I59" s="128"/>
      <c r="J59" s="128"/>
      <c r="K59" s="128"/>
    </row>
    <row r="60" spans="1:15" x14ac:dyDescent="0.35">
      <c r="A60" s="132"/>
      <c r="B60" s="132"/>
      <c r="C60" s="138"/>
      <c r="D60" s="138"/>
      <c r="E60" s="138"/>
      <c r="F60" s="138"/>
      <c r="G60" s="138"/>
      <c r="H60" s="138"/>
      <c r="I60" s="138"/>
      <c r="J60" s="138"/>
      <c r="K60" s="138"/>
      <c r="L60" s="132"/>
      <c r="M60" s="132"/>
      <c r="N60" s="132"/>
      <c r="O60" s="132"/>
    </row>
    <row r="61" spans="1:15" x14ac:dyDescent="0.35">
      <c r="A61" s="122" t="s">
        <v>110</v>
      </c>
      <c r="C61" s="128"/>
      <c r="D61" s="128"/>
      <c r="E61" s="128"/>
      <c r="F61" s="128"/>
      <c r="G61" s="128"/>
      <c r="H61" s="128"/>
      <c r="I61" s="128"/>
      <c r="J61" s="128"/>
      <c r="K61" s="128"/>
    </row>
    <row r="62" spans="1:15" x14ac:dyDescent="0.35">
      <c r="A62" t="s">
        <v>111</v>
      </c>
      <c r="C62" s="128"/>
      <c r="D62" s="128"/>
      <c r="E62" s="128"/>
      <c r="F62" s="128"/>
      <c r="G62" s="128"/>
      <c r="H62" s="128"/>
      <c r="I62" s="128"/>
      <c r="J62" s="128"/>
      <c r="K62" s="128"/>
    </row>
    <row r="63" spans="1:15" x14ac:dyDescent="0.35">
      <c r="A63" t="s">
        <v>112</v>
      </c>
      <c r="C63" s="128"/>
      <c r="D63" s="128"/>
      <c r="E63" s="128"/>
      <c r="F63" s="128"/>
      <c r="G63" s="128"/>
      <c r="H63" s="128"/>
      <c r="I63" s="128"/>
      <c r="J63" s="128"/>
      <c r="K63" s="128"/>
    </row>
    <row r="64" spans="1:15" x14ac:dyDescent="0.35">
      <c r="A64" t="s">
        <v>113</v>
      </c>
      <c r="C64" s="128"/>
      <c r="D64" s="128"/>
      <c r="E64" s="128"/>
      <c r="F64" s="128"/>
      <c r="G64" s="128"/>
      <c r="H64" s="128"/>
      <c r="I64" s="128"/>
      <c r="J64" s="128"/>
      <c r="K64" s="128"/>
    </row>
    <row r="65" spans="1:11" x14ac:dyDescent="0.35">
      <c r="A65" t="s">
        <v>114</v>
      </c>
      <c r="C65" s="128"/>
      <c r="D65" s="128"/>
      <c r="E65" s="128"/>
      <c r="F65" s="128"/>
      <c r="G65" s="128"/>
      <c r="H65" s="128"/>
      <c r="I65" s="128"/>
      <c r="J65" s="128"/>
      <c r="K65" s="128"/>
    </row>
    <row r="66" spans="1:11" x14ac:dyDescent="0.35">
      <c r="A66" s="139" t="s">
        <v>115</v>
      </c>
      <c r="B66" s="140"/>
      <c r="C66" s="141"/>
      <c r="D66" s="128"/>
      <c r="E66" s="128"/>
      <c r="F66" s="128"/>
      <c r="G66" s="128"/>
      <c r="H66" s="128"/>
      <c r="I66" s="128"/>
      <c r="J66" s="128"/>
      <c r="K66" s="128"/>
    </row>
    <row r="67" spans="1:11" x14ac:dyDescent="0.35">
      <c r="C67" s="128"/>
      <c r="D67" s="128"/>
      <c r="E67" s="128"/>
      <c r="F67" s="128"/>
      <c r="G67" s="128"/>
      <c r="H67" s="128"/>
      <c r="I67" s="128"/>
      <c r="J67" s="128"/>
      <c r="K67" s="128"/>
    </row>
    <row r="68" spans="1:11" x14ac:dyDescent="0.35">
      <c r="A68" s="142" t="s">
        <v>116</v>
      </c>
      <c r="B68" s="125" t="s">
        <v>117</v>
      </c>
      <c r="D68" s="142" t="s">
        <v>118</v>
      </c>
      <c r="E68" s="125" t="s">
        <v>119</v>
      </c>
      <c r="G68" s="264" t="s">
        <v>114</v>
      </c>
      <c r="H68" s="265"/>
      <c r="J68" s="125" t="s">
        <v>120</v>
      </c>
      <c r="K68" s="125" t="s">
        <v>121</v>
      </c>
    </row>
    <row r="69" spans="1:11" x14ac:dyDescent="0.35">
      <c r="A69" t="s">
        <v>122</v>
      </c>
      <c r="B69" s="127">
        <v>16800000</v>
      </c>
      <c r="D69" t="s">
        <v>123</v>
      </c>
      <c r="E69" s="127">
        <v>7000000</v>
      </c>
      <c r="G69" t="s">
        <v>124</v>
      </c>
      <c r="H69" s="127">
        <v>10000000</v>
      </c>
      <c r="J69" t="s">
        <v>122</v>
      </c>
      <c r="K69" s="127">
        <v>4000000</v>
      </c>
    </row>
    <row r="70" spans="1:11" x14ac:dyDescent="0.35">
      <c r="A70" t="s">
        <v>125</v>
      </c>
      <c r="B70" s="127"/>
      <c r="G70" t="s">
        <v>126</v>
      </c>
      <c r="H70" s="127">
        <v>12000000</v>
      </c>
      <c r="J70" t="s">
        <v>125</v>
      </c>
      <c r="K70" s="127">
        <v>3000000</v>
      </c>
    </row>
    <row r="71" spans="1:11" x14ac:dyDescent="0.35">
      <c r="A71" t="s">
        <v>127</v>
      </c>
      <c r="B71" s="127">
        <v>15600000</v>
      </c>
      <c r="G71" t="s">
        <v>128</v>
      </c>
      <c r="H71" s="127">
        <v>14000000</v>
      </c>
      <c r="J71" t="s">
        <v>127</v>
      </c>
      <c r="K71" s="127">
        <v>2500000</v>
      </c>
    </row>
    <row r="72" spans="1:11" x14ac:dyDescent="0.35">
      <c r="A72" t="s">
        <v>129</v>
      </c>
      <c r="B72" s="127">
        <v>15000000</v>
      </c>
      <c r="G72" t="s">
        <v>130</v>
      </c>
      <c r="H72" s="127">
        <v>14000000</v>
      </c>
      <c r="J72" t="s">
        <v>129</v>
      </c>
      <c r="K72" s="127">
        <v>2000000</v>
      </c>
    </row>
    <row r="73" spans="1:11" x14ac:dyDescent="0.35">
      <c r="A73" t="s">
        <v>131</v>
      </c>
      <c r="B73" s="127">
        <v>15000000</v>
      </c>
      <c r="G73" t="s">
        <v>122</v>
      </c>
      <c r="H73" s="127">
        <v>17000000</v>
      </c>
      <c r="J73" t="s">
        <v>131</v>
      </c>
      <c r="K73" s="127">
        <v>1850000</v>
      </c>
    </row>
    <row r="74" spans="1:11" x14ac:dyDescent="0.35">
      <c r="A74" t="s">
        <v>132</v>
      </c>
      <c r="B74" s="127">
        <v>12000000</v>
      </c>
      <c r="G74" t="s">
        <v>133</v>
      </c>
      <c r="H74" s="127">
        <v>14000000</v>
      </c>
      <c r="J74" t="s">
        <v>132</v>
      </c>
      <c r="K74" s="127">
        <v>1200000</v>
      </c>
    </row>
    <row r="75" spans="1:11" x14ac:dyDescent="0.35">
      <c r="A75" t="s">
        <v>133</v>
      </c>
      <c r="B75" s="127">
        <v>16800000</v>
      </c>
      <c r="J75" t="s">
        <v>133</v>
      </c>
      <c r="K75" s="127">
        <v>2000000</v>
      </c>
    </row>
    <row r="76" spans="1:11" x14ac:dyDescent="0.35">
      <c r="A76" t="s">
        <v>134</v>
      </c>
      <c r="B76" s="127">
        <v>15720000</v>
      </c>
      <c r="J76" t="s">
        <v>134</v>
      </c>
      <c r="K76" s="127">
        <v>3500000</v>
      </c>
    </row>
    <row r="77" spans="1:11" x14ac:dyDescent="0.35">
      <c r="A77" t="s">
        <v>135</v>
      </c>
      <c r="J77" t="s">
        <v>135</v>
      </c>
      <c r="K77" s="127">
        <v>2800000</v>
      </c>
    </row>
    <row r="78" spans="1:11" x14ac:dyDescent="0.35">
      <c r="A78" t="s">
        <v>136</v>
      </c>
      <c r="B78">
        <v>0</v>
      </c>
    </row>
    <row r="80" spans="1:11" x14ac:dyDescent="0.35">
      <c r="C80" s="128"/>
      <c r="D80" s="128"/>
      <c r="E80" s="128"/>
      <c r="F80" s="128"/>
      <c r="G80" s="128"/>
      <c r="H80" s="128"/>
      <c r="I80" s="128"/>
      <c r="J80" s="128"/>
      <c r="K80" s="128"/>
    </row>
    <row r="81" spans="1:15" ht="14.4" customHeight="1" x14ac:dyDescent="0.35">
      <c r="A81" s="266" t="s">
        <v>113</v>
      </c>
      <c r="B81" s="268" t="s">
        <v>92</v>
      </c>
      <c r="C81" s="268" t="s">
        <v>137</v>
      </c>
      <c r="D81" s="269" t="s">
        <v>138</v>
      </c>
      <c r="E81" s="143" t="s">
        <v>139</v>
      </c>
      <c r="F81" s="143" t="s">
        <v>140</v>
      </c>
      <c r="G81" s="143" t="s">
        <v>141</v>
      </c>
      <c r="H81" s="144" t="s">
        <v>142</v>
      </c>
      <c r="I81" s="259" t="s">
        <v>143</v>
      </c>
      <c r="J81" s="259" t="s">
        <v>144</v>
      </c>
    </row>
    <row r="82" spans="1:15" x14ac:dyDescent="0.35">
      <c r="A82" s="267"/>
      <c r="B82" s="268"/>
      <c r="C82" s="268"/>
      <c r="D82" s="269"/>
      <c r="E82" s="145">
        <v>1</v>
      </c>
      <c r="F82" s="146">
        <v>1</v>
      </c>
      <c r="G82" s="146">
        <v>1</v>
      </c>
      <c r="H82" s="147">
        <f>Summary!H9</f>
        <v>376</v>
      </c>
      <c r="I82" s="260"/>
      <c r="J82" s="260"/>
    </row>
    <row r="83" spans="1:15" x14ac:dyDescent="0.35">
      <c r="A83" s="261" t="s">
        <v>145</v>
      </c>
      <c r="B83" s="135" t="s">
        <v>120</v>
      </c>
      <c r="C83" s="148">
        <f>K76</f>
        <v>3500000</v>
      </c>
      <c r="D83" s="135" t="s">
        <v>139</v>
      </c>
      <c r="E83" s="125">
        <f>E82</f>
        <v>1</v>
      </c>
      <c r="F83" s="125"/>
      <c r="G83" s="125"/>
      <c r="H83" s="149"/>
      <c r="I83" s="150">
        <f>E83*C83</f>
        <v>3500000</v>
      </c>
    </row>
    <row r="84" spans="1:15" x14ac:dyDescent="0.35">
      <c r="A84" s="262"/>
      <c r="B84" s="135" t="s">
        <v>146</v>
      </c>
      <c r="C84" s="151">
        <v>600000</v>
      </c>
      <c r="D84" s="135" t="s">
        <v>139</v>
      </c>
      <c r="E84" s="125">
        <f>E82</f>
        <v>1</v>
      </c>
      <c r="F84" s="125"/>
      <c r="G84" s="125"/>
      <c r="H84" s="149"/>
      <c r="I84" s="151">
        <f>C84*E84</f>
        <v>600000</v>
      </c>
    </row>
    <row r="85" spans="1:15" x14ac:dyDescent="0.35">
      <c r="A85" s="263"/>
      <c r="B85" s="135" t="s">
        <v>145</v>
      </c>
      <c r="C85" s="151">
        <v>200000</v>
      </c>
      <c r="D85" s="135" t="s">
        <v>147</v>
      </c>
      <c r="E85" s="125"/>
      <c r="F85" s="125">
        <f>F82</f>
        <v>1</v>
      </c>
      <c r="G85" s="125"/>
      <c r="H85" s="149"/>
      <c r="I85" s="151">
        <f>F85*C85</f>
        <v>200000</v>
      </c>
    </row>
    <row r="86" spans="1:15" x14ac:dyDescent="0.35">
      <c r="A86" s="135" t="s">
        <v>148</v>
      </c>
      <c r="B86" s="135" t="s">
        <v>148</v>
      </c>
      <c r="C86" s="151">
        <v>450000</v>
      </c>
      <c r="D86" s="135" t="s">
        <v>141</v>
      </c>
      <c r="E86" s="125">
        <f>E82</f>
        <v>1</v>
      </c>
      <c r="F86" s="125"/>
      <c r="G86" s="125">
        <f>G82</f>
        <v>1</v>
      </c>
      <c r="H86" s="149">
        <f>IF($H$82&lt;=120,2,IF($H$82&gt;220,4,3))</f>
        <v>4</v>
      </c>
      <c r="I86" s="151">
        <f>G86*C86*H86</f>
        <v>1800000</v>
      </c>
    </row>
    <row r="87" spans="1:15" x14ac:dyDescent="0.35">
      <c r="A87" s="135" t="s">
        <v>149</v>
      </c>
      <c r="B87" s="135" t="s">
        <v>149</v>
      </c>
      <c r="C87" s="151">
        <v>120000</v>
      </c>
      <c r="D87" s="135" t="s">
        <v>139</v>
      </c>
      <c r="E87" s="125">
        <f>E82</f>
        <v>1</v>
      </c>
      <c r="F87" s="125"/>
      <c r="G87" s="125"/>
      <c r="H87" s="149">
        <f>IF($H$82&lt;=120,2,IF($H$82&gt;220,4,3))</f>
        <v>4</v>
      </c>
      <c r="I87" s="151">
        <f>H87*C87*E87</f>
        <v>480000</v>
      </c>
    </row>
    <row r="88" spans="1:15" x14ac:dyDescent="0.35">
      <c r="I88" s="152">
        <f>SUM(I83:I87)</f>
        <v>6580000</v>
      </c>
      <c r="J88" s="153">
        <f>I88*2</f>
        <v>13160000</v>
      </c>
      <c r="K88" t="s">
        <v>150</v>
      </c>
    </row>
    <row r="89" spans="1:15" x14ac:dyDescent="0.35">
      <c r="J89" s="152">
        <f>I88*4</f>
        <v>26320000</v>
      </c>
      <c r="K89" t="s">
        <v>151</v>
      </c>
      <c r="L89" s="163">
        <f>J89+B76+E69</f>
        <v>49040000</v>
      </c>
    </row>
    <row r="90" spans="1:15" x14ac:dyDescent="0.35">
      <c r="K90" s="128"/>
      <c r="L90" s="163">
        <f>J88+B76+E69*1</f>
        <v>35880000</v>
      </c>
    </row>
    <row r="92" spans="1:15" x14ac:dyDescent="0.35">
      <c r="A92" s="132"/>
      <c r="B92" s="132"/>
      <c r="C92" s="138"/>
      <c r="D92" s="138"/>
      <c r="E92" s="138"/>
      <c r="F92" s="138"/>
      <c r="G92" s="138"/>
      <c r="H92" s="138"/>
      <c r="I92" s="138"/>
      <c r="J92" s="138"/>
      <c r="K92" s="138"/>
      <c r="L92" s="132"/>
      <c r="M92" s="132"/>
      <c r="N92" s="132"/>
      <c r="O92" s="132"/>
    </row>
    <row r="93" spans="1:15" x14ac:dyDescent="0.35">
      <c r="A93" s="122" t="s">
        <v>152</v>
      </c>
    </row>
    <row r="95" spans="1:15" x14ac:dyDescent="0.35">
      <c r="A95" s="135" t="s">
        <v>152</v>
      </c>
      <c r="B95" s="128"/>
    </row>
    <row r="96" spans="1:15" x14ac:dyDescent="0.35">
      <c r="A96" t="s">
        <v>153</v>
      </c>
    </row>
    <row r="97" spans="1:15" x14ac:dyDescent="0.35">
      <c r="A97" t="s">
        <v>154</v>
      </c>
      <c r="B97" s="127">
        <v>36000000</v>
      </c>
    </row>
    <row r="98" spans="1:15" x14ac:dyDescent="0.35">
      <c r="A98" t="s">
        <v>155</v>
      </c>
      <c r="B98" s="127">
        <v>42000000</v>
      </c>
    </row>
    <row r="99" spans="1:15" x14ac:dyDescent="0.35">
      <c r="A99" t="s">
        <v>156</v>
      </c>
      <c r="B99" s="127">
        <v>48000000</v>
      </c>
    </row>
    <row r="101" spans="1:15" x14ac:dyDescent="0.35">
      <c r="A101" t="s">
        <v>157</v>
      </c>
    </row>
    <row r="102" spans="1:15" x14ac:dyDescent="0.35">
      <c r="A102" t="s">
        <v>158</v>
      </c>
      <c r="B102" s="127">
        <v>75000000</v>
      </c>
    </row>
    <row r="103" spans="1:15" x14ac:dyDescent="0.35">
      <c r="A103" t="s">
        <v>156</v>
      </c>
      <c r="B103" s="127">
        <v>95000000</v>
      </c>
    </row>
    <row r="105" spans="1:15" x14ac:dyDescent="0.35">
      <c r="A105" s="132"/>
      <c r="B105" s="132"/>
      <c r="C105" s="138"/>
      <c r="D105" s="138"/>
      <c r="E105" s="138"/>
      <c r="F105" s="138"/>
      <c r="G105" s="138"/>
      <c r="H105" s="138"/>
      <c r="I105" s="138"/>
      <c r="J105" s="138"/>
      <c r="K105" s="138"/>
      <c r="L105" s="132"/>
      <c r="M105" s="132"/>
      <c r="N105" s="132"/>
      <c r="O105" s="132"/>
    </row>
    <row r="106" spans="1:15" x14ac:dyDescent="0.35">
      <c r="A106" s="122" t="s">
        <v>159</v>
      </c>
    </row>
    <row r="108" spans="1:15" x14ac:dyDescent="0.35">
      <c r="A108" t="s">
        <v>160</v>
      </c>
      <c r="C108" s="154">
        <v>150000000</v>
      </c>
    </row>
    <row r="109" spans="1:15" x14ac:dyDescent="0.35">
      <c r="A109" t="s">
        <v>161</v>
      </c>
      <c r="C109" s="154">
        <v>200000000</v>
      </c>
    </row>
    <row r="110" spans="1:15" x14ac:dyDescent="0.35">
      <c r="A110" t="s">
        <v>162</v>
      </c>
      <c r="C110" s="154">
        <v>85000000</v>
      </c>
    </row>
    <row r="111" spans="1:15" x14ac:dyDescent="0.35">
      <c r="A111" t="s">
        <v>163</v>
      </c>
      <c r="C111" s="154">
        <v>150000000</v>
      </c>
    </row>
    <row r="112" spans="1:15" x14ac:dyDescent="0.35">
      <c r="A112" t="s">
        <v>164</v>
      </c>
      <c r="C112" s="154">
        <v>50000000</v>
      </c>
    </row>
    <row r="114" spans="1:15" x14ac:dyDescent="0.35">
      <c r="A114" s="132"/>
      <c r="B114" s="132"/>
      <c r="C114" s="138"/>
      <c r="D114" s="138"/>
      <c r="E114" s="138"/>
      <c r="F114" s="138"/>
      <c r="G114" s="138"/>
      <c r="H114" s="138"/>
      <c r="I114" s="138"/>
      <c r="J114" s="138"/>
      <c r="K114" s="138"/>
      <c r="L114" s="132"/>
      <c r="M114" s="132"/>
      <c r="N114" s="132"/>
      <c r="O114" s="132"/>
    </row>
  </sheetData>
  <mergeCells count="8">
    <mergeCell ref="J81:J82"/>
    <mergeCell ref="A83:A85"/>
    <mergeCell ref="G68:H68"/>
    <mergeCell ref="A81:A82"/>
    <mergeCell ref="B81:B82"/>
    <mergeCell ref="C81:C82"/>
    <mergeCell ref="D81:D82"/>
    <mergeCell ref="I81:I82"/>
  </mergeCells>
  <conditionalFormatting sqref="B48:K48 C46:K46 P5:Q5 S5 C5:K8 C9:J11 C47:R47">
    <cfRule type="cellIs" dxfId="32" priority="35" operator="lessThan">
      <formula>0</formula>
    </cfRule>
  </conditionalFormatting>
  <conditionalFormatting sqref="T5">
    <cfRule type="cellIs" dxfId="31" priority="34" operator="lessThan">
      <formula>0</formula>
    </cfRule>
  </conditionalFormatting>
  <conditionalFormatting sqref="C12:E14">
    <cfRule type="cellIs" dxfId="30" priority="33" operator="lessThan">
      <formula>0</formula>
    </cfRule>
  </conditionalFormatting>
  <conditionalFormatting sqref="F12:K13">
    <cfRule type="cellIs" dxfId="29" priority="32" operator="lessThan">
      <formula>0</formula>
    </cfRule>
  </conditionalFormatting>
  <conditionalFormatting sqref="C15:F17">
    <cfRule type="cellIs" dxfId="28" priority="31" operator="lessThan">
      <formula>0</formula>
    </cfRule>
  </conditionalFormatting>
  <conditionalFormatting sqref="G15:L16">
    <cfRule type="cellIs" dxfId="27" priority="30" operator="lessThan">
      <formula>0</formula>
    </cfRule>
  </conditionalFormatting>
  <conditionalFormatting sqref="C18:F20">
    <cfRule type="cellIs" dxfId="26" priority="29" operator="lessThan">
      <formula>0</formula>
    </cfRule>
  </conditionalFormatting>
  <conditionalFormatting sqref="H18:M19">
    <cfRule type="cellIs" dxfId="25" priority="28" operator="lessThan">
      <formula>0</formula>
    </cfRule>
  </conditionalFormatting>
  <conditionalFormatting sqref="C21:F23">
    <cfRule type="cellIs" dxfId="24" priority="27" operator="lessThan">
      <formula>0</formula>
    </cfRule>
  </conditionalFormatting>
  <conditionalFormatting sqref="I21:N22">
    <cfRule type="cellIs" dxfId="23" priority="26" operator="lessThan">
      <formula>0</formula>
    </cfRule>
  </conditionalFormatting>
  <conditionalFormatting sqref="C24:F26">
    <cfRule type="cellIs" dxfId="22" priority="25" operator="lessThan">
      <formula>0</formula>
    </cfRule>
  </conditionalFormatting>
  <conditionalFormatting sqref="J24:O25">
    <cfRule type="cellIs" dxfId="21" priority="24" operator="lessThan">
      <formula>0</formula>
    </cfRule>
  </conditionalFormatting>
  <conditionalFormatting sqref="C27:F45">
    <cfRule type="cellIs" dxfId="20" priority="23" operator="lessThan">
      <formula>0</formula>
    </cfRule>
  </conditionalFormatting>
  <conditionalFormatting sqref="R30 L27:Q28 L30:Q31">
    <cfRule type="cellIs" dxfId="19" priority="22" operator="lessThan">
      <formula>0</formula>
    </cfRule>
  </conditionalFormatting>
  <conditionalFormatting sqref="K11">
    <cfRule type="cellIs" dxfId="18" priority="21" operator="lessThan">
      <formula>0</formula>
    </cfRule>
  </conditionalFormatting>
  <conditionalFormatting sqref="F14:G14">
    <cfRule type="cellIs" dxfId="17" priority="20" operator="lessThan">
      <formula>0</formula>
    </cfRule>
  </conditionalFormatting>
  <conditionalFormatting sqref="H14:L14">
    <cfRule type="cellIs" dxfId="16" priority="19" operator="lessThan">
      <formula>0</formula>
    </cfRule>
  </conditionalFormatting>
  <conditionalFormatting sqref="G17:H17">
    <cfRule type="cellIs" dxfId="15" priority="18" operator="lessThan">
      <formula>0</formula>
    </cfRule>
  </conditionalFormatting>
  <conditionalFormatting sqref="I17:M17">
    <cfRule type="cellIs" dxfId="14" priority="17" operator="lessThan">
      <formula>0</formula>
    </cfRule>
  </conditionalFormatting>
  <conditionalFormatting sqref="H20:I20">
    <cfRule type="cellIs" dxfId="13" priority="16" operator="lessThan">
      <formula>0</formula>
    </cfRule>
  </conditionalFormatting>
  <conditionalFormatting sqref="J20:N20">
    <cfRule type="cellIs" dxfId="12" priority="15" operator="lessThan">
      <formula>0</formula>
    </cfRule>
  </conditionalFormatting>
  <conditionalFormatting sqref="I23:J23">
    <cfRule type="cellIs" dxfId="11" priority="14" operator="lessThan">
      <formula>0</formula>
    </cfRule>
  </conditionalFormatting>
  <conditionalFormatting sqref="K23:O23">
    <cfRule type="cellIs" dxfId="10" priority="13" operator="lessThan">
      <formula>0</formula>
    </cfRule>
  </conditionalFormatting>
  <conditionalFormatting sqref="J26:K26">
    <cfRule type="cellIs" dxfId="9" priority="12" operator="lessThan">
      <formula>0</formula>
    </cfRule>
  </conditionalFormatting>
  <conditionalFormatting sqref="L26:P26">
    <cfRule type="cellIs" dxfId="8" priority="11" operator="lessThan">
      <formula>0</formula>
    </cfRule>
  </conditionalFormatting>
  <conditionalFormatting sqref="K29:L29">
    <cfRule type="cellIs" dxfId="7" priority="10" operator="lessThan">
      <formula>0</formula>
    </cfRule>
  </conditionalFormatting>
  <conditionalFormatting sqref="M29:Q29">
    <cfRule type="cellIs" dxfId="6" priority="9" operator="lessThan">
      <formula>0</formula>
    </cfRule>
  </conditionalFormatting>
  <conditionalFormatting sqref="L32:M33 L34 L35:M45">
    <cfRule type="cellIs" dxfId="5" priority="6" operator="lessThan">
      <formula>0</formula>
    </cfRule>
  </conditionalFormatting>
  <conditionalFormatting sqref="N32:R34 N36:R45">
    <cfRule type="cellIs" dxfId="4" priority="5" operator="lessThan">
      <formula>0</formula>
    </cfRule>
  </conditionalFormatting>
  <conditionalFormatting sqref="M34">
    <cfRule type="cellIs" dxfId="3" priority="4" operator="lessThan">
      <formula>0</formula>
    </cfRule>
  </conditionalFormatting>
  <conditionalFormatting sqref="N35">
    <cfRule type="cellIs" dxfId="2" priority="3" operator="lessThan">
      <formula>0</formula>
    </cfRule>
  </conditionalFormatting>
  <conditionalFormatting sqref="O35:R35">
    <cfRule type="cellIs" dxfId="1" priority="2" operator="lessThan">
      <formula>0</formula>
    </cfRule>
  </conditionalFormatting>
  <conditionalFormatting sqref="S3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BCA6C-3137-4A3B-88E5-E674425B501C}">
  <dimension ref="A2:M22"/>
  <sheetViews>
    <sheetView workbookViewId="0">
      <selection activeCell="F21" sqref="A2:F21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90625" bestFit="1" customWidth="1"/>
  </cols>
  <sheetData>
    <row r="2" spans="1:13" x14ac:dyDescent="0.35">
      <c r="A2" s="270" t="s">
        <v>218</v>
      </c>
      <c r="B2" s="270"/>
      <c r="C2" s="270"/>
      <c r="D2" s="270"/>
      <c r="E2" s="270"/>
      <c r="F2" s="270"/>
      <c r="G2" s="209"/>
      <c r="H2" s="209"/>
      <c r="I2" s="209"/>
      <c r="J2" s="209"/>
      <c r="K2" s="209"/>
      <c r="L2" s="209"/>
      <c r="M2" s="209"/>
    </row>
    <row r="3" spans="1:13" x14ac:dyDescent="0.35">
      <c r="A3" s="210" t="s">
        <v>210</v>
      </c>
      <c r="B3" s="210" t="s">
        <v>211</v>
      </c>
      <c r="C3" s="210" t="s">
        <v>212</v>
      </c>
      <c r="D3" s="211"/>
      <c r="G3" s="209"/>
      <c r="H3" s="209"/>
      <c r="I3" s="209"/>
      <c r="J3" s="209"/>
      <c r="K3" s="209"/>
      <c r="L3" s="209"/>
      <c r="M3" s="209"/>
    </row>
    <row r="4" spans="1:13" x14ac:dyDescent="0.35">
      <c r="A4" s="212" t="s">
        <v>219</v>
      </c>
      <c r="B4" s="213">
        <v>44382</v>
      </c>
      <c r="C4" s="213">
        <v>46207</v>
      </c>
      <c r="D4" s="214"/>
      <c r="E4" s="215"/>
      <c r="F4" s="215"/>
      <c r="G4" s="209"/>
      <c r="H4" s="209"/>
      <c r="I4" s="209"/>
      <c r="J4" s="209"/>
      <c r="K4" s="209"/>
      <c r="L4" s="209"/>
      <c r="M4" s="209"/>
    </row>
    <row r="5" spans="1:13" x14ac:dyDescent="0.35">
      <c r="A5" s="212" t="s">
        <v>220</v>
      </c>
      <c r="B5" s="213">
        <v>44653</v>
      </c>
      <c r="C5" s="213">
        <v>46478</v>
      </c>
      <c r="D5" s="214"/>
      <c r="E5" s="215"/>
      <c r="F5" s="215"/>
      <c r="G5" s="209"/>
      <c r="H5" s="209"/>
      <c r="I5" s="209"/>
      <c r="J5" s="209"/>
      <c r="K5" s="209"/>
      <c r="L5" s="209"/>
      <c r="M5" s="209"/>
    </row>
    <row r="6" spans="1:13" x14ac:dyDescent="0.35">
      <c r="A6" s="212" t="s">
        <v>221</v>
      </c>
      <c r="B6" s="213">
        <v>44461</v>
      </c>
      <c r="C6" s="213">
        <v>46286</v>
      </c>
      <c r="D6" s="214"/>
      <c r="E6" s="215"/>
      <c r="F6" s="215"/>
      <c r="G6" s="209"/>
      <c r="H6" s="209"/>
      <c r="I6" s="209"/>
      <c r="J6" s="209"/>
      <c r="K6" s="209"/>
      <c r="L6" s="209"/>
      <c r="M6" s="209"/>
    </row>
    <row r="7" spans="1:13" x14ac:dyDescent="0.35">
      <c r="A7" s="212" t="s">
        <v>213</v>
      </c>
      <c r="B7" s="213">
        <v>45847</v>
      </c>
      <c r="C7" s="213">
        <v>11147</v>
      </c>
      <c r="D7" s="214"/>
      <c r="G7" s="209"/>
      <c r="H7" s="209"/>
      <c r="I7" s="209"/>
      <c r="J7" s="209"/>
      <c r="K7" s="209"/>
      <c r="L7" s="209"/>
      <c r="M7" s="209"/>
    </row>
    <row r="8" spans="1:13" x14ac:dyDescent="0.35">
      <c r="A8" s="209"/>
      <c r="G8" s="209"/>
      <c r="H8" s="209"/>
      <c r="I8" s="209"/>
      <c r="J8" s="209"/>
      <c r="K8" s="209"/>
      <c r="L8" s="209"/>
      <c r="M8" s="209"/>
    </row>
    <row r="9" spans="1:13" x14ac:dyDescent="0.35">
      <c r="A9" s="209"/>
      <c r="B9" s="210" t="s">
        <v>211</v>
      </c>
      <c r="C9" s="210" t="s">
        <v>212</v>
      </c>
      <c r="D9" s="210" t="s">
        <v>214</v>
      </c>
      <c r="E9" s="214"/>
      <c r="F9" s="214"/>
      <c r="G9" s="209"/>
      <c r="H9" s="209"/>
      <c r="I9" s="209"/>
      <c r="J9" s="209"/>
      <c r="K9" s="209"/>
      <c r="L9" s="209"/>
      <c r="M9" s="209"/>
    </row>
    <row r="10" spans="1:13" x14ac:dyDescent="0.35">
      <c r="A10" s="209" t="s">
        <v>228</v>
      </c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x14ac:dyDescent="0.35">
      <c r="A11" s="209" t="s">
        <v>219</v>
      </c>
      <c r="B11" s="213">
        <v>44382</v>
      </c>
      <c r="C11" s="213">
        <v>46207</v>
      </c>
      <c r="D11" s="216">
        <f t="shared" ref="D11:D19" si="0">C11-B11</f>
        <v>1825</v>
      </c>
      <c r="E11" s="217">
        <v>350918592</v>
      </c>
      <c r="F11" s="218">
        <f>E11/365*D11</f>
        <v>1754592960</v>
      </c>
      <c r="G11" s="209"/>
      <c r="H11" s="209"/>
      <c r="I11" s="209"/>
      <c r="J11" s="209"/>
      <c r="K11" s="209"/>
      <c r="L11" s="209"/>
      <c r="M11" s="209"/>
    </row>
    <row r="12" spans="1:13" x14ac:dyDescent="0.35">
      <c r="A12" s="212" t="s">
        <v>220</v>
      </c>
      <c r="B12" s="213">
        <v>45847</v>
      </c>
      <c r="C12" s="213">
        <v>46478</v>
      </c>
      <c r="D12" s="216">
        <f t="shared" si="0"/>
        <v>631</v>
      </c>
      <c r="E12" s="217">
        <v>464640000</v>
      </c>
      <c r="F12" s="218">
        <f>E12/365*D12</f>
        <v>803254356.16438365</v>
      </c>
      <c r="G12" s="209"/>
      <c r="H12" s="209"/>
      <c r="I12" s="209"/>
      <c r="J12" s="209"/>
      <c r="K12" s="209"/>
      <c r="L12" s="209"/>
      <c r="M12" s="209"/>
    </row>
    <row r="13" spans="1:13" x14ac:dyDescent="0.35">
      <c r="A13" s="212" t="s">
        <v>221</v>
      </c>
      <c r="B13" s="213">
        <v>45847</v>
      </c>
      <c r="C13" s="213">
        <v>46286</v>
      </c>
      <c r="D13" s="216">
        <f t="shared" si="0"/>
        <v>439</v>
      </c>
      <c r="E13" s="217">
        <v>522571500</v>
      </c>
      <c r="F13" s="218">
        <f>E13/365*D13</f>
        <v>628517502.73972607</v>
      </c>
      <c r="G13" s="209"/>
      <c r="H13" s="209"/>
      <c r="I13" s="209"/>
      <c r="J13" s="209"/>
      <c r="K13" s="209"/>
      <c r="L13" s="209"/>
      <c r="M13" s="209"/>
    </row>
    <row r="14" spans="1:13" x14ac:dyDescent="0.35">
      <c r="A14" s="209" t="s">
        <v>215</v>
      </c>
      <c r="B14" s="213">
        <v>45847</v>
      </c>
      <c r="C14" s="213">
        <v>47672</v>
      </c>
      <c r="D14" s="216">
        <f t="shared" si="0"/>
        <v>1825</v>
      </c>
      <c r="E14" s="217">
        <f>'Summary Review '!D15</f>
        <v>400000000</v>
      </c>
      <c r="F14" s="218">
        <f>-E14/365*D14</f>
        <v>-2000000000</v>
      </c>
      <c r="G14" s="209"/>
      <c r="H14" s="209"/>
      <c r="I14" s="209"/>
      <c r="J14" s="209"/>
      <c r="K14" s="209"/>
      <c r="L14" s="209"/>
      <c r="M14" s="209"/>
    </row>
    <row r="15" spans="1:13" x14ac:dyDescent="0.35">
      <c r="A15" s="209" t="s">
        <v>223</v>
      </c>
      <c r="B15" s="213">
        <v>45847</v>
      </c>
      <c r="C15" s="213">
        <v>46207</v>
      </c>
      <c r="D15" s="216">
        <f t="shared" si="0"/>
        <v>360</v>
      </c>
      <c r="E15" s="217">
        <v>100000000</v>
      </c>
      <c r="F15" s="218">
        <f t="shared" ref="F15:F19" si="1">-E15/365*D15</f>
        <v>-98630136.986301363</v>
      </c>
      <c r="G15" s="209"/>
      <c r="H15" s="209"/>
      <c r="I15" s="209"/>
      <c r="J15" s="209"/>
      <c r="K15" s="209"/>
      <c r="L15" s="209"/>
      <c r="M15" s="209"/>
    </row>
    <row r="16" spans="1:13" x14ac:dyDescent="0.35">
      <c r="A16" s="209" t="s">
        <v>224</v>
      </c>
      <c r="B16" s="213">
        <v>45847</v>
      </c>
      <c r="C16" s="213">
        <v>46478</v>
      </c>
      <c r="D16" s="216">
        <f t="shared" si="0"/>
        <v>631</v>
      </c>
      <c r="E16" s="217">
        <v>100000000</v>
      </c>
      <c r="F16" s="218">
        <f t="shared" si="1"/>
        <v>-172876712.32876712</v>
      </c>
      <c r="G16" s="209"/>
      <c r="H16" s="209"/>
      <c r="I16" s="209"/>
      <c r="J16" s="209"/>
      <c r="K16" s="209"/>
      <c r="L16" s="209"/>
      <c r="M16" s="209"/>
    </row>
    <row r="17" spans="1:13" x14ac:dyDescent="0.35">
      <c r="A17" s="209" t="s">
        <v>225</v>
      </c>
      <c r="B17" s="213">
        <v>45847</v>
      </c>
      <c r="C17" s="213">
        <v>46207</v>
      </c>
      <c r="D17" s="216">
        <f t="shared" si="0"/>
        <v>360</v>
      </c>
      <c r="E17" s="217">
        <v>7000000</v>
      </c>
      <c r="F17" s="218">
        <f t="shared" si="1"/>
        <v>-6904109.5890410952</v>
      </c>
      <c r="G17" s="209"/>
      <c r="H17" s="209"/>
      <c r="I17" s="209"/>
      <c r="J17" s="209"/>
      <c r="K17" s="209"/>
      <c r="L17" s="209"/>
      <c r="M17" s="209"/>
    </row>
    <row r="18" spans="1:13" x14ac:dyDescent="0.35">
      <c r="A18" s="209" t="s">
        <v>226</v>
      </c>
      <c r="B18" s="213">
        <v>45847</v>
      </c>
      <c r="C18" s="213">
        <v>46478</v>
      </c>
      <c r="D18" s="216">
        <f t="shared" si="0"/>
        <v>631</v>
      </c>
      <c r="E18" s="217">
        <v>7000000</v>
      </c>
      <c r="F18" s="218">
        <f t="shared" si="1"/>
        <v>-12101369.863013698</v>
      </c>
      <c r="G18" s="209"/>
      <c r="H18" s="209"/>
      <c r="I18" s="209"/>
      <c r="J18" s="209"/>
      <c r="K18" s="209"/>
      <c r="L18" s="209"/>
      <c r="M18" s="209"/>
    </row>
    <row r="19" spans="1:13" x14ac:dyDescent="0.35">
      <c r="A19" s="209" t="s">
        <v>227</v>
      </c>
      <c r="B19" s="213">
        <v>45847</v>
      </c>
      <c r="C19" s="213">
        <v>46286</v>
      </c>
      <c r="D19" s="216">
        <f t="shared" si="0"/>
        <v>439</v>
      </c>
      <c r="E19" s="217">
        <v>7000000</v>
      </c>
      <c r="F19" s="218">
        <f t="shared" si="1"/>
        <v>-8419178.0821917802</v>
      </c>
      <c r="G19" s="209"/>
      <c r="H19" s="209"/>
      <c r="I19" s="209"/>
      <c r="J19" s="209"/>
      <c r="K19" s="209"/>
      <c r="L19" s="209"/>
      <c r="M19" s="209"/>
    </row>
    <row r="20" spans="1:13" x14ac:dyDescent="0.35">
      <c r="A20" s="209" t="s">
        <v>216</v>
      </c>
      <c r="B20" s="209"/>
      <c r="C20" s="209"/>
      <c r="D20" s="209"/>
      <c r="E20" s="219">
        <v>100000000</v>
      </c>
      <c r="F20" s="220"/>
      <c r="G20" s="209"/>
      <c r="H20" s="209"/>
      <c r="I20" s="209"/>
      <c r="J20" s="209"/>
      <c r="K20" s="209"/>
      <c r="L20" s="209"/>
      <c r="M20" s="209"/>
    </row>
    <row r="21" spans="1:13" x14ac:dyDescent="0.35">
      <c r="A21" s="209" t="s">
        <v>217</v>
      </c>
      <c r="B21" s="209"/>
      <c r="C21" s="209"/>
      <c r="D21" s="209"/>
      <c r="E21" s="209"/>
      <c r="F21" s="218">
        <f>SUM(F11:F20)</f>
        <v>887433312.05479479</v>
      </c>
      <c r="G21" s="209"/>
      <c r="H21" s="209"/>
      <c r="I21" s="209"/>
      <c r="J21" s="209"/>
      <c r="K21" s="209"/>
      <c r="L21" s="209"/>
      <c r="M21" s="209"/>
    </row>
    <row r="22" spans="1:13" x14ac:dyDescent="0.35">
      <c r="A22" s="209"/>
      <c r="B22" s="209"/>
      <c r="C22" s="209"/>
      <c r="D22" s="209"/>
      <c r="E22" s="209"/>
      <c r="F22" s="209"/>
      <c r="G22" s="209"/>
      <c r="H22" s="209"/>
      <c r="I22" s="209"/>
      <c r="J22" s="209"/>
      <c r="K22" s="209"/>
      <c r="L22" s="209"/>
      <c r="M22" s="209"/>
    </row>
  </sheetData>
  <mergeCells count="1">
    <mergeCell ref="A2:F2"/>
  </mergeCells>
  <pageMargins left="0.16" right="0.2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Summary Review </vt:lpstr>
      <vt:lpstr>Parameter</vt:lpstr>
      <vt:lpstr>Analisa</vt:lpstr>
      <vt:lpstr>Analisa!Print_Area</vt:lpstr>
      <vt:lpstr>IRR!Print_Area</vt:lpstr>
      <vt:lpstr>Summary!Print_Area</vt:lpstr>
      <vt:lpstr>'Summary Review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2024-11-20T07:33:36Z</cp:lastPrinted>
  <dcterms:created xsi:type="dcterms:W3CDTF">2024-01-30T02:49:52Z</dcterms:created>
  <dcterms:modified xsi:type="dcterms:W3CDTF">2024-11-20T10:17:13Z</dcterms:modified>
</cp:coreProperties>
</file>