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Building Willing to Pay\"/>
    </mc:Choice>
  </mc:AlternateContent>
  <xr:revisionPtr revIDLastSave="0" documentId="13_ncr:1_{CCAD174D-FB58-4BDA-B54F-555E348073D7}" xr6:coauthVersionLast="36" xr6:coauthVersionMax="36" xr10:uidLastSave="{00000000-0000-0000-0000-000000000000}"/>
  <bookViews>
    <workbookView xWindow="0" yWindow="0" windowWidth="19200" windowHeight="7550" firstSheet="1" activeTab="3" xr2:uid="{00000000-000D-0000-FFFF-FFFF00000000}"/>
  </bookViews>
  <sheets>
    <sheet name="Summary" sheetId="8" state="hidden" r:id="rId1"/>
    <sheet name="Summary2" sheetId="11" r:id="rId2"/>
    <sheet name="IRR with FO" sheetId="1" state="hidden" r:id="rId3"/>
    <sheet name="IRR " sheetId="12" r:id="rId4"/>
    <sheet name="IRR with FO Oprt Berbayar" sheetId="10" state="hidden" r:id="rId5"/>
    <sheet name="IRR with FO Oprt Berbayar 1" sheetId="13" state="hidden" r:id="rId6"/>
    <sheet name="PARAMETER" sheetId="5" r:id="rId7"/>
    <sheet name="BOQ Liwo Grand Wisata" sheetId="15" r:id="rId8"/>
  </sheets>
  <externalReferences>
    <externalReference r:id="rId9"/>
  </externalReferences>
  <definedNames>
    <definedName name="_xlnm._FilterDatabase" localSheetId="7" hidden="1">'BOQ Liwo Grand Wisata'!$B$8:$N$86</definedName>
    <definedName name="jk" localSheetId="5">#REF!</definedName>
    <definedName name="jk">#REF!</definedName>
    <definedName name="_xlnm.Print_Area" localSheetId="7">'BOQ Liwo Grand Wisata'!$B$1:$J$87</definedName>
    <definedName name="_xlnm.Print_Area" localSheetId="3">'IRR '!$B$1:$R$72</definedName>
    <definedName name="_xlnm.Print_Area" localSheetId="2">'IRR with FO'!$A$1:$R$67</definedName>
    <definedName name="_xlnm.Print_Area" localSheetId="4">'IRR with FO Oprt Berbayar'!$B$1:$R$72</definedName>
    <definedName name="_xlnm.Print_Area" localSheetId="5">'IRR with FO Oprt Berbayar 1'!$B$1:$R$72</definedName>
    <definedName name="_xlnm.Print_Area" localSheetId="0">Summary!$B$2:$N$33</definedName>
    <definedName name="_xlnm.Print_Area" localSheetId="1">Summary2!$B$1:$N$34</definedName>
    <definedName name="_xlnm.Print_Titles" localSheetId="7">'BOQ Liwo Grand Wisata'!$1:$7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12" l="1"/>
  <c r="R16" i="12"/>
  <c r="G13" i="12"/>
  <c r="I85" i="15"/>
  <c r="H85" i="15"/>
  <c r="H84" i="15"/>
  <c r="I84" i="15" s="1"/>
  <c r="I83" i="15"/>
  <c r="H83" i="15"/>
  <c r="H81" i="15"/>
  <c r="I81" i="15" s="1"/>
  <c r="I80" i="15"/>
  <c r="H80" i="15"/>
  <c r="H78" i="15"/>
  <c r="I78" i="15" s="1"/>
  <c r="I76" i="15"/>
  <c r="H76" i="15"/>
  <c r="H74" i="15"/>
  <c r="I74" i="15" s="1"/>
  <c r="I64" i="15"/>
  <c r="H64" i="15"/>
  <c r="H63" i="15"/>
  <c r="I63" i="15" s="1"/>
  <c r="I59" i="15"/>
  <c r="H59" i="15"/>
  <c r="H58" i="15"/>
  <c r="I58" i="15" s="1"/>
  <c r="I57" i="15"/>
  <c r="H57" i="15"/>
  <c r="H56" i="15"/>
  <c r="I56" i="15" s="1"/>
  <c r="I55" i="15"/>
  <c r="H55" i="15"/>
  <c r="H48" i="15"/>
  <c r="I48" i="15" s="1"/>
  <c r="I47" i="15"/>
  <c r="H47" i="15"/>
  <c r="H46" i="15"/>
  <c r="I46" i="15" s="1"/>
  <c r="I45" i="15"/>
  <c r="H45" i="15"/>
  <c r="H44" i="15"/>
  <c r="I44" i="15" s="1"/>
  <c r="I43" i="15"/>
  <c r="H43" i="15"/>
  <c r="H42" i="15"/>
  <c r="I42" i="15" s="1"/>
  <c r="I41" i="15"/>
  <c r="H41" i="15"/>
  <c r="H40" i="15"/>
  <c r="I40" i="15" s="1"/>
  <c r="I39" i="15"/>
  <c r="H39" i="15"/>
  <c r="H37" i="15"/>
  <c r="I37" i="15" s="1"/>
  <c r="I36" i="15"/>
  <c r="H36" i="15"/>
  <c r="H33" i="15"/>
  <c r="I33" i="15" s="1"/>
  <c r="I32" i="15"/>
  <c r="H32" i="15"/>
  <c r="H31" i="15"/>
  <c r="I31" i="15" s="1"/>
  <c r="I29" i="15"/>
  <c r="H29" i="15"/>
  <c r="H28" i="15"/>
  <c r="I28" i="15" s="1"/>
  <c r="I27" i="15"/>
  <c r="H27" i="15"/>
  <c r="H26" i="15"/>
  <c r="I26" i="15" s="1"/>
  <c r="I24" i="15"/>
  <c r="H24" i="15"/>
  <c r="H23" i="15"/>
  <c r="I23" i="15" s="1"/>
  <c r="I22" i="15"/>
  <c r="H22" i="15"/>
  <c r="H20" i="15"/>
  <c r="I20" i="15" s="1"/>
  <c r="I18" i="15"/>
  <c r="H18" i="15"/>
  <c r="H16" i="15"/>
  <c r="I16" i="15" s="1"/>
  <c r="I15" i="15"/>
  <c r="H15" i="15"/>
  <c r="H14" i="15"/>
  <c r="I14" i="15" s="1"/>
  <c r="I12" i="15"/>
  <c r="H12" i="15"/>
  <c r="H11" i="15"/>
  <c r="I11" i="15" s="1"/>
  <c r="I10" i="15"/>
  <c r="H10" i="15"/>
  <c r="I86" i="15" l="1"/>
  <c r="I89" i="15" s="1"/>
  <c r="H25" i="12" l="1"/>
  <c r="M2" i="11" l="1"/>
  <c r="G14" i="12"/>
  <c r="R1" i="12" l="1"/>
  <c r="R26" i="12"/>
  <c r="R27" i="12"/>
  <c r="G28" i="12"/>
  <c r="H28" i="12" s="1"/>
  <c r="J28" i="12"/>
  <c r="K28" i="12"/>
  <c r="L28" i="12"/>
  <c r="M28" i="12"/>
  <c r="N28" i="12"/>
  <c r="O28" i="12"/>
  <c r="P28" i="12"/>
  <c r="Q28" i="12"/>
  <c r="G29" i="12"/>
  <c r="H29" i="12" s="1"/>
  <c r="R29" i="12" s="1"/>
  <c r="R30" i="12"/>
  <c r="I36" i="12"/>
  <c r="G15" i="12"/>
  <c r="G50" i="12" s="1"/>
  <c r="R28" i="12" l="1"/>
  <c r="G23" i="12"/>
  <c r="J26" i="10" l="1"/>
  <c r="K26" i="10" s="1"/>
  <c r="L26" i="10" s="1"/>
  <c r="I25" i="10"/>
  <c r="H71" i="13"/>
  <c r="R70" i="13"/>
  <c r="P69" i="13"/>
  <c r="R69" i="13" s="1"/>
  <c r="O68" i="13"/>
  <c r="P68" i="13" s="1"/>
  <c r="N67" i="13"/>
  <c r="M66" i="13"/>
  <c r="N66" i="13" s="1"/>
  <c r="L65" i="13"/>
  <c r="M65" i="13" s="1"/>
  <c r="N65" i="13" s="1"/>
  <c r="O65" i="13" s="1"/>
  <c r="P65" i="13" s="1"/>
  <c r="K64" i="13"/>
  <c r="J63" i="13"/>
  <c r="I62" i="13"/>
  <c r="I71" i="13" s="1"/>
  <c r="I43" i="13" s="1"/>
  <c r="R61" i="13"/>
  <c r="K60" i="13"/>
  <c r="J60" i="13"/>
  <c r="I60" i="13"/>
  <c r="H60" i="13"/>
  <c r="G60" i="13"/>
  <c r="Q50" i="13"/>
  <c r="P50" i="13"/>
  <c r="O50" i="13"/>
  <c r="N50" i="13"/>
  <c r="M50" i="13"/>
  <c r="L50" i="13"/>
  <c r="K50" i="13"/>
  <c r="J50" i="13"/>
  <c r="H50" i="13"/>
  <c r="G50" i="13"/>
  <c r="H43" i="13"/>
  <c r="Q39" i="13"/>
  <c r="P39" i="13"/>
  <c r="O39" i="13"/>
  <c r="N39" i="13"/>
  <c r="M39" i="13"/>
  <c r="G38" i="13"/>
  <c r="I37" i="13"/>
  <c r="L36" i="13"/>
  <c r="K36" i="13"/>
  <c r="J36" i="13"/>
  <c r="I36" i="13"/>
  <c r="H35" i="13"/>
  <c r="I35" i="13" s="1"/>
  <c r="G35" i="13"/>
  <c r="G39" i="13" s="1"/>
  <c r="I34" i="13"/>
  <c r="R30" i="13"/>
  <c r="G29" i="13"/>
  <c r="T28" i="13"/>
  <c r="Q28" i="13"/>
  <c r="P28" i="13"/>
  <c r="O28" i="13"/>
  <c r="N28" i="13"/>
  <c r="M28" i="13"/>
  <c r="L28" i="13"/>
  <c r="K28" i="13"/>
  <c r="J28" i="13"/>
  <c r="G28" i="13"/>
  <c r="R27" i="13"/>
  <c r="R26" i="13"/>
  <c r="I25" i="13"/>
  <c r="I31" i="13" s="1"/>
  <c r="Q24" i="13"/>
  <c r="P24" i="13"/>
  <c r="O24" i="13"/>
  <c r="N24" i="13"/>
  <c r="M24" i="13"/>
  <c r="M31" i="13" s="1"/>
  <c r="M40" i="13" s="1"/>
  <c r="H24" i="13"/>
  <c r="G24" i="13"/>
  <c r="Q23" i="13"/>
  <c r="P23" i="13"/>
  <c r="O23" i="13"/>
  <c r="N23" i="13"/>
  <c r="M23" i="13"/>
  <c r="L23" i="13"/>
  <c r="K23" i="13"/>
  <c r="J23" i="13"/>
  <c r="G23" i="13"/>
  <c r="L18" i="13"/>
  <c r="L60" i="13" s="1"/>
  <c r="I16" i="13"/>
  <c r="I50" i="13" s="1"/>
  <c r="R15" i="13"/>
  <c r="R14" i="13"/>
  <c r="R13" i="13"/>
  <c r="R1" i="13"/>
  <c r="J62" i="13" l="1"/>
  <c r="J71" i="13" s="1"/>
  <c r="J43" i="13" s="1"/>
  <c r="N31" i="13"/>
  <c r="N40" i="13" s="1"/>
  <c r="R36" i="13"/>
  <c r="R68" i="13"/>
  <c r="O31" i="13"/>
  <c r="O40" i="13" s="1"/>
  <c r="O41" i="13" s="1"/>
  <c r="K63" i="13"/>
  <c r="L63" i="13" s="1"/>
  <c r="M63" i="13" s="1"/>
  <c r="N63" i="13" s="1"/>
  <c r="O63" i="13" s="1"/>
  <c r="P63" i="13" s="1"/>
  <c r="Q63" i="13" s="1"/>
  <c r="P31" i="13"/>
  <c r="P40" i="13" s="1"/>
  <c r="P41" i="13" s="1"/>
  <c r="H28" i="13"/>
  <c r="R28" i="13" s="1"/>
  <c r="Q31" i="13"/>
  <c r="Q40" i="13" s="1"/>
  <c r="R24" i="13"/>
  <c r="O66" i="13"/>
  <c r="P66" i="13" s="1"/>
  <c r="M41" i="13"/>
  <c r="N41" i="13"/>
  <c r="J35" i="13"/>
  <c r="K35" i="13" s="1"/>
  <c r="L35" i="13" s="1"/>
  <c r="Q41" i="13"/>
  <c r="R16" i="13"/>
  <c r="R17" i="13" s="1"/>
  <c r="J34" i="13"/>
  <c r="R50" i="13"/>
  <c r="O67" i="13"/>
  <c r="P67" i="13" s="1"/>
  <c r="L64" i="13"/>
  <c r="M64" i="13" s="1"/>
  <c r="N64" i="13" s="1"/>
  <c r="O64" i="13" s="1"/>
  <c r="P64" i="13" s="1"/>
  <c r="Q64" i="13" s="1"/>
  <c r="M18" i="13"/>
  <c r="G31" i="13"/>
  <c r="G40" i="13" s="1"/>
  <c r="G44" i="13" s="1"/>
  <c r="R35" i="13"/>
  <c r="R65" i="13"/>
  <c r="H29" i="13"/>
  <c r="R29" i="13" s="1"/>
  <c r="H23" i="13"/>
  <c r="H31" i="13" s="1"/>
  <c r="J37" i="13"/>
  <c r="K37" i="13" s="1"/>
  <c r="L37" i="13" s="1"/>
  <c r="J25" i="13"/>
  <c r="K62" i="13"/>
  <c r="R37" i="13" l="1"/>
  <c r="R63" i="13"/>
  <c r="R66" i="13"/>
  <c r="K71" i="13"/>
  <c r="K43" i="13" s="1"/>
  <c r="L62" i="13"/>
  <c r="M60" i="13"/>
  <c r="N18" i="13"/>
  <c r="R23" i="13"/>
  <c r="R67" i="13"/>
  <c r="K25" i="13"/>
  <c r="J31" i="13"/>
  <c r="K34" i="13"/>
  <c r="R64" i="13"/>
  <c r="K31" i="13" l="1"/>
  <c r="L25" i="13"/>
  <c r="L31" i="13" s="1"/>
  <c r="S23" i="13"/>
  <c r="L34" i="13"/>
  <c r="O18" i="13"/>
  <c r="N60" i="13"/>
  <c r="M62" i="13"/>
  <c r="L71" i="13"/>
  <c r="L43" i="13" s="1"/>
  <c r="O60" i="13" l="1"/>
  <c r="P18" i="13"/>
  <c r="N62" i="13"/>
  <c r="M71" i="13"/>
  <c r="M43" i="13" s="1"/>
  <c r="M44" i="13" s="1"/>
  <c r="M46" i="13" s="1"/>
  <c r="R34" i="13"/>
  <c r="R25" i="13"/>
  <c r="R31" i="13" s="1"/>
  <c r="P60" i="13" l="1"/>
  <c r="Q18" i="13"/>
  <c r="Q60" i="13" s="1"/>
  <c r="M47" i="13"/>
  <c r="M48" i="13" s="1"/>
  <c r="M51" i="13" s="1"/>
  <c r="O62" i="13"/>
  <c r="N71" i="13"/>
  <c r="N43" i="13" s="1"/>
  <c r="N44" i="13" s="1"/>
  <c r="N46" i="13" s="1"/>
  <c r="S31" i="13"/>
  <c r="N47" i="13" l="1"/>
  <c r="N48" i="13" s="1"/>
  <c r="N51" i="13" s="1"/>
  <c r="O71" i="13"/>
  <c r="O43" i="13" s="1"/>
  <c r="O44" i="13" s="1"/>
  <c r="O46" i="13" s="1"/>
  <c r="P62" i="13"/>
  <c r="P71" i="13" l="1"/>
  <c r="P43" i="13" s="1"/>
  <c r="P44" i="13" s="1"/>
  <c r="P46" i="13" s="1"/>
  <c r="Q62" i="13"/>
  <c r="O47" i="13"/>
  <c r="O48" i="13" s="1"/>
  <c r="O51" i="13" s="1"/>
  <c r="Q71" i="13" l="1"/>
  <c r="Q43" i="13" s="1"/>
  <c r="R62" i="13"/>
  <c r="R71" i="13" s="1"/>
  <c r="P47" i="13"/>
  <c r="P48" i="13" s="1"/>
  <c r="P51" i="13" s="1"/>
  <c r="Q44" i="13" l="1"/>
  <c r="Q46" i="13" s="1"/>
  <c r="R43" i="13"/>
  <c r="Q47" i="13" l="1"/>
  <c r="Q48" i="13" l="1"/>
  <c r="Q51" i="13" s="1"/>
  <c r="M13" i="11" l="1"/>
  <c r="M12" i="11"/>
  <c r="M11" i="11"/>
  <c r="I16" i="10" l="1"/>
  <c r="R70" i="12"/>
  <c r="P69" i="12"/>
  <c r="R69" i="12" s="1"/>
  <c r="O68" i="12"/>
  <c r="P68" i="12" s="1"/>
  <c r="R68" i="12" s="1"/>
  <c r="N67" i="12"/>
  <c r="M66" i="12"/>
  <c r="L65" i="12"/>
  <c r="M65" i="12" s="1"/>
  <c r="N65" i="12" s="1"/>
  <c r="O65" i="12" s="1"/>
  <c r="P65" i="12" s="1"/>
  <c r="K64" i="12"/>
  <c r="L64" i="12" s="1"/>
  <c r="J63" i="12"/>
  <c r="K63" i="12" s="1"/>
  <c r="L63" i="12" s="1"/>
  <c r="M63" i="12" s="1"/>
  <c r="N63" i="12" s="1"/>
  <c r="O63" i="12" s="1"/>
  <c r="P63" i="12" s="1"/>
  <c r="Q63" i="12" s="1"/>
  <c r="I62" i="12"/>
  <c r="K60" i="12"/>
  <c r="J60" i="12"/>
  <c r="I60" i="12"/>
  <c r="H60" i="12"/>
  <c r="G60" i="12"/>
  <c r="Q50" i="12"/>
  <c r="P50" i="12"/>
  <c r="O50" i="12"/>
  <c r="N50" i="12"/>
  <c r="M50" i="12"/>
  <c r="L50" i="12"/>
  <c r="K50" i="12"/>
  <c r="J50" i="12"/>
  <c r="Q39" i="12"/>
  <c r="P39" i="12"/>
  <c r="O39" i="12"/>
  <c r="N39" i="12"/>
  <c r="M39" i="12"/>
  <c r="I37" i="12"/>
  <c r="J37" i="12" s="1"/>
  <c r="G39" i="12"/>
  <c r="L36" i="12"/>
  <c r="Q24" i="12"/>
  <c r="P24" i="12"/>
  <c r="P31" i="12" s="1"/>
  <c r="O24" i="12"/>
  <c r="N24" i="12"/>
  <c r="M24" i="12"/>
  <c r="Q23" i="12"/>
  <c r="P23" i="12"/>
  <c r="O23" i="12"/>
  <c r="N23" i="12"/>
  <c r="M23" i="12"/>
  <c r="L23" i="12"/>
  <c r="K23" i="12"/>
  <c r="J23" i="12"/>
  <c r="L18" i="12"/>
  <c r="L60" i="12" s="1"/>
  <c r="R15" i="12"/>
  <c r="R14" i="12"/>
  <c r="R13" i="12"/>
  <c r="J25" i="10"/>
  <c r="K25" i="10" s="1"/>
  <c r="L25" i="10" s="1"/>
  <c r="R26" i="10"/>
  <c r="K36" i="10"/>
  <c r="L36" i="10"/>
  <c r="I34" i="10"/>
  <c r="J34" i="10" s="1"/>
  <c r="K34" i="10" s="1"/>
  <c r="L34" i="10" s="1"/>
  <c r="R30" i="10"/>
  <c r="I37" i="10"/>
  <c r="I36" i="10"/>
  <c r="H35" i="10"/>
  <c r="I35" i="10" s="1"/>
  <c r="J35" i="10" s="1"/>
  <c r="K35" i="10" s="1"/>
  <c r="L35" i="10" s="1"/>
  <c r="G35" i="10"/>
  <c r="R27" i="10"/>
  <c r="J36" i="10"/>
  <c r="H24" i="10"/>
  <c r="G24" i="10"/>
  <c r="R24" i="10" s="1"/>
  <c r="Q31" i="12" l="1"/>
  <c r="Q40" i="12" s="1"/>
  <c r="Q41" i="12" s="1"/>
  <c r="P40" i="12"/>
  <c r="N31" i="12"/>
  <c r="N40" i="12" s="1"/>
  <c r="N41" i="12" s="1"/>
  <c r="O31" i="12"/>
  <c r="O40" i="12" s="1"/>
  <c r="O41" i="12" s="1"/>
  <c r="M31" i="12"/>
  <c r="M40" i="12" s="1"/>
  <c r="M41" i="12" s="1"/>
  <c r="P41" i="12"/>
  <c r="J62" i="12"/>
  <c r="G31" i="12"/>
  <c r="G40" i="12" s="1"/>
  <c r="I50" i="12"/>
  <c r="R63" i="12"/>
  <c r="N66" i="12"/>
  <c r="O66" i="12" s="1"/>
  <c r="P66" i="12" s="1"/>
  <c r="R65" i="12"/>
  <c r="M64" i="12"/>
  <c r="N64" i="12" s="1"/>
  <c r="O64" i="12" s="1"/>
  <c r="P64" i="12" s="1"/>
  <c r="Q64" i="12" s="1"/>
  <c r="K37" i="12"/>
  <c r="L37" i="12" s="1"/>
  <c r="J36" i="12"/>
  <c r="K36" i="12"/>
  <c r="O67" i="12"/>
  <c r="P67" i="12" s="1"/>
  <c r="M18" i="12"/>
  <c r="R25" i="10"/>
  <c r="R36" i="10"/>
  <c r="R35" i="10"/>
  <c r="R34" i="10"/>
  <c r="R66" i="12" l="1"/>
  <c r="R67" i="12"/>
  <c r="R36" i="12"/>
  <c r="R50" i="12"/>
  <c r="K62" i="12"/>
  <c r="R23" i="12"/>
  <c r="R37" i="12"/>
  <c r="M60" i="12"/>
  <c r="N18" i="12"/>
  <c r="R64" i="12"/>
  <c r="G44" i="12"/>
  <c r="G46" i="12" s="1"/>
  <c r="R34" i="12"/>
  <c r="R25" i="12" l="1"/>
  <c r="O18" i="12"/>
  <c r="N60" i="12"/>
  <c r="G47" i="12"/>
  <c r="G48" i="12" s="1"/>
  <c r="G51" i="12" s="1"/>
  <c r="L62" i="12"/>
  <c r="H39" i="12" l="1"/>
  <c r="I31" i="12"/>
  <c r="G52" i="12"/>
  <c r="M62" i="12"/>
  <c r="O60" i="12"/>
  <c r="P18" i="12"/>
  <c r="J31" i="12" l="1"/>
  <c r="R35" i="12"/>
  <c r="P60" i="12"/>
  <c r="Q18" i="12"/>
  <c r="Q60" i="12" s="1"/>
  <c r="M71" i="12"/>
  <c r="M43" i="12" s="1"/>
  <c r="M44" i="12" s="1"/>
  <c r="M46" i="12" s="1"/>
  <c r="N62" i="12"/>
  <c r="G53" i="12"/>
  <c r="I39" i="12" l="1"/>
  <c r="I40" i="12" s="1"/>
  <c r="J39" i="12"/>
  <c r="J40" i="12" s="1"/>
  <c r="L31" i="12"/>
  <c r="K31" i="12"/>
  <c r="N71" i="12"/>
  <c r="N43" i="12" s="1"/>
  <c r="N44" i="12" s="1"/>
  <c r="N46" i="12" s="1"/>
  <c r="O62" i="12"/>
  <c r="M47" i="12"/>
  <c r="M48" i="12" s="1"/>
  <c r="M51" i="12" s="1"/>
  <c r="J41" i="12" l="1"/>
  <c r="K39" i="12"/>
  <c r="L39" i="12"/>
  <c r="L40" i="12" s="1"/>
  <c r="L41" i="12" s="1"/>
  <c r="I41" i="12"/>
  <c r="O71" i="12"/>
  <c r="O43" i="12" s="1"/>
  <c r="O44" i="12" s="1"/>
  <c r="O46" i="12" s="1"/>
  <c r="P62" i="12"/>
  <c r="N47" i="12"/>
  <c r="N48" i="12" s="1"/>
  <c r="N51" i="12" s="1"/>
  <c r="R38" i="12" l="1"/>
  <c r="R39" i="12" s="1"/>
  <c r="K40" i="12"/>
  <c r="O47" i="12"/>
  <c r="O48" i="12" s="1"/>
  <c r="O51" i="12" s="1"/>
  <c r="P71" i="12"/>
  <c r="P43" i="12" s="1"/>
  <c r="P44" i="12" s="1"/>
  <c r="P46" i="12" s="1"/>
  <c r="Q62" i="12"/>
  <c r="K41" i="12" l="1"/>
  <c r="M16" i="11"/>
  <c r="P47" i="12"/>
  <c r="P48" i="12" s="1"/>
  <c r="P51" i="12" s="1"/>
  <c r="Q71" i="12"/>
  <c r="Q43" i="12" s="1"/>
  <c r="R62" i="12"/>
  <c r="Q44" i="12" l="1"/>
  <c r="Q46" i="12" s="1"/>
  <c r="Q47" i="12" l="1"/>
  <c r="Q48" i="12" l="1"/>
  <c r="Q51" i="12" s="1"/>
  <c r="G60" i="10" l="1"/>
  <c r="L28" i="10"/>
  <c r="I50" i="10"/>
  <c r="H50" i="10" l="1"/>
  <c r="G38" i="10" l="1"/>
  <c r="G39" i="10" l="1"/>
  <c r="G33" i="1"/>
  <c r="H31" i="1"/>
  <c r="G31" i="1"/>
  <c r="G24" i="1"/>
  <c r="R16" i="10"/>
  <c r="M8" i="11"/>
  <c r="M6" i="11"/>
  <c r="G29" i="10"/>
  <c r="G28" i="10"/>
  <c r="G23" i="10"/>
  <c r="H23" i="10" l="1"/>
  <c r="H28" i="10"/>
  <c r="H29" i="10"/>
  <c r="R29" i="10"/>
  <c r="G26" i="1"/>
  <c r="H26" i="1" s="1"/>
  <c r="G25" i="1"/>
  <c r="H25" i="1" s="1"/>
  <c r="G23" i="1"/>
  <c r="H23" i="1" s="1"/>
  <c r="I31" i="1" l="1"/>
  <c r="J31" i="1" s="1"/>
  <c r="K31" i="1" s="1"/>
  <c r="L31" i="1" s="1"/>
  <c r="H31" i="10"/>
  <c r="H71" i="10"/>
  <c r="H43" i="10" s="1"/>
  <c r="R70" i="10"/>
  <c r="P69" i="10"/>
  <c r="R69" i="10" s="1"/>
  <c r="O68" i="10"/>
  <c r="P68" i="10" s="1"/>
  <c r="R68" i="10" s="1"/>
  <c r="N67" i="10"/>
  <c r="M66" i="10"/>
  <c r="L65" i="10"/>
  <c r="K64" i="10"/>
  <c r="J63" i="10"/>
  <c r="K63" i="10" s="1"/>
  <c r="I62" i="10"/>
  <c r="R61" i="10"/>
  <c r="K60" i="10"/>
  <c r="J60" i="10"/>
  <c r="I60" i="10"/>
  <c r="H60" i="10"/>
  <c r="Q50" i="10"/>
  <c r="P50" i="10"/>
  <c r="O50" i="10"/>
  <c r="N50" i="10"/>
  <c r="M50" i="10"/>
  <c r="L50" i="10"/>
  <c r="K50" i="10"/>
  <c r="J50" i="10"/>
  <c r="Q39" i="10"/>
  <c r="P39" i="10"/>
  <c r="O39" i="10"/>
  <c r="N39" i="10"/>
  <c r="M39" i="10"/>
  <c r="T28" i="10"/>
  <c r="Q28" i="10"/>
  <c r="P28" i="10"/>
  <c r="O28" i="10"/>
  <c r="N28" i="10"/>
  <c r="M28" i="10"/>
  <c r="K28" i="10"/>
  <c r="J28" i="10"/>
  <c r="R28" i="10" s="1"/>
  <c r="Q24" i="10"/>
  <c r="P24" i="10"/>
  <c r="O24" i="10"/>
  <c r="N24" i="10"/>
  <c r="M24" i="10"/>
  <c r="I31" i="10"/>
  <c r="G31" i="10"/>
  <c r="Q23" i="10"/>
  <c r="P23" i="10"/>
  <c r="O23" i="10"/>
  <c r="O31" i="10" s="1"/>
  <c r="N23" i="10"/>
  <c r="M23" i="10"/>
  <c r="L23" i="10"/>
  <c r="K23" i="10"/>
  <c r="J23" i="10"/>
  <c r="R23" i="10" s="1"/>
  <c r="S23" i="10" s="1"/>
  <c r="L18" i="10"/>
  <c r="L60" i="10" s="1"/>
  <c r="R15" i="10"/>
  <c r="R14" i="10"/>
  <c r="R13" i="10"/>
  <c r="R1" i="10"/>
  <c r="R17" i="10" l="1"/>
  <c r="P31" i="10"/>
  <c r="P40" i="10" s="1"/>
  <c r="P41" i="10" s="1"/>
  <c r="M31" i="10"/>
  <c r="M40" i="10" s="1"/>
  <c r="M41" i="10" s="1"/>
  <c r="N31" i="10"/>
  <c r="N40" i="10" s="1"/>
  <c r="N41" i="10" s="1"/>
  <c r="Q31" i="10"/>
  <c r="Q40" i="10" s="1"/>
  <c r="Q41" i="10" s="1"/>
  <c r="O40" i="10"/>
  <c r="O41" i="10" s="1"/>
  <c r="J37" i="10"/>
  <c r="G40" i="10"/>
  <c r="L63" i="10"/>
  <c r="M63" i="10" s="1"/>
  <c r="N63" i="10" s="1"/>
  <c r="O63" i="10" s="1"/>
  <c r="P63" i="10" s="1"/>
  <c r="Q63" i="10" s="1"/>
  <c r="M65" i="10"/>
  <c r="N65" i="10" s="1"/>
  <c r="O65" i="10" s="1"/>
  <c r="P65" i="10" s="1"/>
  <c r="J62" i="10"/>
  <c r="I71" i="10"/>
  <c r="I43" i="10" s="1"/>
  <c r="N66" i="10"/>
  <c r="O66" i="10" s="1"/>
  <c r="P66" i="10" s="1"/>
  <c r="R66" i="10" s="1"/>
  <c r="G50" i="10"/>
  <c r="L64" i="10"/>
  <c r="M64" i="10" s="1"/>
  <c r="N64" i="10" s="1"/>
  <c r="O64" i="10" s="1"/>
  <c r="P64" i="10" s="1"/>
  <c r="Q64" i="10" s="1"/>
  <c r="M18" i="10"/>
  <c r="O67" i="10"/>
  <c r="P67" i="10" s="1"/>
  <c r="R67" i="10" s="1"/>
  <c r="G44" i="10" l="1"/>
  <c r="K37" i="10"/>
  <c r="R31" i="10"/>
  <c r="K31" i="10"/>
  <c r="J31" i="10"/>
  <c r="R63" i="10"/>
  <c r="R65" i="10"/>
  <c r="J71" i="10"/>
  <c r="J43" i="10" s="1"/>
  <c r="K62" i="10"/>
  <c r="R64" i="10"/>
  <c r="M60" i="10"/>
  <c r="N18" i="10"/>
  <c r="R50" i="10"/>
  <c r="L37" i="10" l="1"/>
  <c r="L31" i="10"/>
  <c r="S31" i="10" s="1"/>
  <c r="K71" i="10"/>
  <c r="K43" i="10" s="1"/>
  <c r="L62" i="10"/>
  <c r="N60" i="10"/>
  <c r="O18" i="10"/>
  <c r="R37" i="10" l="1"/>
  <c r="L71" i="10"/>
  <c r="L43" i="10" s="1"/>
  <c r="M62" i="10"/>
  <c r="P18" i="10"/>
  <c r="O60" i="10"/>
  <c r="Q18" i="10" l="1"/>
  <c r="Q60" i="10" s="1"/>
  <c r="P60" i="10"/>
  <c r="M71" i="10"/>
  <c r="M43" i="10" s="1"/>
  <c r="M44" i="10" s="1"/>
  <c r="M46" i="10" s="1"/>
  <c r="N62" i="10"/>
  <c r="M47" i="10" l="1"/>
  <c r="M48" i="10"/>
  <c r="M51" i="10" s="1"/>
  <c r="N71" i="10"/>
  <c r="N43" i="10" s="1"/>
  <c r="N44" i="10" s="1"/>
  <c r="N46" i="10" s="1"/>
  <c r="O62" i="10"/>
  <c r="O71" i="10" l="1"/>
  <c r="O43" i="10" s="1"/>
  <c r="O44" i="10" s="1"/>
  <c r="O46" i="10" s="1"/>
  <c r="P62" i="10"/>
  <c r="N47" i="10"/>
  <c r="N48" i="10" s="1"/>
  <c r="N51" i="10" s="1"/>
  <c r="O47" i="10" l="1"/>
  <c r="O48" i="10" s="1"/>
  <c r="O51" i="10" s="1"/>
  <c r="P71" i="10"/>
  <c r="P43" i="10" s="1"/>
  <c r="P44" i="10" s="1"/>
  <c r="P46" i="10" s="1"/>
  <c r="Q62" i="10"/>
  <c r="P47" i="10" l="1"/>
  <c r="P48" i="10" s="1"/>
  <c r="P51" i="10" s="1"/>
  <c r="Q71" i="10"/>
  <c r="Q43" i="10" s="1"/>
  <c r="R62" i="10"/>
  <c r="R71" i="10" s="1"/>
  <c r="Q44" i="10" l="1"/>
  <c r="Q46" i="10" s="1"/>
  <c r="R43" i="10"/>
  <c r="Q47" i="10" l="1"/>
  <c r="Q48" i="10" l="1"/>
  <c r="Q51" i="10" s="1"/>
  <c r="G13" i="1" l="1"/>
  <c r="G45" i="1" s="1"/>
  <c r="H24" i="1"/>
  <c r="I24" i="1" s="1"/>
  <c r="J24" i="1" s="1"/>
  <c r="K24" i="1" s="1"/>
  <c r="L24" i="1" s="1"/>
  <c r="R32" i="1"/>
  <c r="H45" i="1"/>
  <c r="R31" i="1" l="1"/>
  <c r="R14" i="1"/>
  <c r="T25" i="1"/>
  <c r="R65" i="1" l="1"/>
  <c r="R26" i="1" l="1"/>
  <c r="P25" i="1"/>
  <c r="Q25" i="1"/>
  <c r="O25" i="1"/>
  <c r="Q24" i="1"/>
  <c r="P24" i="1"/>
  <c r="O23" i="1"/>
  <c r="P23" i="1"/>
  <c r="Q23" i="1"/>
  <c r="N23" i="1"/>
  <c r="M24" i="1"/>
  <c r="N24" i="1"/>
  <c r="O24" i="1"/>
  <c r="N25" i="1"/>
  <c r="K25" i="1"/>
  <c r="L25" i="1"/>
  <c r="M25" i="1"/>
  <c r="J23" i="1"/>
  <c r="K23" i="1"/>
  <c r="L23" i="1"/>
  <c r="M23" i="1"/>
  <c r="J25" i="1"/>
  <c r="M8" i="8"/>
  <c r="H7" i="8"/>
  <c r="R1" i="1"/>
  <c r="R23" i="1" l="1"/>
  <c r="R25" i="1"/>
  <c r="R24" i="1"/>
  <c r="Q45" i="1"/>
  <c r="I45" i="1"/>
  <c r="J45" i="1"/>
  <c r="K45" i="1"/>
  <c r="L45" i="1"/>
  <c r="M45" i="1"/>
  <c r="N45" i="1"/>
  <c r="O45" i="1"/>
  <c r="P45" i="1"/>
  <c r="R15" i="1"/>
  <c r="M12" i="8" s="1"/>
  <c r="R13" i="1"/>
  <c r="M11" i="8" s="1"/>
  <c r="M6" i="8" s="1"/>
  <c r="C54" i="5"/>
  <c r="D45" i="5"/>
  <c r="F27" i="5"/>
  <c r="H26" i="5"/>
  <c r="F26" i="5"/>
  <c r="G25" i="5"/>
  <c r="J25" i="5" s="1"/>
  <c r="F24" i="5"/>
  <c r="J24" i="5" s="1"/>
  <c r="F23" i="5"/>
  <c r="D23" i="5"/>
  <c r="J23" i="5" l="1"/>
  <c r="R16" i="1"/>
  <c r="R27" i="1"/>
  <c r="M10" i="8" s="1"/>
  <c r="O6" i="8" l="1"/>
  <c r="H55" i="1" l="1"/>
  <c r="K59" i="1"/>
  <c r="J58" i="1"/>
  <c r="I57" i="1"/>
  <c r="C16" i="5" l="1"/>
  <c r="C15" i="5" s="1"/>
  <c r="C14" i="5" s="1"/>
  <c r="H38" i="13" s="1"/>
  <c r="I55" i="1"/>
  <c r="H39" i="13" l="1"/>
  <c r="H40" i="13" s="1"/>
  <c r="H33" i="1"/>
  <c r="H38" i="10"/>
  <c r="J55" i="1"/>
  <c r="H41" i="13" l="1"/>
  <c r="H44" i="13"/>
  <c r="H39" i="10"/>
  <c r="H40" i="10" s="1"/>
  <c r="L18" i="1"/>
  <c r="K55" i="1"/>
  <c r="H41" i="10" l="1"/>
  <c r="H44" i="10"/>
  <c r="M18" i="1"/>
  <c r="L55" i="1"/>
  <c r="D16" i="5"/>
  <c r="D15" i="5" s="1"/>
  <c r="N18" i="1" l="1"/>
  <c r="M55" i="1"/>
  <c r="D14" i="5"/>
  <c r="I38" i="13" s="1"/>
  <c r="I39" i="13" l="1"/>
  <c r="I40" i="13" s="1"/>
  <c r="I38" i="10"/>
  <c r="I33" i="1"/>
  <c r="O18" i="1"/>
  <c r="N55" i="1"/>
  <c r="E16" i="5"/>
  <c r="E14" i="5" s="1"/>
  <c r="J38" i="13" s="1"/>
  <c r="J39" i="13" s="1"/>
  <c r="J40" i="13" s="1"/>
  <c r="I44" i="13" l="1"/>
  <c r="I41" i="13"/>
  <c r="J41" i="13"/>
  <c r="J44" i="13"/>
  <c r="I39" i="10"/>
  <c r="I40" i="10" s="1"/>
  <c r="J38" i="10"/>
  <c r="J33" i="1"/>
  <c r="P18" i="1"/>
  <c r="O55" i="1"/>
  <c r="F16" i="5"/>
  <c r="F14" i="5" s="1"/>
  <c r="K38" i="13" s="1"/>
  <c r="K39" i="13" s="1"/>
  <c r="K40" i="13" s="1"/>
  <c r="E15" i="5"/>
  <c r="K41" i="13" l="1"/>
  <c r="K44" i="13"/>
  <c r="J39" i="10"/>
  <c r="J40" i="10" s="1"/>
  <c r="I44" i="10"/>
  <c r="I41" i="10"/>
  <c r="K38" i="10"/>
  <c r="K39" i="10" s="1"/>
  <c r="K33" i="1"/>
  <c r="Q18" i="1"/>
  <c r="Q55" i="1" s="1"/>
  <c r="P55" i="1"/>
  <c r="G16" i="5"/>
  <c r="G14" i="5" s="1"/>
  <c r="F15" i="5"/>
  <c r="G15" i="5" s="1"/>
  <c r="L38" i="13" l="1"/>
  <c r="L38" i="10"/>
  <c r="L39" i="10" s="1"/>
  <c r="L40" i="10" s="1"/>
  <c r="J41" i="10"/>
  <c r="J44" i="10"/>
  <c r="R38" i="10"/>
  <c r="R39" i="10" s="1"/>
  <c r="L33" i="1"/>
  <c r="K40" i="10"/>
  <c r="H16" i="5"/>
  <c r="H66" i="1"/>
  <c r="H38" i="1" s="1"/>
  <c r="R45" i="1"/>
  <c r="K58" i="1"/>
  <c r="L59" i="1"/>
  <c r="L60" i="1"/>
  <c r="M61" i="1"/>
  <c r="N62" i="1"/>
  <c r="O63" i="1"/>
  <c r="P64" i="1"/>
  <c r="R64" i="1" s="1"/>
  <c r="J57" i="1"/>
  <c r="L39" i="13" l="1"/>
  <c r="L40" i="13" s="1"/>
  <c r="R38" i="13"/>
  <c r="R39" i="13" s="1"/>
  <c r="L41" i="10"/>
  <c r="L44" i="10"/>
  <c r="K41" i="10"/>
  <c r="K44" i="10"/>
  <c r="M60" i="1"/>
  <c r="N60" i="1" s="1"/>
  <c r="O60" i="1" s="1"/>
  <c r="P60" i="1" s="1"/>
  <c r="O62" i="1"/>
  <c r="P62" i="1" s="1"/>
  <c r="N61" i="1"/>
  <c r="O61" i="1" s="1"/>
  <c r="P61" i="1" s="1"/>
  <c r="P63" i="1"/>
  <c r="R63" i="1" s="1"/>
  <c r="M59" i="1"/>
  <c r="N59" i="1" s="1"/>
  <c r="O59" i="1" s="1"/>
  <c r="P59" i="1" s="1"/>
  <c r="Q59" i="1" s="1"/>
  <c r="L58" i="1"/>
  <c r="M58" i="1" s="1"/>
  <c r="N58" i="1" s="1"/>
  <c r="O58" i="1" s="1"/>
  <c r="P58" i="1" s="1"/>
  <c r="Q58" i="1" s="1"/>
  <c r="K57" i="1"/>
  <c r="L57" i="1" s="1"/>
  <c r="M57" i="1" s="1"/>
  <c r="N57" i="1" s="1"/>
  <c r="O57" i="1" s="1"/>
  <c r="P57" i="1" s="1"/>
  <c r="Q57" i="1" s="1"/>
  <c r="H15" i="5"/>
  <c r="H14" i="5"/>
  <c r="S39" i="13" l="1"/>
  <c r="R40" i="13"/>
  <c r="L44" i="13"/>
  <c r="L41" i="13"/>
  <c r="S39" i="10"/>
  <c r="R40" i="10"/>
  <c r="R62" i="1"/>
  <c r="R60" i="1"/>
  <c r="R57" i="1"/>
  <c r="R61" i="1"/>
  <c r="R58" i="1"/>
  <c r="R59" i="1"/>
  <c r="I16" i="5"/>
  <c r="I15" i="5" s="1"/>
  <c r="R41" i="13" l="1"/>
  <c r="F57" i="13" s="1"/>
  <c r="S40" i="13"/>
  <c r="R44" i="13"/>
  <c r="S44" i="13" s="1"/>
  <c r="R41" i="10"/>
  <c r="S40" i="10"/>
  <c r="R44" i="10"/>
  <c r="S44" i="10" s="1"/>
  <c r="I14" i="5"/>
  <c r="F57" i="10" l="1"/>
  <c r="I27" i="5"/>
  <c r="J27" i="5" s="1"/>
  <c r="I26" i="5"/>
  <c r="J26" i="5" s="1"/>
  <c r="I24" i="5"/>
  <c r="J16" i="5"/>
  <c r="J15" i="5" s="1"/>
  <c r="P27" i="1"/>
  <c r="J28" i="5" l="1"/>
  <c r="K28" i="5" s="1"/>
  <c r="J14" i="5"/>
  <c r="P34" i="1" l="1"/>
  <c r="P35" i="1" s="1"/>
  <c r="P36" i="1" s="1"/>
  <c r="K16" i="5"/>
  <c r="M27" i="1"/>
  <c r="I27" i="1"/>
  <c r="J27" i="1"/>
  <c r="K27" i="1"/>
  <c r="L27" i="1"/>
  <c r="H27" i="1"/>
  <c r="K14" i="5" l="1"/>
  <c r="Q34" i="1" s="1"/>
  <c r="K15" i="5"/>
  <c r="N27" i="1"/>
  <c r="M34" i="1"/>
  <c r="M35" i="1" s="1"/>
  <c r="O27" i="1"/>
  <c r="Q27" i="1"/>
  <c r="L34" i="1"/>
  <c r="L35" i="1" s="1"/>
  <c r="Q35" i="1" l="1"/>
  <c r="M36" i="1"/>
  <c r="L36" i="1"/>
  <c r="Q36" i="1" l="1"/>
  <c r="N34" i="1"/>
  <c r="N35" i="1" s="1"/>
  <c r="N36" i="1" s="1"/>
  <c r="O34" i="1"/>
  <c r="O35" i="1" s="1"/>
  <c r="O36" i="1" l="1"/>
  <c r="G27" i="1" l="1"/>
  <c r="S27" i="1" l="1"/>
  <c r="I66" i="1"/>
  <c r="I38" i="1" s="1"/>
  <c r="J66" i="1" l="1"/>
  <c r="J38" i="1" s="1"/>
  <c r="K34" i="1"/>
  <c r="K35" i="1" s="1"/>
  <c r="K36" i="1" s="1"/>
  <c r="J34" i="1"/>
  <c r="J35" i="1" s="1"/>
  <c r="J36" i="1" s="1"/>
  <c r="I34" i="1"/>
  <c r="I35" i="1" s="1"/>
  <c r="I36" i="1" s="1"/>
  <c r="H34" i="1"/>
  <c r="H35" i="1" s="1"/>
  <c r="H39" i="1" s="1"/>
  <c r="R33" i="1" l="1"/>
  <c r="K66" i="1"/>
  <c r="K38" i="1" s="1"/>
  <c r="I39" i="1"/>
  <c r="G34" i="1"/>
  <c r="G35" i="1" s="1"/>
  <c r="R34" i="1" l="1"/>
  <c r="L66" i="1"/>
  <c r="L38" i="1" s="1"/>
  <c r="L39" i="1" s="1"/>
  <c r="H36" i="1"/>
  <c r="J39" i="1"/>
  <c r="R35" i="1" l="1"/>
  <c r="R36" i="1" s="1"/>
  <c r="F52" i="1" s="1"/>
  <c r="M17" i="8" s="1"/>
  <c r="M14" i="8"/>
  <c r="S34" i="1"/>
  <c r="S35" i="1"/>
  <c r="G39" i="1"/>
  <c r="G41" i="1" s="1"/>
  <c r="G42" i="1" s="1"/>
  <c r="M66" i="1"/>
  <c r="M38" i="1" s="1"/>
  <c r="G43" i="1" l="1"/>
  <c r="G46" i="1" s="1"/>
  <c r="N66" i="1"/>
  <c r="N38" i="1" s="1"/>
  <c r="R56" i="1" l="1"/>
  <c r="R66" i="1" s="1"/>
  <c r="O66" i="1"/>
  <c r="O38" i="1" s="1"/>
  <c r="M39" i="1"/>
  <c r="M41" i="1" s="1"/>
  <c r="K39" i="1"/>
  <c r="M42" i="1" l="1"/>
  <c r="M43" i="1" s="1"/>
  <c r="G47" i="1"/>
  <c r="Q66" i="1"/>
  <c r="Q38" i="1" s="1"/>
  <c r="P66" i="1"/>
  <c r="P38" i="1" s="1"/>
  <c r="P39" i="1" s="1"/>
  <c r="P41" i="1" s="1"/>
  <c r="N39" i="1"/>
  <c r="P42" i="1" l="1"/>
  <c r="P43" i="1" s="1"/>
  <c r="M46" i="1"/>
  <c r="G48" i="1"/>
  <c r="Q39" i="1"/>
  <c r="Q41" i="1" s="1"/>
  <c r="R38" i="1"/>
  <c r="R39" i="1" s="1"/>
  <c r="O39" i="1"/>
  <c r="N41" i="1"/>
  <c r="P46" i="1" l="1"/>
  <c r="Q42" i="1"/>
  <c r="Q43" i="1" s="1"/>
  <c r="N42" i="1"/>
  <c r="S39" i="1"/>
  <c r="O41" i="1"/>
  <c r="Q46" i="1" l="1"/>
  <c r="N43" i="1"/>
  <c r="N46" i="1" s="1"/>
  <c r="O42" i="1"/>
  <c r="O43" i="1" l="1"/>
  <c r="O46" i="1" l="1"/>
  <c r="M15" i="8" l="1"/>
  <c r="H61" i="12"/>
  <c r="I61" i="12" s="1"/>
  <c r="R24" i="12"/>
  <c r="R31" i="12" s="1"/>
  <c r="H31" i="12"/>
  <c r="H40" i="12" s="1"/>
  <c r="H41" i="12" s="1"/>
  <c r="B2" i="5"/>
  <c r="B5" i="5" s="1"/>
  <c r="G45" i="13" l="1"/>
  <c r="G45" i="10"/>
  <c r="H40" i="1"/>
  <c r="B12" i="5"/>
  <c r="M10" i="11"/>
  <c r="R40" i="12"/>
  <c r="J61" i="12"/>
  <c r="I71" i="12"/>
  <c r="I43" i="12" s="1"/>
  <c r="I44" i="12" s="1"/>
  <c r="H71" i="12"/>
  <c r="H43" i="12" s="1"/>
  <c r="H44" i="12" s="1"/>
  <c r="B4" i="5"/>
  <c r="C2" i="5" s="1"/>
  <c r="D5" i="5" l="1"/>
  <c r="D2" i="5"/>
  <c r="C5" i="5"/>
  <c r="K61" i="12"/>
  <c r="J71" i="12"/>
  <c r="J43" i="12" s="1"/>
  <c r="J44" i="12" s="1"/>
  <c r="R41" i="12"/>
  <c r="F57" i="12" s="1"/>
  <c r="M19" i="11" s="1"/>
  <c r="H41" i="1"/>
  <c r="G46" i="10"/>
  <c r="G46" i="13"/>
  <c r="G47" i="10" l="1"/>
  <c r="G48" i="10" s="1"/>
  <c r="R43" i="12"/>
  <c r="R44" i="12" s="1"/>
  <c r="H42" i="1"/>
  <c r="K71" i="12"/>
  <c r="K43" i="12" s="1"/>
  <c r="K44" i="12" s="1"/>
  <c r="L61" i="12"/>
  <c r="L71" i="12" s="1"/>
  <c r="L43" i="12" s="1"/>
  <c r="L44" i="12" s="1"/>
  <c r="C12" i="5"/>
  <c r="H45" i="12"/>
  <c r="H45" i="13"/>
  <c r="I40" i="1"/>
  <c r="H45" i="10"/>
  <c r="E2" i="5"/>
  <c r="G47" i="13"/>
  <c r="G48" i="13" s="1"/>
  <c r="I45" i="13"/>
  <c r="I46" i="13" s="1"/>
  <c r="J40" i="1"/>
  <c r="J41" i="1" s="1"/>
  <c r="I45" i="10"/>
  <c r="I46" i="10" s="1"/>
  <c r="I45" i="12"/>
  <c r="I46" i="12" s="1"/>
  <c r="D12" i="5"/>
  <c r="G51" i="13" l="1"/>
  <c r="G51" i="10"/>
  <c r="H46" i="13"/>
  <c r="I47" i="12"/>
  <c r="I48" i="12"/>
  <c r="I51" i="12" s="1"/>
  <c r="F2" i="5"/>
  <c r="F5" i="5"/>
  <c r="I47" i="10"/>
  <c r="I48" i="10" s="1"/>
  <c r="I51" i="10" s="1"/>
  <c r="E5" i="5"/>
  <c r="J42" i="1"/>
  <c r="J43" i="1" s="1"/>
  <c r="J46" i="1" s="1"/>
  <c r="R61" i="12"/>
  <c r="R71" i="12" s="1"/>
  <c r="H43" i="1"/>
  <c r="I41" i="1"/>
  <c r="H46" i="12"/>
  <c r="I47" i="13"/>
  <c r="I48" i="13"/>
  <c r="I51" i="13" s="1"/>
  <c r="H46" i="10"/>
  <c r="K45" i="13" l="1"/>
  <c r="K46" i="13" s="1"/>
  <c r="K45" i="12"/>
  <c r="K46" i="12" s="1"/>
  <c r="K45" i="10"/>
  <c r="K46" i="10" s="1"/>
  <c r="F12" i="5"/>
  <c r="L40" i="1"/>
  <c r="L41" i="1" s="1"/>
  <c r="H46" i="1"/>
  <c r="H47" i="10"/>
  <c r="G52" i="10"/>
  <c r="G5" i="5"/>
  <c r="G2" i="5"/>
  <c r="H5" i="5" s="1"/>
  <c r="H12" i="5" s="1"/>
  <c r="H47" i="13"/>
  <c r="H48" i="13"/>
  <c r="G52" i="13"/>
  <c r="I43" i="1"/>
  <c r="I46" i="1" s="1"/>
  <c r="I42" i="1"/>
  <c r="H47" i="12"/>
  <c r="J45" i="12"/>
  <c r="J45" i="13"/>
  <c r="E12" i="5"/>
  <c r="J45" i="10"/>
  <c r="K40" i="1"/>
  <c r="H47" i="1" l="1"/>
  <c r="L42" i="1"/>
  <c r="L43" i="1"/>
  <c r="L46" i="1" s="1"/>
  <c r="J46" i="12"/>
  <c r="G53" i="13"/>
  <c r="J46" i="13"/>
  <c r="R45" i="13"/>
  <c r="K48" i="10"/>
  <c r="K51" i="10" s="1"/>
  <c r="K47" i="10"/>
  <c r="L45" i="10"/>
  <c r="L46" i="10" s="1"/>
  <c r="L45" i="13"/>
  <c r="L46" i="13" s="1"/>
  <c r="G12" i="5"/>
  <c r="L45" i="12"/>
  <c r="L46" i="12" s="1"/>
  <c r="J46" i="10"/>
  <c r="R45" i="10"/>
  <c r="H51" i="13"/>
  <c r="K47" i="12"/>
  <c r="K48" i="12"/>
  <c r="K51" i="12" s="1"/>
  <c r="G53" i="10"/>
  <c r="H48" i="12"/>
  <c r="H51" i="12" s="1"/>
  <c r="K41" i="1"/>
  <c r="R40" i="1"/>
  <c r="H48" i="10"/>
  <c r="K47" i="13"/>
  <c r="K48" i="13" s="1"/>
  <c r="K51" i="13" s="1"/>
  <c r="K42" i="1" l="1"/>
  <c r="R42" i="1" s="1"/>
  <c r="R41" i="1"/>
  <c r="R43" i="1" s="1"/>
  <c r="S41" i="1"/>
  <c r="J48" i="12"/>
  <c r="J51" i="12" s="1"/>
  <c r="R51" i="12" s="1"/>
  <c r="J47" i="12"/>
  <c r="R47" i="12" s="1"/>
  <c r="R46" i="12"/>
  <c r="H52" i="12"/>
  <c r="J47" i="10"/>
  <c r="R47" i="10" s="1"/>
  <c r="S46" i="10"/>
  <c r="R46" i="10"/>
  <c r="L47" i="12"/>
  <c r="L48" i="12"/>
  <c r="L51" i="12" s="1"/>
  <c r="J47" i="13"/>
  <c r="J48" i="13"/>
  <c r="R46" i="13"/>
  <c r="S46" i="13"/>
  <c r="I47" i="1"/>
  <c r="H48" i="1"/>
  <c r="H51" i="10"/>
  <c r="L47" i="13"/>
  <c r="L48" i="13" s="1"/>
  <c r="L51" i="13" s="1"/>
  <c r="H52" i="13"/>
  <c r="L47" i="10"/>
  <c r="L48" i="10"/>
  <c r="L51" i="10" s="1"/>
  <c r="R45" i="12"/>
  <c r="J47" i="1" l="1"/>
  <c r="J48" i="1"/>
  <c r="I52" i="13"/>
  <c r="H53" i="13"/>
  <c r="F55" i="12"/>
  <c r="M17" i="11" s="1"/>
  <c r="R47" i="13"/>
  <c r="R48" i="13" s="1"/>
  <c r="S48" i="13" s="1"/>
  <c r="F56" i="12"/>
  <c r="M18" i="11" s="1"/>
  <c r="J51" i="13"/>
  <c r="H53" i="12"/>
  <c r="I52" i="12"/>
  <c r="J48" i="10"/>
  <c r="K43" i="1"/>
  <c r="H52" i="10"/>
  <c r="I48" i="1"/>
  <c r="R48" i="10"/>
  <c r="R48" i="12"/>
  <c r="I52" i="10" l="1"/>
  <c r="I53" i="10"/>
  <c r="H53" i="10"/>
  <c r="J52" i="13"/>
  <c r="J53" i="13" s="1"/>
  <c r="J52" i="12"/>
  <c r="J53" i="12"/>
  <c r="I53" i="12"/>
  <c r="I53" i="13"/>
  <c r="R51" i="13"/>
  <c r="F56" i="13"/>
  <c r="J51" i="10"/>
  <c r="S48" i="10"/>
  <c r="K46" i="1"/>
  <c r="S43" i="1"/>
  <c r="K52" i="12" l="1"/>
  <c r="K53" i="12"/>
  <c r="R46" i="1"/>
  <c r="F51" i="1"/>
  <c r="M16" i="8" s="1"/>
  <c r="K47" i="1"/>
  <c r="F56" i="10"/>
  <c r="R51" i="10"/>
  <c r="K53" i="13"/>
  <c r="K52" i="13"/>
  <c r="J52" i="10"/>
  <c r="K52" i="10" l="1"/>
  <c r="L47" i="1"/>
  <c r="L48" i="1" s="1"/>
  <c r="K48" i="1"/>
  <c r="J53" i="10"/>
  <c r="L52" i="13"/>
  <c r="L52" i="12"/>
  <c r="M52" i="13" l="1"/>
  <c r="M53" i="13"/>
  <c r="M52" i="12"/>
  <c r="L52" i="10"/>
  <c r="L53" i="10"/>
  <c r="L53" i="12"/>
  <c r="K53" i="10"/>
  <c r="M47" i="1"/>
  <c r="L53" i="13"/>
  <c r="N52" i="12" l="1"/>
  <c r="N53" i="12"/>
  <c r="M52" i="10"/>
  <c r="M53" i="10"/>
  <c r="N47" i="1"/>
  <c r="N48" i="1"/>
  <c r="M48" i="1"/>
  <c r="M53" i="12"/>
  <c r="N52" i="13"/>
  <c r="N53" i="13"/>
  <c r="O47" i="1" l="1"/>
  <c r="O48" i="1"/>
  <c r="N52" i="10"/>
  <c r="N53" i="10" s="1"/>
  <c r="O52" i="13"/>
  <c r="O53" i="13"/>
  <c r="O52" i="12"/>
  <c r="O53" i="12" s="1"/>
  <c r="P52" i="13" l="1"/>
  <c r="Q52" i="13" s="1"/>
  <c r="Q53" i="13" s="1"/>
  <c r="F58" i="13" s="1"/>
  <c r="P47" i="1"/>
  <c r="Q47" i="1" s="1"/>
  <c r="Q48" i="1" s="1"/>
  <c r="F53" i="1" s="1"/>
  <c r="M18" i="8" s="1"/>
  <c r="O52" i="10"/>
  <c r="O53" i="10"/>
  <c r="P52" i="12"/>
  <c r="Q52" i="12" s="1"/>
  <c r="Q53" i="12" s="1"/>
  <c r="F58" i="12" s="1"/>
  <c r="M20" i="11" s="1"/>
  <c r="P52" i="10" l="1"/>
  <c r="Q52" i="10" s="1"/>
  <c r="Q53" i="10" s="1"/>
  <c r="F58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I16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BTS Operator masuk menggantikan RRU only dan Repeater</t>
        </r>
      </text>
    </comment>
    <comment ref="I25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53 juta adalah OM Operator berbayar, 4juta untuk 1x WT (1th 2x)</t>
        </r>
      </text>
    </comment>
    <comment ref="I34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Listrik ditanggung IBS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I16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BTS Operator masuk menggantikan RRU only dan Repeater</t>
        </r>
      </text>
    </comment>
    <comment ref="I25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53 juta adalah OM Operator berbayar, 4juta untuk 1x WT (1th 2x)</t>
        </r>
      </text>
    </comment>
    <comment ref="I34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Listrik ditanggung IBS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2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<sst xmlns="http://schemas.openxmlformats.org/spreadsheetml/2006/main" count="650" uniqueCount="288">
  <si>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</si>
  <si>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</si>
  <si>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</si>
  <si>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</si>
  <si>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</si>
  <si>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</si>
  <si>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</si>
  <si>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</si>
  <si>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</si>
  <si>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</si>
  <si>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</si>
  <si>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</si>
  <si>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</si>
  <si>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</si>
  <si>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</si>
  <si>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</si>
  <si>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</si>
  <si>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</si>
  <si>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</si>
  <si>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</si>
  <si>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</si>
  <si>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</si>
  <si>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</si>
  <si>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</si>
  <si>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</si>
  <si>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</si>
  <si>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</si>
  <si>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</si>
  <si>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</si>
  <si>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</si>
  <si>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</si>
  <si>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</si>
  <si>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</si>
  <si>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</si>
  <si>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</si>
  <si>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</si>
  <si>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</si>
  <si>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</si>
  <si>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</si>
  <si>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</si>
  <si>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</si>
  <si>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</si>
  <si>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</si>
  <si>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</si>
  <si>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</si>
  <si>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</si>
  <si>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</si>
  <si>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</si>
  <si>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</si>
  <si>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</si>
  <si>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</si>
  <si>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</si>
  <si>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</si>
  <si>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</si>
  <si>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</si>
  <si>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</si>
  <si>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</si>
  <si>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</si>
  <si>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</si>
  <si>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</si>
  <si>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</si>
  <si>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</si>
  <si>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</si>
  <si>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</si>
  <si>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</si>
  <si>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</si>
  <si>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</si>
  <si>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</si>
  <si>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</si>
  <si>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</si>
  <si>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</si>
  <si>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</si>
  <si>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</si>
  <si>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</si>
  <si>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</si>
  <si>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</si>
  <si>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</si>
  <si>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</si>
  <si>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</si>
  <si>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</si>
  <si>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</si>
  <si>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</si>
  <si>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</si>
  <si>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</si>
  <si>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</si>
  <si>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</si>
  <si>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</si>
  <si>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</si>
  <si>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</si>
  <si>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</si>
  <si>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</si>
  <si>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</si>
  <si>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</si>
  <si>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</si>
  <si>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</si>
  <si>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</si>
  <si>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</si>
  <si>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</si>
  <si>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</si>
  <si>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</si>
  <si>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</si>
  <si>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</si>
  <si>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</si>
  <si>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</si>
  <si>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</si>
  <si>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</si>
  <si>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</si>
  <si>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</si>
  <si>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</si>
  <si>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</si>
  <si>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</si>
  <si>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</si>
  <si>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</si>
  <si>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</si>
  <si>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</si>
  <si>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</si>
  <si>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</si>
  <si>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</si>
  <si>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</si>
  <si>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</si>
  <si>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</si>
  <si>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</si>
  <si>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</si>
  <si>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</si>
  <si>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</si>
  <si>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</si>
  <si>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</si>
  <si>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</si>
  <si>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</si>
  <si>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</si>
  <si>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</si>
  <si>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</si>
  <si>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</si>
  <si>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</si>
  <si>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</si>
  <si>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</si>
  <si>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</si>
  <si>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</si>
  <si>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</si>
  <si>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</si>
  <si>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per antenna</t>
  </si>
  <si>
    <t>Migrasi per operator</t>
  </si>
  <si>
    <t>% increase (decrease)</t>
  </si>
  <si>
    <t>Increase every year, start based 50 mio</t>
  </si>
  <si>
    <t>Manage service</t>
  </si>
  <si>
    <t>Repeater</t>
  </si>
  <si>
    <t xml:space="preserve">SG&amp;A </t>
  </si>
  <si>
    <t xml:space="preserve">FO Backbone </t>
  </si>
  <si>
    <t xml:space="preserve">NO : </t>
  </si>
  <si>
    <t>Knowledge Hub</t>
  </si>
  <si>
    <t>: Min 2 tenants in Year 3 (Asumsi 1st Year 2 tenant)</t>
  </si>
  <si>
    <t>Rev. Tsel</t>
  </si>
  <si>
    <t>Rev. XL</t>
  </si>
  <si>
    <t>Rev Share Tsel to BM 90%</t>
  </si>
  <si>
    <t>Rev Share XL to BM 90%</t>
  </si>
  <si>
    <t>Maintenance (Asumsi 1Dedicated)</t>
  </si>
  <si>
    <t>: TOP Capex BM ke IBS min 2x (thn 1 dan 2)</t>
  </si>
  <si>
    <t>: Semua Capex milik BM (Direimburse ke BM)</t>
  </si>
  <si>
    <t>: Konsep Manage Service (Reimburse Sparepart)</t>
  </si>
  <si>
    <t>CME</t>
  </si>
  <si>
    <t>Bill to BM DAS</t>
  </si>
  <si>
    <t>Bill to BM FO</t>
  </si>
  <si>
    <t>Bill to BM Repeater</t>
  </si>
  <si>
    <t>Bill to BM CME</t>
  </si>
  <si>
    <t>Positive</t>
  </si>
  <si>
    <t>KNOWLEDGE HUB</t>
  </si>
  <si>
    <t>0008/IRR/IBC/III/2024</t>
  </si>
  <si>
    <t>No: 0008/IRR/IBC/III/2024</t>
  </si>
  <si>
    <t>0008/IRRK/IBC/III/2024</t>
  </si>
  <si>
    <t>Manage service 2 Operator tdk berbayar</t>
  </si>
  <si>
    <t>Manage service 2 Operator berbayar (BTS masuk)</t>
  </si>
  <si>
    <t>Maintenance</t>
  </si>
  <si>
    <t>Total FO Backbone</t>
  </si>
  <si>
    <t>Total Capex Repeater</t>
  </si>
  <si>
    <t>Y0</t>
  </si>
  <si>
    <t>Maintenance (CM and PM)</t>
  </si>
  <si>
    <t>ArtOtel Grand Wisata</t>
  </si>
  <si>
    <t>Aset milik Gedung</t>
  </si>
  <si>
    <t>One Time Charge</t>
  </si>
  <si>
    <t>BOQ - NEW DAS - HOTEL GRAND WISATA BEKASI</t>
  </si>
  <si>
    <t>Date:</t>
  </si>
  <si>
    <t>PT. Infrastruktur Bisnis Sejahtera</t>
  </si>
  <si>
    <t>No.</t>
  </si>
  <si>
    <t>Item Work</t>
  </si>
  <si>
    <t>UoM</t>
  </si>
  <si>
    <t>Volume</t>
  </si>
  <si>
    <t>Unit Price Material</t>
  </si>
  <si>
    <t>Unit Price Jasa</t>
  </si>
  <si>
    <t>UNIT PRICE MATERIAL+JASA</t>
  </si>
  <si>
    <t>Total Price</t>
  </si>
  <si>
    <t>I.</t>
  </si>
  <si>
    <t>RF</t>
  </si>
  <si>
    <t>A</t>
  </si>
  <si>
    <t>ANTENNAS (LOW PIM)</t>
  </si>
  <si>
    <t xml:space="preserve">Omnidirectional Antenna 698-960/1710-2700 MHz Gain min 5dBi / 360 deg Female Connector with pigtail </t>
  </si>
  <si>
    <t>PCS</t>
  </si>
  <si>
    <t>Directional Panel Antenna, 806-960/1710-2700 MHz Gain min 7 dBi/65deg with Mounting Plate</t>
  </si>
  <si>
    <t>Directional Panel Antenna, 806-960/1710-2700 MHz Gain min 11 dBi/65deg with Mounting Plate</t>
  </si>
  <si>
    <t>B</t>
  </si>
  <si>
    <t>POWER SPLITTERS (LOW PIM)</t>
  </si>
  <si>
    <t xml:space="preserve">Multiband 2-way power splitter with wall mounting bracket, 200W, N-female connectors, 698-2700 MHz </t>
  </si>
  <si>
    <t xml:space="preserve">Multiband 3-way power splitter with wall mounting bracket, 200W, N-female connectors, 698-2700 MHz </t>
  </si>
  <si>
    <t xml:space="preserve">Multiband 4-way power splitter with wall mounting bracket, 200W, N-female connectors, 698-2700 MHz </t>
  </si>
  <si>
    <t>C</t>
  </si>
  <si>
    <t>POWER COUPLERS (LOW PIM)</t>
  </si>
  <si>
    <t>Multiband 7 dB power coupler with wall mounting bracket, 200W, N-female connectors, 698-2700 MHz</t>
  </si>
  <si>
    <t>COMBINER &amp; POI (LOW PIM)</t>
  </si>
  <si>
    <t>Multiband Matrix Combiner 4in 4out, max Insertion loss -6 dB, 300-500 Watt per-port, 698-2700 MHz DIN type</t>
  </si>
  <si>
    <t>D</t>
  </si>
  <si>
    <t>CONNECTORS (LOW PIM)</t>
  </si>
  <si>
    <t>N-male connector for 1/2" feeder cable 800-3000 MHz</t>
  </si>
  <si>
    <t>N-male connector for 7/8" feeder cable 800-3000 MHz</t>
  </si>
  <si>
    <t>N-male connector for 1 1/4" feeder cable 800-5000 MHz</t>
  </si>
  <si>
    <t>E</t>
  </si>
  <si>
    <t>JUMPER CABLES (LOW PIM)</t>
  </si>
  <si>
    <r>
      <t xml:space="preserve">0.3m 1/2" superflexible jumper cable with N-male and N-male connector 800-3000 MHz </t>
    </r>
    <r>
      <rPr>
        <b/>
        <sz val="10"/>
        <rFont val="Calibri Light"/>
        <family val="1"/>
        <scheme val="major"/>
      </rPr>
      <t>(NM - NM)</t>
    </r>
  </si>
  <si>
    <r>
      <t xml:space="preserve">1m 1/2" superflexible jumper cable with N-male and N-female connector 800-3000 MHz </t>
    </r>
    <r>
      <rPr>
        <b/>
        <sz val="10"/>
        <rFont val="Calibri Light"/>
        <family val="1"/>
        <scheme val="major"/>
      </rPr>
      <t>(NM - NF)</t>
    </r>
  </si>
  <si>
    <r>
      <t xml:space="preserve">3m 1/2" superflexible jumper cable with N-female and 7/16" DIN-male connector 800-3000 MHz </t>
    </r>
    <r>
      <rPr>
        <b/>
        <sz val="10"/>
        <rFont val="Calibri Light"/>
        <family val="1"/>
        <scheme val="major"/>
      </rPr>
      <t>(NF - DM)</t>
    </r>
  </si>
  <si>
    <r>
      <t xml:space="preserve">3m 1/2" superflexible jumper cable with N-male and 7/16" DIN-male connector 800-3000 MHz </t>
    </r>
    <r>
      <rPr>
        <b/>
        <sz val="10"/>
        <rFont val="Calibri Light"/>
        <family val="1"/>
        <scheme val="major"/>
      </rPr>
      <t>(NM - DM)</t>
    </r>
  </si>
  <si>
    <t>F</t>
  </si>
  <si>
    <t>FEEDER</t>
  </si>
  <si>
    <t xml:space="preserve">1/2" Feeder Cable </t>
  </si>
  <si>
    <t>M</t>
  </si>
  <si>
    <t>7/8" Feeder Cable</t>
  </si>
  <si>
    <t>1 1/4" Feeder Cable</t>
  </si>
  <si>
    <t>II.</t>
  </si>
  <si>
    <t>GROUNDING KIT</t>
  </si>
  <si>
    <t>Grounding Kit for 7/8" Feeder Cable (Type KMT)</t>
  </si>
  <si>
    <t>Grounding Kit for 1 1/4" Feeder Cable (Type KMT)</t>
  </si>
  <si>
    <t>FEEDER HANGER &amp; CLAMP</t>
  </si>
  <si>
    <t>Clamp for Feeder Cable 1/2" feeder for Indoor (Stainless Steel)</t>
  </si>
  <si>
    <t>Clamp for Feeder Cable 7/8" feeder for Indoor (Stainless Steel)</t>
  </si>
  <si>
    <t>Clamp for Feeder Cable 1 1/4" Indoor (Steinless Steel)</t>
  </si>
  <si>
    <t>Mounting Bracket for Omni Antenna &amp; Directional Antenna</t>
  </si>
  <si>
    <t>Mounting Bracket for Splitter</t>
  </si>
  <si>
    <t>Manhole 4x4 (Buka dan Tutup Plafon) Permanent</t>
  </si>
  <si>
    <t>Manhole 4x4 (Buka dan Tutup Plafon) Temporary</t>
  </si>
  <si>
    <r>
      <t>Firestop (bongkar &amp; Pasang kembali-</t>
    </r>
    <r>
      <rPr>
        <b/>
        <sz val="10"/>
        <rFont val="Arial Narrow"/>
        <family val="2"/>
      </rPr>
      <t>3" inch Hole</t>
    </r>
    <r>
      <rPr>
        <sz val="10"/>
        <rFont val="Arial Narrow"/>
        <family val="2"/>
      </rPr>
      <t>)</t>
    </r>
  </si>
  <si>
    <t>HD-Galvanized Ladder Tray W=300mm H=100mm, include accessories (Bracket Mounting + Hangger + Bolt &amp; Nut)</t>
  </si>
  <si>
    <t>MISCELLANEOUS New DAS</t>
  </si>
  <si>
    <t>LS</t>
  </si>
  <si>
    <t>a. Heatshrink</t>
  </si>
  <si>
    <t>b.Cable Ties</t>
  </si>
  <si>
    <t>c. Tapes</t>
  </si>
  <si>
    <t>d. Adhosive Sealer</t>
  </si>
  <si>
    <t>e. Marking Label (Label Antenna, Spliter &amp; Logo IBS for Antenna &amp; Feeder)</t>
  </si>
  <si>
    <t>III</t>
  </si>
  <si>
    <t>IMPLEMENTATION SERVICES</t>
  </si>
  <si>
    <t>Coordination Fee (building coordination fee, site clearing, surcharge fee, security, etc)</t>
  </si>
  <si>
    <t>Testing &amp; Commissioning Multy Operator (CDMA 800 MHz - LTE 2390MHz ) (New Das)</t>
  </si>
  <si>
    <t>As Built Drawing &amp; Reporting New DAS</t>
  </si>
  <si>
    <t>Delivery Material Inbuilding (Loading &amp; Unloading)</t>
  </si>
  <si>
    <t>Coordination Fee for Implementation:</t>
  </si>
  <si>
    <t>- Building Supervision &amp; Coordination Fee</t>
  </si>
  <si>
    <t>- Site clearing, surcharge fee, security, etc</t>
  </si>
  <si>
    <t>MECHANICAL &amp; ELECTRICAL (ME)</t>
  </si>
  <si>
    <t>Supply &amp; Installation Power Cable NYY 4x25mm 3 Phase, Panel Building Existing to MDP INDUK Combiner Room</t>
  </si>
  <si>
    <t>INDUK MAIN PANEL 33 kVA, Dimension 1000x700x250, IP-65, Plat thickness 2mm, broken white coloured with powder coating with accessories (Cable shoe, MCB Rail, terminals, cable ducting, label, cover lock set)  (1set = Item 20a-20v)</t>
  </si>
  <si>
    <t>SET</t>
  </si>
  <si>
    <t xml:space="preserve">   - Kwh Meter Digital 50A 3phase 380/220 V, 50Hz for KWH Induk</t>
  </si>
  <si>
    <t>1 PCS</t>
  </si>
  <si>
    <t xml:space="preserve">   - Kwh Meter Digital 50A 3phase 380/220 V, 50Hz for OPERATOR</t>
  </si>
  <si>
    <t>4 PCS</t>
  </si>
  <si>
    <t xml:space="preserve">   - Kwh Meter Digital 50A 1phase 220 V, 50Hz for OPERATOR</t>
  </si>
  <si>
    <t xml:space="preserve">   - MCCB 3 Phase 50A for Main MCB (Adjustment 35A-50A)</t>
  </si>
  <si>
    <t xml:space="preserve"> 1 PCS</t>
  </si>
  <si>
    <t xml:space="preserve">   - MCB 3 Phase 10A for Outgoing to OPERATOR</t>
  </si>
  <si>
    <t xml:space="preserve">   - MCB 1 Phase 16A for SPARE</t>
  </si>
  <si>
    <t xml:space="preserve">   - MCB 1 Phase 10A for SPARE</t>
  </si>
  <si>
    <t>2 PCS</t>
  </si>
  <si>
    <t>VI</t>
  </si>
  <si>
    <t>REMOTE UNIT ACTIVE SYSTEMS</t>
  </si>
  <si>
    <t>CABLE FIBER OPTIC &amp; ACCESSORIES</t>
  </si>
  <si>
    <t>FO 48 core Duct Cable Singlemode (SM-D G652D 9/125um with wavelenght 1550nm)</t>
  </si>
  <si>
    <t>OPTICAL TERMINATION BOX (OTB) type WALLMOUNTED</t>
  </si>
  <si>
    <r>
      <t xml:space="preserve">ODP outdoor 48 core </t>
    </r>
    <r>
      <rPr>
        <b/>
        <sz val="10"/>
        <rFont val="Arial Narrow"/>
        <family val="2"/>
      </rPr>
      <t xml:space="preserve">LC </t>
    </r>
    <r>
      <rPr>
        <sz val="10"/>
        <rFont val="Arial Narrow"/>
        <family val="2"/>
      </rPr>
      <t>Type</t>
    </r>
    <r>
      <rPr>
        <b/>
        <sz val="10"/>
        <rFont val="Arial Narrow"/>
        <family val="2"/>
      </rPr>
      <t xml:space="preserve"> (include pigtail)</t>
    </r>
  </si>
  <si>
    <t>UNIT</t>
  </si>
  <si>
    <t>SERVER RACK SYSTEM 19inch</t>
  </si>
  <si>
    <t>19" Wallmount Closed Rack 6U Depth 450mm Single Door (black colour) + 1pcs Wiring Cable Management</t>
  </si>
  <si>
    <t>FO Termination/ Splicing</t>
  </si>
  <si>
    <t>CORE</t>
  </si>
  <si>
    <t>FO Testing &amp; Commisioning + OTDR Report</t>
  </si>
  <si>
    <t>VII</t>
  </si>
  <si>
    <t>Pembuatan Gudang</t>
  </si>
  <si>
    <t>Biaya Listrik, Air &amp; Kebersihan</t>
  </si>
  <si>
    <t>Scafolding (4 Set)</t>
  </si>
  <si>
    <t>* Sewa 1 bulan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</si>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</sst>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0.0%"/>
    <numFmt numFmtId="172" formatCode="_([$Rp-421]* #,##0_);_([$Rp-421]* \(#,##0\);_([$Rp-421]* &quot;-&quot;_);_(@_)"/>
    <numFmt numFmtId="173" formatCode="_([$Rp-421]* #,##0_);_([$Rp-421]* \(#,##0\);_([$Rp-421]* &quot;-&quot;??_);_(@_)"/>
    <numFmt numFmtId="174" formatCode="_-[$Rp-421]* #,##0_-;\-[$Rp-421]* #,##0_-;_-[$Rp-421]* &quot;-&quot;??_-;_-@_-"/>
    <numFmt numFmtId="175" formatCode="_-&quot;Rp&quot;* #,##0_-;\-&quot;Rp&quot;* #,##0_-;_-&quot;Rp&quot;* &quot;-&quot;??_-;_-@_-"/>
  </numFmts>
  <fonts count="6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name val="Calibri Light"/>
      <family val="1"/>
      <scheme val="major"/>
    </font>
    <font>
      <sz val="10"/>
      <name val="Calibri Light"/>
      <family val="1"/>
      <scheme val="major"/>
    </font>
    <font>
      <sz val="12"/>
      <name val="Times New Roman"/>
      <family val="1"/>
    </font>
    <font>
      <b/>
      <i/>
      <sz val="10"/>
      <color rgb="FFFF0000"/>
      <name val="Calibri Light"/>
      <family val="1"/>
      <scheme val="major"/>
    </font>
    <font>
      <b/>
      <sz val="10"/>
      <color theme="1"/>
      <name val="Calibri Light"/>
      <family val="1"/>
      <scheme val="major"/>
    </font>
    <font>
      <b/>
      <i/>
      <sz val="10"/>
      <name val="Calibri Light"/>
      <family val="1"/>
      <scheme val="major"/>
    </font>
    <font>
      <sz val="11"/>
      <name val="Arial"/>
      <family val="2"/>
    </font>
    <font>
      <b/>
      <sz val="12"/>
      <name val="Times New Roman"/>
      <family val="1"/>
    </font>
    <font>
      <sz val="10"/>
      <color theme="1"/>
      <name val="Calibri Light"/>
      <family val="1"/>
      <scheme val="major"/>
    </font>
    <font>
      <sz val="10"/>
      <name val="Courier New"/>
      <family val="3"/>
    </font>
    <font>
      <sz val="10"/>
      <name val="Arial Narrow"/>
      <family val="2"/>
    </font>
    <font>
      <i/>
      <sz val="10"/>
      <name val="Arial Narrow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b/>
      <sz val="10"/>
      <color rgb="FFFF0000"/>
      <name val="Arial Narrow"/>
      <family val="2"/>
    </font>
    <font>
      <sz val="10"/>
      <color theme="1"/>
      <name val="Arial Narrow"/>
      <family val="2"/>
    </font>
    <font>
      <i/>
      <sz val="10"/>
      <color theme="1"/>
      <name val="Arial Narrow"/>
      <family val="2"/>
    </font>
    <font>
      <b/>
      <i/>
      <sz val="10"/>
      <name val="Arial Narrow"/>
      <family val="2"/>
    </font>
    <font>
      <sz val="12"/>
      <name val="Arial Narrow"/>
      <family val="2"/>
    </font>
    <font>
      <sz val="12"/>
      <color theme="1"/>
      <name val="Times New Roman"/>
      <family val="1"/>
    </font>
    <font>
      <sz val="1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0">
    <xf numFmtId="0" fontId="0" fillId="0" borderId="0"/>
    <xf numFmtId="166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5" fillId="0" borderId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6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2" fillId="0" borderId="0"/>
    <xf numFmtId="166" fontId="32" fillId="0" borderId="0" applyFont="0" applyFill="0" applyBorder="0" applyAlignment="0" applyProtection="0"/>
    <xf numFmtId="0" fontId="4" fillId="0" borderId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2" fillId="0" borderId="0"/>
    <xf numFmtId="165" fontId="4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47" fillId="0" borderId="0"/>
    <xf numFmtId="170" fontId="1" fillId="0" borderId="0" applyFont="0" applyFill="0" applyBorder="0" applyAlignment="0" applyProtection="0"/>
    <xf numFmtId="0" fontId="1" fillId="0" borderId="0"/>
    <xf numFmtId="0" fontId="50" fillId="0" borderId="0"/>
    <xf numFmtId="164" fontId="1" fillId="0" borderId="0" applyFont="0" applyFill="0" applyBorder="0" applyAlignment="0" applyProtection="0"/>
    <xf numFmtId="0" fontId="32" fillId="0" borderId="0"/>
    <xf numFmtId="41" fontId="1" fillId="0" borderId="0" applyFont="0" applyFill="0" applyBorder="0" applyAlignment="0" applyProtection="0"/>
  </cellStyleXfs>
  <cellXfs count="385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6" fillId="0" borderId="0" xfId="0" applyNumberFormat="1" applyFont="1" applyBorder="1"/>
    <xf numFmtId="41" fontId="13" fillId="0" borderId="0" xfId="0" applyNumberFormat="1" applyFont="1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4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66" fontId="20" fillId="0" borderId="0" xfId="1" applyFont="1"/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9" fillId="0" borderId="0" xfId="1" applyNumberFormat="1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8" fillId="0" borderId="0" xfId="0" applyNumberFormat="1" applyFont="1" applyBorder="1"/>
    <xf numFmtId="41" fontId="17" fillId="0" borderId="0" xfId="0" applyNumberFormat="1" applyFont="1" applyBorder="1"/>
    <xf numFmtId="167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0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168" fontId="24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167" fontId="11" fillId="0" borderId="0" xfId="17" applyNumberFormat="1" applyFont="1"/>
    <xf numFmtId="41" fontId="0" fillId="0" borderId="0" xfId="2" applyFont="1" applyAlignment="1">
      <alignment vertical="center"/>
    </xf>
    <xf numFmtId="41" fontId="11" fillId="0" borderId="0" xfId="2" applyFont="1" applyFill="1"/>
    <xf numFmtId="167" fontId="0" fillId="4" borderId="0" xfId="0" applyNumberFormat="1" applyFill="1" applyAlignment="1">
      <alignment vertical="center"/>
    </xf>
    <xf numFmtId="0" fontId="15" fillId="0" borderId="0" xfId="0" applyFont="1"/>
    <xf numFmtId="41" fontId="24" fillId="0" borderId="0" xfId="0" applyNumberFormat="1" applyFont="1" applyBorder="1"/>
    <xf numFmtId="41" fontId="26" fillId="0" borderId="0" xfId="0" applyNumberFormat="1" applyFont="1" applyBorder="1"/>
    <xf numFmtId="0" fontId="24" fillId="0" borderId="0" xfId="0" applyFont="1"/>
    <xf numFmtId="41" fontId="0" fillId="0" borderId="0" xfId="0" applyNumberFormat="1" applyAlignment="1">
      <alignment horizontal="right" vertical="center"/>
    </xf>
    <xf numFmtId="168" fontId="19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7" fillId="0" borderId="0" xfId="0" applyFont="1"/>
    <xf numFmtId="38" fontId="27" fillId="0" borderId="0" xfId="0" applyNumberFormat="1" applyFont="1"/>
    <xf numFmtId="167" fontId="29" fillId="0" borderId="0" xfId="1" applyNumberFormat="1" applyFont="1"/>
    <xf numFmtId="168" fontId="29" fillId="0" borderId="0" xfId="1" applyNumberFormat="1" applyFont="1"/>
    <xf numFmtId="0" fontId="27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41" fontId="27" fillId="0" borderId="0" xfId="0" applyNumberFormat="1" applyFont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0" fillId="0" borderId="0" xfId="0" applyFont="1" applyBorder="1"/>
    <xf numFmtId="0" fontId="31" fillId="0" borderId="0" xfId="0" applyFont="1"/>
    <xf numFmtId="0" fontId="30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8" xfId="2" applyNumberFormat="1" applyFont="1" applyBorder="1"/>
    <xf numFmtId="169" fontId="12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0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12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4" fillId="0" borderId="9" xfId="0" applyNumberFormat="1" applyFont="1" applyBorder="1"/>
    <xf numFmtId="38" fontId="12" fillId="0" borderId="18" xfId="2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2" fillId="0" borderId="12" xfId="0" applyFont="1" applyBorder="1" applyAlignment="1">
      <alignment horizontal="center"/>
    </xf>
    <xf numFmtId="0" fontId="0" fillId="9" borderId="0" xfId="0" applyFill="1"/>
    <xf numFmtId="41" fontId="35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8" fillId="9" borderId="15" xfId="0" applyFont="1" applyFill="1" applyBorder="1" applyAlignment="1">
      <alignment horizontal="right" vertical="top"/>
    </xf>
    <xf numFmtId="41" fontId="24" fillId="9" borderId="0" xfId="0" applyNumberFormat="1" applyFont="1" applyFill="1"/>
    <xf numFmtId="41" fontId="13" fillId="9" borderId="0" xfId="0" applyNumberFormat="1" applyFont="1" applyFill="1" applyBorder="1"/>
    <xf numFmtId="0" fontId="0" fillId="0" borderId="0" xfId="0" quotePrefix="1"/>
    <xf numFmtId="9" fontId="27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3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167" fontId="12" fillId="0" borderId="33" xfId="0" applyNumberFormat="1" applyFont="1" applyBorder="1" applyAlignment="1">
      <alignment vertical="center"/>
    </xf>
    <xf numFmtId="0" fontId="24" fillId="0" borderId="29" xfId="0" applyFont="1" applyFill="1" applyBorder="1" applyAlignment="1">
      <alignment horizontal="center"/>
    </xf>
    <xf numFmtId="41" fontId="24" fillId="0" borderId="30" xfId="0" applyNumberFormat="1" applyFont="1" applyFill="1" applyBorder="1" applyAlignment="1">
      <alignment vertical="center"/>
    </xf>
    <xf numFmtId="41" fontId="12" fillId="0" borderId="30" xfId="0" applyNumberFormat="1" applyFont="1" applyFill="1" applyBorder="1" applyAlignment="1">
      <alignment vertical="center"/>
    </xf>
    <xf numFmtId="41" fontId="12" fillId="0" borderId="23" xfId="0" applyNumberFormat="1" applyFont="1" applyFill="1" applyBorder="1" applyAlignment="1">
      <alignment vertical="center"/>
    </xf>
    <xf numFmtId="9" fontId="21" fillId="0" borderId="23" xfId="3" applyFont="1" applyFill="1" applyBorder="1" applyAlignment="1">
      <alignment vertical="center"/>
    </xf>
    <xf numFmtId="0" fontId="12" fillId="0" borderId="25" xfId="0" applyFont="1" applyBorder="1" applyAlignment="1">
      <alignment horizontal="center"/>
    </xf>
    <xf numFmtId="41" fontId="24" fillId="0" borderId="3" xfId="0" applyNumberFormat="1" applyFont="1" applyBorder="1"/>
    <xf numFmtId="41" fontId="24" fillId="0" borderId="34" xfId="0" applyNumberFormat="1" applyFont="1" applyBorder="1"/>
    <xf numFmtId="41" fontId="24" fillId="0" borderId="6" xfId="0" applyNumberFormat="1" applyFont="1" applyBorder="1"/>
    <xf numFmtId="41" fontId="24" fillId="0" borderId="10" xfId="0" applyNumberFormat="1" applyFont="1" applyBorder="1"/>
    <xf numFmtId="41" fontId="24" fillId="0" borderId="2" xfId="0" applyNumberFormat="1" applyFont="1" applyBorder="1"/>
    <xf numFmtId="41" fontId="24" fillId="0" borderId="36" xfId="0" applyNumberFormat="1" applyFont="1" applyBorder="1"/>
    <xf numFmtId="0" fontId="24" fillId="0" borderId="37" xfId="0" applyFont="1" applyFill="1" applyBorder="1" applyAlignment="1">
      <alignment horizontal="center"/>
    </xf>
    <xf numFmtId="0" fontId="12" fillId="3" borderId="0" xfId="0" applyFont="1" applyFill="1"/>
    <xf numFmtId="0" fontId="12" fillId="0" borderId="23" xfId="0" applyFont="1" applyFill="1" applyBorder="1"/>
    <xf numFmtId="41" fontId="24" fillId="0" borderId="35" xfId="0" applyNumberFormat="1" applyFont="1" applyFill="1" applyBorder="1" applyAlignment="1">
      <alignment vertical="center"/>
    </xf>
    <xf numFmtId="41" fontId="24" fillId="0" borderId="31" xfId="0" applyNumberFormat="1" applyFont="1" applyFill="1" applyBorder="1" applyAlignment="1">
      <alignment vertical="center"/>
    </xf>
    <xf numFmtId="0" fontId="24" fillId="0" borderId="23" xfId="0" applyFont="1" applyFill="1" applyBorder="1"/>
    <xf numFmtId="41" fontId="24" fillId="0" borderId="23" xfId="0" applyNumberFormat="1" applyFont="1" applyFill="1" applyBorder="1" applyAlignment="1">
      <alignment vertical="center"/>
    </xf>
    <xf numFmtId="166" fontId="36" fillId="0" borderId="23" xfId="1" applyFont="1" applyFill="1" applyBorder="1"/>
    <xf numFmtId="38" fontId="12" fillId="0" borderId="23" xfId="0" applyNumberFormat="1" applyFont="1" applyFill="1" applyBorder="1" applyAlignment="1">
      <alignment vertical="center"/>
    </xf>
    <xf numFmtId="38" fontId="12" fillId="0" borderId="32" xfId="0" applyNumberFormat="1" applyFont="1" applyFill="1" applyBorder="1" applyAlignment="1">
      <alignment vertical="center"/>
    </xf>
    <xf numFmtId="165" fontId="12" fillId="0" borderId="31" xfId="1" applyNumberFormat="1" applyFont="1" applyFill="1" applyBorder="1"/>
    <xf numFmtId="38" fontId="12" fillId="0" borderId="23" xfId="0" applyNumberFormat="1" applyFont="1" applyFill="1" applyBorder="1"/>
    <xf numFmtId="167" fontId="37" fillId="0" borderId="23" xfId="1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2" fillId="0" borderId="23" xfId="0" applyFont="1" applyBorder="1"/>
    <xf numFmtId="0" fontId="12" fillId="0" borderId="29" xfId="0" applyFont="1" applyBorder="1"/>
    <xf numFmtId="0" fontId="12" fillId="0" borderId="0" xfId="0" applyFont="1" applyAlignment="1">
      <alignment vertical="center"/>
    </xf>
    <xf numFmtId="0" fontId="12" fillId="9" borderId="13" xfId="0" applyFont="1" applyFill="1" applyBorder="1"/>
    <xf numFmtId="14" fontId="12" fillId="9" borderId="0" xfId="0" applyNumberFormat="1" applyFont="1" applyFill="1" applyBorder="1" applyAlignment="1"/>
    <xf numFmtId="171" fontId="0" fillId="0" borderId="0" xfId="3" applyNumberFormat="1" applyFont="1" applyAlignment="1">
      <alignment vertical="center"/>
    </xf>
    <xf numFmtId="41" fontId="24" fillId="0" borderId="8" xfId="0" applyNumberFormat="1" applyFont="1" applyBorder="1"/>
    <xf numFmtId="41" fontId="24" fillId="0" borderId="18" xfId="0" applyNumberFormat="1" applyFont="1" applyBorder="1"/>
    <xf numFmtId="41" fontId="24" fillId="0" borderId="23" xfId="0" applyNumberFormat="1" applyFont="1" applyFill="1" applyBorder="1"/>
    <xf numFmtId="0" fontId="12" fillId="0" borderId="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/>
    <xf numFmtId="0" fontId="15" fillId="0" borderId="0" xfId="0" applyFont="1" applyFill="1" applyBorder="1"/>
    <xf numFmtId="0" fontId="11" fillId="0" borderId="0" xfId="17"/>
    <xf numFmtId="9" fontId="24" fillId="5" borderId="7" xfId="0" applyNumberFormat="1" applyFont="1" applyFill="1" applyBorder="1" applyAlignment="1">
      <alignment horizontal="right"/>
    </xf>
    <xf numFmtId="9" fontId="12" fillId="0" borderId="19" xfId="2" applyNumberFormat="1" applyFont="1" applyBorder="1" applyAlignment="1">
      <alignment horizontal="center"/>
    </xf>
    <xf numFmtId="41" fontId="12" fillId="0" borderId="23" xfId="0" applyNumberFormat="1" applyFont="1" applyFill="1" applyBorder="1"/>
    <xf numFmtId="41" fontId="12" fillId="0" borderId="0" xfId="2" applyFont="1"/>
    <xf numFmtId="0" fontId="40" fillId="0" borderId="0" xfId="0" applyFont="1" applyAlignment="1">
      <alignment horizontal="right"/>
    </xf>
    <xf numFmtId="41" fontId="24" fillId="0" borderId="0" xfId="0" applyNumberFormat="1" applyFont="1" applyFill="1"/>
    <xf numFmtId="0" fontId="12" fillId="0" borderId="0" xfId="0" applyFont="1" applyFill="1"/>
    <xf numFmtId="0" fontId="12" fillId="0" borderId="13" xfId="0" applyFont="1" applyFill="1" applyBorder="1"/>
    <xf numFmtId="0" fontId="0" fillId="0" borderId="0" xfId="0" applyFill="1"/>
    <xf numFmtId="0" fontId="0" fillId="0" borderId="0" xfId="0" quotePrefix="1" applyFill="1" applyAlignment="1">
      <alignment horizontal="center"/>
    </xf>
    <xf numFmtId="41" fontId="0" fillId="0" borderId="0" xfId="2" applyFont="1" applyFill="1" applyAlignment="1">
      <alignment vertical="center"/>
    </xf>
    <xf numFmtId="9" fontId="0" fillId="0" borderId="0" xfId="0" applyNumberFormat="1" applyFill="1" applyAlignment="1">
      <alignment horizontal="center"/>
    </xf>
    <xf numFmtId="41" fontId="0" fillId="0" borderId="0" xfId="2" applyFont="1" applyFill="1"/>
    <xf numFmtId="0" fontId="28" fillId="0" borderId="0" xfId="0" applyFont="1" applyFill="1" applyBorder="1" applyAlignment="1">
      <alignment horizontal="right" vertical="top"/>
    </xf>
    <xf numFmtId="41" fontId="0" fillId="9" borderId="0" xfId="0" applyNumberFormat="1" applyFill="1"/>
    <xf numFmtId="9" fontId="24" fillId="0" borderId="7" xfId="13" applyNumberFormat="1" applyFont="1" applyBorder="1"/>
    <xf numFmtId="0" fontId="12" fillId="0" borderId="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19" xfId="0" applyFont="1" applyFill="1" applyBorder="1"/>
    <xf numFmtId="0" fontId="0" fillId="0" borderId="18" xfId="0" applyFont="1" applyFill="1" applyBorder="1" applyAlignment="1">
      <alignment horizontal="left" vertical="justify" wrapText="1"/>
    </xf>
    <xf numFmtId="0" fontId="0" fillId="0" borderId="18" xfId="0" applyFont="1" applyFill="1" applyBorder="1"/>
    <xf numFmtId="14" fontId="12" fillId="0" borderId="0" xfId="0" applyNumberFormat="1" applyFont="1" applyFill="1" applyBorder="1" applyAlignment="1"/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9" fontId="0" fillId="0" borderId="0" xfId="3" applyFont="1" applyAlignment="1">
      <alignment vertical="center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41" fontId="0" fillId="0" borderId="0" xfId="0" applyNumberFormat="1" applyFont="1"/>
    <xf numFmtId="0" fontId="12" fillId="0" borderId="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9" fontId="24" fillId="0" borderId="7" xfId="13" applyNumberFormat="1" applyFont="1" applyBorder="1" applyAlignment="1">
      <alignment horizontal="right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2" fillId="0" borderId="17" xfId="0" applyFont="1" applyBorder="1" applyAlignment="1">
      <alignment horizontal="center"/>
    </xf>
    <xf numFmtId="0" fontId="30" fillId="0" borderId="13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1" fillId="10" borderId="0" xfId="21" applyFont="1" applyFill="1" applyAlignment="1">
      <alignment horizontal="left" vertical="center"/>
    </xf>
    <xf numFmtId="0" fontId="42" fillId="10" borderId="0" xfId="21" applyFont="1" applyFill="1" applyAlignment="1">
      <alignment vertical="center"/>
    </xf>
    <xf numFmtId="0" fontId="43" fillId="0" borderId="0" xfId="21" applyFont="1" applyFill="1" applyAlignment="1">
      <alignment vertical="center"/>
    </xf>
    <xf numFmtId="15" fontId="41" fillId="0" borderId="0" xfId="26" applyNumberFormat="1" applyFont="1"/>
    <xf numFmtId="14" fontId="41" fillId="0" borderId="0" xfId="26" applyNumberFormat="1" applyFont="1" applyAlignment="1">
      <alignment horizontal="left"/>
    </xf>
    <xf numFmtId="172" fontId="44" fillId="0" borderId="0" xfId="22" applyNumberFormat="1" applyFont="1" applyFill="1" applyAlignment="1">
      <alignment horizontal="center" vertical="center"/>
    </xf>
    <xf numFmtId="172" fontId="44" fillId="0" borderId="0" xfId="22" applyNumberFormat="1" applyFont="1" applyFill="1" applyBorder="1" applyAlignment="1">
      <alignment horizontal="center" vertical="center"/>
    </xf>
    <xf numFmtId="0" fontId="42" fillId="0" borderId="0" xfId="21" applyFont="1" applyAlignment="1">
      <alignment vertical="center"/>
    </xf>
    <xf numFmtId="0" fontId="43" fillId="0" borderId="0" xfId="21" applyFont="1" applyAlignment="1">
      <alignment vertical="center"/>
    </xf>
    <xf numFmtId="0" fontId="45" fillId="0" borderId="0" xfId="21" applyFont="1" applyFill="1" applyAlignment="1">
      <alignment horizontal="left" vertical="center"/>
    </xf>
    <xf numFmtId="0" fontId="45" fillId="0" borderId="0" xfId="21" applyFont="1" applyFill="1" applyAlignment="1">
      <alignment vertical="center" wrapText="1"/>
    </xf>
    <xf numFmtId="0" fontId="46" fillId="0" borderId="0" xfId="21" applyFont="1" applyFill="1" applyAlignment="1">
      <alignment horizontal="left" vertical="center"/>
    </xf>
    <xf numFmtId="0" fontId="41" fillId="0" borderId="0" xfId="21" applyFont="1" applyFill="1" applyAlignment="1">
      <alignment vertical="center" wrapText="1"/>
    </xf>
    <xf numFmtId="172" fontId="46" fillId="0" borderId="0" xfId="22" applyNumberFormat="1" applyFont="1" applyFill="1" applyAlignment="1">
      <alignment horizontal="center" vertical="center"/>
    </xf>
    <xf numFmtId="172" fontId="46" fillId="0" borderId="0" xfId="22" applyNumberFormat="1" applyFont="1" applyFill="1" applyBorder="1" applyAlignment="1">
      <alignment horizontal="center" vertical="center"/>
    </xf>
    <xf numFmtId="0" fontId="41" fillId="10" borderId="24" xfId="33" applyFont="1" applyFill="1" applyBorder="1" applyAlignment="1">
      <alignment horizontal="center" vertical="center" wrapText="1"/>
    </xf>
    <xf numFmtId="0" fontId="48" fillId="0" borderId="0" xfId="21" applyFont="1" applyAlignment="1">
      <alignment vertical="center"/>
    </xf>
    <xf numFmtId="0" fontId="41" fillId="6" borderId="24" xfId="33" applyFont="1" applyFill="1" applyBorder="1" applyAlignment="1">
      <alignment horizontal="center" vertical="center"/>
    </xf>
    <xf numFmtId="0" fontId="45" fillId="6" borderId="24" xfId="33" applyFont="1" applyFill="1" applyBorder="1" applyAlignment="1">
      <alignment horizontal="left" vertical="center" wrapText="1"/>
    </xf>
    <xf numFmtId="0" fontId="41" fillId="6" borderId="24" xfId="33" applyNumberFormat="1" applyFont="1" applyFill="1" applyBorder="1" applyAlignment="1">
      <alignment horizontal="center" vertical="center"/>
    </xf>
    <xf numFmtId="42" fontId="42" fillId="6" borderId="24" xfId="34" applyNumberFormat="1" applyFont="1" applyFill="1" applyBorder="1" applyAlignment="1">
      <alignment horizontal="center" vertical="center"/>
    </xf>
    <xf numFmtId="170" fontId="42" fillId="6" borderId="24" xfId="34" applyFont="1" applyFill="1" applyBorder="1" applyAlignment="1">
      <alignment horizontal="center" vertical="center"/>
    </xf>
    <xf numFmtId="0" fontId="43" fillId="0" borderId="0" xfId="21" applyFont="1" applyBorder="1" applyAlignment="1">
      <alignment vertical="center"/>
    </xf>
    <xf numFmtId="0" fontId="41" fillId="10" borderId="24" xfId="33" applyFont="1" applyFill="1" applyBorder="1" applyAlignment="1">
      <alignment horizontal="center" vertical="center"/>
    </xf>
    <xf numFmtId="0" fontId="45" fillId="10" borderId="24" xfId="33" applyFont="1" applyFill="1" applyBorder="1" applyAlignment="1">
      <alignment horizontal="left" vertical="center" wrapText="1"/>
    </xf>
    <xf numFmtId="0" fontId="42" fillId="10" borderId="24" xfId="21" applyFont="1" applyFill="1" applyBorder="1" applyAlignment="1">
      <alignment horizontal="center" vertical="center"/>
    </xf>
    <xf numFmtId="0" fontId="42" fillId="10" borderId="24" xfId="21" applyFont="1" applyFill="1" applyBorder="1" applyAlignment="1">
      <alignment vertical="center"/>
    </xf>
    <xf numFmtId="0" fontId="42" fillId="0" borderId="24" xfId="33" applyFont="1" applyFill="1" applyBorder="1" applyAlignment="1">
      <alignment horizontal="center" vertical="center"/>
    </xf>
    <xf numFmtId="0" fontId="42" fillId="0" borderId="24" xfId="33" applyFont="1" applyFill="1" applyBorder="1" applyAlignment="1">
      <alignment vertical="center" wrapText="1"/>
    </xf>
    <xf numFmtId="0" fontId="42" fillId="0" borderId="24" xfId="21" applyFont="1" applyFill="1" applyBorder="1" applyAlignment="1">
      <alignment horizontal="center" vertical="center"/>
    </xf>
    <xf numFmtId="0" fontId="42" fillId="0" borderId="24" xfId="34" applyNumberFormat="1" applyFont="1" applyFill="1" applyBorder="1" applyAlignment="1">
      <alignment horizontal="center" vertical="center"/>
    </xf>
    <xf numFmtId="173" fontId="32" fillId="0" borderId="24" xfId="21" applyNumberFormat="1" applyBorder="1" applyAlignment="1">
      <alignment vertical="center"/>
    </xf>
    <xf numFmtId="174" fontId="42" fillId="0" borderId="24" xfId="34" applyNumberFormat="1" applyFont="1" applyFill="1" applyBorder="1" applyAlignment="1">
      <alignment horizontal="center" vertical="center"/>
    </xf>
    <xf numFmtId="175" fontId="42" fillId="0" borderId="24" xfId="34" applyNumberFormat="1" applyFont="1" applyFill="1" applyBorder="1" applyAlignment="1">
      <alignment horizontal="center" vertical="center"/>
    </xf>
    <xf numFmtId="0" fontId="42" fillId="0" borderId="24" xfId="21" applyFont="1" applyFill="1" applyBorder="1" applyAlignment="1">
      <alignment vertical="center"/>
    </xf>
    <xf numFmtId="0" fontId="41" fillId="10" borderId="24" xfId="33" applyFont="1" applyFill="1" applyBorder="1" applyAlignment="1">
      <alignment horizontal="left" vertical="center" wrapText="1"/>
    </xf>
    <xf numFmtId="0" fontId="42" fillId="10" borderId="24" xfId="34" applyNumberFormat="1" applyFont="1" applyFill="1" applyBorder="1" applyAlignment="1">
      <alignment horizontal="center" vertical="center"/>
    </xf>
    <xf numFmtId="42" fontId="42" fillId="10" borderId="24" xfId="34" applyNumberFormat="1" applyFont="1" applyFill="1" applyBorder="1" applyAlignment="1">
      <alignment horizontal="center" vertical="center"/>
    </xf>
    <xf numFmtId="175" fontId="42" fillId="10" borderId="24" xfId="21" applyNumberFormat="1" applyFont="1" applyFill="1" applyBorder="1" applyAlignment="1">
      <alignment horizontal="center" vertical="center"/>
    </xf>
    <xf numFmtId="0" fontId="42" fillId="0" borderId="24" xfId="33" applyFont="1" applyBorder="1" applyAlignment="1">
      <alignment horizontal="center" vertical="center"/>
    </xf>
    <xf numFmtId="0" fontId="42" fillId="0" borderId="24" xfId="33" applyFont="1" applyBorder="1" applyAlignment="1">
      <alignment vertical="center" wrapText="1"/>
    </xf>
    <xf numFmtId="173" fontId="32" fillId="0" borderId="24" xfId="21" applyNumberFormat="1" applyFill="1" applyBorder="1" applyAlignment="1">
      <alignment vertical="center"/>
    </xf>
    <xf numFmtId="0" fontId="42" fillId="0" borderId="24" xfId="33" applyFont="1" applyFill="1" applyBorder="1" applyAlignment="1">
      <alignment horizontal="left" vertical="center" wrapText="1"/>
    </xf>
    <xf numFmtId="0" fontId="45" fillId="10" borderId="24" xfId="33" applyFont="1" applyFill="1" applyBorder="1" applyAlignment="1">
      <alignment horizontal="center" vertical="center"/>
    </xf>
    <xf numFmtId="0" fontId="41" fillId="10" borderId="24" xfId="34" applyNumberFormat="1" applyFont="1" applyFill="1" applyBorder="1" applyAlignment="1">
      <alignment horizontal="center" vertical="center"/>
    </xf>
    <xf numFmtId="42" fontId="41" fillId="10" borderId="24" xfId="34" applyNumberFormat="1" applyFont="1" applyFill="1" applyBorder="1" applyAlignment="1">
      <alignment horizontal="center" vertical="center"/>
    </xf>
    <xf numFmtId="175" fontId="41" fillId="10" borderId="24" xfId="34" applyNumberFormat="1" applyFont="1" applyFill="1" applyBorder="1" applyAlignment="1">
      <alignment horizontal="center" vertical="center"/>
    </xf>
    <xf numFmtId="0" fontId="49" fillId="0" borderId="24" xfId="33" applyFont="1" applyFill="1" applyBorder="1" applyAlignment="1">
      <alignment horizontal="center" vertical="center"/>
    </xf>
    <xf numFmtId="0" fontId="49" fillId="0" borderId="24" xfId="33" applyFont="1" applyFill="1" applyBorder="1" applyAlignment="1">
      <alignment vertical="center" wrapText="1"/>
    </xf>
    <xf numFmtId="173" fontId="42" fillId="0" borderId="24" xfId="34" applyNumberFormat="1" applyFont="1" applyFill="1" applyBorder="1" applyAlignment="1">
      <alignment horizontal="center" vertical="center"/>
    </xf>
    <xf numFmtId="0" fontId="41" fillId="0" borderId="24" xfId="33" applyFont="1" applyFill="1" applyBorder="1" applyAlignment="1">
      <alignment horizontal="center" vertical="center"/>
    </xf>
    <xf numFmtId="0" fontId="45" fillId="0" borderId="24" xfId="33" applyFont="1" applyFill="1" applyBorder="1" applyAlignment="1">
      <alignment horizontal="left" vertical="center" wrapText="1"/>
    </xf>
    <xf numFmtId="0" fontId="49" fillId="0" borderId="24" xfId="35" applyFont="1" applyBorder="1"/>
    <xf numFmtId="42" fontId="42" fillId="0" borderId="24" xfId="34" applyNumberFormat="1" applyFont="1" applyFill="1" applyBorder="1" applyAlignment="1">
      <alignment horizontal="center" vertical="center"/>
    </xf>
    <xf numFmtId="170" fontId="42" fillId="0" borderId="24" xfId="34" applyFont="1" applyBorder="1" applyAlignment="1">
      <alignment horizontal="center" vertical="center"/>
    </xf>
    <xf numFmtId="0" fontId="42" fillId="0" borderId="24" xfId="21" applyFont="1" applyBorder="1" applyAlignment="1">
      <alignment vertical="center"/>
    </xf>
    <xf numFmtId="0" fontId="42" fillId="0" borderId="24" xfId="36" applyFont="1" applyFill="1" applyBorder="1" applyAlignment="1">
      <alignment horizontal="center" vertical="center"/>
    </xf>
    <xf numFmtId="0" fontId="49" fillId="0" borderId="24" xfId="36" applyFont="1" applyFill="1" applyBorder="1" applyAlignment="1">
      <alignment vertical="center" wrapText="1"/>
    </xf>
    <xf numFmtId="0" fontId="42" fillId="0" borderId="24" xfId="21" applyNumberFormat="1" applyFont="1" applyFill="1" applyBorder="1" applyAlignment="1">
      <alignment horizontal="center" vertical="center"/>
    </xf>
    <xf numFmtId="42" fontId="42" fillId="0" borderId="24" xfId="21" applyNumberFormat="1" applyFont="1" applyFill="1" applyBorder="1" applyAlignment="1">
      <alignment horizontal="center" vertical="center"/>
    </xf>
    <xf numFmtId="174" fontId="42" fillId="0" borderId="24" xfId="21" applyNumberFormat="1" applyFont="1" applyFill="1" applyBorder="1" applyAlignment="1">
      <alignment vertical="center"/>
    </xf>
    <xf numFmtId="0" fontId="43" fillId="0" borderId="0" xfId="21" applyFont="1" applyFill="1" applyBorder="1" applyAlignment="1">
      <alignment vertical="center"/>
    </xf>
    <xf numFmtId="173" fontId="42" fillId="0" borderId="24" xfId="37" applyNumberFormat="1" applyFont="1" applyFill="1" applyBorder="1" applyAlignment="1">
      <alignment horizontal="center" vertical="center"/>
    </xf>
    <xf numFmtId="173" fontId="42" fillId="0" borderId="24" xfId="36" applyNumberFormat="1" applyFont="1" applyFill="1" applyBorder="1" applyAlignment="1">
      <alignment horizontal="center" vertical="center"/>
    </xf>
    <xf numFmtId="0" fontId="1" fillId="0" borderId="0" xfId="35"/>
    <xf numFmtId="0" fontId="42" fillId="0" borderId="24" xfId="36" applyFont="1" applyFill="1" applyBorder="1" applyAlignment="1">
      <alignment horizontal="center" vertical="center" wrapText="1"/>
    </xf>
    <xf numFmtId="0" fontId="49" fillId="0" borderId="24" xfId="33" applyFont="1" applyFill="1" applyBorder="1" applyAlignment="1">
      <alignment horizontal="left" vertical="center" wrapText="1"/>
    </xf>
    <xf numFmtId="1" fontId="42" fillId="0" borderId="24" xfId="21" applyNumberFormat="1" applyFont="1" applyFill="1" applyBorder="1" applyAlignment="1">
      <alignment horizontal="center" vertical="center"/>
    </xf>
    <xf numFmtId="0" fontId="1" fillId="0" borderId="0" xfId="35" applyFill="1"/>
    <xf numFmtId="174" fontId="42" fillId="0" borderId="24" xfId="37" applyNumberFormat="1" applyFont="1" applyFill="1" applyBorder="1" applyAlignment="1">
      <alignment horizontal="center" vertical="center"/>
    </xf>
    <xf numFmtId="0" fontId="51" fillId="0" borderId="24" xfId="33" applyFont="1" applyFill="1" applyBorder="1" applyAlignment="1">
      <alignment horizontal="center" vertical="center"/>
    </xf>
    <xf numFmtId="0" fontId="51" fillId="0" borderId="24" xfId="33" applyFont="1" applyFill="1" applyBorder="1" applyAlignment="1">
      <alignment vertical="center" wrapText="1"/>
    </xf>
    <xf numFmtId="0" fontId="51" fillId="0" borderId="24" xfId="21" applyFont="1" applyFill="1" applyBorder="1" applyAlignment="1">
      <alignment horizontal="center" vertical="center"/>
    </xf>
    <xf numFmtId="0" fontId="51" fillId="0" borderId="24" xfId="34" applyNumberFormat="1" applyFont="1" applyFill="1" applyBorder="1" applyAlignment="1">
      <alignment horizontal="center" vertical="center"/>
    </xf>
    <xf numFmtId="174" fontId="51" fillId="0" borderId="24" xfId="34" applyNumberFormat="1" applyFont="1" applyFill="1" applyBorder="1" applyAlignment="1">
      <alignment horizontal="center" vertical="center"/>
    </xf>
    <xf numFmtId="174" fontId="51" fillId="0" borderId="24" xfId="21" applyNumberFormat="1" applyFont="1" applyFill="1" applyBorder="1" applyAlignment="1">
      <alignment vertical="center"/>
    </xf>
    <xf numFmtId="0" fontId="52" fillId="0" borderId="24" xfId="21" applyFont="1" applyFill="1" applyBorder="1" applyAlignment="1">
      <alignment vertical="center"/>
    </xf>
    <xf numFmtId="174" fontId="42" fillId="0" borderId="24" xfId="21" applyNumberFormat="1" applyFont="1" applyFill="1" applyBorder="1" applyAlignment="1">
      <alignment horizontal="center" vertical="center"/>
    </xf>
    <xf numFmtId="174" fontId="42" fillId="0" borderId="24" xfId="36" applyNumberFormat="1" applyFont="1" applyFill="1" applyBorder="1" applyAlignment="1">
      <alignment horizontal="center" vertical="center"/>
    </xf>
    <xf numFmtId="49" fontId="42" fillId="0" borderId="24" xfId="33" applyNumberFormat="1" applyFont="1" applyFill="1" applyBorder="1" applyAlignment="1">
      <alignment horizontal="center" vertical="center"/>
    </xf>
    <xf numFmtId="0" fontId="42" fillId="6" borderId="24" xfId="21" applyFont="1" applyFill="1" applyBorder="1" applyAlignment="1">
      <alignment vertical="center"/>
    </xf>
    <xf numFmtId="0" fontId="42" fillId="0" borderId="24" xfId="33" applyNumberFormat="1" applyFont="1" applyFill="1" applyBorder="1" applyAlignment="1">
      <alignment horizontal="center" vertical="center"/>
    </xf>
    <xf numFmtId="0" fontId="51" fillId="0" borderId="24" xfId="33" applyFont="1" applyFill="1" applyBorder="1" applyAlignment="1">
      <alignment horizontal="left" vertical="center" wrapText="1"/>
    </xf>
    <xf numFmtId="174" fontId="51" fillId="0" borderId="24" xfId="37" applyNumberFormat="1" applyFont="1" applyFill="1" applyBorder="1" applyAlignment="1">
      <alignment horizontal="center" vertical="center"/>
    </xf>
    <xf numFmtId="0" fontId="52" fillId="0" borderId="24" xfId="35" applyFont="1" applyFill="1" applyBorder="1"/>
    <xf numFmtId="0" fontId="41" fillId="0" borderId="24" xfId="33" applyFont="1" applyFill="1" applyBorder="1" applyAlignment="1">
      <alignment horizontal="center" vertical="center" wrapText="1"/>
    </xf>
    <xf numFmtId="0" fontId="45" fillId="0" borderId="24" xfId="21" applyFont="1" applyFill="1" applyBorder="1" applyAlignment="1">
      <alignment horizontal="left" vertical="center" wrapText="1"/>
    </xf>
    <xf numFmtId="0" fontId="41" fillId="0" borderId="24" xfId="33" applyNumberFormat="1" applyFont="1" applyFill="1" applyBorder="1" applyAlignment="1">
      <alignment horizontal="center" vertical="center"/>
    </xf>
    <xf numFmtId="173" fontId="42" fillId="0" borderId="24" xfId="33" applyNumberFormat="1" applyFont="1" applyFill="1" applyBorder="1" applyAlignment="1">
      <alignment horizontal="center" vertical="center"/>
    </xf>
    <xf numFmtId="0" fontId="41" fillId="0" borderId="24" xfId="36" applyFont="1" applyBorder="1" applyAlignment="1">
      <alignment horizontal="center" vertical="center" wrapText="1"/>
    </xf>
    <xf numFmtId="0" fontId="45" fillId="0" borderId="24" xfId="36" applyFont="1" applyBorder="1" applyAlignment="1">
      <alignment vertical="center" wrapText="1"/>
    </xf>
    <xf numFmtId="0" fontId="41" fillId="0" borderId="24" xfId="38" applyFont="1" applyBorder="1" applyAlignment="1">
      <alignment horizontal="center" vertical="center" wrapText="1"/>
    </xf>
    <xf numFmtId="0" fontId="42" fillId="0" borderId="24" xfId="38" applyFont="1" applyBorder="1" applyAlignment="1">
      <alignment horizontal="center" vertical="center" wrapText="1"/>
    </xf>
    <xf numFmtId="164" fontId="42" fillId="0" borderId="24" xfId="37" applyFont="1" applyFill="1" applyBorder="1" applyAlignment="1">
      <alignment vertical="center"/>
    </xf>
    <xf numFmtId="174" fontId="42" fillId="0" borderId="24" xfId="21" applyNumberFormat="1" applyFont="1" applyBorder="1" applyAlignment="1">
      <alignment vertical="center"/>
    </xf>
    <xf numFmtId="0" fontId="42" fillId="0" borderId="24" xfId="36" applyFont="1" applyBorder="1" applyAlignment="1">
      <alignment horizontal="center" vertical="center" wrapText="1"/>
    </xf>
    <xf numFmtId="0" fontId="51" fillId="0" borderId="24" xfId="33" applyFont="1" applyBorder="1" applyAlignment="1">
      <alignment horizontal="left" vertical="center" wrapText="1"/>
    </xf>
    <xf numFmtId="0" fontId="51" fillId="0" borderId="24" xfId="21" applyFont="1" applyBorder="1" applyAlignment="1">
      <alignment horizontal="center" vertical="center"/>
    </xf>
    <xf numFmtId="0" fontId="53" fillId="6" borderId="24" xfId="21" applyFont="1" applyFill="1" applyBorder="1" applyAlignment="1">
      <alignment horizontal="center" vertical="center" wrapText="1"/>
    </xf>
    <xf numFmtId="0" fontId="54" fillId="6" borderId="24" xfId="21" applyFont="1" applyFill="1" applyBorder="1" applyAlignment="1">
      <alignment vertical="center" wrapText="1"/>
    </xf>
    <xf numFmtId="0" fontId="53" fillId="6" borderId="24" xfId="21" applyFont="1" applyFill="1" applyBorder="1" applyAlignment="1">
      <alignment vertical="center" wrapText="1"/>
    </xf>
    <xf numFmtId="0" fontId="55" fillId="6" borderId="24" xfId="21" applyFont="1" applyFill="1" applyBorder="1" applyAlignment="1">
      <alignment vertical="center" wrapText="1"/>
    </xf>
    <xf numFmtId="173" fontId="53" fillId="6" borderId="24" xfId="21" applyNumberFormat="1" applyFont="1" applyFill="1" applyBorder="1" applyAlignment="1">
      <alignment vertical="center" wrapText="1"/>
    </xf>
    <xf numFmtId="174" fontId="53" fillId="6" borderId="24" xfId="21" applyNumberFormat="1" applyFont="1" applyFill="1" applyBorder="1" applyAlignment="1">
      <alignment vertical="center" wrapText="1"/>
    </xf>
    <xf numFmtId="0" fontId="56" fillId="6" borderId="25" xfId="35" applyFont="1" applyFill="1" applyBorder="1"/>
    <xf numFmtId="174" fontId="56" fillId="6" borderId="24" xfId="35" applyNumberFormat="1" applyFont="1" applyFill="1" applyBorder="1"/>
    <xf numFmtId="0" fontId="57" fillId="6" borderId="24" xfId="35" applyFont="1" applyFill="1" applyBorder="1"/>
    <xf numFmtId="0" fontId="53" fillId="0" borderId="24" xfId="33" applyFont="1" applyFill="1" applyBorder="1" applyAlignment="1">
      <alignment horizontal="center" vertical="center"/>
    </xf>
    <xf numFmtId="0" fontId="53" fillId="0" borderId="24" xfId="33" applyFont="1" applyFill="1" applyBorder="1" applyAlignment="1">
      <alignment horizontal="left" vertical="center" wrapText="1"/>
    </xf>
    <xf numFmtId="0" fontId="53" fillId="0" borderId="24" xfId="21" applyFont="1" applyFill="1" applyBorder="1" applyAlignment="1">
      <alignment horizontal="center" vertical="center"/>
    </xf>
    <xf numFmtId="174" fontId="53" fillId="0" borderId="24" xfId="37" applyNumberFormat="1" applyFont="1" applyFill="1" applyBorder="1" applyAlignment="1">
      <alignment horizontal="center" vertical="center"/>
    </xf>
    <xf numFmtId="174" fontId="53" fillId="0" borderId="24" xfId="21" applyNumberFormat="1" applyFont="1" applyFill="1" applyBorder="1" applyAlignment="1">
      <alignment vertical="center"/>
    </xf>
    <xf numFmtId="0" fontId="58" fillId="0" borderId="24" xfId="35" applyFont="1" applyFill="1" applyBorder="1"/>
    <xf numFmtId="175" fontId="42" fillId="8" borderId="24" xfId="21" applyNumberFormat="1" applyFont="1" applyFill="1" applyBorder="1" applyAlignment="1">
      <alignment vertical="center"/>
    </xf>
    <xf numFmtId="175" fontId="41" fillId="8" borderId="24" xfId="21" applyNumberFormat="1" applyFont="1" applyFill="1" applyBorder="1" applyAlignment="1">
      <alignment horizontal="right" vertical="center"/>
    </xf>
    <xf numFmtId="175" fontId="41" fillId="8" borderId="24" xfId="21" applyNumberFormat="1" applyFont="1" applyFill="1" applyBorder="1" applyAlignment="1">
      <alignment vertical="center"/>
    </xf>
    <xf numFmtId="175" fontId="41" fillId="0" borderId="24" xfId="21" applyNumberFormat="1" applyFont="1" applyFill="1" applyBorder="1" applyAlignment="1">
      <alignment vertical="center"/>
    </xf>
    <xf numFmtId="0" fontId="59" fillId="0" borderId="0" xfId="21" applyFont="1" applyAlignment="1">
      <alignment vertical="center"/>
    </xf>
    <xf numFmtId="0" fontId="60" fillId="0" borderId="0" xfId="21" applyFont="1" applyAlignment="1">
      <alignment vertical="center" wrapText="1"/>
    </xf>
    <xf numFmtId="0" fontId="61" fillId="0" borderId="0" xfId="21" applyFont="1" applyBorder="1" applyAlignment="1">
      <alignment vertical="center"/>
    </xf>
    <xf numFmtId="175" fontId="43" fillId="0" borderId="0" xfId="21" applyNumberFormat="1" applyFont="1" applyBorder="1" applyAlignment="1">
      <alignment vertical="center"/>
    </xf>
    <xf numFmtId="165" fontId="43" fillId="0" borderId="0" xfId="21" applyNumberFormat="1" applyFont="1" applyBorder="1" applyAlignment="1">
      <alignment vertical="center"/>
    </xf>
    <xf numFmtId="41" fontId="43" fillId="0" borderId="0" xfId="39" applyFont="1" applyBorder="1" applyAlignment="1">
      <alignment vertical="center"/>
    </xf>
    <xf numFmtId="0" fontId="43" fillId="0" borderId="23" xfId="21" applyFont="1" applyBorder="1" applyAlignment="1">
      <alignment vertical="center"/>
    </xf>
    <xf numFmtId="0" fontId="24" fillId="0" borderId="23" xfId="0" applyFont="1" applyFill="1" applyBorder="1" applyAlignment="1">
      <alignment horizontal="center"/>
    </xf>
    <xf numFmtId="41" fontId="12" fillId="0" borderId="30" xfId="0" applyNumberFormat="1" applyFont="1" applyFill="1" applyBorder="1"/>
  </cellXfs>
  <cellStyles count="40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4" xfId="31" xr:uid="{00000000-0005-0000-0000-000004000000}"/>
    <cellStyle name="Comma [0] 5" xfId="39" xr:uid="{83CE41EA-3FB4-40F1-B9A1-FF48429B18E4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3" xfId="30" xr:uid="{00000000-0005-0000-0000-00000F000000}"/>
    <cellStyle name="Currency [0] 4" xfId="37" xr:uid="{F4EA760C-567E-4FD9-B51C-8DCEB5905DA2}"/>
    <cellStyle name="Currency 2" xfId="24" xr:uid="{00000000-0005-0000-0000-000010000000}"/>
    <cellStyle name="Currency 3" xfId="29" xr:uid="{00000000-0005-0000-0000-000011000000}"/>
    <cellStyle name="Currency 4" xfId="34" xr:uid="{A42A170C-81D3-4A2A-A11D-EB06C0E06403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5" xfId="28" xr:uid="{00000000-0005-0000-0000-00001B000000}"/>
    <cellStyle name="Normal 6" xfId="35" xr:uid="{05CFFF97-9524-4439-B281-C1A0AF4163B5}"/>
    <cellStyle name="Normal_Bill Of Quantity 2004 2" xfId="38" xr:uid="{823546CF-91D5-47E4-85A7-594C79CBE806}"/>
    <cellStyle name="Normal_BoQ Indoor INTI - Virtual" xfId="33" xr:uid="{6C8C11BA-CF30-4245-BE81-BADFB1F770DD}"/>
    <cellStyle name="Normal_BoQ_Sudirman Place" xfId="36" xr:uid="{5A430D94-1691-44AB-BC3E-5B14550A2BD0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16259</xdr:rowOff>
    </xdr:from>
    <xdr:to>
      <xdr:col>12</xdr:col>
      <xdr:colOff>1206409</xdr:colOff>
      <xdr:row>26</xdr:row>
      <xdr:rowOff>183152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DE5F84E5-6829-4E2F-B0B8-B26F8A2ABC0C}"/>
            </a:ext>
          </a:extLst>
        </xdr:cNvPr>
        <xdr:cNvGrpSpPr/>
      </xdr:nvGrpSpPr>
      <xdr:grpSpPr>
        <a:xfrm>
          <a:off x="619293" y="5296785"/>
          <a:ext cx="8833761" cy="166893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863D0C98-F7B1-4BA6-9A48-5CE9DA7A6C8E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EAACBF2F-D617-4ECF-AEDA-87509E705DC4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0675605-40AE-4145-AD2C-7ACAE8F97BD5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ABF40F69-0964-454B-90C3-8DA5FDB37E08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2087D0AD-593B-4A5A-95A7-A0F7CBFA06FB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6845FD29-6EB8-4D02-8FC0-7E2A3831E4B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91757</xdr:colOff>
      <xdr:row>32</xdr:row>
      <xdr:rowOff>102346</xdr:rowOff>
    </xdr:from>
    <xdr:to>
      <xdr:col>13</xdr:col>
      <xdr:colOff>158750</xdr:colOff>
      <xdr:row>33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0EE35B3F-B9EF-4591-B2C4-B9276F6B1171}"/>
            </a:ext>
          </a:extLst>
        </xdr:cNvPr>
        <xdr:cNvGrpSpPr/>
      </xdr:nvGrpSpPr>
      <xdr:grpSpPr>
        <a:xfrm>
          <a:off x="634849" y="6586030"/>
          <a:ext cx="9023835" cy="177555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1EB1167-CBDC-411E-A388-7EF7999AD114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BD6A26E7-2445-4E43-8C59-0357AD22D686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F43C523F-710D-44C9-A683-8299FB9FD6F7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A70E4789-1DDF-4731-BF15-21F9DD74243B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5CD70E03-E197-4401-92F3-4D18F3A15658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904B9EA8-CBD7-4CFA-91D6-78CC0280F655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26</xdr:row>
      <xdr:rowOff>79365</xdr:rowOff>
    </xdr:from>
    <xdr:to>
      <xdr:col>12</xdr:col>
      <xdr:colOff>791094</xdr:colOff>
      <xdr:row>26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D7FBB3D-4BE4-4DAB-80A7-3C10BA46B267}"/>
            </a:ext>
          </a:extLst>
        </xdr:cNvPr>
        <xdr:cNvCxnSpPr/>
      </xdr:nvCxnSpPr>
      <xdr:spPr>
        <a:xfrm flipV="1">
          <a:off x="7455546" y="4765665"/>
          <a:ext cx="157276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16259</xdr:rowOff>
    </xdr:from>
    <xdr:to>
      <xdr:col>12</xdr:col>
      <xdr:colOff>1206409</xdr:colOff>
      <xdr:row>28</xdr:row>
      <xdr:rowOff>183152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33C52A4D-3844-45E2-8885-BEF4C679E8C5}"/>
            </a:ext>
          </a:extLst>
        </xdr:cNvPr>
        <xdr:cNvGrpSpPr/>
      </xdr:nvGrpSpPr>
      <xdr:grpSpPr>
        <a:xfrm>
          <a:off x="612423" y="5597203"/>
          <a:ext cx="8813708" cy="166893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E67B620E-EC85-4475-8C4F-78312184768D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C46BEFAE-C153-41A0-9B58-301A849EA7C9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49646FB-E498-4BAF-8604-0537277EBDEC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51450D7E-BACD-4365-86AB-1B33E1A757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D2C360EB-D98A-482A-AF08-EFE7F0D8999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FF29D35A-23C4-442C-841D-766B0701BE53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127000</xdr:colOff>
      <xdr:row>33</xdr:row>
      <xdr:rowOff>8768</xdr:rowOff>
    </xdr:from>
    <xdr:to>
      <xdr:col>12</xdr:col>
      <xdr:colOff>1223361</xdr:colOff>
      <xdr:row>33</xdr:row>
      <xdr:rowOff>186322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FECEE6D9-590E-44C7-8E48-0FB60C1BABEE}"/>
            </a:ext>
          </a:extLst>
        </xdr:cNvPr>
        <xdr:cNvGrpSpPr/>
      </xdr:nvGrpSpPr>
      <xdr:grpSpPr>
        <a:xfrm>
          <a:off x="437444" y="6577490"/>
          <a:ext cx="9005639" cy="177554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B028199-FDE8-4906-9910-43387E1014CE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E220DF1C-7B56-45C8-A575-9014E66683CA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C89B209-18AB-4489-B642-A6B46ABBCC4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D0D9537F-3B82-48B7-825F-BA3366D05B1D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828DE5C-6CDB-4DDF-B80D-C15B090E0BCE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2070A9CC-8E2A-41CF-B0B4-F1F9206D1AF0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R33"/>
  <sheetViews>
    <sheetView showGridLines="0" zoomScale="114" zoomScaleNormal="114" workbookViewId="0">
      <selection activeCell="D24" sqref="D24"/>
    </sheetView>
  </sheetViews>
  <sheetFormatPr defaultColWidth="8.58203125" defaultRowHeight="15.5" x14ac:dyDescent="0.35"/>
  <cols>
    <col min="1" max="1" width="4.08203125" style="87" customWidth="1"/>
    <col min="2" max="2" width="3" style="87" customWidth="1"/>
    <col min="3" max="3" width="17.33203125" style="87" customWidth="1"/>
    <col min="4" max="4" width="20.08203125" style="87" customWidth="1"/>
    <col min="5" max="5" width="4.08203125" style="87" customWidth="1"/>
    <col min="6" max="6" width="4.83203125" style="87" customWidth="1"/>
    <col min="7" max="7" width="17" style="87" bestFit="1" customWidth="1"/>
    <col min="8" max="8" width="8.33203125" style="87" customWidth="1"/>
    <col min="9" max="9" width="3.58203125" style="87" customWidth="1"/>
    <col min="10" max="10" width="2.08203125" style="87" customWidth="1"/>
    <col min="11" max="11" width="5.08203125" style="87" customWidth="1"/>
    <col min="12" max="12" width="18.33203125" style="87" bestFit="1" customWidth="1"/>
    <col min="13" max="13" width="16.5" style="87" customWidth="1"/>
    <col min="14" max="14" width="2.08203125" style="87" customWidth="1"/>
    <col min="15" max="15" width="3.58203125" style="87" customWidth="1"/>
    <col min="16" max="16384" width="8.58203125" style="87"/>
  </cols>
  <sheetData>
    <row r="1" spans="2:15" x14ac:dyDescent="0.35">
      <c r="B1" s="89"/>
      <c r="C1" s="89" t="s">
        <v>167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5" ht="26" x14ac:dyDescent="0.6">
      <c r="B2" s="89"/>
      <c r="C2" s="91" t="s">
        <v>82</v>
      </c>
      <c r="D2" s="88" t="s">
        <v>92</v>
      </c>
      <c r="E2" s="89"/>
      <c r="F2" s="89"/>
      <c r="G2" s="89"/>
      <c r="H2" s="89"/>
      <c r="M2" s="204" t="s">
        <v>165</v>
      </c>
      <c r="N2" s="89"/>
    </row>
    <row r="3" spans="2:15" ht="19" thickBot="1" x14ac:dyDescent="0.5">
      <c r="B3" s="89"/>
      <c r="C3" s="91" t="s">
        <v>83</v>
      </c>
      <c r="D3" s="88" t="s">
        <v>84</v>
      </c>
      <c r="E3" s="89"/>
      <c r="F3" s="89"/>
      <c r="G3" s="89"/>
      <c r="H3" s="89"/>
      <c r="J3" s="108" t="s">
        <v>88</v>
      </c>
      <c r="K3" s="108"/>
      <c r="L3" s="108"/>
      <c r="M3" s="186">
        <v>45371</v>
      </c>
      <c r="N3" s="89"/>
    </row>
    <row r="4" spans="2:15" ht="16" hidden="1" thickBot="1" x14ac:dyDescent="0.4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5" s="90" customFormat="1" ht="19" thickBot="1" x14ac:dyDescent="0.5">
      <c r="B5" s="243" t="s">
        <v>66</v>
      </c>
      <c r="C5" s="244"/>
      <c r="D5" s="245"/>
      <c r="E5" s="243" t="s">
        <v>72</v>
      </c>
      <c r="F5" s="244"/>
      <c r="G5" s="244"/>
      <c r="H5" s="244"/>
      <c r="I5" s="244"/>
      <c r="J5" s="243" t="s">
        <v>67</v>
      </c>
      <c r="K5" s="244"/>
      <c r="L5" s="244"/>
      <c r="M5" s="244"/>
      <c r="N5" s="245"/>
    </row>
    <row r="6" spans="2:15" x14ac:dyDescent="0.35">
      <c r="B6" s="246" t="s">
        <v>64</v>
      </c>
      <c r="C6" s="247"/>
      <c r="D6" s="141" t="s">
        <v>149</v>
      </c>
      <c r="E6" s="248" t="s">
        <v>74</v>
      </c>
      <c r="F6" s="248"/>
      <c r="G6" s="248"/>
      <c r="H6" s="248"/>
      <c r="I6" s="248"/>
      <c r="J6" s="103"/>
      <c r="K6" s="247" t="s">
        <v>70</v>
      </c>
      <c r="L6" s="247"/>
      <c r="M6" s="109">
        <f>M11/H7</f>
        <v>15808252.427184466</v>
      </c>
      <c r="N6" s="110"/>
      <c r="O6" s="85">
        <f>M6-'IRR with FO'!F8</f>
        <v>6808252.4271844663</v>
      </c>
    </row>
    <row r="7" spans="2:15" x14ac:dyDescent="0.35">
      <c r="B7" s="251" t="s">
        <v>65</v>
      </c>
      <c r="C7" s="252"/>
      <c r="D7" s="142"/>
      <c r="E7" s="234" t="s">
        <v>61</v>
      </c>
      <c r="F7" s="234"/>
      <c r="G7" s="234"/>
      <c r="H7" s="111">
        <f>'IRR with FO'!$F$13</f>
        <v>103</v>
      </c>
      <c r="I7" s="89"/>
      <c r="J7" s="94"/>
      <c r="K7" s="234" t="s">
        <v>69</v>
      </c>
      <c r="L7" s="234"/>
      <c r="M7" s="112">
        <v>10</v>
      </c>
      <c r="N7" s="92"/>
    </row>
    <row r="8" spans="2:15" x14ac:dyDescent="0.35">
      <c r="B8" s="251" t="s">
        <v>76</v>
      </c>
      <c r="C8" s="252"/>
      <c r="D8" s="143"/>
      <c r="E8" s="234" t="s">
        <v>62</v>
      </c>
      <c r="F8" s="234"/>
      <c r="G8" s="234"/>
      <c r="H8" s="111">
        <v>0</v>
      </c>
      <c r="I8" s="89"/>
      <c r="J8" s="94"/>
      <c r="K8" s="234" t="s">
        <v>86</v>
      </c>
      <c r="L8" s="234"/>
      <c r="M8" s="113">
        <f>'IRR with FO'!$F$4</f>
        <v>0.1</v>
      </c>
      <c r="N8" s="92"/>
    </row>
    <row r="9" spans="2:15" x14ac:dyDescent="0.35">
      <c r="B9" s="233" t="s">
        <v>77</v>
      </c>
      <c r="C9" s="234"/>
      <c r="D9" s="143"/>
      <c r="E9" s="234" t="s">
        <v>63</v>
      </c>
      <c r="F9" s="234"/>
      <c r="G9" s="234"/>
      <c r="H9" s="114">
        <v>3</v>
      </c>
      <c r="I9" s="89"/>
      <c r="J9" s="94"/>
      <c r="K9" s="234" t="s">
        <v>59</v>
      </c>
      <c r="L9" s="234"/>
      <c r="M9" s="109">
        <v>0</v>
      </c>
      <c r="N9" s="92"/>
    </row>
    <row r="10" spans="2:15" x14ac:dyDescent="0.35">
      <c r="B10" s="105" t="s">
        <v>60</v>
      </c>
      <c r="C10" s="106"/>
      <c r="D10" s="143"/>
      <c r="E10" s="236" t="s">
        <v>73</v>
      </c>
      <c r="F10" s="236"/>
      <c r="G10" s="236"/>
      <c r="H10" s="236"/>
      <c r="I10" s="236"/>
      <c r="J10" s="100"/>
      <c r="K10" s="241" t="s">
        <v>68</v>
      </c>
      <c r="L10" s="241"/>
      <c r="M10" s="109">
        <f>'IRR with FO'!R27</f>
        <v>3016000000</v>
      </c>
      <c r="N10" s="92"/>
    </row>
    <row r="11" spans="2:15" x14ac:dyDescent="0.35">
      <c r="B11" s="101" t="s">
        <v>78</v>
      </c>
      <c r="C11" s="107"/>
      <c r="D11" s="93">
        <v>5</v>
      </c>
      <c r="E11" s="235" t="s">
        <v>71</v>
      </c>
      <c r="F11" s="235"/>
      <c r="G11" s="235"/>
      <c r="H11" s="115">
        <v>0</v>
      </c>
      <c r="I11" s="89"/>
      <c r="J11" s="94"/>
      <c r="K11" s="241" t="s">
        <v>99</v>
      </c>
      <c r="L11" s="241"/>
      <c r="M11" s="109">
        <f>'IRR with FO'!R13+'IRR with FO'!R14</f>
        <v>1628250000</v>
      </c>
      <c r="N11" s="92"/>
    </row>
    <row r="12" spans="2:15" x14ac:dyDescent="0.35">
      <c r="B12" s="101" t="s">
        <v>79</v>
      </c>
      <c r="C12" s="107"/>
      <c r="D12" s="93">
        <v>1</v>
      </c>
      <c r="E12" s="235" t="s">
        <v>81</v>
      </c>
      <c r="F12" s="235"/>
      <c r="G12" s="235"/>
      <c r="H12" s="115">
        <v>0</v>
      </c>
      <c r="I12" s="89"/>
      <c r="J12" s="94"/>
      <c r="K12" s="241" t="s">
        <v>100</v>
      </c>
      <c r="L12" s="241"/>
      <c r="M12" s="86">
        <f>'IRR with FO'!R15</f>
        <v>263000000</v>
      </c>
      <c r="N12" s="92"/>
    </row>
    <row r="13" spans="2:15" x14ac:dyDescent="0.35">
      <c r="B13" s="101"/>
      <c r="C13" s="122"/>
      <c r="D13" s="93"/>
      <c r="E13" s="121"/>
      <c r="F13" s="121"/>
      <c r="G13" s="121"/>
      <c r="H13" s="115"/>
      <c r="I13" s="89"/>
      <c r="J13" s="94"/>
      <c r="K13" s="241" t="s">
        <v>97</v>
      </c>
      <c r="L13" s="241"/>
      <c r="M13" s="86"/>
      <c r="N13" s="92"/>
    </row>
    <row r="14" spans="2:15" ht="16" thickBot="1" x14ac:dyDescent="0.4">
      <c r="B14" s="94"/>
      <c r="C14" s="89"/>
      <c r="D14" s="92"/>
      <c r="E14" s="235" t="s">
        <v>80</v>
      </c>
      <c r="F14" s="235"/>
      <c r="G14" s="235"/>
      <c r="H14" s="115">
        <v>0</v>
      </c>
      <c r="I14" s="89"/>
      <c r="J14" s="94"/>
      <c r="K14" s="241" t="s">
        <v>98</v>
      </c>
      <c r="L14" s="241"/>
      <c r="M14" s="109">
        <f>'IRR with FO'!R34</f>
        <v>412804028.07999998</v>
      </c>
      <c r="N14" s="92"/>
    </row>
    <row r="15" spans="2:15" x14ac:dyDescent="0.35">
      <c r="B15" s="94"/>
      <c r="C15" s="89"/>
      <c r="D15" s="92"/>
      <c r="E15" s="236" t="s">
        <v>75</v>
      </c>
      <c r="F15" s="236"/>
      <c r="G15" s="236"/>
      <c r="H15" s="236"/>
      <c r="I15" s="236"/>
      <c r="J15" s="116"/>
      <c r="K15" s="237" t="s">
        <v>26</v>
      </c>
      <c r="L15" s="238"/>
      <c r="M15" s="201" t="str">
        <f>'IRR with FO'!$F$50</f>
        <v>Positive</v>
      </c>
      <c r="N15" s="92"/>
    </row>
    <row r="16" spans="2:15" x14ac:dyDescent="0.35">
      <c r="B16" s="94"/>
      <c r="C16" s="89"/>
      <c r="D16" s="92"/>
      <c r="E16" s="89"/>
      <c r="F16" s="89"/>
      <c r="G16" s="89"/>
      <c r="H16" s="89"/>
      <c r="I16" s="89"/>
      <c r="J16" s="117"/>
      <c r="K16" s="239" t="s">
        <v>27</v>
      </c>
      <c r="L16" s="240"/>
      <c r="M16" s="124">
        <f>'IRR with FO'!$F$51</f>
        <v>505684950.70274508</v>
      </c>
      <c r="N16" s="92"/>
    </row>
    <row r="17" spans="2:18" x14ac:dyDescent="0.35">
      <c r="B17" s="94"/>
      <c r="C17" s="89"/>
      <c r="D17" s="92"/>
      <c r="E17" s="89"/>
      <c r="F17" s="89"/>
      <c r="G17" s="89"/>
      <c r="H17" s="89"/>
      <c r="I17" s="89"/>
      <c r="J17" s="117"/>
      <c r="K17" s="239" t="s">
        <v>28</v>
      </c>
      <c r="L17" s="240"/>
      <c r="M17" s="95">
        <f>'IRR with FO'!$F$52</f>
        <v>0.86312863790450933</v>
      </c>
      <c r="N17" s="92"/>
      <c r="R17" s="87" t="s">
        <v>54</v>
      </c>
    </row>
    <row r="18" spans="2:18" ht="16" thickBot="1" x14ac:dyDescent="0.4">
      <c r="B18" s="94"/>
      <c r="C18" s="89"/>
      <c r="D18" s="92"/>
      <c r="E18" s="89"/>
      <c r="F18" s="89"/>
      <c r="G18" s="89"/>
      <c r="H18" s="89"/>
      <c r="I18" s="89"/>
      <c r="J18" s="117"/>
      <c r="K18" s="249" t="s">
        <v>87</v>
      </c>
      <c r="L18" s="250"/>
      <c r="M18" s="96">
        <f>'IRR with FO'!$F$53</f>
        <v>0</v>
      </c>
      <c r="N18" s="92"/>
      <c r="Q18" s="87" t="s">
        <v>54</v>
      </c>
    </row>
    <row r="19" spans="2:18" ht="16" thickBot="1" x14ac:dyDescent="0.4">
      <c r="B19" s="97"/>
      <c r="C19" s="98"/>
      <c r="D19" s="99"/>
      <c r="E19" s="98"/>
      <c r="F19" s="98" t="s">
        <v>54</v>
      </c>
      <c r="G19" s="98"/>
      <c r="H19" s="98"/>
      <c r="I19" s="98"/>
      <c r="J19" s="94"/>
      <c r="K19" s="120"/>
      <c r="L19" s="102"/>
      <c r="M19" s="102"/>
      <c r="N19" s="92"/>
    </row>
    <row r="20" spans="2:18" x14ac:dyDescent="0.35">
      <c r="B20" s="118" t="s">
        <v>93</v>
      </c>
      <c r="C20" s="119"/>
      <c r="D20" s="119"/>
      <c r="E20" s="119"/>
      <c r="F20" s="119"/>
      <c r="G20" s="119"/>
      <c r="H20" s="119"/>
      <c r="I20" s="119"/>
      <c r="J20" s="119"/>
      <c r="K20" s="119"/>
      <c r="L20" s="242" t="s">
        <v>89</v>
      </c>
      <c r="M20" s="242"/>
      <c r="N20" s="110"/>
    </row>
    <row r="21" spans="2:18" x14ac:dyDescent="0.35">
      <c r="B21" s="94" t="s">
        <v>90</v>
      </c>
      <c r="C21" s="89"/>
      <c r="D21" s="197" t="s">
        <v>150</v>
      </c>
      <c r="E21" s="197"/>
      <c r="F21" s="197"/>
      <c r="G21" s="197"/>
      <c r="H21" s="89"/>
      <c r="I21" s="89"/>
      <c r="J21" s="89"/>
      <c r="K21" s="89"/>
      <c r="L21" s="231" t="s">
        <v>96</v>
      </c>
      <c r="M21" s="232"/>
      <c r="N21" s="92"/>
    </row>
    <row r="22" spans="2:18" x14ac:dyDescent="0.35">
      <c r="B22" s="94"/>
      <c r="C22" s="89"/>
      <c r="D22" s="197" t="s">
        <v>157</v>
      </c>
      <c r="E22" s="197"/>
      <c r="F22" s="197"/>
      <c r="G22" s="197"/>
      <c r="H22" s="89"/>
      <c r="I22" s="89"/>
      <c r="J22" s="89"/>
      <c r="K22" s="89"/>
      <c r="L22" s="89"/>
      <c r="M22" s="89"/>
      <c r="N22" s="92"/>
    </row>
    <row r="23" spans="2:18" x14ac:dyDescent="0.35">
      <c r="B23" s="94"/>
      <c r="C23" s="89"/>
      <c r="D23" s="198" t="s">
        <v>158</v>
      </c>
      <c r="E23" s="197"/>
      <c r="F23" s="197"/>
      <c r="G23" s="197"/>
      <c r="H23" s="89"/>
      <c r="I23" s="89"/>
      <c r="J23" s="89"/>
      <c r="K23" s="89"/>
      <c r="L23" s="89"/>
      <c r="M23" s="89"/>
      <c r="N23" s="92"/>
    </row>
    <row r="24" spans="2:18" x14ac:dyDescent="0.35">
      <c r="B24" s="94"/>
      <c r="C24" s="89"/>
      <c r="D24" s="198" t="s">
        <v>156</v>
      </c>
      <c r="E24" s="197"/>
      <c r="F24" s="197"/>
      <c r="G24" s="197"/>
      <c r="H24" s="89"/>
      <c r="I24" s="89"/>
      <c r="J24" s="89"/>
      <c r="K24" s="89"/>
      <c r="L24" s="89"/>
      <c r="M24" s="89"/>
      <c r="N24" s="92"/>
    </row>
    <row r="25" spans="2:18" ht="16" thickBot="1" x14ac:dyDescent="0.4">
      <c r="B25" s="97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9"/>
    </row>
    <row r="26" spans="2:18" x14ac:dyDescent="0.35">
      <c r="B26" s="1" t="s">
        <v>91</v>
      </c>
    </row>
    <row r="27" spans="2:18" x14ac:dyDescent="0.35">
      <c r="B27" s="199"/>
      <c r="C27" s="199"/>
      <c r="D27" s="199"/>
      <c r="E27" s="199"/>
      <c r="F27" s="199"/>
      <c r="G27" s="199"/>
      <c r="H27" s="199"/>
      <c r="I27" s="199"/>
      <c r="J27" s="199"/>
      <c r="K27" s="199"/>
      <c r="L27" s="199"/>
      <c r="M27" s="199"/>
      <c r="N27" s="199"/>
    </row>
    <row r="28" spans="2:18" x14ac:dyDescent="0.35">
      <c r="B28" s="199"/>
      <c r="C28" s="199"/>
      <c r="D28" s="199"/>
      <c r="E28" s="199"/>
      <c r="F28" s="199"/>
      <c r="G28" s="199"/>
      <c r="H28" s="199"/>
      <c r="I28" s="199"/>
      <c r="J28" s="199"/>
      <c r="K28" s="199"/>
      <c r="L28" s="199"/>
      <c r="M28" s="199"/>
      <c r="N28" s="199"/>
    </row>
    <row r="29" spans="2:18" x14ac:dyDescent="0.35"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</row>
    <row r="30" spans="2:18" x14ac:dyDescent="0.35"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</row>
    <row r="31" spans="2:18" x14ac:dyDescent="0.35"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</row>
    <row r="32" spans="2:18" x14ac:dyDescent="0.35"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</row>
    <row r="33" spans="2:14" x14ac:dyDescent="0.35"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</row>
  </sheetData>
  <mergeCells count="31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B5:D5"/>
    <mergeCell ref="E5:I5"/>
    <mergeCell ref="J5:N5"/>
    <mergeCell ref="B6:C6"/>
    <mergeCell ref="E6:I6"/>
    <mergeCell ref="K6:L6"/>
    <mergeCell ref="L21:M21"/>
    <mergeCell ref="B9:C9"/>
    <mergeCell ref="E14:G14"/>
    <mergeCell ref="E15:I15"/>
    <mergeCell ref="K15:L15"/>
    <mergeCell ref="K16:L16"/>
    <mergeCell ref="K17:L17"/>
    <mergeCell ref="E9:G9"/>
    <mergeCell ref="K9:L9"/>
    <mergeCell ref="E10:I10"/>
    <mergeCell ref="K11:L11"/>
    <mergeCell ref="E11:G11"/>
    <mergeCell ref="K14:L14"/>
    <mergeCell ref="L20:M20"/>
    <mergeCell ref="E12:G12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B1:R35"/>
  <sheetViews>
    <sheetView showGridLines="0" topLeftCell="A2" zoomScale="90" zoomScaleNormal="90" workbookViewId="0">
      <selection activeCell="Q8" sqref="Q8"/>
    </sheetView>
  </sheetViews>
  <sheetFormatPr defaultColWidth="8.58203125" defaultRowHeight="15.5" x14ac:dyDescent="0.35"/>
  <cols>
    <col min="1" max="1" width="4.08203125" style="87" customWidth="1"/>
    <col min="2" max="2" width="3" style="87" customWidth="1"/>
    <col min="3" max="3" width="17.33203125" style="87" customWidth="1"/>
    <col min="4" max="4" width="20.08203125" style="87" customWidth="1"/>
    <col min="5" max="5" width="4.08203125" style="87" customWidth="1"/>
    <col min="6" max="6" width="4.83203125" style="87" customWidth="1"/>
    <col min="7" max="7" width="17" style="87" bestFit="1" customWidth="1"/>
    <col min="8" max="8" width="8.33203125" style="87" customWidth="1"/>
    <col min="9" max="9" width="3.58203125" style="87" customWidth="1"/>
    <col min="10" max="10" width="2.08203125" style="87" customWidth="1"/>
    <col min="11" max="11" width="5.08203125" style="87" customWidth="1"/>
    <col min="12" max="12" width="18.33203125" style="87" bestFit="1" customWidth="1"/>
    <col min="13" max="13" width="16.5" style="87" customWidth="1"/>
    <col min="14" max="14" width="2.08203125" style="87" customWidth="1"/>
    <col min="15" max="15" width="3.58203125" style="87" customWidth="1"/>
    <col min="16" max="16384" width="8.58203125" style="87"/>
  </cols>
  <sheetData>
    <row r="1" spans="2:15" x14ac:dyDescent="0.35"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5" ht="26" x14ac:dyDescent="0.6">
      <c r="B2" s="89"/>
      <c r="C2" s="91" t="s">
        <v>82</v>
      </c>
      <c r="D2" s="88" t="s">
        <v>92</v>
      </c>
      <c r="E2" s="89"/>
      <c r="F2" s="89"/>
      <c r="G2" s="89"/>
      <c r="H2" s="89"/>
      <c r="J2" s="108"/>
      <c r="M2" s="204" t="str">
        <f>D6</f>
        <v>ArtOtel Grand Wisata</v>
      </c>
      <c r="N2" s="89"/>
    </row>
    <row r="3" spans="2:15" ht="19" thickBot="1" x14ac:dyDescent="0.5">
      <c r="B3" s="89"/>
      <c r="C3" s="91" t="s">
        <v>83</v>
      </c>
      <c r="D3" s="88" t="s">
        <v>84</v>
      </c>
      <c r="E3" s="89"/>
      <c r="F3" s="89"/>
      <c r="G3" s="89"/>
      <c r="H3" s="89"/>
      <c r="J3" s="108" t="s">
        <v>88</v>
      </c>
      <c r="L3" s="108"/>
      <c r="M3" s="221">
        <v>45621</v>
      </c>
      <c r="N3" s="89"/>
    </row>
    <row r="4" spans="2:15" ht="16" hidden="1" thickBot="1" x14ac:dyDescent="0.4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5" s="90" customFormat="1" ht="19" thickBot="1" x14ac:dyDescent="0.5">
      <c r="B5" s="243" t="s">
        <v>66</v>
      </c>
      <c r="C5" s="244"/>
      <c r="D5" s="245"/>
      <c r="E5" s="243" t="s">
        <v>72</v>
      </c>
      <c r="F5" s="244"/>
      <c r="G5" s="244"/>
      <c r="H5" s="244"/>
      <c r="I5" s="244"/>
      <c r="J5" s="243" t="s">
        <v>67</v>
      </c>
      <c r="K5" s="244"/>
      <c r="L5" s="244"/>
      <c r="M5" s="244"/>
      <c r="N5" s="245"/>
    </row>
    <row r="6" spans="2:15" x14ac:dyDescent="0.35">
      <c r="B6" s="246" t="s">
        <v>64</v>
      </c>
      <c r="C6" s="247"/>
      <c r="D6" s="218" t="s">
        <v>176</v>
      </c>
      <c r="E6" s="248" t="s">
        <v>74</v>
      </c>
      <c r="F6" s="248"/>
      <c r="G6" s="248"/>
      <c r="H6" s="248"/>
      <c r="I6" s="248"/>
      <c r="J6" s="103"/>
      <c r="K6" s="247" t="s">
        <v>70</v>
      </c>
      <c r="L6" s="247"/>
      <c r="M6" s="109">
        <f>'IRR '!G13/H7</f>
        <v>4781364</v>
      </c>
      <c r="N6" s="110"/>
      <c r="O6" s="85"/>
    </row>
    <row r="7" spans="2:15" x14ac:dyDescent="0.35">
      <c r="B7" s="251" t="s">
        <v>65</v>
      </c>
      <c r="C7" s="252"/>
      <c r="D7" s="219"/>
      <c r="E7" s="234" t="s">
        <v>61</v>
      </c>
      <c r="F7" s="234"/>
      <c r="G7" s="234"/>
      <c r="H7" s="111">
        <v>50</v>
      </c>
      <c r="I7" s="89"/>
      <c r="J7" s="94"/>
      <c r="K7" s="234" t="s">
        <v>69</v>
      </c>
      <c r="L7" s="234"/>
      <c r="M7" s="112">
        <v>5</v>
      </c>
      <c r="N7" s="92"/>
    </row>
    <row r="8" spans="2:15" x14ac:dyDescent="0.35">
      <c r="B8" s="251" t="s">
        <v>76</v>
      </c>
      <c r="C8" s="252"/>
      <c r="D8" s="220"/>
      <c r="E8" s="234" t="s">
        <v>62</v>
      </c>
      <c r="F8" s="234"/>
      <c r="G8" s="234"/>
      <c r="H8" s="111">
        <v>0</v>
      </c>
      <c r="I8" s="89"/>
      <c r="J8" s="94"/>
      <c r="K8" s="234" t="s">
        <v>86</v>
      </c>
      <c r="L8" s="234"/>
      <c r="M8" s="113">
        <f>'IRR with FO'!$F$4</f>
        <v>0.1</v>
      </c>
      <c r="N8" s="92"/>
    </row>
    <row r="9" spans="2:15" x14ac:dyDescent="0.35">
      <c r="B9" s="233" t="s">
        <v>77</v>
      </c>
      <c r="C9" s="234"/>
      <c r="D9" s="220"/>
      <c r="E9" s="234" t="s">
        <v>63</v>
      </c>
      <c r="F9" s="234"/>
      <c r="G9" s="234"/>
      <c r="H9" s="114"/>
      <c r="I9" s="89"/>
      <c r="J9" s="94"/>
      <c r="K9" s="234" t="s">
        <v>59</v>
      </c>
      <c r="L9" s="234"/>
      <c r="M9" s="109">
        <v>0</v>
      </c>
      <c r="N9" s="92"/>
    </row>
    <row r="10" spans="2:15" x14ac:dyDescent="0.35">
      <c r="B10" s="193" t="s">
        <v>60</v>
      </c>
      <c r="C10" s="194"/>
      <c r="D10" s="220"/>
      <c r="E10" s="236" t="s">
        <v>73</v>
      </c>
      <c r="F10" s="236"/>
      <c r="G10" s="236"/>
      <c r="H10" s="236"/>
      <c r="I10" s="236"/>
      <c r="J10" s="100"/>
      <c r="K10" s="241" t="s">
        <v>68</v>
      </c>
      <c r="L10" s="241"/>
      <c r="M10" s="109">
        <f>'IRR '!R31</f>
        <v>394928430</v>
      </c>
      <c r="N10" s="92"/>
    </row>
    <row r="11" spans="2:15" x14ac:dyDescent="0.35">
      <c r="B11" s="101" t="s">
        <v>78</v>
      </c>
      <c r="C11" s="196"/>
      <c r="D11" s="93">
        <v>12</v>
      </c>
      <c r="E11" s="235" t="s">
        <v>71</v>
      </c>
      <c r="F11" s="235"/>
      <c r="G11" s="235"/>
      <c r="H11" s="115">
        <v>0</v>
      </c>
      <c r="I11" s="89"/>
      <c r="J11" s="94"/>
      <c r="K11" s="241" t="s">
        <v>99</v>
      </c>
      <c r="L11" s="241"/>
      <c r="M11" s="109">
        <f>'IRR '!G13</f>
        <v>239068200</v>
      </c>
      <c r="N11" s="92"/>
    </row>
    <row r="12" spans="2:15" x14ac:dyDescent="0.35">
      <c r="B12" s="101"/>
      <c r="C12" s="223"/>
      <c r="D12" s="93"/>
      <c r="E12" s="222"/>
      <c r="F12" s="222"/>
      <c r="G12" s="222"/>
      <c r="H12" s="115"/>
      <c r="I12" s="89"/>
      <c r="J12" s="94"/>
      <c r="K12" s="223" t="s">
        <v>172</v>
      </c>
      <c r="L12" s="223"/>
      <c r="M12" s="227">
        <f>'IRR '!G14</f>
        <v>0</v>
      </c>
      <c r="N12" s="92"/>
    </row>
    <row r="13" spans="2:15" x14ac:dyDescent="0.35">
      <c r="B13" s="101" t="s">
        <v>79</v>
      </c>
      <c r="C13" s="196"/>
      <c r="D13" s="93">
        <v>1</v>
      </c>
      <c r="E13" s="235" t="s">
        <v>81</v>
      </c>
      <c r="F13" s="235"/>
      <c r="G13" s="235"/>
      <c r="H13" s="115">
        <v>0</v>
      </c>
      <c r="I13" s="89"/>
      <c r="J13" s="94"/>
      <c r="K13" s="223" t="s">
        <v>173</v>
      </c>
      <c r="L13" s="223"/>
      <c r="M13" s="86">
        <f>'IRR '!G15</f>
        <v>0</v>
      </c>
      <c r="N13" s="92"/>
    </row>
    <row r="14" spans="2:15" x14ac:dyDescent="0.35">
      <c r="B14" s="101"/>
      <c r="C14" s="225"/>
      <c r="D14" s="93"/>
      <c r="E14" s="226"/>
      <c r="F14" s="226"/>
      <c r="G14" s="226"/>
      <c r="H14" s="115"/>
      <c r="I14" s="89"/>
      <c r="J14" s="94"/>
      <c r="K14" s="225" t="s">
        <v>100</v>
      </c>
      <c r="L14" s="225"/>
      <c r="M14" s="86"/>
      <c r="N14" s="92"/>
    </row>
    <row r="15" spans="2:15" x14ac:dyDescent="0.35">
      <c r="B15" s="101"/>
      <c r="C15" s="196"/>
      <c r="D15" s="93"/>
      <c r="E15" s="195"/>
      <c r="F15" s="195"/>
      <c r="G15" s="195"/>
      <c r="H15" s="115"/>
      <c r="I15" s="89"/>
      <c r="J15" s="94"/>
      <c r="K15" s="241" t="s">
        <v>97</v>
      </c>
      <c r="L15" s="241"/>
      <c r="M15" s="86"/>
      <c r="N15" s="92"/>
    </row>
    <row r="16" spans="2:15" ht="16" thickBot="1" x14ac:dyDescent="0.4">
      <c r="B16" s="94"/>
      <c r="C16" s="89"/>
      <c r="D16" s="92"/>
      <c r="E16" s="235" t="s">
        <v>80</v>
      </c>
      <c r="F16" s="235"/>
      <c r="G16" s="235"/>
      <c r="H16" s="115">
        <v>0</v>
      </c>
      <c r="I16" s="89"/>
      <c r="J16" s="94"/>
      <c r="K16" s="241" t="s">
        <v>98</v>
      </c>
      <c r="L16" s="241"/>
      <c r="M16" s="109">
        <f>'IRR '!R39</f>
        <v>20000000</v>
      </c>
      <c r="N16" s="92"/>
    </row>
    <row r="17" spans="2:18" x14ac:dyDescent="0.35">
      <c r="B17" s="94"/>
      <c r="C17" s="89"/>
      <c r="D17" s="92"/>
      <c r="E17" s="236" t="s">
        <v>75</v>
      </c>
      <c r="F17" s="236"/>
      <c r="G17" s="236"/>
      <c r="H17" s="236"/>
      <c r="I17" s="236"/>
      <c r="J17" s="116"/>
      <c r="K17" s="237" t="s">
        <v>26</v>
      </c>
      <c r="L17" s="238"/>
      <c r="M17" s="201">
        <f>'IRR '!F55</f>
        <v>0.33388789221803483</v>
      </c>
      <c r="N17" s="92"/>
    </row>
    <row r="18" spans="2:18" x14ac:dyDescent="0.35">
      <c r="B18" s="94"/>
      <c r="C18" s="89"/>
      <c r="D18" s="92"/>
      <c r="E18" s="89"/>
      <c r="F18" s="89"/>
      <c r="G18" s="89"/>
      <c r="H18" s="89"/>
      <c r="I18" s="89"/>
      <c r="J18" s="117"/>
      <c r="K18" s="239" t="s">
        <v>27</v>
      </c>
      <c r="L18" s="240"/>
      <c r="M18" s="124">
        <f>'IRR '!F56</f>
        <v>35803166.244900681</v>
      </c>
      <c r="N18" s="92"/>
    </row>
    <row r="19" spans="2:18" x14ac:dyDescent="0.35">
      <c r="B19" s="94"/>
      <c r="C19" s="89"/>
      <c r="D19" s="92"/>
      <c r="E19" s="89"/>
      <c r="F19" s="89"/>
      <c r="G19" s="89"/>
      <c r="H19" s="89"/>
      <c r="I19" s="89"/>
      <c r="J19" s="117"/>
      <c r="K19" s="239" t="s">
        <v>28</v>
      </c>
      <c r="L19" s="240"/>
      <c r="M19" s="95">
        <f>'IRR '!F57</f>
        <v>0.94935791277422088</v>
      </c>
      <c r="N19" s="92"/>
      <c r="R19" s="87" t="s">
        <v>54</v>
      </c>
    </row>
    <row r="20" spans="2:18" ht="16" thickBot="1" x14ac:dyDescent="0.4">
      <c r="B20" s="94"/>
      <c r="C20" s="89"/>
      <c r="D20" s="92"/>
      <c r="E20" s="89"/>
      <c r="F20" s="89"/>
      <c r="G20" s="89"/>
      <c r="H20" s="89"/>
      <c r="I20" s="89"/>
      <c r="J20" s="117"/>
      <c r="K20" s="249" t="s">
        <v>87</v>
      </c>
      <c r="L20" s="250"/>
      <c r="M20" s="96">
        <f>'IRR '!F58</f>
        <v>1.6944903258378519</v>
      </c>
      <c r="N20" s="92"/>
      <c r="Q20" s="87" t="s">
        <v>54</v>
      </c>
    </row>
    <row r="21" spans="2:18" ht="16" thickBot="1" x14ac:dyDescent="0.4">
      <c r="B21" s="97"/>
      <c r="C21" s="98"/>
      <c r="D21" s="99"/>
      <c r="E21" s="98"/>
      <c r="F21" s="98" t="s">
        <v>54</v>
      </c>
      <c r="G21" s="98"/>
      <c r="H21" s="98"/>
      <c r="I21" s="98"/>
      <c r="J21" s="94"/>
      <c r="K21" s="194"/>
      <c r="L21" s="194"/>
      <c r="M21" s="194"/>
      <c r="N21" s="92"/>
    </row>
    <row r="22" spans="2:18" x14ac:dyDescent="0.35">
      <c r="B22" s="118" t="s">
        <v>93</v>
      </c>
      <c r="C22" s="119"/>
      <c r="D22" s="119"/>
      <c r="E22" s="119"/>
      <c r="F22" s="119"/>
      <c r="G22" s="119"/>
      <c r="H22" s="119"/>
      <c r="I22" s="119"/>
      <c r="J22" s="119"/>
      <c r="K22" s="119"/>
      <c r="L22" s="242" t="s">
        <v>89</v>
      </c>
      <c r="M22" s="242"/>
      <c r="N22" s="110"/>
    </row>
    <row r="23" spans="2:18" x14ac:dyDescent="0.35">
      <c r="B23" s="94"/>
      <c r="C23" s="89" t="s">
        <v>177</v>
      </c>
      <c r="D23" s="197"/>
      <c r="E23" s="197"/>
      <c r="F23" s="197"/>
      <c r="G23" s="197"/>
      <c r="H23" s="89"/>
      <c r="I23" s="89"/>
      <c r="J23" s="89"/>
      <c r="K23" s="89"/>
      <c r="L23" s="231" t="s">
        <v>96</v>
      </c>
      <c r="M23" s="232"/>
      <c r="N23" s="92"/>
    </row>
    <row r="24" spans="2:18" x14ac:dyDescent="0.35">
      <c r="B24" s="94"/>
      <c r="C24" s="89" t="s">
        <v>178</v>
      </c>
      <c r="D24" s="197"/>
      <c r="E24" s="197"/>
      <c r="F24" s="197"/>
      <c r="G24" s="197"/>
      <c r="H24" s="89"/>
      <c r="I24" s="89"/>
      <c r="J24" s="89"/>
      <c r="K24" s="89"/>
      <c r="L24" s="89"/>
      <c r="M24" s="89"/>
      <c r="N24" s="92"/>
    </row>
    <row r="25" spans="2:18" x14ac:dyDescent="0.35">
      <c r="B25" s="94"/>
      <c r="C25" s="89"/>
      <c r="D25" s="198"/>
      <c r="E25" s="197"/>
      <c r="F25" s="197"/>
      <c r="G25" s="197"/>
      <c r="H25" s="89"/>
      <c r="I25" s="89"/>
      <c r="J25" s="89"/>
      <c r="K25" s="89"/>
      <c r="L25" s="89"/>
      <c r="M25" s="89"/>
      <c r="N25" s="92"/>
    </row>
    <row r="26" spans="2:18" x14ac:dyDescent="0.35">
      <c r="B26" s="94"/>
      <c r="C26" s="89"/>
      <c r="D26" s="198"/>
      <c r="E26" s="197"/>
      <c r="F26" s="197"/>
      <c r="G26" s="197"/>
      <c r="H26" s="89"/>
      <c r="I26" s="89"/>
      <c r="J26" s="89"/>
      <c r="K26" s="89"/>
      <c r="L26" s="89"/>
      <c r="M26" s="89"/>
      <c r="N26" s="92"/>
    </row>
    <row r="27" spans="2:18" ht="16" thickBot="1" x14ac:dyDescent="0.4">
      <c r="B27" s="97"/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9"/>
    </row>
    <row r="28" spans="2:18" x14ac:dyDescent="0.35">
      <c r="B28" s="1" t="s">
        <v>91</v>
      </c>
    </row>
    <row r="29" spans="2:18" x14ac:dyDescent="0.35"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</row>
    <row r="30" spans="2:18" x14ac:dyDescent="0.35"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</row>
    <row r="31" spans="2:18" x14ac:dyDescent="0.35"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</row>
    <row r="32" spans="2:18" x14ac:dyDescent="0.35"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</row>
    <row r="33" spans="2:14" x14ac:dyDescent="0.35"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</row>
    <row r="34" spans="2:14" x14ac:dyDescent="0.35">
      <c r="B34" s="199"/>
      <c r="C34" s="199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</row>
    <row r="35" spans="2:14" x14ac:dyDescent="0.35">
      <c r="B35" s="199"/>
      <c r="C35" s="199"/>
      <c r="D35" s="199"/>
      <c r="E35" s="199"/>
      <c r="F35" s="199"/>
      <c r="G35" s="199"/>
      <c r="H35" s="199"/>
      <c r="I35" s="199"/>
      <c r="J35" s="199"/>
      <c r="K35" s="199"/>
      <c r="L35" s="199"/>
      <c r="M35" s="199"/>
      <c r="N35" s="199"/>
    </row>
  </sheetData>
  <mergeCells count="30">
    <mergeCell ref="B5:D5"/>
    <mergeCell ref="E5:I5"/>
    <mergeCell ref="J5:N5"/>
    <mergeCell ref="B6:C6"/>
    <mergeCell ref="E6:I6"/>
    <mergeCell ref="K6:L6"/>
    <mergeCell ref="B7:C7"/>
    <mergeCell ref="E7:G7"/>
    <mergeCell ref="K7:L7"/>
    <mergeCell ref="B8:C8"/>
    <mergeCell ref="E8:G8"/>
    <mergeCell ref="K8:L8"/>
    <mergeCell ref="E17:I17"/>
    <mergeCell ref="K17:L17"/>
    <mergeCell ref="B9:C9"/>
    <mergeCell ref="E9:G9"/>
    <mergeCell ref="K9:L9"/>
    <mergeCell ref="E10:I10"/>
    <mergeCell ref="K10:L10"/>
    <mergeCell ref="E11:G11"/>
    <mergeCell ref="K11:L11"/>
    <mergeCell ref="E13:G13"/>
    <mergeCell ref="K15:L15"/>
    <mergeCell ref="E16:G16"/>
    <mergeCell ref="K16:L16"/>
    <mergeCell ref="K18:L18"/>
    <mergeCell ref="K19:L19"/>
    <mergeCell ref="K20:L20"/>
    <mergeCell ref="L22:M22"/>
    <mergeCell ref="L23:M23"/>
  </mergeCells>
  <pageMargins left="0.35" right="0.4" top="0.36" bottom="0.37" header="0.24" footer="0.22"/>
  <pageSetup paperSize="9" fitToWidth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B1:AB87"/>
  <sheetViews>
    <sheetView showGridLines="0" topLeftCell="A25" zoomScale="90" zoomScaleNormal="90" workbookViewId="0">
      <selection activeCell="G15" sqref="G15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58203125" customWidth="1"/>
    <col min="7" max="7" width="17.58203125" style="2" customWidth="1"/>
    <col min="8" max="8" width="17.58203125" customWidth="1"/>
    <col min="9" max="9" width="15.58203125" bestFit="1" customWidth="1"/>
    <col min="10" max="10" width="15.08203125" bestFit="1" customWidth="1"/>
    <col min="11" max="11" width="13.08203125" bestFit="1" customWidth="1"/>
    <col min="12" max="12" width="12.33203125" customWidth="1"/>
    <col min="13" max="13" width="12.08203125" hidden="1" customWidth="1"/>
    <col min="14" max="17" width="11.58203125" hidden="1" customWidth="1"/>
    <col min="18" max="18" width="15.08203125" style="1" customWidth="1"/>
    <col min="19" max="19" width="12.582031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166</v>
      </c>
      <c r="G1" s="184"/>
      <c r="Q1" s="185"/>
      <c r="R1" s="144" t="str">
        <f>Summary!$D$6</f>
        <v>Knowledge Hub</v>
      </c>
    </row>
    <row r="2" spans="2:26" x14ac:dyDescent="0.35">
      <c r="B2" s="34" t="s">
        <v>94</v>
      </c>
      <c r="I2" s="151"/>
      <c r="L2" s="152"/>
    </row>
    <row r="3" spans="2:26" x14ac:dyDescent="0.35">
      <c r="C3" t="s">
        <v>0</v>
      </c>
      <c r="F3" s="4">
        <v>0.02</v>
      </c>
      <c r="I3" s="33"/>
      <c r="K3" s="149"/>
      <c r="L3" s="153"/>
      <c r="R3" s="168"/>
      <c r="S3" s="3"/>
      <c r="T3" s="3"/>
    </row>
    <row r="4" spans="2:26" x14ac:dyDescent="0.35">
      <c r="C4" t="s">
        <v>40</v>
      </c>
      <c r="F4" s="4">
        <v>0.1</v>
      </c>
      <c r="I4" s="33"/>
      <c r="K4" s="150"/>
      <c r="L4" s="153"/>
      <c r="R4" s="168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K5" s="149"/>
      <c r="L5" s="153"/>
    </row>
    <row r="6" spans="2:26" x14ac:dyDescent="0.35">
      <c r="C6" t="s">
        <v>3</v>
      </c>
      <c r="F6" s="5">
        <v>0</v>
      </c>
      <c r="G6" s="2" t="s">
        <v>2</v>
      </c>
      <c r="K6" s="150"/>
    </row>
    <row r="7" spans="2:26" x14ac:dyDescent="0.35">
      <c r="C7" t="s">
        <v>95</v>
      </c>
      <c r="F7" s="4">
        <v>0.15</v>
      </c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9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138" t="s">
        <v>36</v>
      </c>
      <c r="I11" s="138" t="s">
        <v>37</v>
      </c>
      <c r="J11" s="138" t="s">
        <v>38</v>
      </c>
      <c r="K11" s="138" t="s">
        <v>39</v>
      </c>
      <c r="L11" s="138" t="s">
        <v>41</v>
      </c>
      <c r="M11" s="138" t="s">
        <v>41</v>
      </c>
      <c r="N11" s="138" t="s">
        <v>42</v>
      </c>
      <c r="O11" s="138" t="s">
        <v>43</v>
      </c>
      <c r="P11" s="138" t="s">
        <v>44</v>
      </c>
      <c r="Q11" s="138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145">
        <v>103</v>
      </c>
      <c r="G13" s="163">
        <f>($F$13*$F$8)</f>
        <v>927000000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927000000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14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263000000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263000000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F16" s="42"/>
      <c r="G16" s="72"/>
      <c r="H16" s="86"/>
      <c r="I16" s="42"/>
      <c r="J16" s="42"/>
      <c r="K16" s="42"/>
      <c r="L16" s="42"/>
      <c r="M16" s="42"/>
      <c r="N16" s="42"/>
      <c r="O16" s="42"/>
      <c r="P16" s="42"/>
      <c r="Q16" s="42"/>
      <c r="R16" s="190">
        <f>SUM(R13:R15)</f>
        <v>1891250000</v>
      </c>
      <c r="S16" s="42"/>
      <c r="T16" s="42"/>
      <c r="U16" s="43"/>
      <c r="V16" s="42"/>
      <c r="W16" s="42"/>
      <c r="X16" s="42"/>
      <c r="Y16" s="42"/>
      <c r="Z16" s="42"/>
    </row>
    <row r="17" spans="2:27" ht="2.5" customHeight="1" x14ac:dyDescent="0.35">
      <c r="F17" s="10"/>
      <c r="R17" s="169"/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56"/>
      <c r="T18" s="56"/>
      <c r="U18" s="56"/>
      <c r="V18" s="56"/>
      <c r="W18" s="56"/>
      <c r="X18" s="56"/>
      <c r="Y18" s="41"/>
      <c r="Z18" s="41"/>
      <c r="AA18" s="41"/>
    </row>
    <row r="19" spans="2:27" ht="14.5" customHeight="1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75" customHeight="1" x14ac:dyDescent="0.35">
      <c r="B20" s="147" t="s">
        <v>142</v>
      </c>
      <c r="M20" s="148">
        <v>0.1</v>
      </c>
      <c r="R20" s="172"/>
    </row>
    <row r="21" spans="2:27" ht="6" customHeight="1" x14ac:dyDescent="0.35">
      <c r="R21" s="172"/>
    </row>
    <row r="22" spans="2:27" ht="11.5" customHeight="1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SUM($G23:Q23)</f>
        <v>1000000000</v>
      </c>
      <c r="S23" s="13"/>
      <c r="T23" s="13"/>
      <c r="U23" s="13"/>
      <c r="V23" s="13"/>
      <c r="W23" s="13"/>
      <c r="X23" s="14"/>
    </row>
    <row r="24" spans="2:27" x14ac:dyDescent="0.35">
      <c r="C24" t="s">
        <v>144</v>
      </c>
      <c r="G24" s="13">
        <f>85000000*2/2</f>
        <v>85000000</v>
      </c>
      <c r="H24" s="13">
        <f>85000000*2</f>
        <v>170000000</v>
      </c>
      <c r="I24" s="13">
        <f>H24</f>
        <v>170000000</v>
      </c>
      <c r="J24" s="13">
        <f>I24</f>
        <v>170000000</v>
      </c>
      <c r="K24" s="13">
        <f>J24</f>
        <v>170000000</v>
      </c>
      <c r="L24" s="13">
        <f>K24/2</f>
        <v>85000000</v>
      </c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>SUM($G24:Q24)</f>
        <v>850000000</v>
      </c>
      <c r="S24" s="13"/>
      <c r="T24" s="13"/>
      <c r="U24" s="13"/>
      <c r="V24" s="13"/>
      <c r="W24" s="13"/>
      <c r="X24" s="14"/>
    </row>
    <row r="25" spans="2:27" x14ac:dyDescent="0.35">
      <c r="C25" t="s">
        <v>161</v>
      </c>
      <c r="G25" s="13">
        <f>866000000*95%</f>
        <v>822700000</v>
      </c>
      <c r="H25" s="13">
        <f>866000000-G25</f>
        <v>43300000</v>
      </c>
      <c r="I25" s="68"/>
      <c r="J25" s="68">
        <f>$K$5</f>
        <v>0</v>
      </c>
      <c r="K25" s="68">
        <f t="shared" ref="K25:N25" si="3">$K$5</f>
        <v>0</v>
      </c>
      <c r="L25" s="68">
        <f t="shared" si="3"/>
        <v>0</v>
      </c>
      <c r="M25" s="68">
        <f t="shared" si="3"/>
        <v>0</v>
      </c>
      <c r="N25" s="68">
        <f t="shared" si="3"/>
        <v>0</v>
      </c>
      <c r="O25" s="68">
        <f>$K$5*(1-$L$5)</f>
        <v>0</v>
      </c>
      <c r="P25" s="68">
        <f t="shared" ref="P25:Q25" si="4">$K$5*(1-$L$5)</f>
        <v>0</v>
      </c>
      <c r="Q25" s="68">
        <f t="shared" si="4"/>
        <v>0</v>
      </c>
      <c r="R25" s="173">
        <f>SUM($G25:Q25)</f>
        <v>866000000</v>
      </c>
      <c r="S25" s="13"/>
      <c r="T25" s="187">
        <f>S25/G15</f>
        <v>0</v>
      </c>
      <c r="U25" s="13"/>
      <c r="V25" s="13"/>
      <c r="W25" s="13"/>
      <c r="X25" s="14"/>
    </row>
    <row r="26" spans="2:27" x14ac:dyDescent="0.35">
      <c r="C26" t="s">
        <v>162</v>
      </c>
      <c r="G26" s="13">
        <f>300000000*95%</f>
        <v>285000000</v>
      </c>
      <c r="H26" s="13">
        <f>300000000-G26</f>
        <v>15000000</v>
      </c>
      <c r="I26" s="13"/>
      <c r="J26" s="13"/>
      <c r="K26" s="13"/>
      <c r="L26" s="13"/>
      <c r="M26" s="13"/>
      <c r="N26" s="13"/>
      <c r="O26" s="13"/>
      <c r="P26" s="13"/>
      <c r="Q26" s="13"/>
      <c r="R26" s="173">
        <f>SUM($G26:Q26)</f>
        <v>300000000</v>
      </c>
      <c r="S26" s="45"/>
      <c r="T26" s="45"/>
      <c r="U26" s="45"/>
      <c r="V26" s="45"/>
      <c r="W26" s="45"/>
      <c r="X26" s="46"/>
      <c r="Y26" s="47"/>
    </row>
    <row r="27" spans="2:27" x14ac:dyDescent="0.35">
      <c r="B27" s="65" t="s">
        <v>13</v>
      </c>
      <c r="C27" s="65"/>
      <c r="D27" s="65"/>
      <c r="E27" s="253"/>
      <c r="F27" s="254"/>
      <c r="G27" s="66">
        <f>SUM(G23:G26)</f>
        <v>2142700000</v>
      </c>
      <c r="H27" s="66">
        <f>SUM(H23:H26)</f>
        <v>278300000</v>
      </c>
      <c r="I27" s="66">
        <f t="shared" ref="I27:L27" si="5">SUM(I23:I26)</f>
        <v>170000000</v>
      </c>
      <c r="J27" s="66">
        <f t="shared" si="5"/>
        <v>170000000</v>
      </c>
      <c r="K27" s="66">
        <f t="shared" si="5"/>
        <v>170000000</v>
      </c>
      <c r="L27" s="66">
        <f t="shared" si="5"/>
        <v>85000000</v>
      </c>
      <c r="M27" s="66">
        <f>SUM(M23:M26)</f>
        <v>0</v>
      </c>
      <c r="N27" s="66">
        <f>SUM(N23:N26)</f>
        <v>0</v>
      </c>
      <c r="O27" s="66">
        <f t="shared" ref="O27:P27" si="6">SUM(O23:O26)</f>
        <v>0</v>
      </c>
      <c r="P27" s="66">
        <f t="shared" si="6"/>
        <v>0</v>
      </c>
      <c r="Q27" s="66">
        <f t="shared" ref="Q27" si="7">SUM(Q23:Q26)</f>
        <v>0</v>
      </c>
      <c r="R27" s="156">
        <f>SUM(R23:R26)</f>
        <v>3016000000</v>
      </c>
      <c r="S27" s="45">
        <f>SUM(G27:Q27)-R27</f>
        <v>0</v>
      </c>
      <c r="T27" s="45"/>
      <c r="U27" s="45"/>
      <c r="V27" s="45"/>
      <c r="W27" s="45"/>
      <c r="X27" s="45"/>
      <c r="Y27" s="47"/>
    </row>
    <row r="28" spans="2:27" ht="4.4000000000000004" customHeight="1" x14ac:dyDescent="0.35">
      <c r="R28" s="172"/>
      <c r="S28" s="47"/>
      <c r="T28" s="47"/>
      <c r="U28" s="47"/>
      <c r="V28" s="47"/>
      <c r="W28" s="47"/>
      <c r="X28" s="47"/>
      <c r="Y28" s="47"/>
    </row>
    <row r="29" spans="2:27" x14ac:dyDescent="0.35">
      <c r="B29" s="1" t="s">
        <v>14</v>
      </c>
      <c r="E29" s="18"/>
      <c r="F29" s="18"/>
      <c r="G29" s="19"/>
      <c r="H29" s="18"/>
      <c r="I29" s="20"/>
      <c r="J29" s="20"/>
      <c r="K29" s="20"/>
      <c r="L29" s="20"/>
      <c r="M29" s="20"/>
      <c r="N29" s="20"/>
      <c r="O29" s="20"/>
      <c r="P29" s="20"/>
      <c r="Q29" s="20"/>
      <c r="R29" s="174"/>
      <c r="S29" s="48"/>
      <c r="T29" s="48"/>
      <c r="U29" s="48"/>
      <c r="V29" s="48"/>
      <c r="W29" s="48"/>
      <c r="X29" s="47"/>
      <c r="Y29" s="47"/>
    </row>
    <row r="30" spans="2:27" x14ac:dyDescent="0.35">
      <c r="B30" s="1"/>
      <c r="C30" t="s">
        <v>15</v>
      </c>
      <c r="E30" s="18"/>
      <c r="F30" s="18"/>
      <c r="G30" s="19"/>
      <c r="H30" s="18"/>
      <c r="I30" s="20"/>
      <c r="J30" s="20"/>
      <c r="K30" s="20"/>
      <c r="L30" s="20"/>
      <c r="M30" s="20"/>
      <c r="N30" s="20"/>
      <c r="O30" s="20"/>
      <c r="P30" s="20"/>
      <c r="Q30" s="20"/>
      <c r="R30" s="174"/>
      <c r="S30" s="48"/>
      <c r="T30" s="48"/>
      <c r="U30" s="48"/>
      <c r="V30" s="48"/>
      <c r="W30" s="48"/>
      <c r="X30" s="47"/>
      <c r="Y30" s="47"/>
    </row>
    <row r="31" spans="2:27" x14ac:dyDescent="0.35">
      <c r="C31" t="s">
        <v>155</v>
      </c>
      <c r="G31" s="104">
        <f>(2500000*12)/2</f>
        <v>15000000</v>
      </c>
      <c r="H31" s="104">
        <f>2500000*12</f>
        <v>30000000</v>
      </c>
      <c r="I31" s="104">
        <f>H31</f>
        <v>30000000</v>
      </c>
      <c r="J31" s="104">
        <f t="shared" ref="J31:K31" si="8">I31</f>
        <v>30000000</v>
      </c>
      <c r="K31" s="104">
        <f t="shared" si="8"/>
        <v>30000000</v>
      </c>
      <c r="L31" s="104">
        <f>K31/2</f>
        <v>15000000</v>
      </c>
      <c r="M31" s="104"/>
      <c r="N31" s="104"/>
      <c r="O31" s="104"/>
      <c r="P31" s="104"/>
      <c r="Q31" s="104"/>
      <c r="R31" s="173">
        <f>SUM($G31:Q31)</f>
        <v>150000000</v>
      </c>
      <c r="S31" s="45"/>
      <c r="T31" s="45"/>
      <c r="U31" s="45"/>
      <c r="V31" s="45"/>
      <c r="W31" s="45"/>
      <c r="X31" s="46"/>
      <c r="Y31" s="47"/>
    </row>
    <row r="32" spans="2:27" hidden="1" x14ac:dyDescent="0.35"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73">
        <f>SUM($G32:Q32)</f>
        <v>0</v>
      </c>
      <c r="S32" s="45"/>
      <c r="T32" s="45"/>
      <c r="U32" s="45"/>
      <c r="V32" s="45"/>
      <c r="W32" s="45"/>
      <c r="X32" s="46"/>
      <c r="Y32" s="47"/>
    </row>
    <row r="33" spans="2:25" x14ac:dyDescent="0.35">
      <c r="B33" s="16"/>
      <c r="C33" s="16" t="s">
        <v>146</v>
      </c>
      <c r="D33" s="16"/>
      <c r="E33" s="16"/>
      <c r="F33" s="137"/>
      <c r="G33" s="21">
        <f>PARAMETER!B14/2</f>
        <v>25000000</v>
      </c>
      <c r="H33" s="21">
        <f>PARAMETER!C14</f>
        <v>51000000</v>
      </c>
      <c r="I33" s="21">
        <f>PARAMETER!D14</f>
        <v>52020000</v>
      </c>
      <c r="J33" s="21">
        <f>PARAMETER!E14</f>
        <v>53060400</v>
      </c>
      <c r="K33" s="21">
        <f>PARAMETER!F14</f>
        <v>54121608</v>
      </c>
      <c r="L33" s="21">
        <f>PARAMETER!G14/2</f>
        <v>27602020.079999998</v>
      </c>
      <c r="M33" s="21"/>
      <c r="N33" s="21"/>
      <c r="O33" s="21"/>
      <c r="P33" s="21"/>
      <c r="Q33" s="21"/>
      <c r="R33" s="173">
        <f>SUM($G33:Q33)</f>
        <v>262804028.07999998</v>
      </c>
      <c r="S33" s="49"/>
      <c r="T33" s="49"/>
      <c r="U33" s="49"/>
      <c r="V33" s="49"/>
      <c r="W33" s="49"/>
      <c r="X33" s="46"/>
      <c r="Y33" s="47"/>
    </row>
    <row r="34" spans="2:25" s="1" customFormat="1" x14ac:dyDescent="0.35">
      <c r="B34" s="65" t="s">
        <v>16</v>
      </c>
      <c r="C34" s="65"/>
      <c r="D34" s="65"/>
      <c r="E34" s="65"/>
      <c r="F34" s="65"/>
      <c r="G34" s="66">
        <f t="shared" ref="G34:R34" si="9">SUM(G31:G33)</f>
        <v>40000000</v>
      </c>
      <c r="H34" s="66">
        <f>SUM(H31:H33)</f>
        <v>81000000</v>
      </c>
      <c r="I34" s="66">
        <f t="shared" si="9"/>
        <v>82020000</v>
      </c>
      <c r="J34" s="66">
        <f t="shared" si="9"/>
        <v>83060400</v>
      </c>
      <c r="K34" s="66">
        <f t="shared" si="9"/>
        <v>84121608</v>
      </c>
      <c r="L34" s="66">
        <f t="shared" si="9"/>
        <v>42602020.079999998</v>
      </c>
      <c r="M34" s="66">
        <f t="shared" si="9"/>
        <v>0</v>
      </c>
      <c r="N34" s="66">
        <f t="shared" si="9"/>
        <v>0</v>
      </c>
      <c r="O34" s="66">
        <f t="shared" si="9"/>
        <v>0</v>
      </c>
      <c r="P34" s="66">
        <f t="shared" si="9"/>
        <v>0</v>
      </c>
      <c r="Q34" s="66">
        <f t="shared" si="9"/>
        <v>0</v>
      </c>
      <c r="R34" s="157">
        <f t="shared" si="9"/>
        <v>412804028.07999998</v>
      </c>
      <c r="S34" s="45">
        <f>SUM(G34:Q34)-R34</f>
        <v>0</v>
      </c>
      <c r="T34" s="50"/>
      <c r="U34" s="50"/>
      <c r="V34" s="50"/>
      <c r="W34" s="50"/>
      <c r="X34" s="50"/>
      <c r="Y34" s="51"/>
    </row>
    <row r="35" spans="2:25" s="1" customFormat="1" x14ac:dyDescent="0.35">
      <c r="B35" s="1" t="s">
        <v>17</v>
      </c>
      <c r="G35" s="22">
        <f t="shared" ref="G35:R35" si="10">G27-G34</f>
        <v>2102700000</v>
      </c>
      <c r="H35" s="22">
        <f t="shared" si="10"/>
        <v>197300000</v>
      </c>
      <c r="I35" s="22">
        <f t="shared" si="10"/>
        <v>87980000</v>
      </c>
      <c r="J35" s="22">
        <f t="shared" si="10"/>
        <v>86939600</v>
      </c>
      <c r="K35" s="22">
        <f t="shared" si="10"/>
        <v>85878392</v>
      </c>
      <c r="L35" s="22">
        <f t="shared" si="10"/>
        <v>42397979.920000002</v>
      </c>
      <c r="M35" s="22">
        <f t="shared" si="10"/>
        <v>0</v>
      </c>
      <c r="N35" s="22">
        <f t="shared" si="10"/>
        <v>0</v>
      </c>
      <c r="O35" s="22">
        <f t="shared" si="10"/>
        <v>0</v>
      </c>
      <c r="P35" s="22">
        <f t="shared" si="10"/>
        <v>0</v>
      </c>
      <c r="Q35" s="22">
        <f t="shared" si="10"/>
        <v>0</v>
      </c>
      <c r="R35" s="158">
        <f t="shared" si="10"/>
        <v>2603195971.9200001</v>
      </c>
      <c r="S35" s="45">
        <f>SUM(G35:Q35)-R35</f>
        <v>0</v>
      </c>
      <c r="T35" s="50"/>
      <c r="U35" s="50"/>
      <c r="V35" s="50"/>
      <c r="W35" s="50"/>
      <c r="X35" s="50"/>
      <c r="Y35" s="51"/>
    </row>
    <row r="36" spans="2:25" s="1" customFormat="1" x14ac:dyDescent="0.35">
      <c r="B36" s="23" t="s">
        <v>18</v>
      </c>
      <c r="C36" s="24"/>
      <c r="D36" s="24"/>
      <c r="E36" s="24"/>
      <c r="F36" s="24"/>
      <c r="G36" s="25"/>
      <c r="H36" s="25">
        <f t="shared" ref="H36:R36" si="11">H35/H27</f>
        <v>0.70894717930291051</v>
      </c>
      <c r="I36" s="25">
        <f t="shared" si="11"/>
        <v>0.5175294117647059</v>
      </c>
      <c r="J36" s="25">
        <f t="shared" si="11"/>
        <v>0.51140941176470589</v>
      </c>
      <c r="K36" s="25">
        <f t="shared" si="11"/>
        <v>0.50516701176470591</v>
      </c>
      <c r="L36" s="25">
        <f t="shared" si="11"/>
        <v>0.49879976376470592</v>
      </c>
      <c r="M36" s="25" t="e">
        <f t="shared" si="11"/>
        <v>#DIV/0!</v>
      </c>
      <c r="N36" s="25" t="e">
        <f t="shared" si="11"/>
        <v>#DIV/0!</v>
      </c>
      <c r="O36" s="25" t="e">
        <f t="shared" si="11"/>
        <v>#DIV/0!</v>
      </c>
      <c r="P36" s="25" t="e">
        <f t="shared" si="11"/>
        <v>#DIV/0!</v>
      </c>
      <c r="Q36" s="25" t="e">
        <f t="shared" si="11"/>
        <v>#DIV/0!</v>
      </c>
      <c r="R36" s="159">
        <f t="shared" si="11"/>
        <v>0.86312863790450933</v>
      </c>
      <c r="S36" s="52"/>
      <c r="T36" s="52"/>
      <c r="U36" s="52"/>
      <c r="V36" s="52"/>
      <c r="W36" s="52"/>
      <c r="X36" s="52"/>
      <c r="Y36" s="51"/>
    </row>
    <row r="37" spans="2:25" ht="0.65" customHeight="1" x14ac:dyDescent="0.35">
      <c r="R37" s="172"/>
      <c r="S37" s="47"/>
      <c r="T37" s="47"/>
      <c r="U37" s="47"/>
      <c r="V37" s="47"/>
      <c r="W37" s="47"/>
      <c r="X37" s="47"/>
      <c r="Y37" s="47"/>
    </row>
    <row r="38" spans="2:25" x14ac:dyDescent="0.35">
      <c r="B38" s="16" t="s">
        <v>19</v>
      </c>
      <c r="C38" s="16"/>
      <c r="D38" s="16"/>
      <c r="E38" s="16"/>
      <c r="F38" s="16"/>
      <c r="G38" s="17"/>
      <c r="H38" s="17">
        <f>H66</f>
        <v>0</v>
      </c>
      <c r="I38" s="17">
        <f t="shared" ref="I38:Q38" si="12">I66</f>
        <v>0</v>
      </c>
      <c r="J38" s="17">
        <f t="shared" si="12"/>
        <v>0</v>
      </c>
      <c r="K38" s="17">
        <f t="shared" si="12"/>
        <v>0</v>
      </c>
      <c r="L38" s="17">
        <f t="shared" si="12"/>
        <v>0</v>
      </c>
      <c r="M38" s="17">
        <f t="shared" si="12"/>
        <v>0</v>
      </c>
      <c r="N38" s="17">
        <f t="shared" si="12"/>
        <v>0</v>
      </c>
      <c r="O38" s="17">
        <f t="shared" si="12"/>
        <v>0</v>
      </c>
      <c r="P38" s="17">
        <f t="shared" si="12"/>
        <v>0</v>
      </c>
      <c r="Q38" s="17">
        <f t="shared" si="12"/>
        <v>0</v>
      </c>
      <c r="R38" s="171">
        <f>SUM($G38:Q38)</f>
        <v>0</v>
      </c>
      <c r="S38" s="45"/>
      <c r="T38" s="45"/>
      <c r="U38" s="45"/>
      <c r="V38" s="45"/>
      <c r="W38" s="45"/>
      <c r="X38" s="45"/>
      <c r="Y38" s="47"/>
    </row>
    <row r="39" spans="2:25" x14ac:dyDescent="0.35">
      <c r="B39" s="26" t="s">
        <v>20</v>
      </c>
      <c r="G39" s="27">
        <f>G35-G38</f>
        <v>2102700000</v>
      </c>
      <c r="H39" s="27">
        <f>H35-H38</f>
        <v>197300000</v>
      </c>
      <c r="I39" s="27">
        <f t="shared" ref="I39:P39" si="13">I35-I38</f>
        <v>87980000</v>
      </c>
      <c r="J39" s="27">
        <f t="shared" si="13"/>
        <v>86939600</v>
      </c>
      <c r="K39" s="27">
        <f t="shared" si="13"/>
        <v>85878392</v>
      </c>
      <c r="L39" s="27">
        <f>L35-L38</f>
        <v>42397979.920000002</v>
      </c>
      <c r="M39" s="27">
        <f t="shared" si="13"/>
        <v>0</v>
      </c>
      <c r="N39" s="27">
        <f t="shared" si="13"/>
        <v>0</v>
      </c>
      <c r="O39" s="27">
        <f t="shared" si="13"/>
        <v>0</v>
      </c>
      <c r="P39" s="27">
        <f t="shared" si="13"/>
        <v>0</v>
      </c>
      <c r="Q39" s="27">
        <f>Q35-Q38</f>
        <v>0</v>
      </c>
      <c r="R39" s="175">
        <f>R35-R38</f>
        <v>2603195971.9200001</v>
      </c>
      <c r="S39" s="45">
        <f>SUM(G39:Q39)-R39</f>
        <v>0</v>
      </c>
      <c r="T39" s="53"/>
      <c r="U39" s="53"/>
      <c r="V39" s="53"/>
      <c r="W39" s="53"/>
      <c r="X39" s="53"/>
      <c r="Y39" s="47"/>
    </row>
    <row r="40" spans="2:25" x14ac:dyDescent="0.35">
      <c r="B40" s="16" t="s">
        <v>33</v>
      </c>
      <c r="C40" s="16"/>
      <c r="D40" s="16"/>
      <c r="E40" s="16"/>
      <c r="F40" s="16"/>
      <c r="G40" s="17"/>
      <c r="H40" s="17">
        <f>PARAMETER!B$5</f>
        <v>13148751</v>
      </c>
      <c r="I40" s="17">
        <f>PARAMETER!C$5</f>
        <v>23667751.800000001</v>
      </c>
      <c r="J40" s="17">
        <f>PARAMETER!D$5</f>
        <v>18408251.399999999</v>
      </c>
      <c r="K40" s="17">
        <f>PARAMETER!E$5</f>
        <v>13148751</v>
      </c>
      <c r="L40" s="17">
        <f>PARAMETER!F$5</f>
        <v>7889250.5999999996</v>
      </c>
      <c r="M40" s="17"/>
      <c r="N40" s="17"/>
      <c r="O40" s="17"/>
      <c r="P40" s="17"/>
      <c r="Q40" s="17"/>
      <c r="R40" s="171">
        <f>SUM($G40:Q40)</f>
        <v>76262755.799999982</v>
      </c>
      <c r="S40" s="45"/>
      <c r="T40" s="45"/>
      <c r="U40" s="45"/>
      <c r="V40" s="45"/>
      <c r="W40" s="45"/>
      <c r="X40" s="45"/>
      <c r="Y40" s="47"/>
    </row>
    <row r="41" spans="2:25" x14ac:dyDescent="0.35">
      <c r="B41" s="26" t="s">
        <v>34</v>
      </c>
      <c r="G41" s="69">
        <f t="shared" ref="G41:Q41" si="14">G39-G40</f>
        <v>2102700000</v>
      </c>
      <c r="H41" s="69">
        <f>H39-H40</f>
        <v>184151249</v>
      </c>
      <c r="I41" s="69">
        <f t="shared" si="14"/>
        <v>64312248.200000003</v>
      </c>
      <c r="J41" s="69">
        <f t="shared" si="14"/>
        <v>68531348.599999994</v>
      </c>
      <c r="K41" s="69">
        <f t="shared" si="14"/>
        <v>72729641</v>
      </c>
      <c r="L41" s="69">
        <f t="shared" si="14"/>
        <v>34508729.32</v>
      </c>
      <c r="M41" s="69">
        <f t="shared" si="14"/>
        <v>0</v>
      </c>
      <c r="N41" s="69">
        <f t="shared" si="14"/>
        <v>0</v>
      </c>
      <c r="O41" s="69">
        <f t="shared" si="14"/>
        <v>0</v>
      </c>
      <c r="P41" s="69">
        <f t="shared" si="14"/>
        <v>0</v>
      </c>
      <c r="Q41" s="69">
        <f t="shared" si="14"/>
        <v>0</v>
      </c>
      <c r="R41" s="173">
        <f>SUM($G41:Q41)</f>
        <v>2526933216.1199999</v>
      </c>
      <c r="S41" s="45">
        <f>SUM(G41:Q41)-R41</f>
        <v>0</v>
      </c>
      <c r="T41" s="53"/>
      <c r="U41" s="53"/>
      <c r="V41" s="53"/>
      <c r="W41" s="53"/>
      <c r="X41" s="53"/>
      <c r="Y41" s="47"/>
    </row>
    <row r="42" spans="2:25" x14ac:dyDescent="0.35">
      <c r="B42" s="16" t="s">
        <v>21</v>
      </c>
      <c r="C42" s="16"/>
      <c r="D42" s="16"/>
      <c r="E42" s="16"/>
      <c r="F42" s="16"/>
      <c r="G42" s="67">
        <f>IF(G41&lt;0,0,G41*$F$3)</f>
        <v>42054000</v>
      </c>
      <c r="H42" s="67">
        <f t="shared" ref="H42:Q42" si="15">IF(H41&lt;0,0,H41*$F$3)</f>
        <v>3683024.98</v>
      </c>
      <c r="I42" s="67">
        <f>IF(I41&lt;0,0,I41*$F$3)</f>
        <v>1286244.9640000002</v>
      </c>
      <c r="J42" s="67">
        <f t="shared" si="15"/>
        <v>1370626.9719999998</v>
      </c>
      <c r="K42" s="67">
        <f t="shared" si="15"/>
        <v>1454592.82</v>
      </c>
      <c r="L42" s="67">
        <f t="shared" si="15"/>
        <v>690174.58640000003</v>
      </c>
      <c r="M42" s="67">
        <f t="shared" si="15"/>
        <v>0</v>
      </c>
      <c r="N42" s="67">
        <f t="shared" si="15"/>
        <v>0</v>
      </c>
      <c r="O42" s="67">
        <f t="shared" si="15"/>
        <v>0</v>
      </c>
      <c r="P42" s="67">
        <f t="shared" si="15"/>
        <v>0</v>
      </c>
      <c r="Q42" s="67">
        <f t="shared" si="15"/>
        <v>0</v>
      </c>
      <c r="R42" s="173">
        <f>SUM($G42:Q42)</f>
        <v>50538664.322400004</v>
      </c>
      <c r="S42" s="55"/>
      <c r="T42" s="55"/>
      <c r="U42" s="55"/>
      <c r="V42" s="55"/>
      <c r="W42" s="55"/>
      <c r="X42" s="54"/>
      <c r="Y42" s="47"/>
    </row>
    <row r="43" spans="2:25" ht="16" thickBot="1" x14ac:dyDescent="0.4">
      <c r="B43" s="29" t="s">
        <v>53</v>
      </c>
      <c r="C43" s="29"/>
      <c r="D43" s="29"/>
      <c r="E43" s="29"/>
      <c r="F43" s="29"/>
      <c r="G43" s="30">
        <f>G41-G42</f>
        <v>2060646000</v>
      </c>
      <c r="H43" s="30">
        <f>H41-H42</f>
        <v>180468224.02000001</v>
      </c>
      <c r="I43" s="30">
        <f t="shared" ref="I43:Q43" si="16">I41-I42</f>
        <v>63026003.236000001</v>
      </c>
      <c r="J43" s="30">
        <f t="shared" si="16"/>
        <v>67160721.627999991</v>
      </c>
      <c r="K43" s="30">
        <f t="shared" si="16"/>
        <v>71275048.180000007</v>
      </c>
      <c r="L43" s="30">
        <f t="shared" si="16"/>
        <v>33818554.733599998</v>
      </c>
      <c r="M43" s="30">
        <f t="shared" si="16"/>
        <v>0</v>
      </c>
      <c r="N43" s="30">
        <f t="shared" si="16"/>
        <v>0</v>
      </c>
      <c r="O43" s="30">
        <f t="shared" si="16"/>
        <v>0</v>
      </c>
      <c r="P43" s="30">
        <f t="shared" si="16"/>
        <v>0</v>
      </c>
      <c r="Q43" s="30">
        <f t="shared" si="16"/>
        <v>0</v>
      </c>
      <c r="R43" s="176">
        <f>R41-R42</f>
        <v>2476394551.7975998</v>
      </c>
      <c r="S43" s="45">
        <f>SUM(G43:Q43)-R43</f>
        <v>0</v>
      </c>
      <c r="T43" s="53"/>
      <c r="U43" s="53"/>
      <c r="V43" s="53"/>
      <c r="W43" s="53"/>
      <c r="X43" s="53"/>
      <c r="Y43" s="47"/>
    </row>
    <row r="44" spans="2:25" ht="5.5" customHeight="1" x14ac:dyDescent="0.35">
      <c r="R44" s="172"/>
      <c r="S44" s="47"/>
      <c r="T44" s="47"/>
      <c r="U44" s="47"/>
      <c r="V44" s="47"/>
      <c r="W44" s="47"/>
      <c r="X44" s="47"/>
      <c r="Y44" s="47"/>
    </row>
    <row r="45" spans="2:25" x14ac:dyDescent="0.35">
      <c r="B45" s="16" t="s">
        <v>22</v>
      </c>
      <c r="C45" s="16"/>
      <c r="D45" s="16"/>
      <c r="E45" s="16"/>
      <c r="F45" s="31"/>
      <c r="G45" s="31">
        <f>-G13+-G15+-G14</f>
        <v>-1891250000</v>
      </c>
      <c r="H45" s="31">
        <f t="shared" ref="H45:Q45" si="17">-H15</f>
        <v>0</v>
      </c>
      <c r="I45" s="31">
        <f t="shared" si="17"/>
        <v>0</v>
      </c>
      <c r="J45" s="31">
        <f t="shared" si="17"/>
        <v>0</v>
      </c>
      <c r="K45" s="31">
        <f t="shared" si="17"/>
        <v>0</v>
      </c>
      <c r="L45" s="31">
        <f t="shared" si="17"/>
        <v>0</v>
      </c>
      <c r="M45" s="31">
        <f t="shared" si="17"/>
        <v>0</v>
      </c>
      <c r="N45" s="31">
        <f t="shared" si="17"/>
        <v>0</v>
      </c>
      <c r="O45" s="31">
        <f t="shared" si="17"/>
        <v>0</v>
      </c>
      <c r="P45" s="31">
        <f t="shared" si="17"/>
        <v>0</v>
      </c>
      <c r="Q45" s="31">
        <f t="shared" si="17"/>
        <v>0</v>
      </c>
      <c r="R45" s="177">
        <f>SUM($G$45:Q45)</f>
        <v>-1891250000</v>
      </c>
      <c r="S45" s="54"/>
      <c r="T45" s="54"/>
      <c r="U45" s="54"/>
      <c r="V45" s="54"/>
      <c r="W45" s="54"/>
      <c r="X45" s="54"/>
      <c r="Y45" s="47"/>
    </row>
    <row r="46" spans="2:25" x14ac:dyDescent="0.35">
      <c r="B46" t="s">
        <v>23</v>
      </c>
      <c r="F46" s="28"/>
      <c r="G46" s="28">
        <f>G45+G43+G38</f>
        <v>169396000</v>
      </c>
      <c r="H46" s="28">
        <f t="shared" ref="H46:Q46" si="18">H45+H43+H38</f>
        <v>180468224.02000001</v>
      </c>
      <c r="I46" s="28">
        <f t="shared" si="18"/>
        <v>63026003.236000001</v>
      </c>
      <c r="J46" s="28">
        <f t="shared" si="18"/>
        <v>67160721.627999991</v>
      </c>
      <c r="K46" s="28">
        <f t="shared" si="18"/>
        <v>71275048.180000007</v>
      </c>
      <c r="L46" s="28">
        <f t="shared" si="18"/>
        <v>33818554.733599998</v>
      </c>
      <c r="M46" s="28">
        <f t="shared" si="18"/>
        <v>0</v>
      </c>
      <c r="N46" s="28">
        <f t="shared" si="18"/>
        <v>0</v>
      </c>
      <c r="O46" s="28">
        <f t="shared" si="18"/>
        <v>0</v>
      </c>
      <c r="P46" s="28">
        <f t="shared" si="18"/>
        <v>0</v>
      </c>
      <c r="Q46" s="28">
        <f t="shared" si="18"/>
        <v>0</v>
      </c>
      <c r="R46" s="178">
        <f>SUM($G$46:Q46)</f>
        <v>585144551.79759991</v>
      </c>
      <c r="S46" s="54"/>
      <c r="T46" s="54"/>
      <c r="U46" s="54"/>
      <c r="V46" s="54"/>
      <c r="W46" s="54"/>
      <c r="X46" s="54"/>
      <c r="Y46" s="47"/>
    </row>
    <row r="47" spans="2:25" x14ac:dyDescent="0.35">
      <c r="B47" t="s">
        <v>24</v>
      </c>
      <c r="F47" s="28"/>
      <c r="G47" s="28">
        <f>F47+G46</f>
        <v>169396000</v>
      </c>
      <c r="H47" s="28">
        <f>G47+H46</f>
        <v>349864224.01999998</v>
      </c>
      <c r="I47" s="28">
        <f t="shared" ref="I47:O47" si="19">H47+I46</f>
        <v>412890227.25599998</v>
      </c>
      <c r="J47" s="28">
        <f t="shared" si="19"/>
        <v>480050948.88399994</v>
      </c>
      <c r="K47" s="28">
        <f t="shared" si="19"/>
        <v>551325997.06399989</v>
      </c>
      <c r="L47" s="28">
        <f t="shared" si="19"/>
        <v>585144551.79759991</v>
      </c>
      <c r="M47" s="28">
        <f t="shared" si="19"/>
        <v>585144551.79759991</v>
      </c>
      <c r="N47" s="28">
        <f t="shared" si="19"/>
        <v>585144551.79759991</v>
      </c>
      <c r="O47" s="28">
        <f t="shared" si="19"/>
        <v>585144551.79759991</v>
      </c>
      <c r="P47" s="28">
        <f t="shared" ref="P47" si="20">O47+P46</f>
        <v>585144551.79759991</v>
      </c>
      <c r="Q47" s="28">
        <f t="shared" ref="Q47" si="21">P47+Q46</f>
        <v>585144551.79759991</v>
      </c>
      <c r="R47" s="178"/>
      <c r="S47" s="54"/>
      <c r="T47" s="54"/>
      <c r="U47" s="54"/>
      <c r="V47" s="54"/>
      <c r="W47" s="54"/>
      <c r="X47" s="54"/>
      <c r="Y47" s="47"/>
    </row>
    <row r="48" spans="2:25" x14ac:dyDescent="0.35">
      <c r="B48" t="s">
        <v>25</v>
      </c>
      <c r="F48" s="28"/>
      <c r="G48" s="32">
        <f t="shared" ref="G48:O48" si="22">IF(AND(F47&lt;0,G47&gt;0),H54-(G47/G46),0)</f>
        <v>0</v>
      </c>
      <c r="H48" s="32">
        <f t="shared" si="22"/>
        <v>0</v>
      </c>
      <c r="I48" s="32">
        <f t="shared" si="22"/>
        <v>0</v>
      </c>
      <c r="J48" s="32">
        <f t="shared" si="22"/>
        <v>0</v>
      </c>
      <c r="K48" s="76">
        <f t="shared" si="22"/>
        <v>0</v>
      </c>
      <c r="L48" s="32">
        <f t="shared" si="22"/>
        <v>0</v>
      </c>
      <c r="M48" s="32">
        <f t="shared" si="22"/>
        <v>0</v>
      </c>
      <c r="N48" s="32">
        <f t="shared" si="22"/>
        <v>0</v>
      </c>
      <c r="O48" s="32">
        <f t="shared" si="22"/>
        <v>0</v>
      </c>
      <c r="P48" s="32"/>
      <c r="Q48" s="32">
        <f>IF(AND(O47&lt;0,Q47&gt;0),R54-(Q47/Q46),0)</f>
        <v>0</v>
      </c>
      <c r="R48" s="179"/>
      <c r="S48" s="32"/>
      <c r="T48" s="32"/>
      <c r="U48" s="32"/>
      <c r="V48" s="32"/>
      <c r="W48" s="32"/>
      <c r="X48" s="32"/>
    </row>
    <row r="49" spans="2:25" s="79" customFormat="1" ht="2.5" customHeight="1" x14ac:dyDescent="0.35">
      <c r="F49" s="80"/>
      <c r="G49" s="81"/>
      <c r="H49" s="81"/>
      <c r="I49" s="81"/>
      <c r="J49" s="81"/>
      <c r="K49" s="82"/>
      <c r="L49" s="81"/>
      <c r="M49" s="81"/>
      <c r="N49" s="81"/>
      <c r="O49" s="81"/>
      <c r="P49" s="81"/>
      <c r="Q49" s="81"/>
      <c r="R49" s="180"/>
      <c r="S49" s="81"/>
      <c r="T49" s="81"/>
      <c r="U49" s="81"/>
      <c r="V49" s="81"/>
      <c r="W49" s="81"/>
      <c r="X49" s="81"/>
    </row>
    <row r="50" spans="2:25" x14ac:dyDescent="0.35">
      <c r="B50" s="57" t="s">
        <v>26</v>
      </c>
      <c r="C50" s="58"/>
      <c r="D50" s="58"/>
      <c r="E50" s="58"/>
      <c r="F50" s="200" t="s">
        <v>164</v>
      </c>
      <c r="R50" s="169"/>
    </row>
    <row r="51" spans="2:25" x14ac:dyDescent="0.35">
      <c r="B51" s="59" t="s">
        <v>27</v>
      </c>
      <c r="C51" s="60"/>
      <c r="D51" s="60"/>
      <c r="E51" s="60"/>
      <c r="F51" s="123">
        <f>NPV(F4,H46:Q46)+G46</f>
        <v>505684950.70274508</v>
      </c>
      <c r="H51" s="75"/>
      <c r="I51" s="14"/>
      <c r="R51" s="182"/>
    </row>
    <row r="52" spans="2:25" x14ac:dyDescent="0.35">
      <c r="B52" s="59" t="s">
        <v>28</v>
      </c>
      <c r="C52" s="60"/>
      <c r="D52" s="60"/>
      <c r="E52" s="60"/>
      <c r="F52" s="61">
        <f>R36</f>
        <v>0.86312863790450933</v>
      </c>
      <c r="H52" s="68"/>
      <c r="R52" s="182"/>
    </row>
    <row r="53" spans="2:25" x14ac:dyDescent="0.35">
      <c r="B53" s="62" t="s">
        <v>29</v>
      </c>
      <c r="C53" s="63"/>
      <c r="D53" s="63"/>
      <c r="E53" s="63"/>
      <c r="F53" s="64">
        <f>SUM(G48:Q48)</f>
        <v>0</v>
      </c>
      <c r="R53" s="182"/>
    </row>
    <row r="54" spans="2:25" ht="4.4000000000000004" customHeight="1" x14ac:dyDescent="0.35">
      <c r="G54"/>
      <c r="H54" s="8">
        <v>1</v>
      </c>
      <c r="I54" s="33">
        <v>2</v>
      </c>
      <c r="J54" s="8">
        <v>3</v>
      </c>
      <c r="K54" s="33">
        <v>4</v>
      </c>
      <c r="L54" s="8">
        <v>5</v>
      </c>
      <c r="M54" s="33">
        <v>6</v>
      </c>
      <c r="N54" s="8">
        <v>7</v>
      </c>
      <c r="O54" s="33">
        <v>8</v>
      </c>
      <c r="P54" s="8">
        <v>9</v>
      </c>
      <c r="Q54" s="8">
        <v>10</v>
      </c>
      <c r="R54" s="169"/>
      <c r="S54" s="33"/>
      <c r="T54" s="8"/>
      <c r="U54" s="33"/>
      <c r="V54" s="8"/>
      <c r="W54" s="33"/>
      <c r="X54" s="8"/>
    </row>
    <row r="55" spans="2:25" ht="16" thickBot="1" x14ac:dyDescent="0.4">
      <c r="B55" s="34" t="s">
        <v>30</v>
      </c>
      <c r="E55" s="35" t="s">
        <v>31</v>
      </c>
      <c r="G55"/>
      <c r="H55" s="35">
        <f t="shared" ref="H55:Q55" si="23">H18</f>
        <v>2025</v>
      </c>
      <c r="I55" s="35">
        <f t="shared" si="23"/>
        <v>2026</v>
      </c>
      <c r="J55" s="35">
        <f t="shared" si="23"/>
        <v>2027</v>
      </c>
      <c r="K55" s="35">
        <f t="shared" si="23"/>
        <v>2028</v>
      </c>
      <c r="L55" s="35">
        <f t="shared" si="23"/>
        <v>2029</v>
      </c>
      <c r="M55" s="35">
        <f t="shared" si="23"/>
        <v>2030</v>
      </c>
      <c r="N55" s="35">
        <f t="shared" si="23"/>
        <v>2031</v>
      </c>
      <c r="O55" s="35">
        <f t="shared" si="23"/>
        <v>2032</v>
      </c>
      <c r="P55" s="35">
        <f t="shared" si="23"/>
        <v>2033</v>
      </c>
      <c r="Q55" s="35">
        <f t="shared" si="23"/>
        <v>2034</v>
      </c>
      <c r="R55" s="155" t="s">
        <v>11</v>
      </c>
      <c r="S55" s="35"/>
      <c r="T55" s="35"/>
      <c r="U55" s="35"/>
      <c r="V55" s="35"/>
      <c r="W55" s="35"/>
      <c r="X55" s="35"/>
      <c r="Y55" s="35"/>
    </row>
    <row r="56" spans="2:25" hidden="1" x14ac:dyDescent="0.35">
      <c r="D56" t="s">
        <v>5</v>
      </c>
      <c r="E56">
        <v>5</v>
      </c>
      <c r="G56"/>
      <c r="H56" s="70"/>
      <c r="I56" s="36"/>
      <c r="J56" s="36"/>
      <c r="K56" s="36"/>
      <c r="L56" s="36"/>
      <c r="M56" s="36"/>
      <c r="N56" s="36"/>
      <c r="O56" s="36"/>
      <c r="P56" s="36"/>
      <c r="Q56" s="36"/>
      <c r="R56" s="173">
        <f>SUM($G56:Q56)</f>
        <v>0</v>
      </c>
      <c r="S56" s="36"/>
      <c r="T56" s="36"/>
      <c r="U56" s="36"/>
      <c r="V56" s="36"/>
      <c r="W56" s="36"/>
      <c r="X56" s="36"/>
      <c r="Y56" s="37"/>
    </row>
    <row r="57" spans="2:25" hidden="1" x14ac:dyDescent="0.35">
      <c r="D57" t="s">
        <v>6</v>
      </c>
      <c r="E57">
        <v>4</v>
      </c>
      <c r="G57"/>
      <c r="H57" s="2"/>
      <c r="I57" s="70">
        <f>I15/E57</f>
        <v>0</v>
      </c>
      <c r="J57" s="36">
        <f>I57</f>
        <v>0</v>
      </c>
      <c r="K57" s="36">
        <f t="shared" ref="K57:Q58" si="24">J57</f>
        <v>0</v>
      </c>
      <c r="L57" s="36">
        <f t="shared" si="24"/>
        <v>0</v>
      </c>
      <c r="M57" s="36">
        <f t="shared" si="24"/>
        <v>0</v>
      </c>
      <c r="N57" s="36">
        <f t="shared" si="24"/>
        <v>0</v>
      </c>
      <c r="O57" s="36">
        <f t="shared" si="24"/>
        <v>0</v>
      </c>
      <c r="P57" s="36">
        <f t="shared" si="24"/>
        <v>0</v>
      </c>
      <c r="Q57" s="36">
        <f t="shared" si="24"/>
        <v>0</v>
      </c>
      <c r="R57" s="173">
        <f>SUM($G57:Q57)</f>
        <v>0</v>
      </c>
      <c r="S57" s="36"/>
      <c r="T57" s="36"/>
      <c r="U57" s="36"/>
      <c r="V57" s="36"/>
      <c r="W57" s="36"/>
      <c r="X57" s="36"/>
      <c r="Y57" s="37"/>
    </row>
    <row r="58" spans="2:25" hidden="1" x14ac:dyDescent="0.35">
      <c r="D58" t="s">
        <v>7</v>
      </c>
      <c r="E58">
        <v>3</v>
      </c>
      <c r="G58"/>
      <c r="H58" s="2"/>
      <c r="J58" s="70">
        <f>J15/$E58</f>
        <v>0</v>
      </c>
      <c r="K58" s="36">
        <f>J58</f>
        <v>0</v>
      </c>
      <c r="L58" s="36">
        <f t="shared" ref="L58:P58" si="25">K58</f>
        <v>0</v>
      </c>
      <c r="M58" s="36">
        <f t="shared" si="25"/>
        <v>0</v>
      </c>
      <c r="N58" s="36">
        <f t="shared" si="25"/>
        <v>0</v>
      </c>
      <c r="O58" s="36">
        <f t="shared" si="25"/>
        <v>0</v>
      </c>
      <c r="P58" s="36">
        <f t="shared" si="25"/>
        <v>0</v>
      </c>
      <c r="Q58" s="36">
        <f t="shared" si="24"/>
        <v>0</v>
      </c>
      <c r="R58" s="173">
        <f>SUM($G58:Q58)</f>
        <v>0</v>
      </c>
      <c r="S58" s="36"/>
      <c r="T58" s="36"/>
      <c r="U58" s="36"/>
      <c r="V58" s="36"/>
      <c r="W58" s="36"/>
      <c r="X58" s="36"/>
      <c r="Y58" s="37"/>
    </row>
    <row r="59" spans="2:25" hidden="1" x14ac:dyDescent="0.35">
      <c r="D59" t="s">
        <v>8</v>
      </c>
      <c r="E59">
        <v>2</v>
      </c>
      <c r="G59"/>
      <c r="H59" s="2"/>
      <c r="K59" s="70">
        <f>K15/$E59</f>
        <v>0</v>
      </c>
      <c r="L59" s="36">
        <f>K59</f>
        <v>0</v>
      </c>
      <c r="M59" s="36">
        <f t="shared" ref="M59:Q62" si="26">L59</f>
        <v>0</v>
      </c>
      <c r="N59" s="36">
        <f t="shared" si="26"/>
        <v>0</v>
      </c>
      <c r="O59" s="36">
        <f t="shared" si="26"/>
        <v>0</v>
      </c>
      <c r="P59" s="36">
        <f t="shared" si="26"/>
        <v>0</v>
      </c>
      <c r="Q59" s="36">
        <f t="shared" si="26"/>
        <v>0</v>
      </c>
      <c r="R59" s="173">
        <f>SUM($G59:Q59)</f>
        <v>0</v>
      </c>
      <c r="S59" s="36"/>
      <c r="T59" s="36"/>
      <c r="U59" s="36"/>
      <c r="V59" s="36"/>
      <c r="W59" s="36"/>
      <c r="X59" s="36"/>
      <c r="Y59" s="37"/>
    </row>
    <row r="60" spans="2:25" hidden="1" x14ac:dyDescent="0.35">
      <c r="D60" t="s">
        <v>9</v>
      </c>
      <c r="E60">
        <v>1</v>
      </c>
      <c r="G60"/>
      <c r="H60" s="2"/>
      <c r="L60" s="70">
        <f>K$13/$E60</f>
        <v>0</v>
      </c>
      <c r="M60" s="36">
        <f>L60</f>
        <v>0</v>
      </c>
      <c r="N60" s="36">
        <f t="shared" si="26"/>
        <v>0</v>
      </c>
      <c r="O60" s="36">
        <f t="shared" si="26"/>
        <v>0</v>
      </c>
      <c r="P60" s="36">
        <f t="shared" si="26"/>
        <v>0</v>
      </c>
      <c r="Q60" s="36"/>
      <c r="R60" s="173">
        <f>SUM($G60:Q60)</f>
        <v>0</v>
      </c>
      <c r="S60" s="36"/>
      <c r="T60" s="36"/>
      <c r="U60" s="36"/>
      <c r="V60" s="36"/>
      <c r="W60" s="36"/>
      <c r="X60" s="36"/>
      <c r="Y60" s="37"/>
    </row>
    <row r="61" spans="2:25" hidden="1" x14ac:dyDescent="0.35">
      <c r="D61" t="s">
        <v>46</v>
      </c>
      <c r="E61">
        <v>5</v>
      </c>
      <c r="G61"/>
      <c r="H61" s="2"/>
      <c r="L61" s="36"/>
      <c r="M61" s="70">
        <f>L$13/$E61</f>
        <v>0</v>
      </c>
      <c r="N61" s="36">
        <f>M61</f>
        <v>0</v>
      </c>
      <c r="O61" s="36">
        <f t="shared" si="26"/>
        <v>0</v>
      </c>
      <c r="P61" s="36">
        <f t="shared" si="26"/>
        <v>0</v>
      </c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47</v>
      </c>
      <c r="E62">
        <v>4</v>
      </c>
      <c r="G62"/>
      <c r="H62" s="2"/>
      <c r="L62" s="36"/>
      <c r="M62" s="36"/>
      <c r="N62" s="70">
        <f>M$13/$E62</f>
        <v>0</v>
      </c>
      <c r="O62" s="36">
        <f>N62</f>
        <v>0</v>
      </c>
      <c r="P62" s="36">
        <f t="shared" si="26"/>
        <v>0</v>
      </c>
      <c r="Q62" s="36"/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48</v>
      </c>
      <c r="E63">
        <v>3</v>
      </c>
      <c r="G63"/>
      <c r="H63" s="2"/>
      <c r="L63" s="36"/>
      <c r="M63" s="36"/>
      <c r="N63" s="36"/>
      <c r="O63" s="70">
        <f>N$13/$E63</f>
        <v>0</v>
      </c>
      <c r="P63" s="36">
        <f>O63</f>
        <v>0</v>
      </c>
      <c r="Q63" s="36"/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49</v>
      </c>
      <c r="E64">
        <v>2</v>
      </c>
      <c r="G64"/>
      <c r="H64" s="2"/>
      <c r="L64" s="36"/>
      <c r="M64" s="36"/>
      <c r="N64" s="36"/>
      <c r="O64" s="36"/>
      <c r="P64" s="70">
        <f>O$13/$E64</f>
        <v>0</v>
      </c>
      <c r="Q64" s="70"/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50</v>
      </c>
      <c r="E65">
        <v>1</v>
      </c>
      <c r="G65"/>
      <c r="H65" s="2"/>
      <c r="K65" s="36"/>
      <c r="L65" s="77"/>
      <c r="M65" s="77"/>
      <c r="N65" s="77"/>
      <c r="O65" s="77"/>
      <c r="P65" s="77"/>
      <c r="Q65" s="77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t="16" thickBot="1" x14ac:dyDescent="0.4">
      <c r="B66" s="38" t="s">
        <v>32</v>
      </c>
      <c r="C66" s="39"/>
      <c r="D66" s="39"/>
      <c r="E66" s="39"/>
      <c r="F66" s="39"/>
      <c r="G66" s="39"/>
      <c r="H66" s="40">
        <f>SUM(H56:H65)</f>
        <v>0</v>
      </c>
      <c r="I66" s="40">
        <f t="shared" ref="I66:P66" si="27">SUM(I56:I65)</f>
        <v>0</v>
      </c>
      <c r="J66" s="40">
        <f t="shared" si="27"/>
        <v>0</v>
      </c>
      <c r="K66" s="40">
        <f t="shared" si="27"/>
        <v>0</v>
      </c>
      <c r="L66" s="40">
        <f t="shared" si="27"/>
        <v>0</v>
      </c>
      <c r="M66" s="40">
        <f t="shared" si="27"/>
        <v>0</v>
      </c>
      <c r="N66" s="40">
        <f t="shared" si="27"/>
        <v>0</v>
      </c>
      <c r="O66" s="40">
        <f t="shared" si="27"/>
        <v>0</v>
      </c>
      <c r="P66" s="40">
        <f t="shared" si="27"/>
        <v>0</v>
      </c>
      <c r="Q66" s="40">
        <f>SUM(Q56:Q65)</f>
        <v>0</v>
      </c>
      <c r="R66" s="154">
        <f>SUM(R56:R65)</f>
        <v>0</v>
      </c>
      <c r="S66" s="44"/>
      <c r="T66" s="44"/>
      <c r="U66" s="44"/>
      <c r="V66" s="44"/>
      <c r="W66" s="44"/>
      <c r="X66" s="44"/>
      <c r="Y66" s="44"/>
      <c r="Z66" s="41"/>
      <c r="AA66" s="41"/>
      <c r="AB66" s="41"/>
    </row>
    <row r="67" spans="2:28" ht="16.5" thickTop="1" thickBot="1" x14ac:dyDescent="0.4">
      <c r="G67"/>
      <c r="H67" s="2"/>
      <c r="M67" s="37"/>
      <c r="N67" s="37"/>
      <c r="O67" s="37"/>
      <c r="P67" s="37"/>
      <c r="Q67" s="37"/>
      <c r="R67" s="183"/>
      <c r="Y67" s="14"/>
    </row>
    <row r="69" spans="2:28" x14ac:dyDescent="0.35">
      <c r="F69" t="s">
        <v>54</v>
      </c>
    </row>
    <row r="75" spans="2:28" x14ac:dyDescent="0.35"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2:28" x14ac:dyDescent="0.35"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2:28" x14ac:dyDescent="0.35"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2:28" x14ac:dyDescent="0.35"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</row>
    <row r="80" spans="2:28" x14ac:dyDescent="0.35">
      <c r="G80" s="13"/>
    </row>
    <row r="81" spans="6:12" x14ac:dyDescent="0.35">
      <c r="G81" s="13"/>
      <c r="H81" s="14"/>
      <c r="I81" s="14"/>
      <c r="J81" s="14"/>
      <c r="K81" s="14"/>
      <c r="L81" s="14"/>
    </row>
    <row r="82" spans="6:12" x14ac:dyDescent="0.35">
      <c r="F82" s="79"/>
      <c r="G82" s="84"/>
      <c r="H82" s="85"/>
      <c r="I82" s="85"/>
      <c r="J82" s="85"/>
      <c r="K82" s="85"/>
      <c r="L82" s="85"/>
    </row>
    <row r="85" spans="6:12" x14ac:dyDescent="0.35">
      <c r="G85" s="13"/>
      <c r="L85" s="14"/>
    </row>
    <row r="87" spans="6:12" x14ac:dyDescent="0.35">
      <c r="G87" s="68"/>
      <c r="H87" s="68"/>
      <c r="I87" s="68"/>
      <c r="J87" s="68"/>
      <c r="K87" s="68"/>
      <c r="L87" s="68"/>
    </row>
  </sheetData>
  <mergeCells count="1">
    <mergeCell ref="E27:F27"/>
  </mergeCells>
  <phoneticPr fontId="26" type="noConversion"/>
  <printOptions horizontalCentered="1" verticalCentered="1"/>
  <pageMargins left="0" right="0" top="0" bottom="0" header="0.31496062992125984" footer="0.31496062992125984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pageSetUpPr fitToPage="1"/>
  </sheetPr>
  <dimension ref="B1:AB92"/>
  <sheetViews>
    <sheetView showGridLines="0" tabSelected="1" topLeftCell="A19" zoomScale="80" zoomScaleNormal="80" workbookViewId="0">
      <selection activeCell="S42" sqref="S42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58203125" customWidth="1"/>
    <col min="9" max="9" width="15.58203125" bestFit="1" customWidth="1"/>
    <col min="10" max="10" width="15.08203125" bestFit="1" customWidth="1"/>
    <col min="11" max="12" width="13.33203125" bestFit="1" customWidth="1"/>
    <col min="13" max="13" width="12.08203125" hidden="1" customWidth="1"/>
    <col min="14" max="17" width="11.58203125" hidden="1" customWidth="1"/>
    <col min="18" max="18" width="15.08203125" style="1" customWidth="1"/>
    <col min="19" max="19" width="13.832031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Summary2!D6</f>
        <v>ArtOtel Grand Wisata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174</v>
      </c>
      <c r="H11" s="217" t="s">
        <v>36</v>
      </c>
      <c r="I11" s="217" t="s">
        <v>37</v>
      </c>
      <c r="J11" s="217" t="s">
        <v>38</v>
      </c>
      <c r="K11" s="217" t="s">
        <v>39</v>
      </c>
      <c r="L11" s="217" t="s">
        <v>41</v>
      </c>
      <c r="M11" s="217" t="s">
        <v>41</v>
      </c>
      <c r="N11" s="217" t="s">
        <v>42</v>
      </c>
      <c r="O11" s="217" t="s">
        <v>43</v>
      </c>
      <c r="P11" s="217" t="s">
        <v>44</v>
      </c>
      <c r="Q11" s="217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50</v>
      </c>
      <c r="G13" s="163">
        <f>'BOQ Liwo Grand Wisata'!I86</f>
        <v>239068200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239068200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205"/>
      <c r="G14" s="188">
        <f>50000000*0</f>
        <v>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f>264450000*0</f>
        <v>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5"/>
      <c r="R15" s="173">
        <f>SUM(G15:Q15)</f>
        <v>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F16" s="42"/>
      <c r="G16" s="72"/>
      <c r="H16" s="203"/>
      <c r="I16" s="42"/>
      <c r="J16" s="42"/>
      <c r="K16" s="42"/>
      <c r="L16" s="42"/>
      <c r="M16" s="42"/>
      <c r="N16" s="42"/>
      <c r="O16" s="42"/>
      <c r="P16" s="42"/>
      <c r="Q16" s="42"/>
      <c r="R16" s="384">
        <f>SUM(R13:R15)</f>
        <v>239068200</v>
      </c>
      <c r="S16" s="42"/>
      <c r="T16" s="42"/>
      <c r="U16" s="43"/>
      <c r="V16" s="42"/>
      <c r="W16" s="42"/>
      <c r="X16" s="42"/>
      <c r="Y16" s="42"/>
      <c r="Z16" s="42"/>
    </row>
    <row r="17" spans="2:27" x14ac:dyDescent="0.35">
      <c r="F17" s="10"/>
      <c r="R17" s="182"/>
      <c r="S17" s="14"/>
      <c r="T17" s="14"/>
      <c r="U17" s="109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/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383" t="s">
        <v>11</v>
      </c>
      <c r="S18" s="216"/>
      <c r="T18" s="216"/>
      <c r="U18" s="216"/>
      <c r="V18" s="216"/>
      <c r="W18" s="216"/>
      <c r="X18" s="216"/>
      <c r="Y18" s="41"/>
      <c r="Z18" s="41"/>
      <c r="AA18" s="41"/>
    </row>
    <row r="19" spans="2:27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4" customHeight="1" x14ac:dyDescent="0.35">
      <c r="B20" s="147" t="s">
        <v>142</v>
      </c>
      <c r="M20" s="148">
        <v>0.1</v>
      </c>
      <c r="R20" s="172"/>
    </row>
    <row r="21" spans="2:27" ht="3.65" customHeight="1" x14ac:dyDescent="0.35">
      <c r="R21" s="172"/>
    </row>
    <row r="22" spans="2:27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E23" s="15"/>
      <c r="G23" s="68">
        <f>1000000000*95%*0</f>
        <v>0</v>
      </c>
      <c r="H23" s="68"/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0</v>
      </c>
      <c r="S23" s="13"/>
      <c r="T23" s="13"/>
      <c r="U23" s="13"/>
      <c r="V23" s="13"/>
      <c r="W23" s="13"/>
      <c r="X23" s="14"/>
    </row>
    <row r="24" spans="2:27" x14ac:dyDescent="0.35">
      <c r="C24" t="s">
        <v>22</v>
      </c>
      <c r="G24" s="13"/>
      <c r="H24" s="86">
        <f>R16*115%</f>
        <v>274928430</v>
      </c>
      <c r="I24" s="86"/>
      <c r="J24" s="86"/>
      <c r="K24" s="86"/>
      <c r="L24" s="86"/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 t="shared" ref="R24:R30" si="3">SUM(G24:L24)</f>
        <v>274928430</v>
      </c>
      <c r="S24" s="13"/>
      <c r="T24" s="13"/>
      <c r="U24" s="13"/>
      <c r="V24" s="13"/>
      <c r="W24" s="13"/>
      <c r="X24" s="14"/>
    </row>
    <row r="25" spans="2:27" x14ac:dyDescent="0.35">
      <c r="C25" t="s">
        <v>144</v>
      </c>
      <c r="G25" s="13"/>
      <c r="H25" s="13">
        <f>(2000000*60)</f>
        <v>120000000</v>
      </c>
      <c r="I25" s="13"/>
      <c r="J25" s="13"/>
      <c r="K25" s="13"/>
      <c r="L25" s="13"/>
      <c r="M25" s="68"/>
      <c r="N25" s="68"/>
      <c r="O25" s="68"/>
      <c r="P25" s="68"/>
      <c r="Q25" s="68"/>
      <c r="R25" s="173">
        <f t="shared" si="3"/>
        <v>120000000</v>
      </c>
      <c r="S25" s="13"/>
      <c r="T25" s="13"/>
      <c r="U25" s="13"/>
      <c r="V25" s="13"/>
      <c r="W25" s="13"/>
      <c r="X25" s="14"/>
    </row>
    <row r="26" spans="2:27" hidden="1" x14ac:dyDescent="0.35">
      <c r="G26" s="13"/>
      <c r="I26" s="13"/>
      <c r="J26" s="13"/>
      <c r="K26" s="13"/>
      <c r="L26" s="13"/>
      <c r="M26" s="68"/>
      <c r="N26" s="68"/>
      <c r="O26" s="68"/>
      <c r="P26" s="68"/>
      <c r="Q26" s="68"/>
      <c r="R26" s="173">
        <f t="shared" si="3"/>
        <v>0</v>
      </c>
      <c r="S26" s="13"/>
      <c r="T26" s="13"/>
      <c r="U26" s="13"/>
      <c r="V26" s="13"/>
      <c r="W26" s="13"/>
      <c r="X26" s="14"/>
    </row>
    <row r="27" spans="2:27" hidden="1" x14ac:dyDescent="0.35">
      <c r="G27" s="13"/>
      <c r="H27" s="13"/>
      <c r="I27" s="13"/>
      <c r="J27" s="13"/>
      <c r="K27" s="13"/>
      <c r="L27" s="13"/>
      <c r="M27" s="68"/>
      <c r="N27" s="68"/>
      <c r="O27" s="68"/>
      <c r="P27" s="68"/>
      <c r="Q27" s="68"/>
      <c r="R27" s="173">
        <f t="shared" si="3"/>
        <v>0</v>
      </c>
      <c r="S27" s="13"/>
      <c r="T27" s="13"/>
      <c r="U27" s="13"/>
      <c r="V27" s="13"/>
      <c r="W27" s="13"/>
      <c r="X27" s="14"/>
    </row>
    <row r="28" spans="2:27" hidden="1" x14ac:dyDescent="0.35">
      <c r="G28" s="13">
        <f>866000000*95%*0</f>
        <v>0</v>
      </c>
      <c r="H28" s="13">
        <f>(866000000-G28)*0</f>
        <v>0</v>
      </c>
      <c r="I28" s="68"/>
      <c r="J28" s="68">
        <f>$K$5</f>
        <v>0</v>
      </c>
      <c r="K28" s="68">
        <f t="shared" ref="K28:N28" si="4">$K$5</f>
        <v>0</v>
      </c>
      <c r="L28" s="68">
        <f t="shared" si="4"/>
        <v>0</v>
      </c>
      <c r="M28" s="68">
        <f t="shared" si="4"/>
        <v>0</v>
      </c>
      <c r="N28" s="68">
        <f t="shared" si="4"/>
        <v>0</v>
      </c>
      <c r="O28" s="68">
        <f>$K$5*(1-$L$5)</f>
        <v>0</v>
      </c>
      <c r="P28" s="68">
        <f t="shared" ref="P28:Q28" si="5">$K$5*(1-$L$5)</f>
        <v>0</v>
      </c>
      <c r="Q28" s="68">
        <f t="shared" si="5"/>
        <v>0</v>
      </c>
      <c r="R28" s="173">
        <f t="shared" si="3"/>
        <v>0</v>
      </c>
      <c r="S28" s="13"/>
      <c r="T28" s="13"/>
      <c r="U28" s="13"/>
      <c r="V28" s="13"/>
      <c r="W28" s="13"/>
      <c r="X28" s="14"/>
    </row>
    <row r="29" spans="2:27" hidden="1" x14ac:dyDescent="0.35">
      <c r="G29" s="13">
        <f>300000000*95%*0</f>
        <v>0</v>
      </c>
      <c r="H29" s="13">
        <f>(300000000-G29)*0</f>
        <v>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3"/>
        <v>0</v>
      </c>
      <c r="S29" s="45"/>
      <c r="T29" s="13"/>
      <c r="U29" s="45"/>
      <c r="V29" s="45"/>
      <c r="W29" s="45"/>
      <c r="X29" s="46"/>
      <c r="Y29" s="47"/>
    </row>
    <row r="30" spans="2:27" hidden="1" x14ac:dyDescent="0.35"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73">
        <f t="shared" si="3"/>
        <v>0</v>
      </c>
      <c r="S30" s="45"/>
      <c r="T30" s="13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253"/>
      <c r="F31" s="254"/>
      <c r="G31" s="66">
        <f t="shared" ref="G31:R31" si="6">SUM(G23:G30)</f>
        <v>0</v>
      </c>
      <c r="H31" s="66">
        <f t="shared" si="6"/>
        <v>394928430</v>
      </c>
      <c r="I31" s="66">
        <f t="shared" si="6"/>
        <v>0</v>
      </c>
      <c r="J31" s="66">
        <f t="shared" si="6"/>
        <v>0</v>
      </c>
      <c r="K31" s="66">
        <f t="shared" si="6"/>
        <v>0</v>
      </c>
      <c r="L31" s="66">
        <f t="shared" si="6"/>
        <v>0</v>
      </c>
      <c r="M31" s="66">
        <f t="shared" si="6"/>
        <v>0</v>
      </c>
      <c r="N31" s="66">
        <f t="shared" si="6"/>
        <v>0</v>
      </c>
      <c r="O31" s="66">
        <f t="shared" si="6"/>
        <v>0</v>
      </c>
      <c r="P31" s="66">
        <f t="shared" si="6"/>
        <v>0</v>
      </c>
      <c r="Q31" s="66">
        <f t="shared" si="6"/>
        <v>0</v>
      </c>
      <c r="R31" s="156">
        <f t="shared" si="6"/>
        <v>394928430</v>
      </c>
      <c r="S31" s="45"/>
      <c r="T31" s="13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/>
      <c r="J34" s="104"/>
      <c r="K34" s="104"/>
      <c r="L34" s="104"/>
      <c r="M34" s="20"/>
      <c r="N34" s="20"/>
      <c r="O34" s="20"/>
      <c r="P34" s="20"/>
      <c r="Q34" s="20"/>
      <c r="R34" s="173">
        <f>SUM($G34:Q34)</f>
        <v>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175</v>
      </c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73">
        <f>SUM($G35:Q35)</f>
        <v>0</v>
      </c>
      <c r="S35" s="45"/>
      <c r="T35" s="45"/>
      <c r="U35" s="45"/>
      <c r="V35" s="45"/>
      <c r="W35" s="45"/>
      <c r="X35" s="46"/>
      <c r="Y35" s="47"/>
    </row>
    <row r="36" spans="2:25" hidden="1" x14ac:dyDescent="0.35">
      <c r="C36" t="s">
        <v>153</v>
      </c>
      <c r="G36" s="104"/>
      <c r="H36" s="104"/>
      <c r="I36" s="104">
        <f>I26*90%</f>
        <v>0</v>
      </c>
      <c r="J36" s="104">
        <f>J26*90%</f>
        <v>0</v>
      </c>
      <c r="K36" s="104">
        <f>K26*90%</f>
        <v>0</v>
      </c>
      <c r="L36" s="104">
        <f>L26*90%</f>
        <v>0</v>
      </c>
      <c r="M36" s="104"/>
      <c r="N36" s="104"/>
      <c r="O36" s="104"/>
      <c r="P36" s="104"/>
      <c r="Q36" s="104"/>
      <c r="R36" s="173">
        <f>SUM($G36:Q36)</f>
        <v>0</v>
      </c>
      <c r="S36" s="45"/>
      <c r="T36" s="45"/>
      <c r="U36" s="45"/>
      <c r="V36" s="45"/>
      <c r="W36" s="45"/>
      <c r="X36" s="46"/>
      <c r="Y36" s="47"/>
    </row>
    <row r="37" spans="2:25" hidden="1" x14ac:dyDescent="0.35">
      <c r="C37" t="s">
        <v>154</v>
      </c>
      <c r="G37" s="104"/>
      <c r="H37" s="104"/>
      <c r="I37" s="104">
        <f>I27*90%</f>
        <v>0</v>
      </c>
      <c r="J37" s="104">
        <f>I37</f>
        <v>0</v>
      </c>
      <c r="K37" s="104">
        <f t="shared" ref="K37:L37" si="7">J37</f>
        <v>0</v>
      </c>
      <c r="L37" s="104">
        <f t="shared" si="7"/>
        <v>0</v>
      </c>
      <c r="M37" s="104"/>
      <c r="N37" s="104"/>
      <c r="O37" s="104"/>
      <c r="P37" s="104"/>
      <c r="Q37" s="104"/>
      <c r="R37" s="173">
        <f>SUM($G37:Q37)</f>
        <v>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/>
      <c r="H38" s="21">
        <v>20000000</v>
      </c>
      <c r="I38" s="21"/>
      <c r="J38" s="21"/>
      <c r="K38" s="21"/>
      <c r="L38" s="21"/>
      <c r="M38" s="21"/>
      <c r="N38" s="21"/>
      <c r="O38" s="21"/>
      <c r="P38" s="21"/>
      <c r="Q38" s="21"/>
      <c r="R38" s="173">
        <f>SUM($G38:Q38)</f>
        <v>20000000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0</v>
      </c>
      <c r="H39" s="66">
        <f t="shared" ref="H39:L39" si="8">SUM(H34:H38)</f>
        <v>20000000</v>
      </c>
      <c r="I39" s="66">
        <f t="shared" si="8"/>
        <v>0</v>
      </c>
      <c r="J39" s="66">
        <f t="shared" si="8"/>
        <v>0</v>
      </c>
      <c r="K39" s="66">
        <f t="shared" si="8"/>
        <v>0</v>
      </c>
      <c r="L39" s="66">
        <f t="shared" si="8"/>
        <v>0</v>
      </c>
      <c r="M39" s="66">
        <f t="shared" ref="M39:Q39" si="9">SUM(M35:M38)</f>
        <v>0</v>
      </c>
      <c r="N39" s="66">
        <f t="shared" si="9"/>
        <v>0</v>
      </c>
      <c r="O39" s="66">
        <f t="shared" si="9"/>
        <v>0</v>
      </c>
      <c r="P39" s="66">
        <f t="shared" si="9"/>
        <v>0</v>
      </c>
      <c r="Q39" s="66">
        <f t="shared" si="9"/>
        <v>0</v>
      </c>
      <c r="R39" s="157">
        <f>SUM(R34:R38)</f>
        <v>20000000</v>
      </c>
      <c r="S39" s="45"/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0">G31-G39</f>
        <v>0</v>
      </c>
      <c r="H40" s="22">
        <f t="shared" si="10"/>
        <v>374928430</v>
      </c>
      <c r="I40" s="22">
        <f t="shared" si="10"/>
        <v>0</v>
      </c>
      <c r="J40" s="22">
        <f t="shared" si="10"/>
        <v>0</v>
      </c>
      <c r="K40" s="22">
        <f t="shared" si="10"/>
        <v>0</v>
      </c>
      <c r="L40" s="22">
        <f t="shared" si="10"/>
        <v>0</v>
      </c>
      <c r="M40" s="22">
        <f t="shared" si="10"/>
        <v>0</v>
      </c>
      <c r="N40" s="22">
        <f t="shared" si="10"/>
        <v>0</v>
      </c>
      <c r="O40" s="22">
        <f t="shared" si="10"/>
        <v>0</v>
      </c>
      <c r="P40" s="22">
        <f t="shared" si="10"/>
        <v>0</v>
      </c>
      <c r="Q40" s="22">
        <f t="shared" si="10"/>
        <v>0</v>
      </c>
      <c r="R40" s="158">
        <f t="shared" si="10"/>
        <v>374928430</v>
      </c>
      <c r="S40" s="45"/>
      <c r="T40" s="50"/>
      <c r="U40" s="50"/>
      <c r="V40" s="50"/>
      <c r="W40" s="50"/>
      <c r="X40" s="50"/>
      <c r="Y40" s="51"/>
    </row>
    <row r="41" spans="2:25" s="1" customFormat="1" ht="8.5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1">H40/H31</f>
        <v>0.94935791277422088</v>
      </c>
      <c r="I41" s="25" t="e">
        <f t="shared" si="11"/>
        <v>#DIV/0!</v>
      </c>
      <c r="J41" s="25" t="e">
        <f t="shared" si="11"/>
        <v>#DIV/0!</v>
      </c>
      <c r="K41" s="25" t="e">
        <f t="shared" si="11"/>
        <v>#DIV/0!</v>
      </c>
      <c r="L41" s="25" t="e">
        <f t="shared" si="11"/>
        <v>#DIV/0!</v>
      </c>
      <c r="M41" s="25" t="e">
        <f t="shared" si="11"/>
        <v>#DIV/0!</v>
      </c>
      <c r="N41" s="25" t="e">
        <f t="shared" si="11"/>
        <v>#DIV/0!</v>
      </c>
      <c r="O41" s="25" t="e">
        <f t="shared" si="11"/>
        <v>#DIV/0!</v>
      </c>
      <c r="P41" s="25" t="e">
        <f t="shared" si="11"/>
        <v>#DIV/0!</v>
      </c>
      <c r="Q41" s="25" t="e">
        <f t="shared" si="11"/>
        <v>#DIV/0!</v>
      </c>
      <c r="R41" s="159">
        <f t="shared" si="11"/>
        <v>0.94935791277422088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2">I71</f>
        <v>0</v>
      </c>
      <c r="J43" s="17">
        <f t="shared" si="12"/>
        <v>0</v>
      </c>
      <c r="K43" s="17">
        <f t="shared" si="12"/>
        <v>0</v>
      </c>
      <c r="L43" s="17">
        <f t="shared" si="12"/>
        <v>0</v>
      </c>
      <c r="M43" s="17">
        <f t="shared" si="12"/>
        <v>0</v>
      </c>
      <c r="N43" s="17">
        <f t="shared" si="12"/>
        <v>0</v>
      </c>
      <c r="O43" s="17">
        <f t="shared" si="12"/>
        <v>0</v>
      </c>
      <c r="P43" s="17">
        <f t="shared" si="12"/>
        <v>0</v>
      </c>
      <c r="Q43" s="17">
        <f t="shared" si="12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0</v>
      </c>
      <c r="H44" s="27">
        <f>H40-H43</f>
        <v>374928430</v>
      </c>
      <c r="I44" s="27">
        <f t="shared" ref="I44:P44" si="13">I40-I43</f>
        <v>0</v>
      </c>
      <c r="J44" s="27">
        <f t="shared" si="13"/>
        <v>0</v>
      </c>
      <c r="K44" s="27">
        <f t="shared" si="13"/>
        <v>0</v>
      </c>
      <c r="L44" s="27">
        <f>L40-L43</f>
        <v>0</v>
      </c>
      <c r="M44" s="27">
        <f t="shared" si="13"/>
        <v>0</v>
      </c>
      <c r="N44" s="27">
        <f t="shared" si="13"/>
        <v>0</v>
      </c>
      <c r="O44" s="27">
        <f t="shared" si="13"/>
        <v>0</v>
      </c>
      <c r="P44" s="27">
        <f t="shared" si="13"/>
        <v>0</v>
      </c>
      <c r="Q44" s="27">
        <f>Q40-Q43</f>
        <v>0</v>
      </c>
      <c r="R44" s="175">
        <f>R40-R43</f>
        <v>374928430</v>
      </c>
      <c r="S44" s="45"/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/>
      <c r="H45" s="17">
        <f>PARAMETER!C5</f>
        <v>23667751.800000001</v>
      </c>
      <c r="I45" s="17">
        <f>PARAMETER!D5</f>
        <v>18408251.399999999</v>
      </c>
      <c r="J45" s="17">
        <f>PARAMETER!E5</f>
        <v>13148751</v>
      </c>
      <c r="K45" s="17">
        <f>PARAMETER!F5</f>
        <v>7889250.5999999996</v>
      </c>
      <c r="L45" s="17">
        <f>PARAMETER!G5</f>
        <v>2629750.2000000002</v>
      </c>
      <c r="M45" s="17"/>
      <c r="N45" s="17"/>
      <c r="O45" s="17"/>
      <c r="P45" s="17"/>
      <c r="Q45" s="17"/>
      <c r="R45" s="171">
        <f>SUM($G45:Q45)</f>
        <v>65743755.000000007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0</v>
      </c>
      <c r="H46" s="69">
        <f>H44-H45</f>
        <v>351260678.19999999</v>
      </c>
      <c r="I46" s="69">
        <f>I44-I45</f>
        <v>-18408251.399999999</v>
      </c>
      <c r="J46" s="69">
        <f t="shared" ref="J46:Q46" si="14">J44-J45</f>
        <v>-13148751</v>
      </c>
      <c r="K46" s="69">
        <f t="shared" si="14"/>
        <v>-7889250.5999999996</v>
      </c>
      <c r="L46" s="69">
        <f t="shared" si="14"/>
        <v>-2629750.2000000002</v>
      </c>
      <c r="M46" s="69">
        <f t="shared" si="14"/>
        <v>0</v>
      </c>
      <c r="N46" s="69">
        <f t="shared" si="14"/>
        <v>0</v>
      </c>
      <c r="O46" s="69">
        <f t="shared" si="14"/>
        <v>0</v>
      </c>
      <c r="P46" s="69">
        <f t="shared" si="14"/>
        <v>0</v>
      </c>
      <c r="Q46" s="69">
        <f t="shared" si="14"/>
        <v>0</v>
      </c>
      <c r="R46" s="173">
        <f>SUM($G46:Q46)</f>
        <v>309184675</v>
      </c>
      <c r="S46" s="45"/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0</v>
      </c>
      <c r="H47" s="67">
        <f t="shared" ref="H47:Q47" si="15">IF(H46&lt;0,0,H46*$F$3)</f>
        <v>7025213.5640000002</v>
      </c>
      <c r="I47" s="67">
        <f>IF(I46&lt;0,0,I46*$F$3)</f>
        <v>0</v>
      </c>
      <c r="J47" s="67">
        <f t="shared" si="15"/>
        <v>0</v>
      </c>
      <c r="K47" s="67">
        <f t="shared" si="15"/>
        <v>0</v>
      </c>
      <c r="L47" s="67">
        <f t="shared" si="15"/>
        <v>0</v>
      </c>
      <c r="M47" s="67">
        <f t="shared" si="15"/>
        <v>0</v>
      </c>
      <c r="N47" s="67">
        <f t="shared" si="15"/>
        <v>0</v>
      </c>
      <c r="O47" s="67">
        <f t="shared" si="15"/>
        <v>0</v>
      </c>
      <c r="P47" s="67">
        <f t="shared" si="15"/>
        <v>0</v>
      </c>
      <c r="Q47" s="67">
        <f t="shared" si="15"/>
        <v>0</v>
      </c>
      <c r="R47" s="173">
        <f>SUM($G47:Q47)</f>
        <v>7025213.5640000002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0</v>
      </c>
      <c r="H48" s="30">
        <f>H46-H47</f>
        <v>344235464.63599998</v>
      </c>
      <c r="I48" s="30">
        <f t="shared" ref="I48:Q48" si="16">I46-I47</f>
        <v>-18408251.399999999</v>
      </c>
      <c r="J48" s="30">
        <f t="shared" si="16"/>
        <v>-13148751</v>
      </c>
      <c r="K48" s="30">
        <f t="shared" si="16"/>
        <v>-7889250.5999999996</v>
      </c>
      <c r="L48" s="30">
        <f t="shared" si="16"/>
        <v>-2629750.2000000002</v>
      </c>
      <c r="M48" s="30">
        <f t="shared" si="16"/>
        <v>0</v>
      </c>
      <c r="N48" s="30">
        <f t="shared" si="16"/>
        <v>0</v>
      </c>
      <c r="O48" s="30">
        <f t="shared" si="16"/>
        <v>0</v>
      </c>
      <c r="P48" s="30">
        <f t="shared" si="16"/>
        <v>0</v>
      </c>
      <c r="Q48" s="30">
        <f t="shared" si="16"/>
        <v>0</v>
      </c>
      <c r="R48" s="176">
        <f>R46-R47</f>
        <v>302159461.43599999</v>
      </c>
      <c r="S48" s="45"/>
      <c r="T48" s="53"/>
      <c r="U48" s="53"/>
      <c r="V48" s="53"/>
      <c r="W48" s="53"/>
      <c r="X48" s="53"/>
      <c r="Y48" s="47"/>
    </row>
    <row r="49" spans="2:25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-239068200</v>
      </c>
      <c r="H50" s="31"/>
      <c r="I50" s="31">
        <f>-I16</f>
        <v>0</v>
      </c>
      <c r="J50" s="31">
        <f t="shared" ref="J50:Q50" si="17">-J15</f>
        <v>0</v>
      </c>
      <c r="K50" s="31">
        <f t="shared" si="17"/>
        <v>0</v>
      </c>
      <c r="L50" s="31">
        <f t="shared" si="17"/>
        <v>0</v>
      </c>
      <c r="M50" s="31">
        <f t="shared" si="17"/>
        <v>0</v>
      </c>
      <c r="N50" s="31">
        <f t="shared" si="17"/>
        <v>0</v>
      </c>
      <c r="O50" s="31">
        <f t="shared" si="17"/>
        <v>0</v>
      </c>
      <c r="P50" s="31">
        <f t="shared" si="17"/>
        <v>0</v>
      </c>
      <c r="Q50" s="31">
        <f t="shared" si="17"/>
        <v>0</v>
      </c>
      <c r="R50" s="177">
        <f>SUM($G$50:Q50)</f>
        <v>-239068200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-239068200</v>
      </c>
      <c r="H51" s="28">
        <f t="shared" ref="H51:Q51" si="18">H50+H48+H43</f>
        <v>344235464.63599998</v>
      </c>
      <c r="I51" s="28">
        <f t="shared" si="18"/>
        <v>-18408251.399999999</v>
      </c>
      <c r="J51" s="28">
        <f t="shared" si="18"/>
        <v>-13148751</v>
      </c>
      <c r="K51" s="28">
        <f t="shared" si="18"/>
        <v>-7889250.5999999996</v>
      </c>
      <c r="L51" s="28">
        <f t="shared" si="18"/>
        <v>-2629750.2000000002</v>
      </c>
      <c r="M51" s="28">
        <f t="shared" si="18"/>
        <v>0</v>
      </c>
      <c r="N51" s="28">
        <f t="shared" si="18"/>
        <v>0</v>
      </c>
      <c r="O51" s="28">
        <f t="shared" si="18"/>
        <v>0</v>
      </c>
      <c r="P51" s="28">
        <f t="shared" si="18"/>
        <v>0</v>
      </c>
      <c r="Q51" s="28">
        <f t="shared" si="18"/>
        <v>0</v>
      </c>
      <c r="R51" s="178">
        <f>SUM($G$51:Q51)</f>
        <v>63091261.435999967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-239068200</v>
      </c>
      <c r="H52" s="28">
        <f>G52+H51</f>
        <v>105167264.63599998</v>
      </c>
      <c r="I52" s="28">
        <f t="shared" ref="I52:Q52" si="19">H52+I51</f>
        <v>86759013.235999972</v>
      </c>
      <c r="J52" s="28">
        <f t="shared" si="19"/>
        <v>73610262.235999972</v>
      </c>
      <c r="K52" s="28">
        <f t="shared" si="19"/>
        <v>65721011.63599997</v>
      </c>
      <c r="L52" s="28">
        <f t="shared" si="19"/>
        <v>63091261.435999967</v>
      </c>
      <c r="M52" s="28">
        <f t="shared" si="19"/>
        <v>63091261.435999967</v>
      </c>
      <c r="N52" s="28">
        <f t="shared" si="19"/>
        <v>63091261.435999967</v>
      </c>
      <c r="O52" s="28">
        <f t="shared" si="19"/>
        <v>63091261.435999967</v>
      </c>
      <c r="P52" s="28">
        <f t="shared" si="19"/>
        <v>63091261.435999967</v>
      </c>
      <c r="Q52" s="28">
        <f t="shared" si="19"/>
        <v>63091261.435999967</v>
      </c>
      <c r="R52" s="178"/>
      <c r="S52" s="54"/>
      <c r="T52" s="79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0">IF(AND(F52&lt;0,G52&gt;0),H59-(G52/G51),0)</f>
        <v>0</v>
      </c>
      <c r="H53" s="32">
        <f t="shared" si="20"/>
        <v>1.6944903258378519</v>
      </c>
      <c r="I53" s="32">
        <f t="shared" si="20"/>
        <v>0</v>
      </c>
      <c r="J53" s="32">
        <f t="shared" si="20"/>
        <v>0</v>
      </c>
      <c r="K53" s="76">
        <f t="shared" si="20"/>
        <v>0</v>
      </c>
      <c r="L53" s="32">
        <f t="shared" si="20"/>
        <v>0</v>
      </c>
      <c r="M53" s="32">
        <f t="shared" si="20"/>
        <v>0</v>
      </c>
      <c r="N53" s="32">
        <f t="shared" si="20"/>
        <v>0</v>
      </c>
      <c r="O53" s="32">
        <f t="shared" si="20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4000000000000004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30">
        <f>IRR(G51:L51)</f>
        <v>0.33388789221803483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NPV(F4,G51:Q51)+F51</f>
        <v>35803166.244900681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0.94935791277422088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1.6944903258378519</v>
      </c>
      <c r="R58" s="182"/>
      <c r="S58" s="54"/>
    </row>
    <row r="59" spans="2:25" x14ac:dyDescent="0.35">
      <c r="G59" s="33"/>
      <c r="H59" s="8">
        <v>1</v>
      </c>
      <c r="I59" s="33">
        <v>2</v>
      </c>
      <c r="J59" s="8">
        <v>3</v>
      </c>
      <c r="K59" s="33">
        <v>4</v>
      </c>
      <c r="L59" s="8">
        <v>5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1">G18</f>
        <v>0</v>
      </c>
      <c r="H60" s="35">
        <f t="shared" si="21"/>
        <v>2025</v>
      </c>
      <c r="I60" s="35">
        <f t="shared" si="21"/>
        <v>2026</v>
      </c>
      <c r="J60" s="35">
        <f t="shared" si="21"/>
        <v>2027</v>
      </c>
      <c r="K60" s="35">
        <f t="shared" si="21"/>
        <v>2028</v>
      </c>
      <c r="L60" s="35">
        <f t="shared" si="21"/>
        <v>2029</v>
      </c>
      <c r="M60" s="35">
        <f t="shared" si="21"/>
        <v>2030</v>
      </c>
      <c r="N60" s="35">
        <f t="shared" si="21"/>
        <v>2031</v>
      </c>
      <c r="O60" s="35">
        <f t="shared" si="21"/>
        <v>2032</v>
      </c>
      <c r="P60" s="35">
        <f t="shared" si="21"/>
        <v>2033</v>
      </c>
      <c r="Q60" s="35">
        <f t="shared" si="21"/>
        <v>2034</v>
      </c>
      <c r="R60" s="155" t="s">
        <v>11</v>
      </c>
      <c r="S60" s="54"/>
      <c r="T60" s="35"/>
      <c r="U60" s="35"/>
      <c r="V60" s="35"/>
      <c r="W60" s="35"/>
      <c r="X60" s="35"/>
      <c r="Y60" s="35"/>
    </row>
    <row r="61" spans="2:25" x14ac:dyDescent="0.35">
      <c r="D61" t="s">
        <v>5</v>
      </c>
      <c r="E61">
        <v>5</v>
      </c>
      <c r="G61" s="14"/>
      <c r="H61" s="70">
        <f>(R16/E61)*0</f>
        <v>0</v>
      </c>
      <c r="I61" s="36">
        <f>H61</f>
        <v>0</v>
      </c>
      <c r="J61" s="36">
        <f>I61</f>
        <v>0</v>
      </c>
      <c r="K61" s="36">
        <f>J61</f>
        <v>0</v>
      </c>
      <c r="L61" s="36">
        <f>K61</f>
        <v>0</v>
      </c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2">J62</f>
        <v>0</v>
      </c>
      <c r="L62" s="36">
        <f t="shared" si="22"/>
        <v>0</v>
      </c>
      <c r="M62" s="36">
        <f t="shared" si="22"/>
        <v>0</v>
      </c>
      <c r="N62" s="36">
        <f t="shared" si="22"/>
        <v>0</v>
      </c>
      <c r="O62" s="36">
        <f t="shared" si="22"/>
        <v>0</v>
      </c>
      <c r="P62" s="36">
        <f t="shared" si="22"/>
        <v>0</v>
      </c>
      <c r="Q62" s="36">
        <f t="shared" si="22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2"/>
        <v>0</v>
      </c>
      <c r="M63" s="36">
        <f t="shared" si="22"/>
        <v>0</v>
      </c>
      <c r="N63" s="36">
        <f t="shared" si="22"/>
        <v>0</v>
      </c>
      <c r="O63" s="36">
        <f t="shared" si="22"/>
        <v>0</v>
      </c>
      <c r="P63" s="36">
        <f t="shared" si="22"/>
        <v>0</v>
      </c>
      <c r="Q63" s="36">
        <f t="shared" si="22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2"/>
        <v>0</v>
      </c>
      <c r="N64" s="36">
        <f t="shared" si="22"/>
        <v>0</v>
      </c>
      <c r="O64" s="36">
        <f t="shared" si="22"/>
        <v>0</v>
      </c>
      <c r="P64" s="36">
        <f t="shared" si="22"/>
        <v>0</v>
      </c>
      <c r="Q64" s="36">
        <f t="shared" si="22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2"/>
        <v>0</v>
      </c>
      <c r="O65" s="36">
        <f t="shared" si="22"/>
        <v>0</v>
      </c>
      <c r="P65" s="36">
        <f t="shared" si="22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2"/>
        <v>0</v>
      </c>
      <c r="P66" s="36">
        <f t="shared" si="22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2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3">SUM(I61:I70)</f>
        <v>0</v>
      </c>
      <c r="J71" s="40">
        <f t="shared" si="23"/>
        <v>0</v>
      </c>
      <c r="K71" s="40">
        <f t="shared" si="23"/>
        <v>0</v>
      </c>
      <c r="L71" s="40">
        <f t="shared" si="23"/>
        <v>0</v>
      </c>
      <c r="M71" s="40">
        <f t="shared" si="23"/>
        <v>0</v>
      </c>
      <c r="N71" s="40">
        <f t="shared" si="23"/>
        <v>0</v>
      </c>
      <c r="O71" s="40">
        <f t="shared" si="23"/>
        <v>0</v>
      </c>
      <c r="P71" s="40">
        <f t="shared" si="23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B1:AB92"/>
  <sheetViews>
    <sheetView showGridLines="0" topLeftCell="A44" zoomScale="90" zoomScaleNormal="90" workbookViewId="0">
      <selection activeCell="J36" sqref="J36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58203125" customWidth="1"/>
    <col min="9" max="9" width="15.58203125" bestFit="1" customWidth="1"/>
    <col min="10" max="10" width="15.08203125" bestFit="1" customWidth="1"/>
    <col min="11" max="11" width="13.08203125" bestFit="1" customWidth="1"/>
    <col min="12" max="12" width="12.33203125" customWidth="1"/>
    <col min="13" max="13" width="12.08203125" hidden="1" customWidth="1"/>
    <col min="14" max="17" width="11.58203125" hidden="1" customWidth="1"/>
    <col min="18" max="18" width="15.08203125" style="1" customWidth="1"/>
    <col min="19" max="19" width="13.832031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168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Summary!$D$6</f>
        <v>Knowledge Hub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192" t="s">
        <v>36</v>
      </c>
      <c r="I11" s="192" t="s">
        <v>37</v>
      </c>
      <c r="J11" s="192" t="s">
        <v>38</v>
      </c>
      <c r="K11" s="192" t="s">
        <v>39</v>
      </c>
      <c r="L11" s="192" t="s">
        <v>41</v>
      </c>
      <c r="M11" s="192" t="s">
        <v>41</v>
      </c>
      <c r="N11" s="192" t="s">
        <v>42</v>
      </c>
      <c r="O11" s="192" t="s">
        <v>43</v>
      </c>
      <c r="P11" s="192" t="s">
        <v>44</v>
      </c>
      <c r="Q11" s="192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103</v>
      </c>
      <c r="G13" s="163">
        <v>848780133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848780133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20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264450000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264450000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E16" t="s">
        <v>159</v>
      </c>
      <c r="F16" s="42"/>
      <c r="G16" s="72"/>
      <c r="H16" s="203"/>
      <c r="I16" s="42">
        <f>75000000*2</f>
        <v>150000000</v>
      </c>
      <c r="J16" s="42"/>
      <c r="K16" s="42"/>
      <c r="L16" s="42"/>
      <c r="M16" s="42"/>
      <c r="N16" s="42"/>
      <c r="O16" s="42"/>
      <c r="P16" s="42"/>
      <c r="Q16" s="42"/>
      <c r="R16" s="171">
        <f>SUM(G16:Q16)</f>
        <v>150000000</v>
      </c>
      <c r="S16" s="42"/>
      <c r="T16" s="42"/>
      <c r="U16" s="43"/>
      <c r="V16" s="42"/>
      <c r="W16" s="42"/>
      <c r="X16" s="42"/>
      <c r="Y16" s="42"/>
      <c r="Z16" s="42"/>
    </row>
    <row r="17" spans="2:27" x14ac:dyDescent="0.35">
      <c r="F17" s="10"/>
      <c r="R17" s="202">
        <f>SUM(R13:R16)</f>
        <v>1964480133</v>
      </c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191"/>
      <c r="T18" s="191"/>
      <c r="U18" s="191"/>
      <c r="V18" s="191"/>
      <c r="W18" s="191"/>
      <c r="X18" s="191"/>
      <c r="Y18" s="41"/>
      <c r="Z18" s="41"/>
      <c r="AA18" s="41"/>
    </row>
    <row r="19" spans="2:27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4" customHeight="1" x14ac:dyDescent="0.35">
      <c r="B20" s="147" t="s">
        <v>142</v>
      </c>
      <c r="M20" s="148">
        <v>0.1</v>
      </c>
      <c r="R20" s="172"/>
    </row>
    <row r="21" spans="2:27" ht="3.65" customHeight="1" x14ac:dyDescent="0.35">
      <c r="R21" s="172"/>
    </row>
    <row r="22" spans="2:27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1000000000</v>
      </c>
      <c r="S23" s="224">
        <f>G13/R23</f>
        <v>0.84878013299999999</v>
      </c>
      <c r="T23" s="13"/>
      <c r="U23" s="13"/>
      <c r="V23" s="13"/>
      <c r="W23" s="13"/>
      <c r="X23" s="14"/>
    </row>
    <row r="24" spans="2:27" x14ac:dyDescent="0.35">
      <c r="C24" t="s">
        <v>169</v>
      </c>
      <c r="G24" s="13">
        <f>85000000/2*2</f>
        <v>85000000</v>
      </c>
      <c r="H24" s="86">
        <f>85000000*2</f>
        <v>170000000</v>
      </c>
      <c r="I24" s="86"/>
      <c r="J24" s="86"/>
      <c r="K24" s="86"/>
      <c r="L24" s="86"/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 t="shared" ref="R24:R30" si="3">SUM(G24:L24)</f>
        <v>255000000</v>
      </c>
      <c r="S24" s="13"/>
      <c r="T24" s="13"/>
      <c r="U24" s="13"/>
      <c r="V24" s="13"/>
      <c r="W24" s="13"/>
      <c r="X24" s="14"/>
    </row>
    <row r="25" spans="2:27" x14ac:dyDescent="0.35">
      <c r="C25" t="s">
        <v>170</v>
      </c>
      <c r="G25" s="13"/>
      <c r="H25" s="13"/>
      <c r="I25" s="13">
        <f>53000000*2+4000000*2*2</f>
        <v>122000000</v>
      </c>
      <c r="J25" s="13">
        <f t="shared" ref="J25:L26" si="4">I25</f>
        <v>122000000</v>
      </c>
      <c r="K25" s="13">
        <f t="shared" si="4"/>
        <v>122000000</v>
      </c>
      <c r="L25" s="13">
        <f t="shared" si="4"/>
        <v>122000000</v>
      </c>
      <c r="M25" s="68"/>
      <c r="N25" s="68"/>
      <c r="O25" s="68"/>
      <c r="P25" s="68"/>
      <c r="Q25" s="68"/>
      <c r="R25" s="173">
        <f t="shared" si="3"/>
        <v>488000000</v>
      </c>
      <c r="S25" s="13"/>
      <c r="T25" s="13"/>
      <c r="U25" s="13"/>
      <c r="V25" s="13"/>
      <c r="W25" s="13"/>
      <c r="X25" s="14"/>
    </row>
    <row r="26" spans="2:27" x14ac:dyDescent="0.35">
      <c r="C26" t="s">
        <v>151</v>
      </c>
      <c r="G26" s="13"/>
      <c r="I26" s="13">
        <v>300000000</v>
      </c>
      <c r="J26" s="13">
        <f t="shared" si="4"/>
        <v>300000000</v>
      </c>
      <c r="K26" s="13">
        <f t="shared" si="4"/>
        <v>300000000</v>
      </c>
      <c r="L26" s="13">
        <f t="shared" si="4"/>
        <v>300000000</v>
      </c>
      <c r="M26" s="68"/>
      <c r="N26" s="68"/>
      <c r="O26" s="68"/>
      <c r="P26" s="68"/>
      <c r="Q26" s="68"/>
      <c r="R26" s="173">
        <f t="shared" si="3"/>
        <v>1200000000</v>
      </c>
      <c r="S26" s="13"/>
      <c r="T26" s="13"/>
      <c r="U26" s="13"/>
      <c r="V26" s="13"/>
      <c r="W26" s="13"/>
      <c r="X26" s="14"/>
    </row>
    <row r="27" spans="2:27" x14ac:dyDescent="0.35">
      <c r="C27" t="s">
        <v>152</v>
      </c>
      <c r="G27" s="13"/>
      <c r="H27" s="13"/>
      <c r="I27" s="13">
        <v>150000000</v>
      </c>
      <c r="J27" s="13">
        <v>150000000</v>
      </c>
      <c r="K27" s="13">
        <v>150000000</v>
      </c>
      <c r="L27" s="13">
        <v>150000000</v>
      </c>
      <c r="M27" s="68"/>
      <c r="N27" s="68"/>
      <c r="O27" s="68"/>
      <c r="P27" s="68"/>
      <c r="Q27" s="68"/>
      <c r="R27" s="173">
        <f t="shared" si="3"/>
        <v>600000000</v>
      </c>
      <c r="S27" s="13"/>
      <c r="T27" s="13"/>
      <c r="U27" s="13"/>
      <c r="V27" s="13"/>
      <c r="W27" s="13"/>
      <c r="X27" s="14"/>
    </row>
    <row r="28" spans="2:27" x14ac:dyDescent="0.35">
      <c r="C28" t="s">
        <v>161</v>
      </c>
      <c r="G28" s="13">
        <f>866000000*95%</f>
        <v>822700000</v>
      </c>
      <c r="H28" s="13">
        <f>866000000-G28</f>
        <v>43300000</v>
      </c>
      <c r="I28" s="68"/>
      <c r="J28" s="68">
        <f>$K$5</f>
        <v>0</v>
      </c>
      <c r="K28" s="68">
        <f t="shared" ref="K28:N28" si="5">$K$5</f>
        <v>0</v>
      </c>
      <c r="L28" s="68">
        <f t="shared" si="5"/>
        <v>0</v>
      </c>
      <c r="M28" s="68">
        <f t="shared" si="5"/>
        <v>0</v>
      </c>
      <c r="N28" s="68">
        <f t="shared" si="5"/>
        <v>0</v>
      </c>
      <c r="O28" s="68">
        <f>$K$5*(1-$L$5)</f>
        <v>0</v>
      </c>
      <c r="P28" s="68">
        <f t="shared" ref="P28:Q28" si="6">$K$5*(1-$L$5)</f>
        <v>0</v>
      </c>
      <c r="Q28" s="68">
        <f t="shared" si="6"/>
        <v>0</v>
      </c>
      <c r="R28" s="173">
        <f t="shared" si="3"/>
        <v>866000000</v>
      </c>
      <c r="S28" s="13"/>
      <c r="T28" s="187">
        <f>S28/G15</f>
        <v>0</v>
      </c>
      <c r="U28" s="13"/>
      <c r="V28" s="13"/>
      <c r="W28" s="13"/>
      <c r="X28" s="14"/>
    </row>
    <row r="29" spans="2:27" x14ac:dyDescent="0.35">
      <c r="C29" t="s">
        <v>162</v>
      </c>
      <c r="G29" s="13">
        <f>300000000*95%</f>
        <v>285000000</v>
      </c>
      <c r="H29" s="13">
        <f>300000000-G29</f>
        <v>15000000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3"/>
        <v>300000000</v>
      </c>
      <c r="S29" s="45"/>
      <c r="T29" s="45"/>
      <c r="U29" s="45"/>
      <c r="V29" s="45"/>
      <c r="W29" s="45"/>
      <c r="X29" s="46"/>
      <c r="Y29" s="47"/>
    </row>
    <row r="30" spans="2:27" x14ac:dyDescent="0.35">
      <c r="C30" t="s">
        <v>163</v>
      </c>
      <c r="G30" s="13"/>
      <c r="H30" s="13"/>
      <c r="I30" s="13">
        <v>200000000</v>
      </c>
      <c r="J30" s="13"/>
      <c r="K30" s="13"/>
      <c r="L30" s="13"/>
      <c r="M30" s="13"/>
      <c r="N30" s="13"/>
      <c r="O30" s="13"/>
      <c r="P30" s="13"/>
      <c r="Q30" s="13"/>
      <c r="R30" s="173">
        <f t="shared" si="3"/>
        <v>200000000</v>
      </c>
      <c r="S30" s="45"/>
      <c r="T30" s="45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253"/>
      <c r="F31" s="254"/>
      <c r="G31" s="66">
        <f>SUM(G23:G30)</f>
        <v>2142700000</v>
      </c>
      <c r="H31" s="66">
        <f t="shared" ref="H31:Q31" si="7">SUM(H23:H30)</f>
        <v>278300000</v>
      </c>
      <c r="I31" s="66">
        <f t="shared" si="7"/>
        <v>772000000</v>
      </c>
      <c r="J31" s="66">
        <f t="shared" si="7"/>
        <v>572000000</v>
      </c>
      <c r="K31" s="66">
        <f t="shared" si="7"/>
        <v>572000000</v>
      </c>
      <c r="L31" s="66">
        <f t="shared" si="7"/>
        <v>572000000</v>
      </c>
      <c r="M31" s="66">
        <f t="shared" si="7"/>
        <v>0</v>
      </c>
      <c r="N31" s="66">
        <f t="shared" si="7"/>
        <v>0</v>
      </c>
      <c r="O31" s="66">
        <f t="shared" si="7"/>
        <v>0</v>
      </c>
      <c r="P31" s="66">
        <f t="shared" si="7"/>
        <v>0</v>
      </c>
      <c r="Q31" s="66">
        <f t="shared" si="7"/>
        <v>0</v>
      </c>
      <c r="R31" s="156">
        <f>SUM(R23:R30)</f>
        <v>4909000000</v>
      </c>
      <c r="S31" s="45">
        <f>SUM(G31:Q31)-R31</f>
        <v>0</v>
      </c>
      <c r="T31" s="45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>
        <f>36000000</f>
        <v>36000000</v>
      </c>
      <c r="J34" s="104">
        <f>I34</f>
        <v>36000000</v>
      </c>
      <c r="K34" s="104">
        <f>J34</f>
        <v>36000000</v>
      </c>
      <c r="L34" s="104">
        <f>K34</f>
        <v>36000000</v>
      </c>
      <c r="M34" s="20"/>
      <c r="N34" s="20"/>
      <c r="O34" s="20"/>
      <c r="P34" s="20"/>
      <c r="Q34" s="20"/>
      <c r="R34" s="173">
        <f>SUM($G34:Q34)</f>
        <v>144000000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171</v>
      </c>
      <c r="G35" s="104">
        <f>7000000*2/2</f>
        <v>7000000</v>
      </c>
      <c r="H35" s="104">
        <f>7000000*2</f>
        <v>14000000</v>
      </c>
      <c r="I35" s="104">
        <f t="shared" ref="I35:K35" si="8">H35</f>
        <v>14000000</v>
      </c>
      <c r="J35" s="104">
        <f t="shared" si="8"/>
        <v>14000000</v>
      </c>
      <c r="K35" s="104">
        <f t="shared" si="8"/>
        <v>14000000</v>
      </c>
      <c r="L35" s="104">
        <f>K35</f>
        <v>14000000</v>
      </c>
      <c r="M35" s="104"/>
      <c r="N35" s="104"/>
      <c r="O35" s="104"/>
      <c r="P35" s="104"/>
      <c r="Q35" s="104"/>
      <c r="R35" s="173">
        <f>SUM($G35:Q35)</f>
        <v>77000000</v>
      </c>
      <c r="S35" s="45"/>
      <c r="T35" s="45"/>
      <c r="U35" s="45"/>
      <c r="V35" s="45"/>
      <c r="W35" s="45"/>
      <c r="X35" s="46"/>
      <c r="Y35" s="47"/>
    </row>
    <row r="36" spans="2:25" x14ac:dyDescent="0.35">
      <c r="C36" t="s">
        <v>153</v>
      </c>
      <c r="G36" s="104"/>
      <c r="H36" s="104"/>
      <c r="I36" s="104">
        <f>I26*90%</f>
        <v>270000000</v>
      </c>
      <c r="J36" s="104">
        <f t="shared" ref="J36:L36" si="9">J26*90%</f>
        <v>270000000</v>
      </c>
      <c r="K36" s="104">
        <f t="shared" si="9"/>
        <v>270000000</v>
      </c>
      <c r="L36" s="104">
        <f t="shared" si="9"/>
        <v>270000000</v>
      </c>
      <c r="M36" s="104"/>
      <c r="N36" s="104"/>
      <c r="O36" s="104"/>
      <c r="P36" s="104"/>
      <c r="Q36" s="104"/>
      <c r="R36" s="173">
        <f>SUM($G36:Q36)</f>
        <v>1080000000</v>
      </c>
      <c r="S36" s="45"/>
      <c r="T36" s="45"/>
      <c r="U36" s="45"/>
      <c r="V36" s="45"/>
      <c r="W36" s="45"/>
      <c r="X36" s="46"/>
      <c r="Y36" s="47"/>
    </row>
    <row r="37" spans="2:25" x14ac:dyDescent="0.35">
      <c r="C37" t="s">
        <v>154</v>
      </c>
      <c r="G37" s="104"/>
      <c r="H37" s="104"/>
      <c r="I37" s="104">
        <f>I27*90%</f>
        <v>135000000</v>
      </c>
      <c r="J37" s="104">
        <f>I37</f>
        <v>135000000</v>
      </c>
      <c r="K37" s="104">
        <f t="shared" ref="K37:L37" si="10">J37</f>
        <v>135000000</v>
      </c>
      <c r="L37" s="104">
        <f t="shared" si="10"/>
        <v>135000000</v>
      </c>
      <c r="M37" s="104"/>
      <c r="N37" s="104"/>
      <c r="O37" s="104"/>
      <c r="P37" s="104"/>
      <c r="Q37" s="104"/>
      <c r="R37" s="173">
        <f>SUM($G37:Q37)</f>
        <v>540000000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>
        <f>PARAMETER!B14/2</f>
        <v>25000000</v>
      </c>
      <c r="H38" s="21">
        <f>PARAMETER!C14</f>
        <v>51000000</v>
      </c>
      <c r="I38" s="21">
        <f>PARAMETER!D14</f>
        <v>52020000</v>
      </c>
      <c r="J38" s="21">
        <f>PARAMETER!E14</f>
        <v>53060400</v>
      </c>
      <c r="K38" s="21">
        <f>PARAMETER!F14</f>
        <v>54121608</v>
      </c>
      <c r="L38" s="21">
        <f>PARAMETER!G14</f>
        <v>55204040.159999996</v>
      </c>
      <c r="M38" s="21"/>
      <c r="N38" s="21"/>
      <c r="O38" s="21"/>
      <c r="P38" s="21"/>
      <c r="Q38" s="21"/>
      <c r="R38" s="173">
        <f>SUM($G38:Q38)</f>
        <v>290406048.15999997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32000000</v>
      </c>
      <c r="H39" s="66">
        <f t="shared" ref="H39:L39" si="11">SUM(H34:H38)</f>
        <v>65000000</v>
      </c>
      <c r="I39" s="66">
        <f t="shared" si="11"/>
        <v>507020000</v>
      </c>
      <c r="J39" s="66">
        <f t="shared" si="11"/>
        <v>508060400</v>
      </c>
      <c r="K39" s="66">
        <f t="shared" si="11"/>
        <v>509121608</v>
      </c>
      <c r="L39" s="66">
        <f t="shared" si="11"/>
        <v>510204040.15999997</v>
      </c>
      <c r="M39" s="66">
        <f t="shared" ref="M39:Q39" si="12">SUM(M35:M38)</f>
        <v>0</v>
      </c>
      <c r="N39" s="66">
        <f t="shared" si="12"/>
        <v>0</v>
      </c>
      <c r="O39" s="66">
        <f t="shared" si="12"/>
        <v>0</v>
      </c>
      <c r="P39" s="66">
        <f t="shared" si="12"/>
        <v>0</v>
      </c>
      <c r="Q39" s="66">
        <f t="shared" si="12"/>
        <v>0</v>
      </c>
      <c r="R39" s="157">
        <f>SUM(R34:R38)</f>
        <v>2131406048.1599998</v>
      </c>
      <c r="S39" s="45">
        <f>SUM(G39:Q39)-R39</f>
        <v>0</v>
      </c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3">G31-G39</f>
        <v>2110700000</v>
      </c>
      <c r="H40" s="22">
        <f t="shared" si="13"/>
        <v>213300000</v>
      </c>
      <c r="I40" s="22">
        <f t="shared" si="13"/>
        <v>264980000</v>
      </c>
      <c r="J40" s="22">
        <f t="shared" si="13"/>
        <v>63939600</v>
      </c>
      <c r="K40" s="22">
        <f t="shared" si="13"/>
        <v>62878392</v>
      </c>
      <c r="L40" s="22">
        <f t="shared" si="13"/>
        <v>61795959.840000033</v>
      </c>
      <c r="M40" s="22">
        <f t="shared" si="13"/>
        <v>0</v>
      </c>
      <c r="N40" s="22">
        <f t="shared" si="13"/>
        <v>0</v>
      </c>
      <c r="O40" s="22">
        <f t="shared" si="13"/>
        <v>0</v>
      </c>
      <c r="P40" s="22">
        <f t="shared" si="13"/>
        <v>0</v>
      </c>
      <c r="Q40" s="22">
        <f t="shared" si="13"/>
        <v>0</v>
      </c>
      <c r="R40" s="158">
        <f t="shared" si="13"/>
        <v>2777593951.8400002</v>
      </c>
      <c r="S40" s="45">
        <f>SUM(G40:Q40)-R40</f>
        <v>0</v>
      </c>
      <c r="T40" s="50"/>
      <c r="U40" s="50"/>
      <c r="V40" s="50"/>
      <c r="W40" s="50"/>
      <c r="X40" s="50"/>
      <c r="Y40" s="51"/>
    </row>
    <row r="41" spans="2:25" s="1" customFormat="1" ht="8.5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4">H40/H31</f>
        <v>0.7664390945023356</v>
      </c>
      <c r="I41" s="25">
        <f t="shared" si="14"/>
        <v>0.3432383419689119</v>
      </c>
      <c r="J41" s="25">
        <f t="shared" si="14"/>
        <v>0.11178251748251748</v>
      </c>
      <c r="K41" s="25">
        <f t="shared" si="14"/>
        <v>0.10992725874125873</v>
      </c>
      <c r="L41" s="25">
        <f t="shared" si="14"/>
        <v>0.10803489482517488</v>
      </c>
      <c r="M41" s="25" t="e">
        <f t="shared" si="14"/>
        <v>#DIV/0!</v>
      </c>
      <c r="N41" s="25" t="e">
        <f t="shared" si="14"/>
        <v>#DIV/0!</v>
      </c>
      <c r="O41" s="25" t="e">
        <f t="shared" si="14"/>
        <v>#DIV/0!</v>
      </c>
      <c r="P41" s="25" t="e">
        <f t="shared" si="14"/>
        <v>#DIV/0!</v>
      </c>
      <c r="Q41" s="25" t="e">
        <f t="shared" si="14"/>
        <v>#DIV/0!</v>
      </c>
      <c r="R41" s="159">
        <f t="shared" si="14"/>
        <v>0.56581665346099008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5">I71</f>
        <v>0</v>
      </c>
      <c r="J43" s="17">
        <f t="shared" si="15"/>
        <v>0</v>
      </c>
      <c r="K43" s="17">
        <f t="shared" si="15"/>
        <v>0</v>
      </c>
      <c r="L43" s="17">
        <f t="shared" si="15"/>
        <v>0</v>
      </c>
      <c r="M43" s="17">
        <f t="shared" si="15"/>
        <v>0</v>
      </c>
      <c r="N43" s="17">
        <f t="shared" si="15"/>
        <v>0</v>
      </c>
      <c r="O43" s="17">
        <f t="shared" si="15"/>
        <v>0</v>
      </c>
      <c r="P43" s="17">
        <f t="shared" si="15"/>
        <v>0</v>
      </c>
      <c r="Q43" s="17">
        <f t="shared" si="15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2110700000</v>
      </c>
      <c r="H44" s="27">
        <f>H40-H43</f>
        <v>213300000</v>
      </c>
      <c r="I44" s="27">
        <f t="shared" ref="I44:P44" si="16">I40-I43</f>
        <v>264980000</v>
      </c>
      <c r="J44" s="27">
        <f t="shared" si="16"/>
        <v>63939600</v>
      </c>
      <c r="K44" s="27">
        <f t="shared" si="16"/>
        <v>62878392</v>
      </c>
      <c r="L44" s="27">
        <f>L40-L43</f>
        <v>61795959.840000033</v>
      </c>
      <c r="M44" s="27">
        <f t="shared" si="16"/>
        <v>0</v>
      </c>
      <c r="N44" s="27">
        <f t="shared" si="16"/>
        <v>0</v>
      </c>
      <c r="O44" s="27">
        <f t="shared" si="16"/>
        <v>0</v>
      </c>
      <c r="P44" s="27">
        <f t="shared" si="16"/>
        <v>0</v>
      </c>
      <c r="Q44" s="27">
        <f>Q40-Q43</f>
        <v>0</v>
      </c>
      <c r="R44" s="175">
        <f>R40-R43</f>
        <v>2777593951.8400002</v>
      </c>
      <c r="S44" s="45">
        <f>SUM(G44:Q44)-R44</f>
        <v>0</v>
      </c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>
        <f>PARAMETER!B5</f>
        <v>13148751</v>
      </c>
      <c r="H45" s="17">
        <f>PARAMETER!C5</f>
        <v>23667751.800000001</v>
      </c>
      <c r="I45" s="17">
        <f>PARAMETER!D5</f>
        <v>18408251.399999999</v>
      </c>
      <c r="J45" s="17">
        <f>PARAMETER!E5</f>
        <v>13148751</v>
      </c>
      <c r="K45" s="17">
        <f>PARAMETER!F5</f>
        <v>7889250.5999999996</v>
      </c>
      <c r="L45" s="17">
        <f>PARAMETER!G5</f>
        <v>2629750.2000000002</v>
      </c>
      <c r="M45" s="17"/>
      <c r="N45" s="17"/>
      <c r="O45" s="17"/>
      <c r="P45" s="17"/>
      <c r="Q45" s="17"/>
      <c r="R45" s="171">
        <f>SUM($G45:Q45)</f>
        <v>78892505.999999985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2097551249</v>
      </c>
      <c r="H46" s="69">
        <f>H44-H45</f>
        <v>189632248.19999999</v>
      </c>
      <c r="I46" s="69">
        <f>I44-I45</f>
        <v>246571748.59999999</v>
      </c>
      <c r="J46" s="69">
        <f t="shared" ref="J46:Q46" si="17">J44-J45</f>
        <v>50790849</v>
      </c>
      <c r="K46" s="69">
        <f t="shared" si="17"/>
        <v>54989141.399999999</v>
      </c>
      <c r="L46" s="69">
        <f t="shared" si="17"/>
        <v>59166209.64000003</v>
      </c>
      <c r="M46" s="69">
        <f t="shared" si="17"/>
        <v>0</v>
      </c>
      <c r="N46" s="69">
        <f t="shared" si="17"/>
        <v>0</v>
      </c>
      <c r="O46" s="69">
        <f t="shared" si="17"/>
        <v>0</v>
      </c>
      <c r="P46" s="69">
        <f t="shared" si="17"/>
        <v>0</v>
      </c>
      <c r="Q46" s="69">
        <f t="shared" si="17"/>
        <v>0</v>
      </c>
      <c r="R46" s="173">
        <f>SUM($G46:Q46)</f>
        <v>2698701445.8399997</v>
      </c>
      <c r="S46" s="45">
        <f>SUM(G46:Q46)-R46</f>
        <v>0</v>
      </c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41951024.980000004</v>
      </c>
      <c r="H47" s="67">
        <f t="shared" ref="H47:Q47" si="18">IF(H46&lt;0,0,H46*$F$3)</f>
        <v>3792644.9639999997</v>
      </c>
      <c r="I47" s="67">
        <f>IF(I46&lt;0,0,I46*$F$3)</f>
        <v>4931434.9720000001</v>
      </c>
      <c r="J47" s="67">
        <f t="shared" si="18"/>
        <v>1015816.98</v>
      </c>
      <c r="K47" s="67">
        <f t="shared" si="18"/>
        <v>1099782.828</v>
      </c>
      <c r="L47" s="67">
        <f t="shared" si="18"/>
        <v>1183324.1928000005</v>
      </c>
      <c r="M47" s="67">
        <f t="shared" si="18"/>
        <v>0</v>
      </c>
      <c r="N47" s="67">
        <f t="shared" si="18"/>
        <v>0</v>
      </c>
      <c r="O47" s="67">
        <f t="shared" si="18"/>
        <v>0</v>
      </c>
      <c r="P47" s="67">
        <f t="shared" si="18"/>
        <v>0</v>
      </c>
      <c r="Q47" s="67">
        <f t="shared" si="18"/>
        <v>0</v>
      </c>
      <c r="R47" s="173">
        <f>SUM($G47:Q47)</f>
        <v>53974028.916800007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2055600224.02</v>
      </c>
      <c r="H48" s="30">
        <f>H46-H47</f>
        <v>185839603.236</v>
      </c>
      <c r="I48" s="30">
        <f t="shared" ref="I48:Q48" si="19">I46-I47</f>
        <v>241640313.62799999</v>
      </c>
      <c r="J48" s="30">
        <f t="shared" si="19"/>
        <v>49775032.020000003</v>
      </c>
      <c r="K48" s="30">
        <f t="shared" si="19"/>
        <v>53889358.571999997</v>
      </c>
      <c r="L48" s="30">
        <f t="shared" si="19"/>
        <v>57982885.44720003</v>
      </c>
      <c r="M48" s="30">
        <f t="shared" si="19"/>
        <v>0</v>
      </c>
      <c r="N48" s="30">
        <f t="shared" si="19"/>
        <v>0</v>
      </c>
      <c r="O48" s="30">
        <f t="shared" si="19"/>
        <v>0</v>
      </c>
      <c r="P48" s="30">
        <f t="shared" si="19"/>
        <v>0</v>
      </c>
      <c r="Q48" s="30">
        <f t="shared" si="19"/>
        <v>0</v>
      </c>
      <c r="R48" s="176">
        <f>R46-R47</f>
        <v>2644727416.9231997</v>
      </c>
      <c r="S48" s="45">
        <f>SUM(G48:Q48)-R48</f>
        <v>0</v>
      </c>
      <c r="T48" s="53"/>
      <c r="U48" s="53"/>
      <c r="V48" s="53"/>
      <c r="W48" s="53"/>
      <c r="X48" s="53"/>
      <c r="Y48" s="47"/>
    </row>
    <row r="49" spans="2:25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-1814480133</v>
      </c>
      <c r="H50" s="31">
        <f>-H16</f>
        <v>0</v>
      </c>
      <c r="I50" s="31">
        <f>-I16</f>
        <v>-150000000</v>
      </c>
      <c r="J50" s="31">
        <f t="shared" ref="J50:Q50" si="20">-J15</f>
        <v>0</v>
      </c>
      <c r="K50" s="31">
        <f t="shared" si="20"/>
        <v>0</v>
      </c>
      <c r="L50" s="31">
        <f t="shared" si="20"/>
        <v>0</v>
      </c>
      <c r="M50" s="31">
        <f t="shared" si="20"/>
        <v>0</v>
      </c>
      <c r="N50" s="31">
        <f t="shared" si="20"/>
        <v>0</v>
      </c>
      <c r="O50" s="31">
        <f t="shared" si="20"/>
        <v>0</v>
      </c>
      <c r="P50" s="31">
        <f t="shared" si="20"/>
        <v>0</v>
      </c>
      <c r="Q50" s="31">
        <f t="shared" si="20"/>
        <v>0</v>
      </c>
      <c r="R50" s="177">
        <f>SUM($G$50:Q50)</f>
        <v>-1964480133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241120091.01999998</v>
      </c>
      <c r="H51" s="28">
        <f t="shared" ref="H51:Q51" si="21">H50+H48+H43</f>
        <v>185839603.236</v>
      </c>
      <c r="I51" s="28">
        <f t="shared" si="21"/>
        <v>91640313.627999991</v>
      </c>
      <c r="J51" s="28">
        <f t="shared" si="21"/>
        <v>49775032.020000003</v>
      </c>
      <c r="K51" s="28">
        <f t="shared" si="21"/>
        <v>53889358.571999997</v>
      </c>
      <c r="L51" s="28">
        <f t="shared" si="21"/>
        <v>57982885.44720003</v>
      </c>
      <c r="M51" s="28">
        <f t="shared" si="21"/>
        <v>0</v>
      </c>
      <c r="N51" s="28">
        <f t="shared" si="21"/>
        <v>0</v>
      </c>
      <c r="O51" s="28">
        <f t="shared" si="21"/>
        <v>0</v>
      </c>
      <c r="P51" s="28">
        <f t="shared" si="21"/>
        <v>0</v>
      </c>
      <c r="Q51" s="28">
        <f t="shared" si="21"/>
        <v>0</v>
      </c>
      <c r="R51" s="178">
        <f>SUM($G$51:Q51)</f>
        <v>680247283.92320001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241120091.01999998</v>
      </c>
      <c r="H52" s="28">
        <f>G52+H51</f>
        <v>426959694.25599998</v>
      </c>
      <c r="I52" s="28">
        <f t="shared" ref="I52:Q52" si="22">H52+I51</f>
        <v>518600007.88399994</v>
      </c>
      <c r="J52" s="28">
        <f t="shared" si="22"/>
        <v>568375039.90399992</v>
      </c>
      <c r="K52" s="28">
        <f t="shared" si="22"/>
        <v>622264398.47599995</v>
      </c>
      <c r="L52" s="28">
        <f t="shared" si="22"/>
        <v>680247283.92320001</v>
      </c>
      <c r="M52" s="28">
        <f t="shared" si="22"/>
        <v>680247283.92320001</v>
      </c>
      <c r="N52" s="28">
        <f t="shared" si="22"/>
        <v>680247283.92320001</v>
      </c>
      <c r="O52" s="28">
        <f t="shared" si="22"/>
        <v>680247283.92320001</v>
      </c>
      <c r="P52" s="28">
        <f t="shared" si="22"/>
        <v>680247283.92320001</v>
      </c>
      <c r="Q52" s="28">
        <f t="shared" si="22"/>
        <v>680247283.92320001</v>
      </c>
      <c r="R52" s="178"/>
      <c r="S52" s="54"/>
      <c r="T52" s="54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3">IF(AND(F52&lt;0,G52&gt;0),H59-(G52/G51),0)</f>
        <v>0</v>
      </c>
      <c r="H53" s="32">
        <f t="shared" si="23"/>
        <v>0</v>
      </c>
      <c r="I53" s="32">
        <f t="shared" si="23"/>
        <v>0</v>
      </c>
      <c r="J53" s="32">
        <f t="shared" si="23"/>
        <v>0</v>
      </c>
      <c r="K53" s="76">
        <f t="shared" si="23"/>
        <v>0</v>
      </c>
      <c r="L53" s="32">
        <f t="shared" si="23"/>
        <v>0</v>
      </c>
      <c r="M53" s="32">
        <f t="shared" si="23"/>
        <v>0</v>
      </c>
      <c r="N53" s="32">
        <f t="shared" si="23"/>
        <v>0</v>
      </c>
      <c r="O53" s="32">
        <f t="shared" si="23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4000000000000004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15" t="s">
        <v>164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NPV(F4,G51:Q51)+F51</f>
        <v>541825151.34726691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0.56581665346099008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0</v>
      </c>
      <c r="R58" s="182"/>
      <c r="S58" s="54"/>
    </row>
    <row r="59" spans="2:25" x14ac:dyDescent="0.35">
      <c r="G59" s="33">
        <v>1</v>
      </c>
      <c r="H59" s="8">
        <v>2</v>
      </c>
      <c r="I59" s="33">
        <v>3</v>
      </c>
      <c r="J59" s="8">
        <v>4</v>
      </c>
      <c r="K59" s="33">
        <v>5</v>
      </c>
      <c r="L59" s="8">
        <v>6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4">G18</f>
        <v>2024</v>
      </c>
      <c r="H60" s="35">
        <f t="shared" si="24"/>
        <v>2025</v>
      </c>
      <c r="I60" s="35">
        <f t="shared" si="24"/>
        <v>2026</v>
      </c>
      <c r="J60" s="35">
        <f t="shared" si="24"/>
        <v>2027</v>
      </c>
      <c r="K60" s="35">
        <f t="shared" si="24"/>
        <v>2028</v>
      </c>
      <c r="L60" s="35">
        <f t="shared" si="24"/>
        <v>2029</v>
      </c>
      <c r="M60" s="35">
        <f t="shared" si="24"/>
        <v>2030</v>
      </c>
      <c r="N60" s="35">
        <f t="shared" si="24"/>
        <v>2031</v>
      </c>
      <c r="O60" s="35">
        <f t="shared" si="24"/>
        <v>2032</v>
      </c>
      <c r="P60" s="35">
        <f t="shared" si="24"/>
        <v>2033</v>
      </c>
      <c r="Q60" s="35">
        <f t="shared" si="24"/>
        <v>2034</v>
      </c>
      <c r="R60" s="155" t="s">
        <v>11</v>
      </c>
      <c r="S60" s="35"/>
      <c r="T60" s="35"/>
      <c r="U60" s="35"/>
      <c r="V60" s="35"/>
      <c r="W60" s="35"/>
      <c r="X60" s="35"/>
      <c r="Y60" s="35"/>
    </row>
    <row r="61" spans="2:25" hidden="1" x14ac:dyDescent="0.35">
      <c r="D61" t="s">
        <v>5</v>
      </c>
      <c r="E61">
        <v>5</v>
      </c>
      <c r="G61"/>
      <c r="H61" s="70"/>
      <c r="I61" s="36"/>
      <c r="J61" s="36"/>
      <c r="K61" s="36"/>
      <c r="L61" s="36"/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5">J62</f>
        <v>0</v>
      </c>
      <c r="L62" s="36">
        <f t="shared" si="25"/>
        <v>0</v>
      </c>
      <c r="M62" s="36">
        <f t="shared" si="25"/>
        <v>0</v>
      </c>
      <c r="N62" s="36">
        <f t="shared" si="25"/>
        <v>0</v>
      </c>
      <c r="O62" s="36">
        <f t="shared" si="25"/>
        <v>0</v>
      </c>
      <c r="P62" s="36">
        <f t="shared" si="25"/>
        <v>0</v>
      </c>
      <c r="Q62" s="36">
        <f t="shared" si="25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5"/>
        <v>0</v>
      </c>
      <c r="M63" s="36">
        <f t="shared" si="25"/>
        <v>0</v>
      </c>
      <c r="N63" s="36">
        <f t="shared" si="25"/>
        <v>0</v>
      </c>
      <c r="O63" s="36">
        <f t="shared" si="25"/>
        <v>0</v>
      </c>
      <c r="P63" s="36">
        <f t="shared" si="25"/>
        <v>0</v>
      </c>
      <c r="Q63" s="36">
        <f t="shared" si="25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5"/>
        <v>0</v>
      </c>
      <c r="N64" s="36">
        <f t="shared" si="25"/>
        <v>0</v>
      </c>
      <c r="O64" s="36">
        <f t="shared" si="25"/>
        <v>0</v>
      </c>
      <c r="P64" s="36">
        <f t="shared" si="25"/>
        <v>0</v>
      </c>
      <c r="Q64" s="36">
        <f t="shared" si="25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5"/>
        <v>0</v>
      </c>
      <c r="O65" s="36">
        <f t="shared" si="25"/>
        <v>0</v>
      </c>
      <c r="P65" s="36">
        <f t="shared" si="25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5"/>
        <v>0</v>
      </c>
      <c r="P66" s="36">
        <f t="shared" si="25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5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6">SUM(I61:I70)</f>
        <v>0</v>
      </c>
      <c r="J71" s="40">
        <f t="shared" si="26"/>
        <v>0</v>
      </c>
      <c r="K71" s="40">
        <f t="shared" si="26"/>
        <v>0</v>
      </c>
      <c r="L71" s="40">
        <f t="shared" si="26"/>
        <v>0</v>
      </c>
      <c r="M71" s="40">
        <f t="shared" si="26"/>
        <v>0</v>
      </c>
      <c r="N71" s="40">
        <f t="shared" si="26"/>
        <v>0</v>
      </c>
      <c r="O71" s="40">
        <f t="shared" si="26"/>
        <v>0</v>
      </c>
      <c r="P71" s="40">
        <f t="shared" si="26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pageSetUpPr fitToPage="1"/>
  </sheetPr>
  <dimension ref="B1:AB92"/>
  <sheetViews>
    <sheetView showGridLines="0" topLeftCell="A39" zoomScale="90" zoomScaleNormal="90" workbookViewId="0">
      <selection activeCell="I25" sqref="I25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58203125" customWidth="1"/>
    <col min="9" max="9" width="15.58203125" bestFit="1" customWidth="1"/>
    <col min="10" max="10" width="15.08203125" bestFit="1" customWidth="1"/>
    <col min="11" max="11" width="13.08203125" bestFit="1" customWidth="1"/>
    <col min="12" max="12" width="12.33203125" customWidth="1"/>
    <col min="13" max="13" width="12.08203125" hidden="1" customWidth="1"/>
    <col min="14" max="17" width="11.58203125" hidden="1" customWidth="1"/>
    <col min="18" max="18" width="15.08203125" style="1" customWidth="1"/>
    <col min="19" max="19" width="13.832031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168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Summary!$D$6</f>
        <v>Knowledge Hub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229" t="s">
        <v>36</v>
      </c>
      <c r="I11" s="229" t="s">
        <v>37</v>
      </c>
      <c r="J11" s="229" t="s">
        <v>38</v>
      </c>
      <c r="K11" s="229" t="s">
        <v>39</v>
      </c>
      <c r="L11" s="229" t="s">
        <v>41</v>
      </c>
      <c r="M11" s="229" t="s">
        <v>41</v>
      </c>
      <c r="N11" s="229" t="s">
        <v>42</v>
      </c>
      <c r="O11" s="229" t="s">
        <v>43</v>
      </c>
      <c r="P11" s="229" t="s">
        <v>44</v>
      </c>
      <c r="Q11" s="229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103</v>
      </c>
      <c r="G13" s="163">
        <v>848780133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848780133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20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264450000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264450000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E16" t="s">
        <v>159</v>
      </c>
      <c r="F16" s="42"/>
      <c r="G16" s="72"/>
      <c r="H16" s="203"/>
      <c r="I16" s="42">
        <f>75000000*2</f>
        <v>150000000</v>
      </c>
      <c r="J16" s="42"/>
      <c r="K16" s="42"/>
      <c r="L16" s="42"/>
      <c r="M16" s="42"/>
      <c r="N16" s="42"/>
      <c r="O16" s="42"/>
      <c r="P16" s="42"/>
      <c r="Q16" s="42"/>
      <c r="R16" s="171">
        <f>SUM(G16:Q16)</f>
        <v>150000000</v>
      </c>
      <c r="S16" s="42"/>
      <c r="T16" s="42"/>
      <c r="U16" s="43"/>
      <c r="V16" s="42"/>
      <c r="W16" s="42"/>
      <c r="X16" s="42"/>
      <c r="Y16" s="42"/>
      <c r="Z16" s="42"/>
    </row>
    <row r="17" spans="2:27" x14ac:dyDescent="0.35">
      <c r="F17" s="10"/>
      <c r="R17" s="202">
        <f>SUM(R13:R16)</f>
        <v>1964480133</v>
      </c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228"/>
      <c r="T18" s="228"/>
      <c r="U18" s="228"/>
      <c r="V18" s="228"/>
      <c r="W18" s="228"/>
      <c r="X18" s="228"/>
      <c r="Y18" s="41"/>
      <c r="Z18" s="41"/>
      <c r="AA18" s="41"/>
    </row>
    <row r="19" spans="2:27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4" customHeight="1" x14ac:dyDescent="0.35">
      <c r="B20" s="147" t="s">
        <v>142</v>
      </c>
      <c r="M20" s="148">
        <v>0.1</v>
      </c>
      <c r="R20" s="172"/>
    </row>
    <row r="21" spans="2:27" ht="3.65" customHeight="1" x14ac:dyDescent="0.35">
      <c r="R21" s="172"/>
    </row>
    <row r="22" spans="2:27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1000000000</v>
      </c>
      <c r="S23" s="224">
        <f>G13/R23</f>
        <v>0.84878013299999999</v>
      </c>
      <c r="T23" s="13"/>
      <c r="U23" s="13"/>
      <c r="V23" s="13"/>
      <c r="W23" s="13"/>
      <c r="X23" s="14"/>
    </row>
    <row r="24" spans="2:27" x14ac:dyDescent="0.35">
      <c r="C24" t="s">
        <v>169</v>
      </c>
      <c r="G24" s="13">
        <f>85000000/2*2</f>
        <v>85000000</v>
      </c>
      <c r="H24" s="86">
        <f>85000000*2</f>
        <v>170000000</v>
      </c>
      <c r="I24" s="86">
        <v>85000000</v>
      </c>
      <c r="J24" s="86">
        <v>85000000</v>
      </c>
      <c r="K24" s="86">
        <v>85000000</v>
      </c>
      <c r="L24" s="86">
        <v>85000000</v>
      </c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 t="shared" ref="R24:R30" si="3">SUM(G24:L24)</f>
        <v>595000000</v>
      </c>
      <c r="S24" s="13"/>
      <c r="T24" s="13"/>
      <c r="U24" s="13"/>
      <c r="V24" s="13"/>
      <c r="W24" s="13"/>
      <c r="X24" s="14"/>
    </row>
    <row r="25" spans="2:27" x14ac:dyDescent="0.35">
      <c r="C25" t="s">
        <v>170</v>
      </c>
      <c r="G25" s="13"/>
      <c r="H25" s="13"/>
      <c r="I25" s="13">
        <f>53000000+4000000*2</f>
        <v>61000000</v>
      </c>
      <c r="J25" s="13">
        <f>I25</f>
        <v>61000000</v>
      </c>
      <c r="K25" s="13">
        <f>J25</f>
        <v>61000000</v>
      </c>
      <c r="L25" s="13">
        <f>K25</f>
        <v>61000000</v>
      </c>
      <c r="M25" s="68"/>
      <c r="N25" s="68"/>
      <c r="O25" s="68"/>
      <c r="P25" s="68"/>
      <c r="Q25" s="68"/>
      <c r="R25" s="173">
        <f t="shared" si="3"/>
        <v>244000000</v>
      </c>
      <c r="S25" s="13"/>
      <c r="T25" s="13"/>
      <c r="U25" s="13"/>
      <c r="V25" s="13"/>
      <c r="W25" s="13"/>
      <c r="X25" s="14"/>
    </row>
    <row r="26" spans="2:27" x14ac:dyDescent="0.35">
      <c r="C26" t="s">
        <v>151</v>
      </c>
      <c r="G26" s="13"/>
      <c r="I26" s="13"/>
      <c r="J26" s="13"/>
      <c r="K26" s="13"/>
      <c r="L26" s="13"/>
      <c r="M26" s="68"/>
      <c r="N26" s="68"/>
      <c r="O26" s="68"/>
      <c r="P26" s="68"/>
      <c r="Q26" s="68"/>
      <c r="R26" s="173">
        <f t="shared" si="3"/>
        <v>0</v>
      </c>
      <c r="S26" s="13"/>
      <c r="T26" s="13"/>
      <c r="U26" s="13"/>
      <c r="V26" s="13"/>
      <c r="W26" s="13"/>
      <c r="X26" s="14"/>
    </row>
    <row r="27" spans="2:27" x14ac:dyDescent="0.35">
      <c r="C27" t="s">
        <v>152</v>
      </c>
      <c r="G27" s="13"/>
      <c r="H27" s="13"/>
      <c r="I27" s="13">
        <v>150000000</v>
      </c>
      <c r="J27" s="13">
        <v>150000000</v>
      </c>
      <c r="K27" s="13">
        <v>150000000</v>
      </c>
      <c r="L27" s="13">
        <v>150000000</v>
      </c>
      <c r="M27" s="68"/>
      <c r="N27" s="68"/>
      <c r="O27" s="68"/>
      <c r="P27" s="68"/>
      <c r="Q27" s="68"/>
      <c r="R27" s="173">
        <f t="shared" si="3"/>
        <v>600000000</v>
      </c>
      <c r="S27" s="13"/>
      <c r="T27" s="13"/>
      <c r="U27" s="13"/>
      <c r="V27" s="13"/>
      <c r="W27" s="13"/>
      <c r="X27" s="14"/>
    </row>
    <row r="28" spans="2:27" x14ac:dyDescent="0.35">
      <c r="C28" t="s">
        <v>161</v>
      </c>
      <c r="G28" s="13">
        <f>866000000*95%</f>
        <v>822700000</v>
      </c>
      <c r="H28" s="13">
        <f>866000000-G28</f>
        <v>43300000</v>
      </c>
      <c r="I28" s="68"/>
      <c r="J28" s="68">
        <f>$K$5</f>
        <v>0</v>
      </c>
      <c r="K28" s="68">
        <f t="shared" ref="K28:N28" si="4">$K$5</f>
        <v>0</v>
      </c>
      <c r="L28" s="68">
        <f t="shared" si="4"/>
        <v>0</v>
      </c>
      <c r="M28" s="68">
        <f t="shared" si="4"/>
        <v>0</v>
      </c>
      <c r="N28" s="68">
        <f t="shared" si="4"/>
        <v>0</v>
      </c>
      <c r="O28" s="68">
        <f>$K$5*(1-$L$5)</f>
        <v>0</v>
      </c>
      <c r="P28" s="68">
        <f t="shared" ref="P28:Q28" si="5">$K$5*(1-$L$5)</f>
        <v>0</v>
      </c>
      <c r="Q28" s="68">
        <f t="shared" si="5"/>
        <v>0</v>
      </c>
      <c r="R28" s="173">
        <f t="shared" si="3"/>
        <v>866000000</v>
      </c>
      <c r="S28" s="13"/>
      <c r="T28" s="187">
        <f>S28/G15</f>
        <v>0</v>
      </c>
      <c r="U28" s="13"/>
      <c r="V28" s="13"/>
      <c r="W28" s="13"/>
      <c r="X28" s="14"/>
    </row>
    <row r="29" spans="2:27" x14ac:dyDescent="0.35">
      <c r="C29" t="s">
        <v>162</v>
      </c>
      <c r="G29" s="13">
        <f>300000000*95%</f>
        <v>285000000</v>
      </c>
      <c r="H29" s="13">
        <f>300000000-G29</f>
        <v>15000000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3"/>
        <v>300000000</v>
      </c>
      <c r="S29" s="45"/>
      <c r="T29" s="45"/>
      <c r="U29" s="45"/>
      <c r="V29" s="45"/>
      <c r="W29" s="45"/>
      <c r="X29" s="46"/>
      <c r="Y29" s="47"/>
    </row>
    <row r="30" spans="2:27" x14ac:dyDescent="0.35">
      <c r="C30" t="s">
        <v>163</v>
      </c>
      <c r="G30" s="13"/>
      <c r="H30" s="13"/>
      <c r="I30" s="13">
        <v>200000000</v>
      </c>
      <c r="J30" s="13"/>
      <c r="K30" s="13"/>
      <c r="L30" s="13"/>
      <c r="M30" s="13"/>
      <c r="N30" s="13"/>
      <c r="O30" s="13"/>
      <c r="P30" s="13"/>
      <c r="Q30" s="13"/>
      <c r="R30" s="173">
        <f t="shared" si="3"/>
        <v>200000000</v>
      </c>
      <c r="S30" s="45"/>
      <c r="T30" s="45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253"/>
      <c r="F31" s="254"/>
      <c r="G31" s="66">
        <f>SUM(G23:G30)</f>
        <v>2142700000</v>
      </c>
      <c r="H31" s="66">
        <f t="shared" ref="H31:Q31" si="6">SUM(H23:H30)</f>
        <v>278300000</v>
      </c>
      <c r="I31" s="66">
        <f t="shared" si="6"/>
        <v>496000000</v>
      </c>
      <c r="J31" s="66">
        <f t="shared" si="6"/>
        <v>296000000</v>
      </c>
      <c r="K31" s="66">
        <f t="shared" si="6"/>
        <v>296000000</v>
      </c>
      <c r="L31" s="66">
        <f t="shared" si="6"/>
        <v>296000000</v>
      </c>
      <c r="M31" s="66">
        <f t="shared" si="6"/>
        <v>0</v>
      </c>
      <c r="N31" s="66">
        <f t="shared" si="6"/>
        <v>0</v>
      </c>
      <c r="O31" s="66">
        <f t="shared" si="6"/>
        <v>0</v>
      </c>
      <c r="P31" s="66">
        <f t="shared" si="6"/>
        <v>0</v>
      </c>
      <c r="Q31" s="66">
        <f t="shared" si="6"/>
        <v>0</v>
      </c>
      <c r="R31" s="156">
        <f>SUM(R23:R30)</f>
        <v>3805000000</v>
      </c>
      <c r="S31" s="45">
        <f>SUM(G31:Q31)-R31</f>
        <v>0</v>
      </c>
      <c r="T31" s="45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>
        <f>36000000</f>
        <v>36000000</v>
      </c>
      <c r="J34" s="104">
        <f>I34</f>
        <v>36000000</v>
      </c>
      <c r="K34" s="104">
        <f>J34</f>
        <v>36000000</v>
      </c>
      <c r="L34" s="104">
        <f>K34</f>
        <v>36000000</v>
      </c>
      <c r="M34" s="20"/>
      <c r="N34" s="20"/>
      <c r="O34" s="20"/>
      <c r="P34" s="20"/>
      <c r="Q34" s="20"/>
      <c r="R34" s="173">
        <f>SUM($G34:Q34)</f>
        <v>144000000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171</v>
      </c>
      <c r="G35" s="104">
        <f>7000000*2/2</f>
        <v>7000000</v>
      </c>
      <c r="H35" s="104">
        <f>7000000*2</f>
        <v>14000000</v>
      </c>
      <c r="I35" s="104">
        <f t="shared" ref="I35:K35" si="7">H35</f>
        <v>14000000</v>
      </c>
      <c r="J35" s="104">
        <f t="shared" si="7"/>
        <v>14000000</v>
      </c>
      <c r="K35" s="104">
        <f t="shared" si="7"/>
        <v>14000000</v>
      </c>
      <c r="L35" s="104">
        <f>K35</f>
        <v>14000000</v>
      </c>
      <c r="M35" s="104"/>
      <c r="N35" s="104"/>
      <c r="O35" s="104"/>
      <c r="P35" s="104"/>
      <c r="Q35" s="104"/>
      <c r="R35" s="173">
        <f>SUM($G35:Q35)</f>
        <v>77000000</v>
      </c>
      <c r="S35" s="45"/>
      <c r="T35" s="45"/>
      <c r="U35" s="45"/>
      <c r="V35" s="45"/>
      <c r="W35" s="45"/>
      <c r="X35" s="46"/>
      <c r="Y35" s="47"/>
    </row>
    <row r="36" spans="2:25" x14ac:dyDescent="0.35">
      <c r="C36" t="s">
        <v>153</v>
      </c>
      <c r="G36" s="104"/>
      <c r="H36" s="104"/>
      <c r="I36" s="104">
        <f>I26*90%</f>
        <v>0</v>
      </c>
      <c r="J36" s="104">
        <f t="shared" ref="J36:L36" si="8">J26*90%</f>
        <v>0</v>
      </c>
      <c r="K36" s="104">
        <f t="shared" si="8"/>
        <v>0</v>
      </c>
      <c r="L36" s="104">
        <f t="shared" si="8"/>
        <v>0</v>
      </c>
      <c r="M36" s="104"/>
      <c r="N36" s="104"/>
      <c r="O36" s="104"/>
      <c r="P36" s="104"/>
      <c r="Q36" s="104"/>
      <c r="R36" s="173">
        <f>SUM($G36:Q36)</f>
        <v>0</v>
      </c>
      <c r="S36" s="45"/>
      <c r="T36" s="45"/>
      <c r="U36" s="45"/>
      <c r="V36" s="45"/>
      <c r="W36" s="45"/>
      <c r="X36" s="46"/>
      <c r="Y36" s="47"/>
    </row>
    <row r="37" spans="2:25" x14ac:dyDescent="0.35">
      <c r="C37" t="s">
        <v>154</v>
      </c>
      <c r="G37" s="104"/>
      <c r="H37" s="104"/>
      <c r="I37" s="104">
        <f>I27*90%</f>
        <v>135000000</v>
      </c>
      <c r="J37" s="104">
        <f>I37</f>
        <v>135000000</v>
      </c>
      <c r="K37" s="104">
        <f t="shared" ref="K37:L37" si="9">J37</f>
        <v>135000000</v>
      </c>
      <c r="L37" s="104">
        <f t="shared" si="9"/>
        <v>135000000</v>
      </c>
      <c r="M37" s="104"/>
      <c r="N37" s="104"/>
      <c r="O37" s="104"/>
      <c r="P37" s="104"/>
      <c r="Q37" s="104"/>
      <c r="R37" s="173">
        <f>SUM($G37:Q37)</f>
        <v>540000000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>
        <f>PARAMETER!B14/2</f>
        <v>25000000</v>
      </c>
      <c r="H38" s="21">
        <f>PARAMETER!C14</f>
        <v>51000000</v>
      </c>
      <c r="I38" s="21">
        <f>PARAMETER!D14</f>
        <v>52020000</v>
      </c>
      <c r="J38" s="21">
        <f>PARAMETER!E14</f>
        <v>53060400</v>
      </c>
      <c r="K38" s="21">
        <f>PARAMETER!F14</f>
        <v>54121608</v>
      </c>
      <c r="L38" s="21">
        <f>PARAMETER!G14</f>
        <v>55204040.159999996</v>
      </c>
      <c r="M38" s="21"/>
      <c r="N38" s="21"/>
      <c r="O38" s="21"/>
      <c r="P38" s="21"/>
      <c r="Q38" s="21"/>
      <c r="R38" s="173">
        <f>SUM($G38:Q38)</f>
        <v>290406048.15999997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32000000</v>
      </c>
      <c r="H39" s="66">
        <f t="shared" ref="H39:L39" si="10">SUM(H34:H38)</f>
        <v>65000000</v>
      </c>
      <c r="I39" s="66">
        <f t="shared" si="10"/>
        <v>237020000</v>
      </c>
      <c r="J39" s="66">
        <f t="shared" si="10"/>
        <v>238060400</v>
      </c>
      <c r="K39" s="66">
        <f t="shared" si="10"/>
        <v>239121608</v>
      </c>
      <c r="L39" s="66">
        <f t="shared" si="10"/>
        <v>240204040.16</v>
      </c>
      <c r="M39" s="66">
        <f t="shared" ref="M39:Q39" si="11">SUM(M35:M38)</f>
        <v>0</v>
      </c>
      <c r="N39" s="66">
        <f t="shared" si="11"/>
        <v>0</v>
      </c>
      <c r="O39" s="66">
        <f t="shared" si="11"/>
        <v>0</v>
      </c>
      <c r="P39" s="66">
        <f t="shared" si="11"/>
        <v>0</v>
      </c>
      <c r="Q39" s="66">
        <f t="shared" si="11"/>
        <v>0</v>
      </c>
      <c r="R39" s="157">
        <f>SUM(R34:R38)</f>
        <v>1051406048.16</v>
      </c>
      <c r="S39" s="45">
        <f>SUM(G39:Q39)-R39</f>
        <v>0</v>
      </c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2">G31-G39</f>
        <v>2110700000</v>
      </c>
      <c r="H40" s="22">
        <f t="shared" si="12"/>
        <v>213300000</v>
      </c>
      <c r="I40" s="22">
        <f t="shared" si="12"/>
        <v>258980000</v>
      </c>
      <c r="J40" s="22">
        <f t="shared" si="12"/>
        <v>57939600</v>
      </c>
      <c r="K40" s="22">
        <f t="shared" si="12"/>
        <v>56878392</v>
      </c>
      <c r="L40" s="22">
        <f t="shared" si="12"/>
        <v>55795959.840000004</v>
      </c>
      <c r="M40" s="22">
        <f t="shared" si="12"/>
        <v>0</v>
      </c>
      <c r="N40" s="22">
        <f t="shared" si="12"/>
        <v>0</v>
      </c>
      <c r="O40" s="22">
        <f t="shared" si="12"/>
        <v>0</v>
      </c>
      <c r="P40" s="22">
        <f t="shared" si="12"/>
        <v>0</v>
      </c>
      <c r="Q40" s="22">
        <f t="shared" si="12"/>
        <v>0</v>
      </c>
      <c r="R40" s="158">
        <f t="shared" si="12"/>
        <v>2753593951.8400002</v>
      </c>
      <c r="S40" s="45">
        <f>SUM(G40:Q40)-R40</f>
        <v>0</v>
      </c>
      <c r="T40" s="50"/>
      <c r="U40" s="50"/>
      <c r="V40" s="50"/>
      <c r="W40" s="50"/>
      <c r="X40" s="50"/>
      <c r="Y40" s="51"/>
    </row>
    <row r="41" spans="2:25" s="1" customFormat="1" ht="8.5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3">H40/H31</f>
        <v>0.7664390945023356</v>
      </c>
      <c r="I41" s="25">
        <f t="shared" si="13"/>
        <v>0.52213709677419351</v>
      </c>
      <c r="J41" s="25">
        <f t="shared" si="13"/>
        <v>0.19574189189189189</v>
      </c>
      <c r="K41" s="25">
        <f t="shared" si="13"/>
        <v>0.19215672972972972</v>
      </c>
      <c r="L41" s="25">
        <f t="shared" si="13"/>
        <v>0.18849986432432433</v>
      </c>
      <c r="M41" s="25" t="e">
        <f t="shared" si="13"/>
        <v>#DIV/0!</v>
      </c>
      <c r="N41" s="25" t="e">
        <f t="shared" si="13"/>
        <v>#DIV/0!</v>
      </c>
      <c r="O41" s="25" t="e">
        <f t="shared" si="13"/>
        <v>#DIV/0!</v>
      </c>
      <c r="P41" s="25" t="e">
        <f t="shared" si="13"/>
        <v>#DIV/0!</v>
      </c>
      <c r="Q41" s="25" t="e">
        <f t="shared" si="13"/>
        <v>#DIV/0!</v>
      </c>
      <c r="R41" s="159">
        <f t="shared" si="13"/>
        <v>0.72367777972141922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4">I71</f>
        <v>0</v>
      </c>
      <c r="J43" s="17">
        <f t="shared" si="14"/>
        <v>0</v>
      </c>
      <c r="K43" s="17">
        <f t="shared" si="14"/>
        <v>0</v>
      </c>
      <c r="L43" s="17">
        <f t="shared" si="14"/>
        <v>0</v>
      </c>
      <c r="M43" s="17">
        <f t="shared" si="14"/>
        <v>0</v>
      </c>
      <c r="N43" s="17">
        <f t="shared" si="14"/>
        <v>0</v>
      </c>
      <c r="O43" s="17">
        <f t="shared" si="14"/>
        <v>0</v>
      </c>
      <c r="P43" s="17">
        <f t="shared" si="14"/>
        <v>0</v>
      </c>
      <c r="Q43" s="17">
        <f t="shared" si="14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2110700000</v>
      </c>
      <c r="H44" s="27">
        <f>H40-H43</f>
        <v>213300000</v>
      </c>
      <c r="I44" s="27">
        <f t="shared" ref="I44:P44" si="15">I40-I43</f>
        <v>258980000</v>
      </c>
      <c r="J44" s="27">
        <f t="shared" si="15"/>
        <v>57939600</v>
      </c>
      <c r="K44" s="27">
        <f t="shared" si="15"/>
        <v>56878392</v>
      </c>
      <c r="L44" s="27">
        <f>L40-L43</f>
        <v>55795959.840000004</v>
      </c>
      <c r="M44" s="27">
        <f t="shared" si="15"/>
        <v>0</v>
      </c>
      <c r="N44" s="27">
        <f t="shared" si="15"/>
        <v>0</v>
      </c>
      <c r="O44" s="27">
        <f t="shared" si="15"/>
        <v>0</v>
      </c>
      <c r="P44" s="27">
        <f t="shared" si="15"/>
        <v>0</v>
      </c>
      <c r="Q44" s="27">
        <f>Q40-Q43</f>
        <v>0</v>
      </c>
      <c r="R44" s="175">
        <f>R40-R43</f>
        <v>2753593951.8400002</v>
      </c>
      <c r="S44" s="45">
        <f>SUM(G44:Q44)-R44</f>
        <v>0</v>
      </c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>
        <f>PARAMETER!B5</f>
        <v>13148751</v>
      </c>
      <c r="H45" s="17">
        <f>PARAMETER!C5</f>
        <v>23667751.800000001</v>
      </c>
      <c r="I45" s="17">
        <f>PARAMETER!D5</f>
        <v>18408251.399999999</v>
      </c>
      <c r="J45" s="17">
        <f>PARAMETER!E5</f>
        <v>13148751</v>
      </c>
      <c r="K45" s="17">
        <f>PARAMETER!F5</f>
        <v>7889250.5999999996</v>
      </c>
      <c r="L45" s="17">
        <f>PARAMETER!G5</f>
        <v>2629750.2000000002</v>
      </c>
      <c r="M45" s="17"/>
      <c r="N45" s="17"/>
      <c r="O45" s="17"/>
      <c r="P45" s="17"/>
      <c r="Q45" s="17"/>
      <c r="R45" s="171">
        <f>SUM($G45:Q45)</f>
        <v>78892505.999999985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2097551249</v>
      </c>
      <c r="H46" s="69">
        <f>H44-H45</f>
        <v>189632248.19999999</v>
      </c>
      <c r="I46" s="69">
        <f>I44-I45</f>
        <v>240571748.59999999</v>
      </c>
      <c r="J46" s="69">
        <f t="shared" ref="J46:Q46" si="16">J44-J45</f>
        <v>44790849</v>
      </c>
      <c r="K46" s="69">
        <f t="shared" si="16"/>
        <v>48989141.399999999</v>
      </c>
      <c r="L46" s="69">
        <f t="shared" si="16"/>
        <v>53166209.640000001</v>
      </c>
      <c r="M46" s="69">
        <f t="shared" si="16"/>
        <v>0</v>
      </c>
      <c r="N46" s="69">
        <f t="shared" si="16"/>
        <v>0</v>
      </c>
      <c r="O46" s="69">
        <f t="shared" si="16"/>
        <v>0</v>
      </c>
      <c r="P46" s="69">
        <f t="shared" si="16"/>
        <v>0</v>
      </c>
      <c r="Q46" s="69">
        <f t="shared" si="16"/>
        <v>0</v>
      </c>
      <c r="R46" s="173">
        <f>SUM($G46:Q46)</f>
        <v>2674701445.8399997</v>
      </c>
      <c r="S46" s="45">
        <f>SUM(G46:Q46)-R46</f>
        <v>0</v>
      </c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41951024.980000004</v>
      </c>
      <c r="H47" s="67">
        <f t="shared" ref="H47:Q47" si="17">IF(H46&lt;0,0,H46*$F$3)</f>
        <v>3792644.9639999997</v>
      </c>
      <c r="I47" s="67">
        <f>IF(I46&lt;0,0,I46*$F$3)</f>
        <v>4811434.9720000001</v>
      </c>
      <c r="J47" s="67">
        <f t="shared" si="17"/>
        <v>895816.98</v>
      </c>
      <c r="K47" s="67">
        <f t="shared" si="17"/>
        <v>979782.82799999998</v>
      </c>
      <c r="L47" s="67">
        <f t="shared" si="17"/>
        <v>1063324.1928000001</v>
      </c>
      <c r="M47" s="67">
        <f t="shared" si="17"/>
        <v>0</v>
      </c>
      <c r="N47" s="67">
        <f t="shared" si="17"/>
        <v>0</v>
      </c>
      <c r="O47" s="67">
        <f t="shared" si="17"/>
        <v>0</v>
      </c>
      <c r="P47" s="67">
        <f t="shared" si="17"/>
        <v>0</v>
      </c>
      <c r="Q47" s="67">
        <f t="shared" si="17"/>
        <v>0</v>
      </c>
      <c r="R47" s="173">
        <f>SUM($G47:Q47)</f>
        <v>53494028.916800007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2055600224.02</v>
      </c>
      <c r="H48" s="30">
        <f>H46-H47</f>
        <v>185839603.236</v>
      </c>
      <c r="I48" s="30">
        <f t="shared" ref="I48:Q48" si="18">I46-I47</f>
        <v>235760313.62799999</v>
      </c>
      <c r="J48" s="30">
        <f t="shared" si="18"/>
        <v>43895032.020000003</v>
      </c>
      <c r="K48" s="30">
        <f t="shared" si="18"/>
        <v>48009358.571999997</v>
      </c>
      <c r="L48" s="30">
        <f t="shared" si="18"/>
        <v>52102885.4472</v>
      </c>
      <c r="M48" s="30">
        <f t="shared" si="18"/>
        <v>0</v>
      </c>
      <c r="N48" s="30">
        <f t="shared" si="18"/>
        <v>0</v>
      </c>
      <c r="O48" s="30">
        <f t="shared" si="18"/>
        <v>0</v>
      </c>
      <c r="P48" s="30">
        <f t="shared" si="18"/>
        <v>0</v>
      </c>
      <c r="Q48" s="30">
        <f t="shared" si="18"/>
        <v>0</v>
      </c>
      <c r="R48" s="176">
        <f>R46-R47</f>
        <v>2621207416.9231997</v>
      </c>
      <c r="S48" s="45">
        <f>SUM(G48:Q48)-R48</f>
        <v>0</v>
      </c>
      <c r="T48" s="53"/>
      <c r="U48" s="53"/>
      <c r="V48" s="53"/>
      <c r="W48" s="53"/>
      <c r="X48" s="53"/>
      <c r="Y48" s="47"/>
    </row>
    <row r="49" spans="2:25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-1814480133</v>
      </c>
      <c r="H50" s="31">
        <f>-H16</f>
        <v>0</v>
      </c>
      <c r="I50" s="31">
        <f>-I16</f>
        <v>-150000000</v>
      </c>
      <c r="J50" s="31">
        <f t="shared" ref="J50:Q50" si="19">-J15</f>
        <v>0</v>
      </c>
      <c r="K50" s="31">
        <f t="shared" si="19"/>
        <v>0</v>
      </c>
      <c r="L50" s="31">
        <f t="shared" si="19"/>
        <v>0</v>
      </c>
      <c r="M50" s="31">
        <f t="shared" si="19"/>
        <v>0</v>
      </c>
      <c r="N50" s="31">
        <f t="shared" si="19"/>
        <v>0</v>
      </c>
      <c r="O50" s="31">
        <f t="shared" si="19"/>
        <v>0</v>
      </c>
      <c r="P50" s="31">
        <f t="shared" si="19"/>
        <v>0</v>
      </c>
      <c r="Q50" s="31">
        <f t="shared" si="19"/>
        <v>0</v>
      </c>
      <c r="R50" s="177">
        <f>SUM($G$50:Q50)</f>
        <v>-1964480133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241120091.01999998</v>
      </c>
      <c r="H51" s="28">
        <f t="shared" ref="H51:Q51" si="20">H50+H48+H43</f>
        <v>185839603.236</v>
      </c>
      <c r="I51" s="28">
        <f t="shared" si="20"/>
        <v>85760313.627999991</v>
      </c>
      <c r="J51" s="28">
        <f t="shared" si="20"/>
        <v>43895032.020000003</v>
      </c>
      <c r="K51" s="28">
        <f t="shared" si="20"/>
        <v>48009358.571999997</v>
      </c>
      <c r="L51" s="28">
        <f t="shared" si="20"/>
        <v>52102885.4472</v>
      </c>
      <c r="M51" s="28">
        <f t="shared" si="20"/>
        <v>0</v>
      </c>
      <c r="N51" s="28">
        <f t="shared" si="20"/>
        <v>0</v>
      </c>
      <c r="O51" s="28">
        <f t="shared" si="20"/>
        <v>0</v>
      </c>
      <c r="P51" s="28">
        <f t="shared" si="20"/>
        <v>0</v>
      </c>
      <c r="Q51" s="28">
        <f t="shared" si="20"/>
        <v>0</v>
      </c>
      <c r="R51" s="178">
        <f>SUM($G$51:Q51)</f>
        <v>656727283.92319989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241120091.01999998</v>
      </c>
      <c r="H52" s="28">
        <f>G52+H51</f>
        <v>426959694.25599998</v>
      </c>
      <c r="I52" s="28">
        <f t="shared" ref="I52:Q52" si="21">H52+I51</f>
        <v>512720007.88399994</v>
      </c>
      <c r="J52" s="28">
        <f t="shared" si="21"/>
        <v>556615039.90399992</v>
      </c>
      <c r="K52" s="28">
        <f t="shared" si="21"/>
        <v>604624398.47599995</v>
      </c>
      <c r="L52" s="28">
        <f t="shared" si="21"/>
        <v>656727283.92319989</v>
      </c>
      <c r="M52" s="28">
        <f t="shared" si="21"/>
        <v>656727283.92319989</v>
      </c>
      <c r="N52" s="28">
        <f t="shared" si="21"/>
        <v>656727283.92319989</v>
      </c>
      <c r="O52" s="28">
        <f t="shared" si="21"/>
        <v>656727283.92319989</v>
      </c>
      <c r="P52" s="28">
        <f t="shared" si="21"/>
        <v>656727283.92319989</v>
      </c>
      <c r="Q52" s="28">
        <f t="shared" si="21"/>
        <v>656727283.92319989</v>
      </c>
      <c r="R52" s="178"/>
      <c r="S52" s="54"/>
      <c r="T52" s="54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2">IF(AND(F52&lt;0,G52&gt;0),H59-(G52/G51),0)</f>
        <v>0</v>
      </c>
      <c r="H53" s="32">
        <f t="shared" si="22"/>
        <v>0</v>
      </c>
      <c r="I53" s="32">
        <f t="shared" si="22"/>
        <v>0</v>
      </c>
      <c r="J53" s="32">
        <f t="shared" si="22"/>
        <v>0</v>
      </c>
      <c r="K53" s="76">
        <f t="shared" si="22"/>
        <v>0</v>
      </c>
      <c r="L53" s="32">
        <f t="shared" si="22"/>
        <v>0</v>
      </c>
      <c r="M53" s="32">
        <f t="shared" si="22"/>
        <v>0</v>
      </c>
      <c r="N53" s="32">
        <f t="shared" si="22"/>
        <v>0</v>
      </c>
      <c r="O53" s="32">
        <f t="shared" si="22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4000000000000004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15" t="s">
        <v>164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NPV(F4,G51:Q51)+F51</f>
        <v>526421177.11211503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0.72367777972141922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0</v>
      </c>
      <c r="R58" s="182"/>
      <c r="S58" s="54"/>
    </row>
    <row r="59" spans="2:25" x14ac:dyDescent="0.35">
      <c r="G59" s="33">
        <v>1</v>
      </c>
      <c r="H59" s="8">
        <v>2</v>
      </c>
      <c r="I59" s="33">
        <v>3</v>
      </c>
      <c r="J59" s="8">
        <v>4</v>
      </c>
      <c r="K59" s="33">
        <v>5</v>
      </c>
      <c r="L59" s="8">
        <v>6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3">G18</f>
        <v>2024</v>
      </c>
      <c r="H60" s="35">
        <f t="shared" si="23"/>
        <v>2025</v>
      </c>
      <c r="I60" s="35">
        <f t="shared" si="23"/>
        <v>2026</v>
      </c>
      <c r="J60" s="35">
        <f t="shared" si="23"/>
        <v>2027</v>
      </c>
      <c r="K60" s="35">
        <f t="shared" si="23"/>
        <v>2028</v>
      </c>
      <c r="L60" s="35">
        <f t="shared" si="23"/>
        <v>2029</v>
      </c>
      <c r="M60" s="35">
        <f t="shared" si="23"/>
        <v>2030</v>
      </c>
      <c r="N60" s="35">
        <f t="shared" si="23"/>
        <v>2031</v>
      </c>
      <c r="O60" s="35">
        <f t="shared" si="23"/>
        <v>2032</v>
      </c>
      <c r="P60" s="35">
        <f t="shared" si="23"/>
        <v>2033</v>
      </c>
      <c r="Q60" s="35">
        <f t="shared" si="23"/>
        <v>2034</v>
      </c>
      <c r="R60" s="155" t="s">
        <v>11</v>
      </c>
      <c r="S60" s="35"/>
      <c r="T60" s="35"/>
      <c r="U60" s="35"/>
      <c r="V60" s="35"/>
      <c r="W60" s="35"/>
      <c r="X60" s="35"/>
      <c r="Y60" s="35"/>
    </row>
    <row r="61" spans="2:25" hidden="1" x14ac:dyDescent="0.35">
      <c r="D61" t="s">
        <v>5</v>
      </c>
      <c r="E61">
        <v>5</v>
      </c>
      <c r="G61"/>
      <c r="H61" s="70"/>
      <c r="I61" s="36"/>
      <c r="J61" s="36"/>
      <c r="K61" s="36"/>
      <c r="L61" s="36"/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4">J62</f>
        <v>0</v>
      </c>
      <c r="L62" s="36">
        <f t="shared" si="24"/>
        <v>0</v>
      </c>
      <c r="M62" s="36">
        <f t="shared" si="24"/>
        <v>0</v>
      </c>
      <c r="N62" s="36">
        <f t="shared" si="24"/>
        <v>0</v>
      </c>
      <c r="O62" s="36">
        <f t="shared" si="24"/>
        <v>0</v>
      </c>
      <c r="P62" s="36">
        <f t="shared" si="24"/>
        <v>0</v>
      </c>
      <c r="Q62" s="36">
        <f t="shared" si="24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4"/>
        <v>0</v>
      </c>
      <c r="M63" s="36">
        <f t="shared" si="24"/>
        <v>0</v>
      </c>
      <c r="N63" s="36">
        <f t="shared" si="24"/>
        <v>0</v>
      </c>
      <c r="O63" s="36">
        <f t="shared" si="24"/>
        <v>0</v>
      </c>
      <c r="P63" s="36">
        <f t="shared" si="24"/>
        <v>0</v>
      </c>
      <c r="Q63" s="36">
        <f t="shared" si="24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4"/>
        <v>0</v>
      </c>
      <c r="N64" s="36">
        <f t="shared" si="24"/>
        <v>0</v>
      </c>
      <c r="O64" s="36">
        <f t="shared" si="24"/>
        <v>0</v>
      </c>
      <c r="P64" s="36">
        <f t="shared" si="24"/>
        <v>0</v>
      </c>
      <c r="Q64" s="36">
        <f t="shared" si="24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4"/>
        <v>0</v>
      </c>
      <c r="O65" s="36">
        <f t="shared" si="24"/>
        <v>0</v>
      </c>
      <c r="P65" s="36">
        <f t="shared" si="24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4"/>
        <v>0</v>
      </c>
      <c r="P66" s="36">
        <f t="shared" si="24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4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5">SUM(I61:I70)</f>
        <v>0</v>
      </c>
      <c r="J71" s="40">
        <f t="shared" si="25"/>
        <v>0</v>
      </c>
      <c r="K71" s="40">
        <f t="shared" si="25"/>
        <v>0</v>
      </c>
      <c r="L71" s="40">
        <f t="shared" si="25"/>
        <v>0</v>
      </c>
      <c r="M71" s="40">
        <f t="shared" si="25"/>
        <v>0</v>
      </c>
      <c r="N71" s="40">
        <f t="shared" si="25"/>
        <v>0</v>
      </c>
      <c r="O71" s="40">
        <f t="shared" si="25"/>
        <v>0</v>
      </c>
      <c r="P71" s="40">
        <f t="shared" si="25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K58"/>
  <sheetViews>
    <sheetView workbookViewId="0">
      <selection activeCell="B11" sqref="B11"/>
    </sheetView>
  </sheetViews>
  <sheetFormatPr defaultRowHeight="15.5" x14ac:dyDescent="0.35"/>
  <cols>
    <col min="1" max="1" width="13.5" bestFit="1" customWidth="1"/>
    <col min="2" max="2" width="15.58203125" bestFit="1" customWidth="1"/>
    <col min="3" max="4" width="13.58203125" bestFit="1" customWidth="1"/>
    <col min="5" max="9" width="12.08203125" bestFit="1" customWidth="1"/>
    <col min="10" max="11" width="13.58203125" bestFit="1" customWidth="1"/>
  </cols>
  <sheetData>
    <row r="1" spans="1:11" s="1" customFormat="1" x14ac:dyDescent="0.3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46</v>
      </c>
      <c r="H1" s="1" t="s">
        <v>47</v>
      </c>
      <c r="I1" s="1" t="s">
        <v>48</v>
      </c>
      <c r="J1" s="1" t="s">
        <v>49</v>
      </c>
      <c r="K1" s="1" t="s">
        <v>50</v>
      </c>
    </row>
    <row r="2" spans="1:11" x14ac:dyDescent="0.35">
      <c r="A2" t="s">
        <v>55</v>
      </c>
      <c r="B2" s="86">
        <f>'IRR '!R16</f>
        <v>239068200</v>
      </c>
      <c r="C2" s="14">
        <f>$B$2-$B$4</f>
        <v>191254560</v>
      </c>
      <c r="D2" s="14">
        <f>$C$2-$B$4</f>
        <v>143440920</v>
      </c>
      <c r="E2" s="14">
        <f>$D$2-$B$4</f>
        <v>95627280</v>
      </c>
      <c r="F2" s="14">
        <f>$E$2-$B$4</f>
        <v>47813640</v>
      </c>
      <c r="G2" s="14">
        <f>F2-B4</f>
        <v>0</v>
      </c>
      <c r="H2" s="14"/>
      <c r="I2" s="14"/>
      <c r="J2" s="14"/>
      <c r="K2" s="14"/>
    </row>
    <row r="3" spans="1:11" x14ac:dyDescent="0.35">
      <c r="A3" t="s">
        <v>56</v>
      </c>
      <c r="B3" s="86">
        <v>5</v>
      </c>
    </row>
    <row r="4" spans="1:11" x14ac:dyDescent="0.35">
      <c r="A4" t="s">
        <v>57</v>
      </c>
      <c r="B4" s="86">
        <f>$B$2/$B$3</f>
        <v>47813640</v>
      </c>
      <c r="C4" s="86"/>
      <c r="D4" s="86"/>
    </row>
    <row r="5" spans="1:11" x14ac:dyDescent="0.35">
      <c r="A5" t="s">
        <v>58</v>
      </c>
      <c r="B5" s="86">
        <f>(($B$2*'IRR '!$F$4)*6)/12</f>
        <v>13148751</v>
      </c>
      <c r="C5" s="14">
        <f>AVERAGE($B$2:$C$2)*'IRR '!$F$4</f>
        <v>23667751.800000001</v>
      </c>
      <c r="D5" s="14">
        <f>AVERAGE(C2:D2)*'IRR '!$F$4</f>
        <v>18408251.399999999</v>
      </c>
      <c r="E5" s="14">
        <f>AVERAGE(D2:E2)*'IRR '!$F$4</f>
        <v>13148751</v>
      </c>
      <c r="F5" s="14">
        <f>AVERAGE(E2:F2)*'IRR '!$F$4</f>
        <v>7889250.5999999996</v>
      </c>
      <c r="G5" s="14">
        <f>AVERAGE(F2:G2)*'IRR '!$F$4</f>
        <v>2629750.2000000002</v>
      </c>
      <c r="H5" s="14">
        <f>AVERAGE(G2:H2)*'IRR '!$F$4</f>
        <v>0</v>
      </c>
      <c r="I5" s="14"/>
      <c r="J5" s="14"/>
      <c r="K5" s="14"/>
    </row>
    <row r="6" spans="1:11" x14ac:dyDescent="0.35">
      <c r="B6" s="86"/>
      <c r="C6" s="14"/>
      <c r="D6" s="14"/>
      <c r="E6" s="14"/>
      <c r="F6" s="14"/>
      <c r="G6" s="14"/>
      <c r="H6" s="14"/>
      <c r="I6" s="14"/>
      <c r="J6" s="14"/>
      <c r="K6" s="14"/>
    </row>
    <row r="7" spans="1:11" x14ac:dyDescent="0.35">
      <c r="D7" s="86"/>
    </row>
    <row r="8" spans="1:11" x14ac:dyDescent="0.35">
      <c r="C8" s="86"/>
      <c r="D8" s="86"/>
    </row>
    <row r="9" spans="1:11" x14ac:dyDescent="0.35">
      <c r="C9" s="86"/>
      <c r="D9" s="86"/>
      <c r="E9" s="14"/>
      <c r="F9" s="14"/>
      <c r="G9" s="14"/>
      <c r="H9" s="14"/>
      <c r="I9" s="14"/>
    </row>
    <row r="12" spans="1:11" s="139" customFormat="1" x14ac:dyDescent="0.35">
      <c r="B12" s="214">
        <f>B5+B9</f>
        <v>13148751</v>
      </c>
      <c r="C12" s="214">
        <f t="shared" ref="C12:H12" si="0">C5+C9</f>
        <v>23667751.800000001</v>
      </c>
      <c r="D12" s="214">
        <f t="shared" si="0"/>
        <v>18408251.399999999</v>
      </c>
      <c r="E12" s="214">
        <f t="shared" si="0"/>
        <v>13148751</v>
      </c>
      <c r="F12" s="214">
        <f t="shared" si="0"/>
        <v>7889250.5999999996</v>
      </c>
      <c r="G12" s="214">
        <f t="shared" si="0"/>
        <v>2629750.2000000002</v>
      </c>
      <c r="H12" s="214">
        <f t="shared" si="0"/>
        <v>0</v>
      </c>
    </row>
    <row r="14" spans="1:11" x14ac:dyDescent="0.35">
      <c r="A14" t="s">
        <v>1</v>
      </c>
      <c r="B14" s="86">
        <v>50000000</v>
      </c>
      <c r="C14" s="14">
        <f>B14+C15</f>
        <v>51000000</v>
      </c>
      <c r="D14" s="14">
        <f>C14+D16</f>
        <v>52020000</v>
      </c>
      <c r="E14" s="14">
        <f t="shared" ref="E14:K14" si="1">D14+E16</f>
        <v>53060400</v>
      </c>
      <c r="F14" s="14">
        <f t="shared" si="1"/>
        <v>54121608</v>
      </c>
      <c r="G14" s="14">
        <f t="shared" si="1"/>
        <v>55204040.159999996</v>
      </c>
      <c r="H14" s="14">
        <f t="shared" si="1"/>
        <v>56308120.963199995</v>
      </c>
      <c r="I14" s="14">
        <f t="shared" si="1"/>
        <v>57434283.382463992</v>
      </c>
      <c r="J14" s="14">
        <f t="shared" si="1"/>
        <v>58582969.050113268</v>
      </c>
      <c r="K14" s="14">
        <f t="shared" si="1"/>
        <v>59754628.43111553</v>
      </c>
    </row>
    <row r="15" spans="1:11" x14ac:dyDescent="0.35">
      <c r="A15" s="78">
        <v>0.02</v>
      </c>
      <c r="C15" s="14">
        <f>C16</f>
        <v>1000000</v>
      </c>
      <c r="D15" s="14">
        <f>C15+D16</f>
        <v>2020000</v>
      </c>
      <c r="E15" s="14">
        <f t="shared" ref="E15:K15" si="2">D15+E16</f>
        <v>3060400</v>
      </c>
      <c r="F15" s="14">
        <f t="shared" si="2"/>
        <v>4121608</v>
      </c>
      <c r="G15" s="14">
        <f t="shared" si="2"/>
        <v>5204040.16</v>
      </c>
      <c r="H15" s="14">
        <f t="shared" si="2"/>
        <v>6308120.9632000001</v>
      </c>
      <c r="I15" s="14">
        <f t="shared" si="2"/>
        <v>7434283.382464</v>
      </c>
      <c r="J15" s="14">
        <f t="shared" si="2"/>
        <v>8582969.0501132794</v>
      </c>
      <c r="K15" s="14">
        <f t="shared" si="2"/>
        <v>9754628.4311155453</v>
      </c>
    </row>
    <row r="16" spans="1:11" x14ac:dyDescent="0.35">
      <c r="C16" s="14">
        <f>B14*$A$15</f>
        <v>1000000</v>
      </c>
      <c r="D16" s="14">
        <f>C14*$A$15</f>
        <v>1020000</v>
      </c>
      <c r="E16" s="14">
        <f t="shared" ref="E16:K16" si="3">D14*$A$15</f>
        <v>1040400</v>
      </c>
      <c r="F16" s="14">
        <f t="shared" si="3"/>
        <v>1061208</v>
      </c>
      <c r="G16" s="14">
        <f t="shared" si="3"/>
        <v>1082432.1599999999</v>
      </c>
      <c r="H16" s="14">
        <f t="shared" si="3"/>
        <v>1104080.8032</v>
      </c>
      <c r="I16" s="14">
        <f t="shared" si="3"/>
        <v>1126162.4192639999</v>
      </c>
      <c r="J16" s="14">
        <f t="shared" si="3"/>
        <v>1148685.6676492798</v>
      </c>
      <c r="K16" s="14">
        <f t="shared" si="3"/>
        <v>1171659.3810022655</v>
      </c>
    </row>
    <row r="17" spans="2:11" x14ac:dyDescent="0.35">
      <c r="F17" s="86"/>
    </row>
    <row r="19" spans="2:11" s="139" customFormat="1" x14ac:dyDescent="0.35"/>
    <row r="21" spans="2:11" x14ac:dyDescent="0.35">
      <c r="F21" s="125" t="s">
        <v>101</v>
      </c>
      <c r="G21" s="125" t="s">
        <v>102</v>
      </c>
      <c r="H21" s="125" t="s">
        <v>103</v>
      </c>
      <c r="I21" s="126" t="s">
        <v>104</v>
      </c>
      <c r="J21" s="255" t="s">
        <v>105</v>
      </c>
      <c r="K21" s="255" t="s">
        <v>106</v>
      </c>
    </row>
    <row r="22" spans="2:11" x14ac:dyDescent="0.35">
      <c r="E22" s="127" t="s">
        <v>107</v>
      </c>
      <c r="F22" s="128">
        <v>1</v>
      </c>
      <c r="G22" s="129">
        <v>1</v>
      </c>
      <c r="H22" s="129">
        <v>1</v>
      </c>
      <c r="I22" s="130">
        <v>266</v>
      </c>
      <c r="J22" s="255"/>
      <c r="K22" s="255"/>
    </row>
    <row r="23" spans="2:11" x14ac:dyDescent="0.35">
      <c r="B23" s="256" t="s">
        <v>108</v>
      </c>
      <c r="C23" s="131" t="s">
        <v>109</v>
      </c>
      <c r="D23" s="132">
        <f>C34</f>
        <v>3000000</v>
      </c>
      <c r="E23" s="131" t="s">
        <v>101</v>
      </c>
      <c r="F23" s="125">
        <f>F22</f>
        <v>1</v>
      </c>
      <c r="G23" s="125"/>
      <c r="H23" s="125"/>
      <c r="I23" s="126"/>
      <c r="J23" s="133">
        <f>F23*D23</f>
        <v>3000000</v>
      </c>
    </row>
    <row r="24" spans="2:11" x14ac:dyDescent="0.35">
      <c r="B24" s="257"/>
      <c r="C24" s="131" t="s">
        <v>110</v>
      </c>
      <c r="D24" s="134">
        <v>600000</v>
      </c>
      <c r="E24" s="131" t="s">
        <v>101</v>
      </c>
      <c r="F24" s="125">
        <f>F22</f>
        <v>1</v>
      </c>
      <c r="G24" s="125"/>
      <c r="H24" s="125"/>
      <c r="I24" s="126">
        <f>IF($I$14&lt;=120,2,IF($I$14&gt;220,4,3))</f>
        <v>4</v>
      </c>
      <c r="J24" s="134">
        <f>D24*F24</f>
        <v>600000</v>
      </c>
    </row>
    <row r="25" spans="2:11" x14ac:dyDescent="0.35">
      <c r="B25" s="258"/>
      <c r="C25" s="131" t="s">
        <v>108</v>
      </c>
      <c r="D25" s="134">
        <v>200000</v>
      </c>
      <c r="E25" s="131" t="s">
        <v>111</v>
      </c>
      <c r="F25" s="125"/>
      <c r="G25" s="125">
        <f>G22</f>
        <v>1</v>
      </c>
      <c r="H25" s="125"/>
      <c r="I25" s="126"/>
      <c r="J25" s="134">
        <f>G25*D25</f>
        <v>200000</v>
      </c>
    </row>
    <row r="26" spans="2:11" x14ac:dyDescent="0.35">
      <c r="B26" s="131" t="s">
        <v>112</v>
      </c>
      <c r="C26" s="131" t="s">
        <v>112</v>
      </c>
      <c r="D26" s="134">
        <v>450000</v>
      </c>
      <c r="E26" s="131" t="s">
        <v>103</v>
      </c>
      <c r="F26" s="125">
        <f>F22</f>
        <v>1</v>
      </c>
      <c r="G26" s="125"/>
      <c r="H26" s="125">
        <f>H22</f>
        <v>1</v>
      </c>
      <c r="I26" s="126">
        <f t="shared" ref="I26:I27" si="4">IF($I$14&lt;=120,2,IF($I$14&gt;220,4,3))</f>
        <v>4</v>
      </c>
      <c r="J26" s="134">
        <f>H26*D26*I26</f>
        <v>1800000</v>
      </c>
    </row>
    <row r="27" spans="2:11" x14ac:dyDescent="0.35">
      <c r="B27" s="131" t="s">
        <v>113</v>
      </c>
      <c r="C27" s="131" t="s">
        <v>113</v>
      </c>
      <c r="D27" s="134">
        <v>120000</v>
      </c>
      <c r="E27" s="131" t="s">
        <v>101</v>
      </c>
      <c r="F27" s="125">
        <f>F22</f>
        <v>1</v>
      </c>
      <c r="G27" s="125"/>
      <c r="H27" s="125"/>
      <c r="I27" s="126">
        <f t="shared" si="4"/>
        <v>4</v>
      </c>
      <c r="J27" s="134">
        <f>I27*D27*F27</f>
        <v>480000</v>
      </c>
    </row>
    <row r="28" spans="2:11" x14ac:dyDescent="0.35">
      <c r="J28" s="135">
        <f>SUM(J23:J27)</f>
        <v>6080000</v>
      </c>
      <c r="K28" s="136">
        <f>J28*2</f>
        <v>12160000</v>
      </c>
    </row>
    <row r="30" spans="2:11" s="139" customFormat="1" x14ac:dyDescent="0.35"/>
    <row r="31" spans="2:11" x14ac:dyDescent="0.35">
      <c r="K31" s="14"/>
    </row>
    <row r="32" spans="2:11" x14ac:dyDescent="0.35">
      <c r="B32" s="125" t="s">
        <v>114</v>
      </c>
      <c r="C32" s="125" t="s">
        <v>109</v>
      </c>
      <c r="E32" s="131" t="s">
        <v>115</v>
      </c>
      <c r="K32" s="37"/>
    </row>
    <row r="33" spans="1:11" x14ac:dyDescent="0.35">
      <c r="A33" t="s">
        <v>116</v>
      </c>
      <c r="B33" s="86">
        <v>16800000</v>
      </c>
      <c r="C33" s="86">
        <v>4000000</v>
      </c>
      <c r="D33" s="14"/>
      <c r="E33" t="s">
        <v>117</v>
      </c>
      <c r="K33" s="14"/>
    </row>
    <row r="34" spans="1:11" x14ac:dyDescent="0.35">
      <c r="A34" t="s">
        <v>118</v>
      </c>
      <c r="B34" s="86"/>
      <c r="C34" s="86">
        <v>3000000</v>
      </c>
      <c r="E34" t="s">
        <v>119</v>
      </c>
      <c r="I34" s="86">
        <v>10000000</v>
      </c>
    </row>
    <row r="35" spans="1:11" x14ac:dyDescent="0.35">
      <c r="A35" t="s">
        <v>120</v>
      </c>
      <c r="B35" s="86">
        <v>15600000</v>
      </c>
      <c r="C35" s="86">
        <v>2500000</v>
      </c>
      <c r="D35" s="14"/>
      <c r="E35" t="s">
        <v>119</v>
      </c>
      <c r="H35" t="s">
        <v>121</v>
      </c>
      <c r="I35" s="86">
        <v>12000000</v>
      </c>
    </row>
    <row r="36" spans="1:11" x14ac:dyDescent="0.35">
      <c r="A36" t="s">
        <v>122</v>
      </c>
      <c r="B36" s="86">
        <v>15000000</v>
      </c>
      <c r="C36" s="86">
        <v>2000000</v>
      </c>
      <c r="D36" s="14"/>
      <c r="E36" t="s">
        <v>119</v>
      </c>
      <c r="H36" t="s">
        <v>123</v>
      </c>
      <c r="I36" s="86">
        <v>14000000</v>
      </c>
    </row>
    <row r="37" spans="1:11" x14ac:dyDescent="0.35">
      <c r="A37" t="s">
        <v>124</v>
      </c>
      <c r="B37" s="86">
        <v>15000000</v>
      </c>
      <c r="C37" s="86">
        <v>1850000</v>
      </c>
      <c r="D37" s="14"/>
      <c r="E37" t="s">
        <v>119</v>
      </c>
      <c r="H37" t="s">
        <v>125</v>
      </c>
      <c r="I37" s="86">
        <v>14000000</v>
      </c>
    </row>
    <row r="38" spans="1:11" x14ac:dyDescent="0.35">
      <c r="A38" t="s">
        <v>126</v>
      </c>
      <c r="B38" s="86">
        <v>12000000</v>
      </c>
      <c r="C38" s="86">
        <v>1200000</v>
      </c>
      <c r="D38" s="14"/>
      <c r="E38" t="s">
        <v>119</v>
      </c>
      <c r="H38" t="s">
        <v>116</v>
      </c>
      <c r="I38" s="86">
        <v>17000000</v>
      </c>
    </row>
    <row r="39" spans="1:11" x14ac:dyDescent="0.35">
      <c r="A39" t="s">
        <v>127</v>
      </c>
      <c r="B39" s="86">
        <v>16800000</v>
      </c>
      <c r="C39" s="86">
        <v>2000000</v>
      </c>
      <c r="D39" s="14"/>
      <c r="E39" t="s">
        <v>119</v>
      </c>
      <c r="H39" t="s">
        <v>127</v>
      </c>
      <c r="I39" s="86">
        <v>14000000</v>
      </c>
    </row>
    <row r="40" spans="1:11" x14ac:dyDescent="0.35">
      <c r="A40" t="s">
        <v>128</v>
      </c>
      <c r="B40" s="86">
        <v>15720000</v>
      </c>
      <c r="C40" s="86">
        <v>3500000</v>
      </c>
      <c r="D40" s="14"/>
    </row>
    <row r="41" spans="1:11" x14ac:dyDescent="0.35">
      <c r="A41" t="s">
        <v>129</v>
      </c>
      <c r="C41" s="86">
        <v>2800000</v>
      </c>
      <c r="D41" s="14"/>
    </row>
    <row r="42" spans="1:11" x14ac:dyDescent="0.35">
      <c r="A42" t="s">
        <v>130</v>
      </c>
      <c r="B42">
        <v>0</v>
      </c>
      <c r="C42" s="86">
        <v>0</v>
      </c>
      <c r="D42" t="s">
        <v>131</v>
      </c>
    </row>
    <row r="44" spans="1:11" x14ac:dyDescent="0.35">
      <c r="B44" s="125" t="s">
        <v>132</v>
      </c>
      <c r="C44" s="125"/>
    </row>
    <row r="45" spans="1:11" x14ac:dyDescent="0.35">
      <c r="B45" s="86">
        <v>7000000</v>
      </c>
      <c r="D45" s="14">
        <f>B45/12</f>
        <v>583333.33333333337</v>
      </c>
    </row>
    <row r="46" spans="1:11" x14ac:dyDescent="0.35">
      <c r="B46" s="86"/>
      <c r="D46" s="14"/>
    </row>
    <row r="48" spans="1:11" s="139" customFormat="1" x14ac:dyDescent="0.35"/>
    <row r="50" spans="1:3" x14ac:dyDescent="0.35">
      <c r="A50" s="131" t="s">
        <v>133</v>
      </c>
      <c r="B50" s="14"/>
    </row>
    <row r="51" spans="1:3" x14ac:dyDescent="0.35">
      <c r="A51" t="s">
        <v>134</v>
      </c>
    </row>
    <row r="52" spans="1:3" x14ac:dyDescent="0.35">
      <c r="A52" t="s">
        <v>135</v>
      </c>
      <c r="B52" s="86">
        <v>36000000</v>
      </c>
    </row>
    <row r="53" spans="1:3" x14ac:dyDescent="0.35">
      <c r="A53" t="s">
        <v>136</v>
      </c>
      <c r="B53" s="86">
        <v>42000000</v>
      </c>
    </row>
    <row r="54" spans="1:3" x14ac:dyDescent="0.35">
      <c r="A54" t="s">
        <v>137</v>
      </c>
      <c r="B54" s="86">
        <v>48000000</v>
      </c>
      <c r="C54" s="14">
        <f>B54/12</f>
        <v>4000000</v>
      </c>
    </row>
    <row r="56" spans="1:3" x14ac:dyDescent="0.35">
      <c r="A56" t="s">
        <v>138</v>
      </c>
    </row>
    <row r="57" spans="1:3" x14ac:dyDescent="0.35">
      <c r="A57" t="s">
        <v>139</v>
      </c>
      <c r="B57" s="86">
        <v>75000000</v>
      </c>
    </row>
    <row r="58" spans="1:3" x14ac:dyDescent="0.35">
      <c r="A58" t="s">
        <v>137</v>
      </c>
      <c r="B58" s="86">
        <v>95000000</v>
      </c>
    </row>
  </sheetData>
  <mergeCells count="3">
    <mergeCell ref="J21:J22"/>
    <mergeCell ref="K21:K22"/>
    <mergeCell ref="B23:B25"/>
  </mergeCells>
  <phoneticPr fontId="26" type="noConversion"/>
  <conditionalFormatting sqref="B5:K5">
    <cfRule type="cellIs" dxfId="4" priority="5" operator="lessThan">
      <formula>0</formula>
    </cfRule>
  </conditionalFormatting>
  <conditionalFormatting sqref="C9">
    <cfRule type="cellIs" dxfId="3" priority="4" operator="lessThan">
      <formula>0</formula>
    </cfRule>
  </conditionalFormatting>
  <conditionalFormatting sqref="F9:I9">
    <cfRule type="cellIs" dxfId="2" priority="3" operator="lessThan">
      <formula>0</formula>
    </cfRule>
  </conditionalFormatting>
  <conditionalFormatting sqref="D9">
    <cfRule type="cellIs" dxfId="1" priority="2" operator="lessThan">
      <formula>0</formula>
    </cfRule>
  </conditionalFormatting>
  <conditionalFormatting sqref="E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16F31-7FB3-486B-B360-842C37C6F661}">
  <sheetPr>
    <tabColor rgb="FFFF0000"/>
  </sheetPr>
  <dimension ref="B1:N171"/>
  <sheetViews>
    <sheetView view="pageBreakPreview" topLeftCell="A57" zoomScale="70" zoomScaleNormal="70" zoomScaleSheetLayoutView="70" zoomScalePageLayoutView="80" workbookViewId="0">
      <selection activeCell="I86" sqref="I86"/>
    </sheetView>
  </sheetViews>
  <sheetFormatPr defaultColWidth="0.83203125" defaultRowHeight="15.5" x14ac:dyDescent="0.35"/>
  <cols>
    <col min="1" max="1" width="0.83203125" style="267" customWidth="1"/>
    <col min="2" max="2" width="6.33203125" style="267" customWidth="1"/>
    <col min="3" max="3" width="83.75" style="377" customWidth="1"/>
    <col min="4" max="4" width="11.58203125" style="267" customWidth="1"/>
    <col min="5" max="5" width="14.6640625" style="382" customWidth="1"/>
    <col min="6" max="6" width="22.4140625" style="382" customWidth="1"/>
    <col min="7" max="7" width="16.5" style="382" customWidth="1"/>
    <col min="8" max="8" width="25.1640625" style="382" customWidth="1"/>
    <col min="9" max="9" width="24.75" style="382" customWidth="1"/>
    <col min="10" max="10" width="38.58203125" style="267" customWidth="1"/>
    <col min="11" max="228" width="8.33203125" style="267" customWidth="1"/>
    <col min="229" max="16384" width="0.83203125" style="267"/>
  </cols>
  <sheetData>
    <row r="1" spans="2:14" s="261" customFormat="1" x14ac:dyDescent="0.35">
      <c r="B1" s="259" t="s">
        <v>179</v>
      </c>
      <c r="C1" s="259"/>
      <c r="D1" s="259"/>
      <c r="E1" s="259"/>
      <c r="F1" s="259"/>
      <c r="G1" s="259"/>
      <c r="H1" s="259"/>
      <c r="I1" s="259"/>
      <c r="J1" s="260"/>
    </row>
    <row r="2" spans="2:14" x14ac:dyDescent="0.3">
      <c r="B2" s="262" t="s">
        <v>180</v>
      </c>
      <c r="C2" s="263">
        <v>45565</v>
      </c>
      <c r="D2" s="264"/>
      <c r="E2" s="265"/>
      <c r="F2" s="265"/>
      <c r="G2" s="265"/>
      <c r="H2" s="265"/>
      <c r="I2" s="265"/>
      <c r="J2" s="266"/>
    </row>
    <row r="3" spans="2:14" x14ac:dyDescent="0.35">
      <c r="B3" s="268" t="s">
        <v>181</v>
      </c>
      <c r="C3" s="269"/>
      <c r="D3" s="264"/>
      <c r="E3" s="265"/>
      <c r="F3" s="265"/>
      <c r="G3" s="265"/>
      <c r="H3" s="265"/>
      <c r="I3" s="265"/>
      <c r="J3" s="266"/>
    </row>
    <row r="4" spans="2:14" ht="16.5" customHeight="1" x14ac:dyDescent="0.35">
      <c r="B4" s="270"/>
      <c r="C4" s="271"/>
      <c r="D4" s="272"/>
      <c r="E4" s="273"/>
      <c r="F4" s="273"/>
      <c r="G4" s="273"/>
      <c r="H4" s="273"/>
      <c r="I4" s="273"/>
      <c r="J4" s="266"/>
    </row>
    <row r="5" spans="2:14" ht="15.75" customHeight="1" x14ac:dyDescent="0.35">
      <c r="B5" s="274" t="s">
        <v>182</v>
      </c>
      <c r="C5" s="274" t="s">
        <v>183</v>
      </c>
      <c r="D5" s="274" t="s">
        <v>184</v>
      </c>
      <c r="E5" s="274" t="s">
        <v>185</v>
      </c>
      <c r="F5" s="274" t="s">
        <v>186</v>
      </c>
      <c r="G5" s="274" t="s">
        <v>187</v>
      </c>
      <c r="H5" s="274" t="s">
        <v>188</v>
      </c>
      <c r="I5" s="274" t="s">
        <v>189</v>
      </c>
      <c r="J5" s="274"/>
    </row>
    <row r="6" spans="2:14" s="275" customFormat="1" ht="15" x14ac:dyDescent="0.35">
      <c r="B6" s="274"/>
      <c r="C6" s="274"/>
      <c r="D6" s="274"/>
      <c r="E6" s="274"/>
      <c r="F6" s="274"/>
      <c r="G6" s="274"/>
      <c r="H6" s="274"/>
      <c r="I6" s="274"/>
      <c r="J6" s="274"/>
    </row>
    <row r="7" spans="2:14" x14ac:dyDescent="0.35">
      <c r="B7" s="274"/>
      <c r="C7" s="274"/>
      <c r="D7" s="274"/>
      <c r="E7" s="274"/>
      <c r="F7" s="274"/>
      <c r="G7" s="274"/>
      <c r="H7" s="274"/>
      <c r="I7" s="274"/>
      <c r="J7" s="274"/>
    </row>
    <row r="8" spans="2:14" ht="18.899999999999999" customHeight="1" x14ac:dyDescent="0.35">
      <c r="B8" s="276" t="s">
        <v>190</v>
      </c>
      <c r="C8" s="277" t="s">
        <v>191</v>
      </c>
      <c r="D8" s="276"/>
      <c r="E8" s="278"/>
      <c r="F8" s="278"/>
      <c r="G8" s="278"/>
      <c r="H8" s="279"/>
      <c r="I8" s="280"/>
      <c r="J8" s="280"/>
      <c r="K8" s="281"/>
      <c r="L8" s="281"/>
      <c r="M8" s="281"/>
      <c r="N8" s="281"/>
    </row>
    <row r="9" spans="2:14" x14ac:dyDescent="0.35">
      <c r="B9" s="282" t="s">
        <v>192</v>
      </c>
      <c r="C9" s="283" t="s">
        <v>193</v>
      </c>
      <c r="D9" s="284"/>
      <c r="E9" s="284"/>
      <c r="F9" s="284"/>
      <c r="G9" s="284"/>
      <c r="H9" s="284"/>
      <c r="I9" s="284"/>
      <c r="J9" s="285"/>
    </row>
    <row r="10" spans="2:14" s="261" customFormat="1" x14ac:dyDescent="0.35">
      <c r="B10" s="286">
        <v>1</v>
      </c>
      <c r="C10" s="287" t="s">
        <v>194</v>
      </c>
      <c r="D10" s="288" t="s">
        <v>195</v>
      </c>
      <c r="E10" s="289">
        <v>47</v>
      </c>
      <c r="F10" s="290">
        <v>194250</v>
      </c>
      <c r="G10" s="291">
        <v>20000</v>
      </c>
      <c r="H10" s="291">
        <f>F10+G10</f>
        <v>214250</v>
      </c>
      <c r="I10" s="292">
        <f>E10*H10</f>
        <v>10069750</v>
      </c>
      <c r="J10" s="293"/>
    </row>
    <row r="11" spans="2:14" s="261" customFormat="1" x14ac:dyDescent="0.35">
      <c r="B11" s="286">
        <v>2</v>
      </c>
      <c r="C11" s="287" t="s">
        <v>196</v>
      </c>
      <c r="D11" s="288" t="s">
        <v>195</v>
      </c>
      <c r="E11" s="289">
        <v>3</v>
      </c>
      <c r="F11" s="290">
        <v>194250</v>
      </c>
      <c r="G11" s="291">
        <v>20000</v>
      </c>
      <c r="H11" s="291">
        <f>F11+G11</f>
        <v>214250</v>
      </c>
      <c r="I11" s="292">
        <f>E11*H11</f>
        <v>642750</v>
      </c>
      <c r="J11" s="293"/>
    </row>
    <row r="12" spans="2:14" s="261" customFormat="1" hidden="1" x14ac:dyDescent="0.35">
      <c r="B12" s="286">
        <v>2</v>
      </c>
      <c r="C12" s="287" t="s">
        <v>197</v>
      </c>
      <c r="D12" s="288" t="s">
        <v>195</v>
      </c>
      <c r="E12" s="289"/>
      <c r="F12" s="290">
        <v>2500000</v>
      </c>
      <c r="G12" s="291">
        <v>20000</v>
      </c>
      <c r="H12" s="291">
        <f>F12+G12</f>
        <v>2520000</v>
      </c>
      <c r="I12" s="292">
        <f>E12*H12</f>
        <v>0</v>
      </c>
      <c r="J12" s="293"/>
    </row>
    <row r="13" spans="2:14" x14ac:dyDescent="0.35">
      <c r="B13" s="282" t="s">
        <v>198</v>
      </c>
      <c r="C13" s="294" t="s">
        <v>199</v>
      </c>
      <c r="D13" s="284"/>
      <c r="E13" s="295"/>
      <c r="F13" s="296"/>
      <c r="G13" s="296"/>
      <c r="H13" s="296"/>
      <c r="I13" s="297"/>
      <c r="J13" s="285"/>
    </row>
    <row r="14" spans="2:14" s="261" customFormat="1" ht="15.75" customHeight="1" x14ac:dyDescent="0.35">
      <c r="B14" s="286">
        <v>1</v>
      </c>
      <c r="C14" s="287" t="s">
        <v>200</v>
      </c>
      <c r="D14" s="288" t="s">
        <v>195</v>
      </c>
      <c r="E14" s="289">
        <v>1</v>
      </c>
      <c r="F14" s="290">
        <v>273000</v>
      </c>
      <c r="G14" s="291">
        <v>20000</v>
      </c>
      <c r="H14" s="291">
        <f t="shared" ref="H14:H16" si="0">F14+G14</f>
        <v>293000</v>
      </c>
      <c r="I14" s="292">
        <f>E14*H14</f>
        <v>293000</v>
      </c>
      <c r="J14" s="293"/>
    </row>
    <row r="15" spans="2:14" s="261" customFormat="1" x14ac:dyDescent="0.35">
      <c r="B15" s="286">
        <v>2</v>
      </c>
      <c r="C15" s="287" t="s">
        <v>201</v>
      </c>
      <c r="D15" s="288" t="s">
        <v>195</v>
      </c>
      <c r="E15" s="289">
        <v>18</v>
      </c>
      <c r="F15" s="290">
        <v>288750</v>
      </c>
      <c r="G15" s="291">
        <v>20000</v>
      </c>
      <c r="H15" s="291">
        <f t="shared" si="0"/>
        <v>308750</v>
      </c>
      <c r="I15" s="292">
        <f t="shared" ref="I15:I16" si="1">E15*H15</f>
        <v>5557500</v>
      </c>
      <c r="J15" s="293"/>
    </row>
    <row r="16" spans="2:14" s="261" customFormat="1" x14ac:dyDescent="0.35">
      <c r="B16" s="286">
        <v>3</v>
      </c>
      <c r="C16" s="287" t="s">
        <v>202</v>
      </c>
      <c r="D16" s="288" t="s">
        <v>195</v>
      </c>
      <c r="E16" s="289">
        <v>3</v>
      </c>
      <c r="F16" s="290">
        <v>315000</v>
      </c>
      <c r="G16" s="291">
        <v>20000</v>
      </c>
      <c r="H16" s="291">
        <f t="shared" si="0"/>
        <v>335000</v>
      </c>
      <c r="I16" s="292">
        <f t="shared" si="1"/>
        <v>1005000</v>
      </c>
      <c r="J16" s="293"/>
    </row>
    <row r="17" spans="2:10" hidden="1" x14ac:dyDescent="0.35">
      <c r="B17" s="282" t="s">
        <v>203</v>
      </c>
      <c r="C17" s="294" t="s">
        <v>204</v>
      </c>
      <c r="D17" s="284"/>
      <c r="E17" s="284"/>
      <c r="F17" s="284"/>
      <c r="G17" s="284"/>
      <c r="H17" s="284"/>
      <c r="I17" s="284"/>
      <c r="J17" s="285"/>
    </row>
    <row r="18" spans="2:10" hidden="1" x14ac:dyDescent="0.35">
      <c r="B18" s="298">
        <v>1</v>
      </c>
      <c r="C18" s="299" t="s">
        <v>205</v>
      </c>
      <c r="D18" s="288" t="s">
        <v>195</v>
      </c>
      <c r="E18" s="289"/>
      <c r="F18" s="290">
        <v>492450</v>
      </c>
      <c r="G18" s="291">
        <v>20000</v>
      </c>
      <c r="H18" s="291">
        <f>F18+G18</f>
        <v>512450</v>
      </c>
      <c r="I18" s="292">
        <f>E18*H18</f>
        <v>0</v>
      </c>
      <c r="J18" s="293"/>
    </row>
    <row r="19" spans="2:10" x14ac:dyDescent="0.35">
      <c r="B19" s="282" t="s">
        <v>203</v>
      </c>
      <c r="C19" s="294" t="s">
        <v>206</v>
      </c>
      <c r="D19" s="284"/>
      <c r="E19" s="295"/>
      <c r="F19" s="296"/>
      <c r="G19" s="296"/>
      <c r="H19" s="296"/>
      <c r="I19" s="297"/>
      <c r="J19" s="285"/>
    </row>
    <row r="20" spans="2:10" s="261" customFormat="1" ht="33" customHeight="1" x14ac:dyDescent="0.35">
      <c r="B20" s="286">
        <v>1</v>
      </c>
      <c r="C20" s="287" t="s">
        <v>207</v>
      </c>
      <c r="D20" s="288" t="s">
        <v>195</v>
      </c>
      <c r="E20" s="289">
        <v>1</v>
      </c>
      <c r="F20" s="300">
        <v>5775000</v>
      </c>
      <c r="G20" s="291">
        <v>50000</v>
      </c>
      <c r="H20" s="291">
        <f>F20+G20</f>
        <v>5825000</v>
      </c>
      <c r="I20" s="292">
        <f>E20*H20</f>
        <v>5825000</v>
      </c>
      <c r="J20" s="293"/>
    </row>
    <row r="21" spans="2:10" x14ac:dyDescent="0.35">
      <c r="B21" s="282" t="s">
        <v>208</v>
      </c>
      <c r="C21" s="294" t="s">
        <v>209</v>
      </c>
      <c r="D21" s="284"/>
      <c r="E21" s="295"/>
      <c r="F21" s="296"/>
      <c r="G21" s="296"/>
      <c r="H21" s="296"/>
      <c r="I21" s="297"/>
      <c r="J21" s="285"/>
    </row>
    <row r="22" spans="2:10" s="261" customFormat="1" x14ac:dyDescent="0.35">
      <c r="B22" s="286">
        <v>1</v>
      </c>
      <c r="C22" s="301" t="s">
        <v>210</v>
      </c>
      <c r="D22" s="288" t="s">
        <v>195</v>
      </c>
      <c r="E22" s="289">
        <v>106</v>
      </c>
      <c r="F22" s="290">
        <v>67200</v>
      </c>
      <c r="G22" s="291">
        <v>20000</v>
      </c>
      <c r="H22" s="291">
        <f t="shared" ref="H22:H24" si="2">F22+G22</f>
        <v>87200</v>
      </c>
      <c r="I22" s="292">
        <f>E22*H22</f>
        <v>9243200</v>
      </c>
      <c r="J22" s="293"/>
    </row>
    <row r="23" spans="2:10" s="261" customFormat="1" x14ac:dyDescent="0.35">
      <c r="B23" s="286">
        <v>2</v>
      </c>
      <c r="C23" s="301" t="s">
        <v>211</v>
      </c>
      <c r="D23" s="288" t="s">
        <v>195</v>
      </c>
      <c r="E23" s="289">
        <v>10</v>
      </c>
      <c r="F23" s="290">
        <v>103950</v>
      </c>
      <c r="G23" s="291">
        <v>20000</v>
      </c>
      <c r="H23" s="291">
        <f t="shared" si="2"/>
        <v>123950</v>
      </c>
      <c r="I23" s="292">
        <f t="shared" ref="I23:I24" si="3">E23*H23</f>
        <v>1239500</v>
      </c>
      <c r="J23" s="293"/>
    </row>
    <row r="24" spans="2:10" s="261" customFormat="1" hidden="1" x14ac:dyDescent="0.35">
      <c r="B24" s="286">
        <v>3</v>
      </c>
      <c r="C24" s="301" t="s">
        <v>212</v>
      </c>
      <c r="D24" s="288" t="s">
        <v>195</v>
      </c>
      <c r="E24" s="289"/>
      <c r="F24" s="290">
        <v>210000</v>
      </c>
      <c r="G24" s="291">
        <v>20000</v>
      </c>
      <c r="H24" s="291">
        <f t="shared" si="2"/>
        <v>230000</v>
      </c>
      <c r="I24" s="292">
        <f t="shared" si="3"/>
        <v>0</v>
      </c>
      <c r="J24" s="293"/>
    </row>
    <row r="25" spans="2:10" x14ac:dyDescent="0.35">
      <c r="B25" s="282" t="s">
        <v>213</v>
      </c>
      <c r="C25" s="294" t="s">
        <v>214</v>
      </c>
      <c r="D25" s="284"/>
      <c r="E25" s="295"/>
      <c r="F25" s="296"/>
      <c r="G25" s="296"/>
      <c r="H25" s="296"/>
      <c r="I25" s="297"/>
      <c r="J25" s="285"/>
    </row>
    <row r="26" spans="2:10" s="261" customFormat="1" x14ac:dyDescent="0.35">
      <c r="B26" s="286">
        <v>1</v>
      </c>
      <c r="C26" s="301" t="s">
        <v>215</v>
      </c>
      <c r="D26" s="288" t="s">
        <v>195</v>
      </c>
      <c r="E26" s="289">
        <v>13</v>
      </c>
      <c r="F26" s="290">
        <v>105000</v>
      </c>
      <c r="G26" s="291">
        <v>25000</v>
      </c>
      <c r="H26" s="291">
        <f t="shared" ref="H26:H29" si="4">F26+G26</f>
        <v>130000</v>
      </c>
      <c r="I26" s="292">
        <f>E26*H26</f>
        <v>1690000</v>
      </c>
      <c r="J26" s="293"/>
    </row>
    <row r="27" spans="2:10" s="261" customFormat="1" x14ac:dyDescent="0.35">
      <c r="B27" s="286">
        <v>2</v>
      </c>
      <c r="C27" s="301" t="s">
        <v>216</v>
      </c>
      <c r="D27" s="288" t="s">
        <v>195</v>
      </c>
      <c r="E27" s="289">
        <v>24</v>
      </c>
      <c r="F27" s="290">
        <v>120000</v>
      </c>
      <c r="G27" s="291">
        <v>25000</v>
      </c>
      <c r="H27" s="291">
        <f t="shared" si="4"/>
        <v>145000</v>
      </c>
      <c r="I27" s="292">
        <f t="shared" ref="I27:I29" si="5">E27*H27</f>
        <v>3480000</v>
      </c>
      <c r="J27" s="293"/>
    </row>
    <row r="28" spans="2:10" s="261" customFormat="1" x14ac:dyDescent="0.35">
      <c r="B28" s="286">
        <v>3</v>
      </c>
      <c r="C28" s="301" t="s">
        <v>217</v>
      </c>
      <c r="D28" s="288" t="s">
        <v>195</v>
      </c>
      <c r="E28" s="289">
        <v>3</v>
      </c>
      <c r="F28" s="290">
        <v>180000</v>
      </c>
      <c r="G28" s="291">
        <v>25000</v>
      </c>
      <c r="H28" s="291">
        <f t="shared" si="4"/>
        <v>205000</v>
      </c>
      <c r="I28" s="292">
        <f t="shared" si="5"/>
        <v>615000</v>
      </c>
      <c r="J28" s="293"/>
    </row>
    <row r="29" spans="2:10" s="261" customFormat="1" x14ac:dyDescent="0.35">
      <c r="B29" s="286">
        <v>4</v>
      </c>
      <c r="C29" s="301" t="s">
        <v>218</v>
      </c>
      <c r="D29" s="288" t="s">
        <v>195</v>
      </c>
      <c r="E29" s="289">
        <v>1</v>
      </c>
      <c r="F29" s="290">
        <v>180000</v>
      </c>
      <c r="G29" s="291">
        <v>25000</v>
      </c>
      <c r="H29" s="291">
        <f t="shared" si="4"/>
        <v>205000</v>
      </c>
      <c r="I29" s="292">
        <f t="shared" si="5"/>
        <v>205000</v>
      </c>
      <c r="J29" s="293"/>
    </row>
    <row r="30" spans="2:10" x14ac:dyDescent="0.35">
      <c r="B30" s="302" t="s">
        <v>219</v>
      </c>
      <c r="C30" s="283" t="s">
        <v>220</v>
      </c>
      <c r="D30" s="284"/>
      <c r="E30" s="303"/>
      <c r="F30" s="304"/>
      <c r="G30" s="304"/>
      <c r="H30" s="304"/>
      <c r="I30" s="305"/>
      <c r="J30" s="285"/>
    </row>
    <row r="31" spans="2:10" s="261" customFormat="1" x14ac:dyDescent="0.35">
      <c r="B31" s="306">
        <v>1</v>
      </c>
      <c r="C31" s="307" t="s">
        <v>221</v>
      </c>
      <c r="D31" s="288" t="s">
        <v>222</v>
      </c>
      <c r="E31" s="289">
        <v>1250</v>
      </c>
      <c r="F31" s="300">
        <v>28350</v>
      </c>
      <c r="G31" s="308">
        <v>13000</v>
      </c>
      <c r="H31" s="291">
        <f t="shared" ref="H31:H33" si="6">F31+G31</f>
        <v>41350</v>
      </c>
      <c r="I31" s="292">
        <f>E31*H31</f>
        <v>51687500</v>
      </c>
      <c r="J31" s="293"/>
    </row>
    <row r="32" spans="2:10" s="261" customFormat="1" x14ac:dyDescent="0.35">
      <c r="B32" s="306">
        <v>2</v>
      </c>
      <c r="C32" s="307" t="s">
        <v>223</v>
      </c>
      <c r="D32" s="288" t="s">
        <v>222</v>
      </c>
      <c r="E32" s="289">
        <v>185</v>
      </c>
      <c r="F32" s="300">
        <v>65000</v>
      </c>
      <c r="G32" s="308">
        <v>15000</v>
      </c>
      <c r="H32" s="291">
        <f t="shared" si="6"/>
        <v>80000</v>
      </c>
      <c r="I32" s="292">
        <f t="shared" ref="I32:I33" si="7">E32*H32</f>
        <v>14800000</v>
      </c>
      <c r="J32" s="293"/>
    </row>
    <row r="33" spans="2:14" s="261" customFormat="1" hidden="1" x14ac:dyDescent="0.35">
      <c r="B33" s="306">
        <v>3</v>
      </c>
      <c r="C33" s="307" t="s">
        <v>224</v>
      </c>
      <c r="D33" s="288" t="s">
        <v>222</v>
      </c>
      <c r="E33" s="289"/>
      <c r="F33" s="300">
        <v>137500</v>
      </c>
      <c r="G33" s="308">
        <v>17000</v>
      </c>
      <c r="H33" s="291">
        <f t="shared" si="6"/>
        <v>154500</v>
      </c>
      <c r="I33" s="292">
        <f t="shared" si="7"/>
        <v>0</v>
      </c>
      <c r="J33" s="293"/>
    </row>
    <row r="34" spans="2:14" ht="18.899999999999999" customHeight="1" x14ac:dyDescent="0.35">
      <c r="B34" s="276" t="s">
        <v>225</v>
      </c>
      <c r="C34" s="277" t="s">
        <v>159</v>
      </c>
      <c r="D34" s="276"/>
      <c r="E34" s="278"/>
      <c r="F34" s="278"/>
      <c r="G34" s="278"/>
      <c r="H34" s="279"/>
      <c r="I34" s="280"/>
      <c r="J34" s="280"/>
      <c r="K34" s="281"/>
      <c r="L34" s="281"/>
      <c r="M34" s="281"/>
      <c r="N34" s="281"/>
    </row>
    <row r="35" spans="2:14" ht="16.5" customHeight="1" x14ac:dyDescent="0.3">
      <c r="B35" s="309" t="s">
        <v>192</v>
      </c>
      <c r="C35" s="310" t="s">
        <v>226</v>
      </c>
      <c r="D35" s="288"/>
      <c r="E35" s="311"/>
      <c r="F35" s="312"/>
      <c r="G35" s="312"/>
      <c r="H35" s="312"/>
      <c r="I35" s="313"/>
      <c r="J35" s="314"/>
      <c r="K35" s="281"/>
      <c r="L35" s="281"/>
      <c r="M35" s="281"/>
      <c r="N35" s="281"/>
    </row>
    <row r="36" spans="2:14" s="261" customFormat="1" ht="16.5" customHeight="1" x14ac:dyDescent="0.35">
      <c r="B36" s="315">
        <v>1</v>
      </c>
      <c r="C36" s="316" t="s">
        <v>227</v>
      </c>
      <c r="D36" s="315" t="s">
        <v>195</v>
      </c>
      <c r="E36" s="317">
        <v>3</v>
      </c>
      <c r="F36" s="318">
        <v>250000</v>
      </c>
      <c r="G36" s="318">
        <v>50000</v>
      </c>
      <c r="H36" s="319">
        <f>F36+G36</f>
        <v>300000</v>
      </c>
      <c r="I36" s="319">
        <f>E36*H36</f>
        <v>900000</v>
      </c>
      <c r="J36" s="293"/>
      <c r="K36" s="320"/>
      <c r="L36" s="320"/>
      <c r="M36" s="320"/>
      <c r="N36" s="320"/>
    </row>
    <row r="37" spans="2:14" s="261" customFormat="1" ht="16.5" hidden="1" customHeight="1" x14ac:dyDescent="0.35">
      <c r="B37" s="315">
        <v>2</v>
      </c>
      <c r="C37" s="316" t="s">
        <v>228</v>
      </c>
      <c r="D37" s="315" t="s">
        <v>195</v>
      </c>
      <c r="E37" s="317"/>
      <c r="F37" s="321">
        <v>450000</v>
      </c>
      <c r="G37" s="312">
        <v>50000</v>
      </c>
      <c r="H37" s="319">
        <f>F37+G37</f>
        <v>500000</v>
      </c>
      <c r="I37" s="319">
        <f>E37*H37</f>
        <v>0</v>
      </c>
      <c r="J37" s="293"/>
      <c r="K37" s="320"/>
      <c r="L37" s="320"/>
      <c r="M37" s="320"/>
      <c r="N37" s="320"/>
    </row>
    <row r="38" spans="2:14" s="323" customFormat="1" ht="18.899999999999999" customHeight="1" x14ac:dyDescent="0.35">
      <c r="B38" s="309" t="s">
        <v>198</v>
      </c>
      <c r="C38" s="310" t="s">
        <v>229</v>
      </c>
      <c r="D38" s="288"/>
      <c r="E38" s="317"/>
      <c r="F38" s="321"/>
      <c r="G38" s="322"/>
      <c r="H38" s="321"/>
      <c r="I38" s="322"/>
      <c r="J38" s="317"/>
    </row>
    <row r="39" spans="2:14" s="327" customFormat="1" ht="15.9" customHeight="1" x14ac:dyDescent="0.35">
      <c r="B39" s="324">
        <v>1</v>
      </c>
      <c r="C39" s="325" t="s">
        <v>230</v>
      </c>
      <c r="D39" s="288" t="s">
        <v>195</v>
      </c>
      <c r="E39" s="326">
        <v>400</v>
      </c>
      <c r="F39" s="318">
        <v>5000</v>
      </c>
      <c r="G39" s="318">
        <v>2000</v>
      </c>
      <c r="H39" s="291">
        <f>F39+G39</f>
        <v>7000</v>
      </c>
      <c r="I39" s="292">
        <f>E39*H39</f>
        <v>2800000</v>
      </c>
      <c r="J39" s="289"/>
    </row>
    <row r="40" spans="2:14" s="327" customFormat="1" ht="15.9" customHeight="1" x14ac:dyDescent="0.35">
      <c r="B40" s="324">
        <v>2</v>
      </c>
      <c r="C40" s="325" t="s">
        <v>231</v>
      </c>
      <c r="D40" s="288" t="s">
        <v>195</v>
      </c>
      <c r="E40" s="326">
        <v>60</v>
      </c>
      <c r="F40" s="318">
        <v>6500</v>
      </c>
      <c r="G40" s="318">
        <v>2000</v>
      </c>
      <c r="H40" s="291">
        <f>F40+G40</f>
        <v>8500</v>
      </c>
      <c r="I40" s="292">
        <f t="shared" ref="I40:I46" si="8">E40*H40</f>
        <v>510000</v>
      </c>
      <c r="J40" s="289"/>
    </row>
    <row r="41" spans="2:14" s="327" customFormat="1" ht="15.9" hidden="1" customHeight="1" x14ac:dyDescent="0.35">
      <c r="B41" s="286">
        <v>3</v>
      </c>
      <c r="C41" s="325" t="s">
        <v>232</v>
      </c>
      <c r="D41" s="288" t="s">
        <v>195</v>
      </c>
      <c r="E41" s="326"/>
      <c r="F41" s="318">
        <v>7500</v>
      </c>
      <c r="G41" s="318">
        <v>2000</v>
      </c>
      <c r="H41" s="291">
        <f>F41+G41</f>
        <v>9500</v>
      </c>
      <c r="I41" s="292">
        <f t="shared" si="8"/>
        <v>0</v>
      </c>
      <c r="J41" s="289"/>
    </row>
    <row r="42" spans="2:14" s="261" customFormat="1" ht="14.25" customHeight="1" x14ac:dyDescent="0.35">
      <c r="B42" s="286">
        <v>4</v>
      </c>
      <c r="C42" s="325" t="s">
        <v>233</v>
      </c>
      <c r="D42" s="288" t="s">
        <v>195</v>
      </c>
      <c r="E42" s="317">
        <v>3</v>
      </c>
      <c r="F42" s="318">
        <v>125000</v>
      </c>
      <c r="G42" s="328">
        <v>20000</v>
      </c>
      <c r="H42" s="319">
        <f>F42+G42</f>
        <v>145000</v>
      </c>
      <c r="I42" s="292">
        <f t="shared" si="8"/>
        <v>435000</v>
      </c>
      <c r="J42" s="293"/>
    </row>
    <row r="43" spans="2:14" s="261" customFormat="1" ht="16.5" customHeight="1" x14ac:dyDescent="0.35">
      <c r="B43" s="286">
        <v>5</v>
      </c>
      <c r="C43" s="325" t="s">
        <v>234</v>
      </c>
      <c r="D43" s="288" t="s">
        <v>195</v>
      </c>
      <c r="E43" s="317">
        <v>22</v>
      </c>
      <c r="F43" s="318">
        <v>125000</v>
      </c>
      <c r="G43" s="328">
        <v>20000</v>
      </c>
      <c r="H43" s="319">
        <f>F43+G43</f>
        <v>145000</v>
      </c>
      <c r="I43" s="292">
        <f t="shared" si="8"/>
        <v>3190000</v>
      </c>
      <c r="J43" s="293"/>
    </row>
    <row r="44" spans="2:14" s="261" customFormat="1" ht="16.5" hidden="1" customHeight="1" x14ac:dyDescent="0.35">
      <c r="B44" s="329">
        <v>6</v>
      </c>
      <c r="C44" s="330" t="s">
        <v>235</v>
      </c>
      <c r="D44" s="331" t="s">
        <v>195</v>
      </c>
      <c r="E44" s="332"/>
      <c r="F44" s="333">
        <v>250000</v>
      </c>
      <c r="G44" s="333"/>
      <c r="H44" s="334">
        <f t="shared" ref="H44:H46" si="9">F44+G44</f>
        <v>250000</v>
      </c>
      <c r="I44" s="334">
        <f t="shared" si="8"/>
        <v>0</v>
      </c>
      <c r="J44" s="335"/>
    </row>
    <row r="45" spans="2:14" s="261" customFormat="1" ht="16.5" customHeight="1" x14ac:dyDescent="0.35">
      <c r="B45" s="329">
        <v>7</v>
      </c>
      <c r="C45" s="330" t="s">
        <v>236</v>
      </c>
      <c r="D45" s="331" t="s">
        <v>195</v>
      </c>
      <c r="E45" s="332">
        <v>40</v>
      </c>
      <c r="F45" s="333">
        <v>175000</v>
      </c>
      <c r="G45" s="333"/>
      <c r="H45" s="334">
        <f>F45+G45</f>
        <v>175000</v>
      </c>
      <c r="I45" s="334">
        <f>E45*H45</f>
        <v>7000000</v>
      </c>
      <c r="J45" s="335"/>
    </row>
    <row r="46" spans="2:14" s="261" customFormat="1" ht="16.5" hidden="1" customHeight="1" x14ac:dyDescent="0.35">
      <c r="B46" s="329">
        <v>8</v>
      </c>
      <c r="C46" s="330" t="s">
        <v>237</v>
      </c>
      <c r="D46" s="331" t="s">
        <v>195</v>
      </c>
      <c r="E46" s="332"/>
      <c r="F46" s="333">
        <v>250000</v>
      </c>
      <c r="G46" s="333"/>
      <c r="H46" s="334">
        <f t="shared" si="9"/>
        <v>250000</v>
      </c>
      <c r="I46" s="334">
        <f t="shared" si="8"/>
        <v>0</v>
      </c>
      <c r="J46" s="335"/>
    </row>
    <row r="47" spans="2:14" s="261" customFormat="1" hidden="1" x14ac:dyDescent="0.35">
      <c r="B47" s="286">
        <v>1</v>
      </c>
      <c r="C47" s="301" t="s">
        <v>238</v>
      </c>
      <c r="D47" s="288" t="s">
        <v>222</v>
      </c>
      <c r="E47" s="317"/>
      <c r="F47" s="336">
        <v>325000</v>
      </c>
      <c r="G47" s="337">
        <v>30000</v>
      </c>
      <c r="H47" s="319">
        <f>F47+G47</f>
        <v>355000</v>
      </c>
      <c r="I47" s="319">
        <f>E47*H47</f>
        <v>0</v>
      </c>
      <c r="J47" s="293"/>
    </row>
    <row r="48" spans="2:14" s="261" customFormat="1" x14ac:dyDescent="0.35">
      <c r="B48" s="309" t="s">
        <v>208</v>
      </c>
      <c r="C48" s="310" t="s">
        <v>239</v>
      </c>
      <c r="D48" s="288" t="s">
        <v>240</v>
      </c>
      <c r="E48" s="317">
        <v>1</v>
      </c>
      <c r="F48" s="336">
        <v>2500000</v>
      </c>
      <c r="G48" s="337"/>
      <c r="H48" s="319">
        <f>F48+G48</f>
        <v>2500000</v>
      </c>
      <c r="I48" s="319">
        <f t="shared" ref="I48" si="10">E48*H48</f>
        <v>2500000</v>
      </c>
      <c r="J48" s="293"/>
    </row>
    <row r="49" spans="2:10" s="261" customFormat="1" x14ac:dyDescent="0.35">
      <c r="B49" s="309"/>
      <c r="C49" s="325" t="s">
        <v>241</v>
      </c>
      <c r="D49" s="288"/>
      <c r="E49" s="317"/>
      <c r="F49" s="293"/>
      <c r="G49" s="293"/>
      <c r="H49" s="293"/>
      <c r="I49" s="293"/>
      <c r="J49" s="293"/>
    </row>
    <row r="50" spans="2:10" s="261" customFormat="1" x14ac:dyDescent="0.35">
      <c r="B50" s="309"/>
      <c r="C50" s="325" t="s">
        <v>242</v>
      </c>
      <c r="D50" s="288"/>
      <c r="E50" s="317"/>
      <c r="F50" s="293"/>
      <c r="G50" s="293"/>
      <c r="H50" s="293"/>
      <c r="I50" s="293"/>
      <c r="J50" s="293"/>
    </row>
    <row r="51" spans="2:10" s="261" customFormat="1" x14ac:dyDescent="0.35">
      <c r="B51" s="309"/>
      <c r="C51" s="325" t="s">
        <v>243</v>
      </c>
      <c r="D51" s="288"/>
      <c r="E51" s="317"/>
      <c r="F51" s="293"/>
      <c r="G51" s="293"/>
      <c r="H51" s="293"/>
      <c r="I51" s="293"/>
      <c r="J51" s="293"/>
    </row>
    <row r="52" spans="2:10" s="261" customFormat="1" x14ac:dyDescent="0.35">
      <c r="B52" s="309"/>
      <c r="C52" s="325" t="s">
        <v>244</v>
      </c>
      <c r="D52" s="288"/>
      <c r="E52" s="317"/>
      <c r="F52" s="293"/>
      <c r="G52" s="293"/>
      <c r="H52" s="293"/>
      <c r="I52" s="293"/>
      <c r="J52" s="293"/>
    </row>
    <row r="53" spans="2:10" s="261" customFormat="1" x14ac:dyDescent="0.35">
      <c r="B53" s="338"/>
      <c r="C53" s="325" t="s">
        <v>245</v>
      </c>
      <c r="D53" s="288"/>
      <c r="E53" s="317"/>
      <c r="F53" s="293"/>
      <c r="G53" s="293"/>
      <c r="H53" s="293"/>
      <c r="I53" s="293"/>
      <c r="J53" s="293"/>
    </row>
    <row r="54" spans="2:10" x14ac:dyDescent="0.35">
      <c r="B54" s="276" t="s">
        <v>246</v>
      </c>
      <c r="C54" s="277" t="s">
        <v>247</v>
      </c>
      <c r="D54" s="276"/>
      <c r="E54" s="278"/>
      <c r="F54" s="339"/>
      <c r="G54" s="339"/>
      <c r="H54" s="339"/>
      <c r="I54" s="339"/>
      <c r="J54" s="339"/>
    </row>
    <row r="55" spans="2:10" s="261" customFormat="1" x14ac:dyDescent="0.35">
      <c r="B55" s="286">
        <v>1</v>
      </c>
      <c r="C55" s="325" t="s">
        <v>248</v>
      </c>
      <c r="D55" s="286" t="s">
        <v>240</v>
      </c>
      <c r="E55" s="340">
        <v>1</v>
      </c>
      <c r="F55" s="328">
        <v>5000000</v>
      </c>
      <c r="G55" s="328"/>
      <c r="H55" s="319">
        <f>F55+G55</f>
        <v>5000000</v>
      </c>
      <c r="I55" s="319">
        <f>E55*H55</f>
        <v>5000000</v>
      </c>
      <c r="J55" s="293"/>
    </row>
    <row r="56" spans="2:10" s="261" customFormat="1" x14ac:dyDescent="0.35">
      <c r="B56" s="286">
        <v>2</v>
      </c>
      <c r="C56" s="325" t="s">
        <v>249</v>
      </c>
      <c r="D56" s="286" t="s">
        <v>240</v>
      </c>
      <c r="E56" s="340">
        <v>1</v>
      </c>
      <c r="F56" s="328">
        <v>10000000</v>
      </c>
      <c r="G56" s="328"/>
      <c r="H56" s="319">
        <f>F56+G56</f>
        <v>10000000</v>
      </c>
      <c r="I56" s="319">
        <f t="shared" ref="I56:I57" si="11">E56*H56</f>
        <v>10000000</v>
      </c>
      <c r="J56" s="293"/>
    </row>
    <row r="57" spans="2:10" s="261" customFormat="1" x14ac:dyDescent="0.35">
      <c r="B57" s="286">
        <v>3</v>
      </c>
      <c r="C57" s="325" t="s">
        <v>250</v>
      </c>
      <c r="D57" s="286" t="s">
        <v>240</v>
      </c>
      <c r="E57" s="340">
        <v>1</v>
      </c>
      <c r="F57" s="328">
        <v>3000000</v>
      </c>
      <c r="G57" s="328"/>
      <c r="H57" s="319">
        <f>F57+G57</f>
        <v>3000000</v>
      </c>
      <c r="I57" s="319">
        <f t="shared" si="11"/>
        <v>3000000</v>
      </c>
      <c r="J57" s="293"/>
    </row>
    <row r="58" spans="2:10" s="261" customFormat="1" x14ac:dyDescent="0.3">
      <c r="B58" s="329">
        <v>4</v>
      </c>
      <c r="C58" s="341" t="s">
        <v>251</v>
      </c>
      <c r="D58" s="331" t="s">
        <v>240</v>
      </c>
      <c r="E58" s="331">
        <v>1</v>
      </c>
      <c r="F58" s="342"/>
      <c r="G58" s="342">
        <v>3500000</v>
      </c>
      <c r="H58" s="334">
        <f>F58+G58</f>
        <v>3500000</v>
      </c>
      <c r="I58" s="334">
        <f>E58*H58</f>
        <v>3500000</v>
      </c>
      <c r="J58" s="343"/>
    </row>
    <row r="59" spans="2:10" s="261" customFormat="1" x14ac:dyDescent="0.3">
      <c r="B59" s="329">
        <v>5</v>
      </c>
      <c r="C59" s="341" t="s">
        <v>252</v>
      </c>
      <c r="D59" s="331" t="s">
        <v>240</v>
      </c>
      <c r="E59" s="331">
        <v>1</v>
      </c>
      <c r="F59" s="342"/>
      <c r="G59" s="342">
        <v>3000000</v>
      </c>
      <c r="H59" s="334">
        <f>F59+G59</f>
        <v>3000000</v>
      </c>
      <c r="I59" s="334">
        <f>E59*H59</f>
        <v>3000000</v>
      </c>
      <c r="J59" s="343"/>
    </row>
    <row r="60" spans="2:10" s="261" customFormat="1" x14ac:dyDescent="0.3">
      <c r="B60" s="329"/>
      <c r="C60" s="341" t="s">
        <v>253</v>
      </c>
      <c r="D60" s="331"/>
      <c r="E60" s="331"/>
      <c r="F60" s="342"/>
      <c r="G60" s="342"/>
      <c r="H60" s="334"/>
      <c r="I60" s="334"/>
      <c r="J60" s="343"/>
    </row>
    <row r="61" spans="2:10" s="261" customFormat="1" x14ac:dyDescent="0.3">
      <c r="B61" s="329"/>
      <c r="C61" s="341" t="s">
        <v>254</v>
      </c>
      <c r="D61" s="331"/>
      <c r="E61" s="331"/>
      <c r="F61" s="342"/>
      <c r="G61" s="342"/>
      <c r="H61" s="334"/>
      <c r="I61" s="334"/>
      <c r="J61" s="343"/>
    </row>
    <row r="62" spans="2:10" s="261" customFormat="1" x14ac:dyDescent="0.35">
      <c r="B62" s="344" t="s">
        <v>198</v>
      </c>
      <c r="C62" s="345" t="s">
        <v>255</v>
      </c>
      <c r="D62" s="309"/>
      <c r="E62" s="346"/>
      <c r="F62" s="293"/>
      <c r="G62" s="293"/>
      <c r="H62" s="293"/>
      <c r="I62" s="293"/>
      <c r="J62" s="293"/>
    </row>
    <row r="63" spans="2:10" s="261" customFormat="1" x14ac:dyDescent="0.35">
      <c r="B63" s="324">
        <v>10</v>
      </c>
      <c r="C63" s="316" t="s">
        <v>256</v>
      </c>
      <c r="D63" s="286" t="s">
        <v>222</v>
      </c>
      <c r="E63" s="340">
        <v>100</v>
      </c>
      <c r="F63" s="347">
        <v>285000</v>
      </c>
      <c r="G63" s="337">
        <v>20000</v>
      </c>
      <c r="H63" s="319">
        <f>F63+G63</f>
        <v>305000</v>
      </c>
      <c r="I63" s="319">
        <f>E63*H63</f>
        <v>30500000</v>
      </c>
      <c r="J63" s="293"/>
    </row>
    <row r="64" spans="2:10" s="261" customFormat="1" ht="44.25" customHeight="1" x14ac:dyDescent="0.35">
      <c r="B64" s="348" t="s">
        <v>203</v>
      </c>
      <c r="C64" s="349" t="s">
        <v>257</v>
      </c>
      <c r="D64" s="350" t="s">
        <v>258</v>
      </c>
      <c r="E64" s="351">
        <v>1</v>
      </c>
      <c r="F64" s="352">
        <v>30000000</v>
      </c>
      <c r="G64" s="352">
        <v>300000</v>
      </c>
      <c r="H64" s="353">
        <f>F64+G64</f>
        <v>30300000</v>
      </c>
      <c r="I64" s="353">
        <f>E64*H64</f>
        <v>30300000</v>
      </c>
      <c r="J64" s="293"/>
    </row>
    <row r="65" spans="2:10" s="261" customFormat="1" ht="15.75" customHeight="1" x14ac:dyDescent="0.35">
      <c r="B65" s="354"/>
      <c r="C65" s="355" t="s">
        <v>259</v>
      </c>
      <c r="D65" s="356" t="s">
        <v>260</v>
      </c>
      <c r="E65" s="351"/>
      <c r="F65" s="314"/>
      <c r="G65" s="314"/>
      <c r="H65" s="314"/>
      <c r="I65" s="314"/>
      <c r="J65" s="293"/>
    </row>
    <row r="66" spans="2:10" s="261" customFormat="1" x14ac:dyDescent="0.35">
      <c r="B66" s="354"/>
      <c r="C66" s="355" t="s">
        <v>261</v>
      </c>
      <c r="D66" s="356" t="s">
        <v>262</v>
      </c>
      <c r="E66" s="351"/>
      <c r="F66" s="314"/>
      <c r="G66" s="314"/>
      <c r="H66" s="314"/>
      <c r="I66" s="314"/>
      <c r="J66" s="293"/>
    </row>
    <row r="67" spans="2:10" s="261" customFormat="1" x14ac:dyDescent="0.35">
      <c r="B67" s="354"/>
      <c r="C67" s="355" t="s">
        <v>263</v>
      </c>
      <c r="D67" s="356"/>
      <c r="E67" s="351"/>
      <c r="F67" s="314"/>
      <c r="G67" s="314"/>
      <c r="H67" s="314"/>
      <c r="I67" s="314"/>
      <c r="J67" s="293"/>
    </row>
    <row r="68" spans="2:10" s="261" customFormat="1" x14ac:dyDescent="0.35">
      <c r="B68" s="354"/>
      <c r="C68" s="355" t="s">
        <v>264</v>
      </c>
      <c r="D68" s="356" t="s">
        <v>265</v>
      </c>
      <c r="E68" s="351"/>
      <c r="F68" s="314"/>
      <c r="G68" s="314"/>
      <c r="H68" s="314"/>
      <c r="I68" s="314"/>
      <c r="J68" s="293"/>
    </row>
    <row r="69" spans="2:10" s="261" customFormat="1" x14ac:dyDescent="0.35">
      <c r="B69" s="354"/>
      <c r="C69" s="355" t="s">
        <v>266</v>
      </c>
      <c r="D69" s="356" t="s">
        <v>262</v>
      </c>
      <c r="E69" s="351"/>
      <c r="F69" s="314"/>
      <c r="G69" s="314"/>
      <c r="H69" s="314"/>
      <c r="I69" s="314"/>
      <c r="J69" s="293"/>
    </row>
    <row r="70" spans="2:10" s="261" customFormat="1" x14ac:dyDescent="0.35">
      <c r="B70" s="354"/>
      <c r="C70" s="355" t="s">
        <v>267</v>
      </c>
      <c r="D70" s="356" t="s">
        <v>265</v>
      </c>
      <c r="E70" s="351"/>
      <c r="F70" s="314"/>
      <c r="G70" s="314"/>
      <c r="H70" s="314"/>
      <c r="I70" s="314"/>
      <c r="J70" s="293"/>
    </row>
    <row r="71" spans="2:10" s="261" customFormat="1" x14ac:dyDescent="0.35">
      <c r="B71" s="354"/>
      <c r="C71" s="355" t="s">
        <v>268</v>
      </c>
      <c r="D71" s="356" t="s">
        <v>269</v>
      </c>
      <c r="E71" s="351"/>
      <c r="F71" s="314"/>
      <c r="G71" s="314"/>
      <c r="H71" s="314"/>
      <c r="I71" s="314"/>
      <c r="J71" s="293"/>
    </row>
    <row r="72" spans="2:10" x14ac:dyDescent="0.3">
      <c r="B72" s="357" t="s">
        <v>270</v>
      </c>
      <c r="C72" s="358" t="s">
        <v>271</v>
      </c>
      <c r="D72" s="359"/>
      <c r="E72" s="360"/>
      <c r="F72" s="361"/>
      <c r="G72" s="362"/>
      <c r="H72" s="363"/>
      <c r="I72" s="364"/>
      <c r="J72" s="365"/>
    </row>
    <row r="73" spans="2:10" s="261" customFormat="1" x14ac:dyDescent="0.3">
      <c r="B73" s="366" t="s">
        <v>192</v>
      </c>
      <c r="C73" s="367" t="s">
        <v>272</v>
      </c>
      <c r="D73" s="368"/>
      <c r="E73" s="368"/>
      <c r="F73" s="369"/>
      <c r="G73" s="369"/>
      <c r="H73" s="370"/>
      <c r="I73" s="370"/>
      <c r="J73" s="371"/>
    </row>
    <row r="74" spans="2:10" s="261" customFormat="1" x14ac:dyDescent="0.3">
      <c r="B74" s="329">
        <v>1</v>
      </c>
      <c r="C74" s="341" t="s">
        <v>273</v>
      </c>
      <c r="D74" s="331" t="s">
        <v>222</v>
      </c>
      <c r="E74" s="331">
        <v>160</v>
      </c>
      <c r="F74" s="342"/>
      <c r="G74" s="342">
        <v>5000</v>
      </c>
      <c r="H74" s="334">
        <f>F74+G74</f>
        <v>5000</v>
      </c>
      <c r="I74" s="334">
        <f>E74*H74</f>
        <v>800000</v>
      </c>
      <c r="J74" s="343"/>
    </row>
    <row r="75" spans="2:10" s="261" customFormat="1" x14ac:dyDescent="0.3">
      <c r="B75" s="366" t="s">
        <v>198</v>
      </c>
      <c r="C75" s="367" t="s">
        <v>274</v>
      </c>
      <c r="D75" s="368"/>
      <c r="E75" s="368"/>
      <c r="F75" s="369"/>
      <c r="G75" s="369"/>
      <c r="H75" s="370"/>
      <c r="I75" s="370"/>
      <c r="J75" s="371"/>
    </row>
    <row r="76" spans="2:10" s="261" customFormat="1" x14ac:dyDescent="0.3">
      <c r="B76" s="329">
        <v>1</v>
      </c>
      <c r="C76" s="341" t="s">
        <v>275</v>
      </c>
      <c r="D76" s="331" t="s">
        <v>276</v>
      </c>
      <c r="E76" s="331">
        <v>1</v>
      </c>
      <c r="F76" s="342">
        <v>3000000</v>
      </c>
      <c r="G76" s="342">
        <v>20000</v>
      </c>
      <c r="H76" s="334">
        <f>F76+G76</f>
        <v>3020000</v>
      </c>
      <c r="I76" s="334">
        <f>E76*H76</f>
        <v>3020000</v>
      </c>
      <c r="J76" s="343"/>
    </row>
    <row r="77" spans="2:10" s="261" customFormat="1" hidden="1" x14ac:dyDescent="0.3">
      <c r="B77" s="366" t="s">
        <v>203</v>
      </c>
      <c r="C77" s="367" t="s">
        <v>277</v>
      </c>
      <c r="D77" s="368"/>
      <c r="E77" s="368"/>
      <c r="F77" s="369"/>
      <c r="G77" s="369"/>
      <c r="H77" s="370"/>
      <c r="I77" s="370"/>
      <c r="J77" s="371"/>
    </row>
    <row r="78" spans="2:10" s="261" customFormat="1" hidden="1" x14ac:dyDescent="0.3">
      <c r="B78" s="329">
        <v>1</v>
      </c>
      <c r="C78" s="341" t="s">
        <v>278</v>
      </c>
      <c r="D78" s="331" t="s">
        <v>276</v>
      </c>
      <c r="E78" s="331"/>
      <c r="F78" s="342">
        <v>2500000</v>
      </c>
      <c r="G78" s="342">
        <v>250000</v>
      </c>
      <c r="H78" s="334">
        <f>F78+G78</f>
        <v>2750000</v>
      </c>
      <c r="I78" s="334">
        <f>E78*H78</f>
        <v>0</v>
      </c>
      <c r="J78" s="343"/>
    </row>
    <row r="79" spans="2:10" s="261" customFormat="1" x14ac:dyDescent="0.3">
      <c r="B79" s="366" t="s">
        <v>208</v>
      </c>
      <c r="C79" s="367" t="s">
        <v>247</v>
      </c>
      <c r="D79" s="368"/>
      <c r="E79" s="368"/>
      <c r="F79" s="369"/>
      <c r="G79" s="369"/>
      <c r="H79" s="370"/>
      <c r="I79" s="370"/>
      <c r="J79" s="371"/>
    </row>
    <row r="80" spans="2:10" s="261" customFormat="1" x14ac:dyDescent="0.3">
      <c r="B80" s="329">
        <v>1</v>
      </c>
      <c r="C80" s="341" t="s">
        <v>279</v>
      </c>
      <c r="D80" s="331" t="s">
        <v>280</v>
      </c>
      <c r="E80" s="331">
        <v>96</v>
      </c>
      <c r="F80" s="342">
        <v>40000</v>
      </c>
      <c r="G80" s="342"/>
      <c r="H80" s="334">
        <f>F80+G80</f>
        <v>40000</v>
      </c>
      <c r="I80" s="334">
        <f>E80*H80</f>
        <v>3840000</v>
      </c>
      <c r="J80" s="343"/>
    </row>
    <row r="81" spans="2:10" s="261" customFormat="1" x14ac:dyDescent="0.3">
      <c r="B81" s="329">
        <v>2</v>
      </c>
      <c r="C81" s="341" t="s">
        <v>281</v>
      </c>
      <c r="D81" s="331" t="s">
        <v>280</v>
      </c>
      <c r="E81" s="331">
        <v>48</v>
      </c>
      <c r="F81" s="342">
        <v>40000</v>
      </c>
      <c r="G81" s="342"/>
      <c r="H81" s="334">
        <f>F81+G81</f>
        <v>40000</v>
      </c>
      <c r="I81" s="334">
        <f>E81*H81</f>
        <v>1920000</v>
      </c>
      <c r="J81" s="343"/>
    </row>
    <row r="82" spans="2:10" s="261" customFormat="1" x14ac:dyDescent="0.3">
      <c r="B82" s="276" t="s">
        <v>282</v>
      </c>
      <c r="C82" s="277" t="s">
        <v>75</v>
      </c>
      <c r="D82" s="276"/>
      <c r="E82" s="276"/>
      <c r="F82" s="339"/>
      <c r="G82" s="339"/>
      <c r="H82" s="339"/>
      <c r="I82" s="339"/>
      <c r="J82" s="343"/>
    </row>
    <row r="83" spans="2:10" s="261" customFormat="1" x14ac:dyDescent="0.3">
      <c r="B83" s="329">
        <v>1</v>
      </c>
      <c r="C83" s="341" t="s">
        <v>283</v>
      </c>
      <c r="D83" s="331" t="s">
        <v>240</v>
      </c>
      <c r="E83" s="331">
        <v>1</v>
      </c>
      <c r="F83" s="342">
        <v>10000000</v>
      </c>
      <c r="G83" s="342">
        <v>3000000</v>
      </c>
      <c r="H83" s="334">
        <f>F83+G83</f>
        <v>13000000</v>
      </c>
      <c r="I83" s="334">
        <f>E83*H83</f>
        <v>13000000</v>
      </c>
      <c r="J83" s="343"/>
    </row>
    <row r="84" spans="2:10" s="261" customFormat="1" x14ac:dyDescent="0.3">
      <c r="B84" s="329">
        <v>2</v>
      </c>
      <c r="C84" s="341" t="s">
        <v>284</v>
      </c>
      <c r="D84" s="331" t="s">
        <v>240</v>
      </c>
      <c r="E84" s="331">
        <v>1</v>
      </c>
      <c r="F84" s="342"/>
      <c r="G84" s="342">
        <v>2500000</v>
      </c>
      <c r="H84" s="334">
        <f>F84+G84</f>
        <v>2500000</v>
      </c>
      <c r="I84" s="334">
        <f>E84*H84</f>
        <v>2500000</v>
      </c>
      <c r="J84" s="343"/>
    </row>
    <row r="85" spans="2:10" s="261" customFormat="1" x14ac:dyDescent="0.3">
      <c r="B85" s="329">
        <v>3</v>
      </c>
      <c r="C85" s="341" t="s">
        <v>285</v>
      </c>
      <c r="D85" s="331" t="s">
        <v>240</v>
      </c>
      <c r="E85" s="331">
        <v>1</v>
      </c>
      <c r="F85" s="342">
        <v>5000000</v>
      </c>
      <c r="G85" s="342"/>
      <c r="H85" s="334">
        <f>F85+G85</f>
        <v>5000000</v>
      </c>
      <c r="I85" s="334">
        <f>E85*H85</f>
        <v>5000000</v>
      </c>
      <c r="J85" s="343" t="s">
        <v>286</v>
      </c>
    </row>
    <row r="86" spans="2:10" s="376" customFormat="1" ht="27.75" customHeight="1" x14ac:dyDescent="0.35">
      <c r="B86" s="372"/>
      <c r="C86" s="372"/>
      <c r="D86" s="372"/>
      <c r="E86" s="372"/>
      <c r="F86" s="372"/>
      <c r="G86" s="372"/>
      <c r="H86" s="373" t="s">
        <v>287</v>
      </c>
      <c r="I86" s="374">
        <f>SUM(I10:I85)</f>
        <v>239068200</v>
      </c>
      <c r="J86" s="375"/>
    </row>
    <row r="87" spans="2:10" x14ac:dyDescent="0.35">
      <c r="E87" s="378"/>
      <c r="F87" s="378"/>
      <c r="G87" s="378"/>
      <c r="H87" s="378"/>
      <c r="I87" s="378"/>
    </row>
    <row r="88" spans="2:10" x14ac:dyDescent="0.35">
      <c r="E88" s="281"/>
      <c r="F88" s="281"/>
      <c r="G88" s="281"/>
      <c r="H88" s="281"/>
      <c r="I88" s="281"/>
    </row>
    <row r="89" spans="2:10" x14ac:dyDescent="0.35">
      <c r="E89" s="281"/>
      <c r="F89" s="281"/>
      <c r="G89" s="281"/>
      <c r="H89" s="281"/>
      <c r="I89" s="379">
        <f>I86/50</f>
        <v>4781364</v>
      </c>
    </row>
    <row r="90" spans="2:10" x14ac:dyDescent="0.35">
      <c r="E90" s="281"/>
      <c r="F90" s="281"/>
      <c r="G90" s="380"/>
      <c r="H90" s="380"/>
      <c r="I90" s="281"/>
    </row>
    <row r="91" spans="2:10" x14ac:dyDescent="0.35">
      <c r="E91" s="281"/>
      <c r="F91" s="281"/>
      <c r="G91" s="281"/>
      <c r="H91" s="281"/>
      <c r="I91" s="281"/>
    </row>
    <row r="92" spans="2:10" x14ac:dyDescent="0.35">
      <c r="E92" s="281"/>
      <c r="F92" s="281"/>
      <c r="G92" s="281"/>
      <c r="H92" s="281"/>
      <c r="I92" s="281"/>
    </row>
    <row r="93" spans="2:10" x14ac:dyDescent="0.35">
      <c r="E93" s="281"/>
      <c r="F93" s="281"/>
      <c r="G93" s="281"/>
      <c r="H93" s="381"/>
      <c r="I93" s="281"/>
    </row>
    <row r="94" spans="2:10" x14ac:dyDescent="0.35">
      <c r="E94" s="281"/>
      <c r="F94" s="281"/>
      <c r="G94" s="281"/>
      <c r="H94" s="281"/>
      <c r="I94" s="281"/>
    </row>
    <row r="95" spans="2:10" x14ac:dyDescent="0.35">
      <c r="E95" s="281"/>
      <c r="F95" s="281"/>
      <c r="G95" s="281"/>
      <c r="H95" s="281"/>
      <c r="I95" s="379"/>
    </row>
    <row r="96" spans="2:10" x14ac:dyDescent="0.35">
      <c r="E96" s="281"/>
      <c r="F96" s="281"/>
      <c r="G96" s="281"/>
      <c r="H96" s="281"/>
      <c r="I96" s="281"/>
    </row>
    <row r="97" spans="5:9" x14ac:dyDescent="0.35">
      <c r="E97" s="281"/>
      <c r="F97" s="281"/>
      <c r="G97" s="281"/>
      <c r="H97" s="281"/>
      <c r="I97" s="281"/>
    </row>
    <row r="98" spans="5:9" x14ac:dyDescent="0.35">
      <c r="E98" s="281"/>
      <c r="F98" s="281"/>
      <c r="G98" s="281"/>
      <c r="H98" s="281"/>
      <c r="I98" s="281"/>
    </row>
    <row r="99" spans="5:9" x14ac:dyDescent="0.35">
      <c r="E99" s="281"/>
      <c r="F99" s="281"/>
      <c r="G99" s="281"/>
      <c r="H99" s="281"/>
      <c r="I99" s="281"/>
    </row>
    <row r="100" spans="5:9" x14ac:dyDescent="0.35">
      <c r="E100" s="281"/>
      <c r="F100" s="281"/>
      <c r="G100" s="281"/>
      <c r="H100" s="281"/>
      <c r="I100" s="281"/>
    </row>
    <row r="101" spans="5:9" x14ac:dyDescent="0.35">
      <c r="E101" s="281"/>
      <c r="F101" s="281"/>
      <c r="G101" s="281"/>
      <c r="H101" s="281"/>
      <c r="I101" s="281"/>
    </row>
    <row r="102" spans="5:9" x14ac:dyDescent="0.35">
      <c r="E102" s="281"/>
      <c r="F102" s="281"/>
      <c r="G102" s="281"/>
      <c r="H102" s="281"/>
      <c r="I102" s="281"/>
    </row>
    <row r="103" spans="5:9" x14ac:dyDescent="0.35">
      <c r="E103" s="281"/>
      <c r="F103" s="281"/>
      <c r="G103" s="281"/>
      <c r="H103" s="281"/>
      <c r="I103" s="281"/>
    </row>
    <row r="104" spans="5:9" x14ac:dyDescent="0.35">
      <c r="E104" s="281"/>
      <c r="F104" s="281"/>
      <c r="G104" s="281"/>
      <c r="H104" s="281"/>
      <c r="I104" s="281"/>
    </row>
    <row r="105" spans="5:9" x14ac:dyDescent="0.35">
      <c r="E105" s="281"/>
      <c r="F105" s="281"/>
      <c r="G105" s="281"/>
      <c r="H105" s="281"/>
      <c r="I105" s="281"/>
    </row>
    <row r="106" spans="5:9" x14ac:dyDescent="0.35">
      <c r="E106" s="281"/>
      <c r="F106" s="281"/>
      <c r="G106" s="281"/>
      <c r="H106" s="281"/>
      <c r="I106" s="281"/>
    </row>
    <row r="107" spans="5:9" x14ac:dyDescent="0.35">
      <c r="E107" s="281"/>
      <c r="F107" s="281"/>
      <c r="G107" s="281"/>
      <c r="H107" s="281"/>
      <c r="I107" s="281"/>
    </row>
    <row r="108" spans="5:9" x14ac:dyDescent="0.35">
      <c r="E108" s="281"/>
      <c r="F108" s="281"/>
      <c r="G108" s="281"/>
      <c r="H108" s="281"/>
      <c r="I108" s="281"/>
    </row>
    <row r="109" spans="5:9" x14ac:dyDescent="0.35">
      <c r="E109" s="281"/>
      <c r="F109" s="281"/>
      <c r="G109" s="281"/>
      <c r="H109" s="281"/>
      <c r="I109" s="281"/>
    </row>
    <row r="110" spans="5:9" x14ac:dyDescent="0.35">
      <c r="E110" s="281"/>
      <c r="F110" s="281"/>
      <c r="G110" s="281"/>
      <c r="H110" s="281"/>
      <c r="I110" s="281"/>
    </row>
    <row r="111" spans="5:9" x14ac:dyDescent="0.35">
      <c r="E111" s="281"/>
      <c r="F111" s="281"/>
      <c r="G111" s="281"/>
      <c r="H111" s="281"/>
      <c r="I111" s="281"/>
    </row>
    <row r="112" spans="5:9" x14ac:dyDescent="0.35">
      <c r="E112" s="281"/>
      <c r="F112" s="281"/>
      <c r="G112" s="281"/>
      <c r="H112" s="281"/>
      <c r="I112" s="281"/>
    </row>
    <row r="113" spans="5:9" x14ac:dyDescent="0.35">
      <c r="E113" s="281"/>
      <c r="F113" s="281"/>
      <c r="G113" s="281"/>
      <c r="H113" s="281"/>
      <c r="I113" s="281"/>
    </row>
    <row r="114" spans="5:9" x14ac:dyDescent="0.35">
      <c r="E114" s="281"/>
      <c r="F114" s="281"/>
      <c r="G114" s="281"/>
      <c r="H114" s="281"/>
      <c r="I114" s="281"/>
    </row>
    <row r="115" spans="5:9" x14ac:dyDescent="0.35">
      <c r="E115" s="281"/>
      <c r="F115" s="281"/>
      <c r="G115" s="281"/>
      <c r="H115" s="281"/>
      <c r="I115" s="281"/>
    </row>
    <row r="116" spans="5:9" x14ac:dyDescent="0.35">
      <c r="E116" s="281"/>
      <c r="F116" s="281"/>
      <c r="G116" s="281"/>
      <c r="H116" s="281"/>
      <c r="I116" s="281"/>
    </row>
    <row r="117" spans="5:9" x14ac:dyDescent="0.35">
      <c r="E117" s="281"/>
      <c r="F117" s="281"/>
      <c r="G117" s="281"/>
      <c r="H117" s="281"/>
      <c r="I117" s="281"/>
    </row>
    <row r="118" spans="5:9" x14ac:dyDescent="0.35">
      <c r="E118" s="281"/>
      <c r="F118" s="281"/>
      <c r="G118" s="281"/>
      <c r="H118" s="281"/>
      <c r="I118" s="281"/>
    </row>
    <row r="119" spans="5:9" x14ac:dyDescent="0.35">
      <c r="E119" s="281"/>
      <c r="F119" s="281"/>
      <c r="G119" s="281"/>
      <c r="H119" s="281"/>
      <c r="I119" s="281"/>
    </row>
    <row r="120" spans="5:9" x14ac:dyDescent="0.35">
      <c r="E120" s="281"/>
      <c r="F120" s="281"/>
      <c r="G120" s="281"/>
      <c r="H120" s="281"/>
      <c r="I120" s="281"/>
    </row>
    <row r="121" spans="5:9" x14ac:dyDescent="0.35">
      <c r="E121" s="281"/>
      <c r="F121" s="281"/>
      <c r="G121" s="281"/>
      <c r="H121" s="281"/>
      <c r="I121" s="281"/>
    </row>
    <row r="122" spans="5:9" x14ac:dyDescent="0.35">
      <c r="E122" s="281"/>
      <c r="F122" s="281"/>
      <c r="G122" s="281"/>
      <c r="H122" s="281"/>
      <c r="I122" s="281"/>
    </row>
    <row r="123" spans="5:9" x14ac:dyDescent="0.35">
      <c r="E123" s="281"/>
      <c r="F123" s="281"/>
      <c r="G123" s="281"/>
      <c r="H123" s="281"/>
      <c r="I123" s="281"/>
    </row>
    <row r="124" spans="5:9" x14ac:dyDescent="0.35">
      <c r="E124" s="281"/>
      <c r="F124" s="281"/>
      <c r="G124" s="281"/>
      <c r="H124" s="281"/>
      <c r="I124" s="281"/>
    </row>
    <row r="125" spans="5:9" x14ac:dyDescent="0.35">
      <c r="E125" s="281"/>
      <c r="F125" s="281"/>
      <c r="G125" s="281"/>
      <c r="H125" s="281"/>
      <c r="I125" s="281"/>
    </row>
    <row r="126" spans="5:9" x14ac:dyDescent="0.35">
      <c r="E126" s="281"/>
      <c r="F126" s="281"/>
      <c r="G126" s="281"/>
      <c r="H126" s="281"/>
      <c r="I126" s="281"/>
    </row>
    <row r="127" spans="5:9" x14ac:dyDescent="0.35">
      <c r="E127" s="281"/>
      <c r="F127" s="281"/>
      <c r="G127" s="281"/>
      <c r="H127" s="281"/>
      <c r="I127" s="281"/>
    </row>
    <row r="128" spans="5:9" x14ac:dyDescent="0.35">
      <c r="E128" s="281"/>
      <c r="F128" s="281"/>
      <c r="G128" s="281"/>
      <c r="H128" s="281"/>
      <c r="I128" s="281"/>
    </row>
    <row r="129" spans="5:9" x14ac:dyDescent="0.35">
      <c r="E129" s="281"/>
      <c r="F129" s="281"/>
      <c r="G129" s="281"/>
      <c r="H129" s="281"/>
      <c r="I129" s="281"/>
    </row>
    <row r="130" spans="5:9" x14ac:dyDescent="0.35">
      <c r="E130" s="281"/>
      <c r="F130" s="281"/>
      <c r="G130" s="281"/>
      <c r="H130" s="281"/>
      <c r="I130" s="281"/>
    </row>
    <row r="131" spans="5:9" x14ac:dyDescent="0.35">
      <c r="E131" s="281"/>
      <c r="F131" s="281"/>
      <c r="G131" s="281"/>
      <c r="H131" s="281"/>
      <c r="I131" s="281"/>
    </row>
    <row r="132" spans="5:9" x14ac:dyDescent="0.35">
      <c r="E132" s="281"/>
      <c r="F132" s="281"/>
      <c r="G132" s="281"/>
      <c r="H132" s="281"/>
      <c r="I132" s="281"/>
    </row>
    <row r="133" spans="5:9" x14ac:dyDescent="0.35">
      <c r="E133" s="281"/>
      <c r="F133" s="281"/>
      <c r="G133" s="281"/>
      <c r="H133" s="281"/>
      <c r="I133" s="281"/>
    </row>
    <row r="134" spans="5:9" x14ac:dyDescent="0.35">
      <c r="E134" s="281"/>
      <c r="F134" s="281"/>
      <c r="G134" s="281"/>
      <c r="H134" s="281"/>
      <c r="I134" s="281"/>
    </row>
    <row r="135" spans="5:9" x14ac:dyDescent="0.35">
      <c r="E135" s="281"/>
      <c r="F135" s="281"/>
      <c r="G135" s="281"/>
      <c r="H135" s="281"/>
      <c r="I135" s="281"/>
    </row>
    <row r="136" spans="5:9" x14ac:dyDescent="0.35">
      <c r="E136" s="281"/>
      <c r="F136" s="281"/>
      <c r="G136" s="281"/>
      <c r="H136" s="281"/>
      <c r="I136" s="281"/>
    </row>
    <row r="137" spans="5:9" x14ac:dyDescent="0.35">
      <c r="E137" s="281"/>
      <c r="F137" s="281"/>
      <c r="G137" s="281"/>
      <c r="H137" s="281"/>
      <c r="I137" s="281"/>
    </row>
    <row r="138" spans="5:9" x14ac:dyDescent="0.35">
      <c r="E138" s="281"/>
      <c r="F138" s="281"/>
      <c r="G138" s="281"/>
      <c r="H138" s="281"/>
      <c r="I138" s="281"/>
    </row>
    <row r="139" spans="5:9" x14ac:dyDescent="0.35">
      <c r="E139" s="281"/>
      <c r="F139" s="281"/>
      <c r="G139" s="281"/>
      <c r="H139" s="281"/>
      <c r="I139" s="281"/>
    </row>
    <row r="140" spans="5:9" x14ac:dyDescent="0.35">
      <c r="E140" s="281"/>
      <c r="F140" s="281"/>
      <c r="G140" s="281"/>
      <c r="H140" s="281"/>
      <c r="I140" s="281"/>
    </row>
    <row r="141" spans="5:9" x14ac:dyDescent="0.35">
      <c r="E141" s="281"/>
      <c r="F141" s="281"/>
      <c r="G141" s="281"/>
      <c r="H141" s="281"/>
      <c r="I141" s="281"/>
    </row>
    <row r="142" spans="5:9" x14ac:dyDescent="0.35">
      <c r="E142" s="281"/>
      <c r="F142" s="281"/>
      <c r="G142" s="281"/>
      <c r="H142" s="281"/>
      <c r="I142" s="281"/>
    </row>
    <row r="143" spans="5:9" x14ac:dyDescent="0.35">
      <c r="E143" s="281"/>
      <c r="F143" s="281"/>
      <c r="G143" s="281"/>
      <c r="H143" s="281"/>
      <c r="I143" s="281"/>
    </row>
    <row r="144" spans="5:9" x14ac:dyDescent="0.35">
      <c r="E144" s="281"/>
      <c r="F144" s="281"/>
      <c r="G144" s="281"/>
      <c r="H144" s="281"/>
      <c r="I144" s="281"/>
    </row>
    <row r="145" spans="5:9" x14ac:dyDescent="0.35">
      <c r="E145" s="281"/>
      <c r="F145" s="281"/>
      <c r="G145" s="281"/>
      <c r="H145" s="281"/>
      <c r="I145" s="281"/>
    </row>
    <row r="146" spans="5:9" x14ac:dyDescent="0.35">
      <c r="E146" s="281"/>
      <c r="F146" s="281"/>
      <c r="G146" s="281"/>
      <c r="H146" s="281"/>
      <c r="I146" s="281"/>
    </row>
    <row r="147" spans="5:9" x14ac:dyDescent="0.35">
      <c r="E147" s="281"/>
      <c r="F147" s="281"/>
      <c r="G147" s="281"/>
      <c r="H147" s="281"/>
      <c r="I147" s="281"/>
    </row>
    <row r="148" spans="5:9" x14ac:dyDescent="0.35">
      <c r="E148" s="281"/>
      <c r="F148" s="281"/>
      <c r="G148" s="281"/>
      <c r="H148" s="281"/>
      <c r="I148" s="281"/>
    </row>
    <row r="149" spans="5:9" x14ac:dyDescent="0.35">
      <c r="E149" s="281"/>
      <c r="F149" s="281"/>
      <c r="G149" s="281"/>
      <c r="H149" s="281"/>
      <c r="I149" s="281"/>
    </row>
    <row r="150" spans="5:9" x14ac:dyDescent="0.35">
      <c r="E150" s="281"/>
      <c r="F150" s="281"/>
      <c r="G150" s="281"/>
      <c r="H150" s="281"/>
      <c r="I150" s="281"/>
    </row>
    <row r="151" spans="5:9" x14ac:dyDescent="0.35">
      <c r="E151" s="281"/>
      <c r="F151" s="281"/>
      <c r="G151" s="281"/>
      <c r="H151" s="281"/>
      <c r="I151" s="281"/>
    </row>
    <row r="152" spans="5:9" x14ac:dyDescent="0.35">
      <c r="E152" s="281"/>
      <c r="F152" s="281"/>
      <c r="G152" s="281"/>
      <c r="H152" s="281"/>
      <c r="I152" s="281"/>
    </row>
    <row r="153" spans="5:9" x14ac:dyDescent="0.35">
      <c r="E153" s="281"/>
      <c r="F153" s="281"/>
      <c r="G153" s="281"/>
      <c r="H153" s="281"/>
      <c r="I153" s="281"/>
    </row>
    <row r="154" spans="5:9" x14ac:dyDescent="0.35">
      <c r="E154" s="281"/>
      <c r="F154" s="281"/>
      <c r="G154" s="281"/>
      <c r="H154" s="281"/>
      <c r="I154" s="281"/>
    </row>
    <row r="155" spans="5:9" x14ac:dyDescent="0.35">
      <c r="E155" s="281"/>
      <c r="F155" s="281"/>
      <c r="G155" s="281"/>
      <c r="H155" s="281"/>
      <c r="I155" s="281"/>
    </row>
    <row r="156" spans="5:9" x14ac:dyDescent="0.35">
      <c r="E156" s="281"/>
      <c r="F156" s="281"/>
      <c r="G156" s="281"/>
      <c r="H156" s="281"/>
      <c r="I156" s="281"/>
    </row>
    <row r="157" spans="5:9" x14ac:dyDescent="0.35">
      <c r="E157" s="281"/>
      <c r="F157" s="281"/>
      <c r="G157" s="281"/>
      <c r="H157" s="281"/>
      <c r="I157" s="281"/>
    </row>
    <row r="158" spans="5:9" x14ac:dyDescent="0.35">
      <c r="E158" s="281"/>
      <c r="F158" s="281"/>
      <c r="G158" s="281"/>
      <c r="H158" s="281"/>
      <c r="I158" s="281"/>
    </row>
    <row r="159" spans="5:9" x14ac:dyDescent="0.35">
      <c r="E159" s="281"/>
      <c r="F159" s="281"/>
      <c r="G159" s="281"/>
      <c r="H159" s="281"/>
      <c r="I159" s="281"/>
    </row>
    <row r="160" spans="5:9" x14ac:dyDescent="0.35">
      <c r="E160" s="281"/>
      <c r="F160" s="281"/>
      <c r="G160" s="281"/>
      <c r="H160" s="281"/>
      <c r="I160" s="281"/>
    </row>
    <row r="161" spans="5:9" x14ac:dyDescent="0.35">
      <c r="E161" s="281"/>
      <c r="F161" s="281"/>
      <c r="G161" s="281"/>
      <c r="H161" s="281"/>
      <c r="I161" s="281"/>
    </row>
    <row r="162" spans="5:9" x14ac:dyDescent="0.35">
      <c r="E162" s="281"/>
      <c r="F162" s="281"/>
      <c r="G162" s="281"/>
      <c r="H162" s="281"/>
      <c r="I162" s="281"/>
    </row>
    <row r="163" spans="5:9" x14ac:dyDescent="0.35">
      <c r="E163" s="281"/>
      <c r="F163" s="281"/>
      <c r="G163" s="281"/>
      <c r="H163" s="281"/>
      <c r="I163" s="281"/>
    </row>
    <row r="164" spans="5:9" x14ac:dyDescent="0.35">
      <c r="E164" s="281"/>
      <c r="F164" s="281"/>
      <c r="G164" s="281"/>
      <c r="H164" s="281"/>
      <c r="I164" s="281"/>
    </row>
    <row r="165" spans="5:9" x14ac:dyDescent="0.35">
      <c r="E165" s="281"/>
      <c r="F165" s="281"/>
      <c r="G165" s="281"/>
      <c r="H165" s="281"/>
      <c r="I165" s="281"/>
    </row>
    <row r="166" spans="5:9" x14ac:dyDescent="0.35">
      <c r="E166" s="281"/>
      <c r="F166" s="281"/>
      <c r="G166" s="281"/>
      <c r="H166" s="281"/>
      <c r="I166" s="281"/>
    </row>
    <row r="167" spans="5:9" x14ac:dyDescent="0.35">
      <c r="E167" s="281"/>
      <c r="F167" s="281"/>
      <c r="G167" s="281"/>
      <c r="H167" s="281"/>
      <c r="I167" s="281"/>
    </row>
    <row r="168" spans="5:9" x14ac:dyDescent="0.35">
      <c r="E168" s="281"/>
      <c r="F168" s="281"/>
      <c r="G168" s="281"/>
      <c r="H168" s="281"/>
      <c r="I168" s="281"/>
    </row>
    <row r="169" spans="5:9" x14ac:dyDescent="0.35">
      <c r="E169" s="281"/>
      <c r="F169" s="281"/>
      <c r="G169" s="281"/>
      <c r="H169" s="281"/>
      <c r="I169" s="281"/>
    </row>
    <row r="170" spans="5:9" x14ac:dyDescent="0.35">
      <c r="E170" s="281"/>
      <c r="F170" s="281"/>
      <c r="G170" s="281"/>
      <c r="H170" s="281"/>
      <c r="I170" s="281"/>
    </row>
    <row r="171" spans="5:9" x14ac:dyDescent="0.35">
      <c r="E171" s="281"/>
      <c r="F171" s="281"/>
      <c r="G171" s="281"/>
      <c r="H171" s="281"/>
      <c r="I171" s="281"/>
    </row>
  </sheetData>
  <mergeCells count="10">
    <mergeCell ref="J5:J7"/>
    <mergeCell ref="B1:I1"/>
    <mergeCell ref="B5:B7"/>
    <mergeCell ref="C5:C7"/>
    <mergeCell ref="D5:D7"/>
    <mergeCell ref="E5:E7"/>
    <mergeCell ref="F5:F7"/>
    <mergeCell ref="G5:G7"/>
    <mergeCell ref="H5:H7"/>
    <mergeCell ref="I5:I7"/>
  </mergeCells>
  <pageMargins left="0.70866141732283505" right="0.70866141732283505" top="0.35433070866141703" bottom="0.74803149606299202" header="0.31496062992126" footer="0.31496062992126"/>
  <pageSetup paperSize="9" scale="49" orientation="landscape" r:id="rId1"/>
  <headerFooter>
    <oddFooter>&amp;L&amp;"+,Italic"&amp;14PT. Infrastruktur Bisnis Sejahtera&amp;C&amp;"+,Italic"&amp;14Page &amp;P of &amp;N&amp;R&amp;"+,Italic"&amp;14Sign Here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Summary</vt:lpstr>
      <vt:lpstr>Summary2</vt:lpstr>
      <vt:lpstr>IRR with FO</vt:lpstr>
      <vt:lpstr>IRR </vt:lpstr>
      <vt:lpstr>IRR with FO Oprt Berbayar</vt:lpstr>
      <vt:lpstr>IRR with FO Oprt Berbayar 1</vt:lpstr>
      <vt:lpstr>PARAMETER</vt:lpstr>
      <vt:lpstr>BOQ Liwo Grand Wisata</vt:lpstr>
      <vt:lpstr>'BOQ Liwo Grand Wisata'!Print_Area</vt:lpstr>
      <vt:lpstr>'IRR '!Print_Area</vt:lpstr>
      <vt:lpstr>'IRR with FO'!Print_Area</vt:lpstr>
      <vt:lpstr>'IRR with FO Oprt Berbayar'!Print_Area</vt:lpstr>
      <vt:lpstr>'IRR with FO Oprt Berbayar 1'!Print_Area</vt:lpstr>
      <vt:lpstr>Summary!Print_Area</vt:lpstr>
      <vt:lpstr>Summary2!Print_Area</vt:lpstr>
      <vt:lpstr>'BOQ Liwo Grand Wisata'!Print_Titles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2024-05-30T08:01:32Z</cp:lastPrinted>
  <dcterms:created xsi:type="dcterms:W3CDTF">2020-06-08T08:40:20Z</dcterms:created>
  <dcterms:modified xsi:type="dcterms:W3CDTF">2024-11-26T03:32:53Z</dcterms:modified>
</cp:coreProperties>
</file>