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833096B4-32DD-4987-A724-DAA9FC7C1987}" xr6:coauthVersionLast="36" xr6:coauthVersionMax="36" xr10:uidLastSave="{00000000-0000-0000-0000-000000000000}"/>
  <bookViews>
    <workbookView xWindow="0" yWindow="0" windowWidth="15200" windowHeight="6230" xr2:uid="{A4174494-61B9-4994-8303-9C4639E059BD}"/>
  </bookViews>
  <sheets>
    <sheet name="Summary" sheetId="1" r:id="rId1"/>
    <sheet name="IRR" sheetId="2" r:id="rId2"/>
    <sheet name="Analisa" sheetId="13" r:id="rId3"/>
    <sheet name="Summary Review " sheetId="8" r:id="rId4"/>
    <sheet name="IRR (2)" sheetId="9" r:id="rId5"/>
    <sheet name="IRR (3)" sheetId="12" r:id="rId6"/>
    <sheet name="Parameter" sheetId="4" r:id="rId7"/>
    <sheet name="Parameter (2)" sheetId="11" r:id="rId8"/>
  </sheets>
  <externalReferences>
    <externalReference r:id="rId9"/>
    <externalReference r:id="rId10"/>
  </externalReferences>
  <definedNames>
    <definedName name="jk" localSheetId="2">#REF!</definedName>
    <definedName name="jk" localSheetId="1">#REF!</definedName>
    <definedName name="jk" localSheetId="4">#REF!</definedName>
    <definedName name="jk" localSheetId="5">#REF!</definedName>
    <definedName name="jk" localSheetId="0">#REF!</definedName>
    <definedName name="jk" localSheetId="3">#REF!</definedName>
    <definedName name="jk">#REF!</definedName>
    <definedName name="_xlnm.Print_Area" localSheetId="1">IRR!$B$1:$Q$51</definedName>
    <definedName name="_xlnm.Print_Area" localSheetId="4">'IRR (2)'!$B$1:$Q$51</definedName>
    <definedName name="_xlnm.Print_Area" localSheetId="5">'IRR (3)'!$B$1:$Q$51</definedName>
    <definedName name="_xlnm.Print_Area" localSheetId="0">Summary!$B$2:$N$34</definedName>
    <definedName name="_xlnm.Print_Area" localSheetId="3">'Summary Review '!$A$1:$D$24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8" l="1"/>
  <c r="D11" i="13" l="1"/>
  <c r="F11" i="13" s="1"/>
  <c r="D13" i="13"/>
  <c r="F13" i="13" s="1"/>
  <c r="H17" i="2"/>
  <c r="D14" i="13"/>
  <c r="F14" i="13" s="1"/>
  <c r="D12" i="13"/>
  <c r="F12" i="13" s="1"/>
  <c r="D10" i="13"/>
  <c r="F10" i="13" l="1"/>
  <c r="F16" i="13" s="1"/>
  <c r="M12" i="1" l="1"/>
  <c r="G24" i="2"/>
  <c r="F36" i="2"/>
  <c r="H24" i="2"/>
  <c r="G9" i="2"/>
  <c r="J18" i="2"/>
  <c r="K18" i="2"/>
  <c r="J22" i="2"/>
  <c r="G25" i="2"/>
  <c r="L25" i="2"/>
  <c r="M25" i="2"/>
  <c r="N25" i="2"/>
  <c r="O25" i="2"/>
  <c r="P25" i="2"/>
  <c r="G22" i="2"/>
  <c r="J22" i="9"/>
  <c r="G22" i="9"/>
  <c r="R23" i="9"/>
  <c r="R22" i="9"/>
  <c r="I16" i="9"/>
  <c r="J16" i="9" s="1"/>
  <c r="K16" i="9" s="1"/>
  <c r="H16" i="9"/>
  <c r="Q2" i="9"/>
  <c r="H17" i="9"/>
  <c r="Q46" i="12"/>
  <c r="L51" i="12"/>
  <c r="L29" i="12" s="1"/>
  <c r="M51" i="12"/>
  <c r="N51" i="12"/>
  <c r="N29" i="12" s="1"/>
  <c r="O51" i="12"/>
  <c r="O29" i="12" s="1"/>
  <c r="P51" i="12"/>
  <c r="P29" i="12" s="1"/>
  <c r="L36" i="12"/>
  <c r="M36" i="12"/>
  <c r="N36" i="12"/>
  <c r="O36" i="12"/>
  <c r="P36" i="12"/>
  <c r="M31" i="12"/>
  <c r="N31" i="12"/>
  <c r="O31" i="12"/>
  <c r="P31" i="12"/>
  <c r="M29" i="12"/>
  <c r="Q23" i="12"/>
  <c r="Q25" i="12"/>
  <c r="Q17" i="12"/>
  <c r="Q18" i="12"/>
  <c r="L23" i="12"/>
  <c r="M23" i="12" s="1"/>
  <c r="N23" i="12" s="1"/>
  <c r="O23" i="12" s="1"/>
  <c r="P23" i="12" s="1"/>
  <c r="L17" i="12"/>
  <c r="M17" i="12" s="1"/>
  <c r="N17" i="12" s="1"/>
  <c r="O17" i="12" s="1"/>
  <c r="P17" i="12" s="1"/>
  <c r="L18" i="12"/>
  <c r="M18" i="12" s="1"/>
  <c r="N18" i="12" s="1"/>
  <c r="O18" i="12" s="1"/>
  <c r="P18" i="12" s="1"/>
  <c r="K48" i="12"/>
  <c r="I48" i="12"/>
  <c r="H47" i="12"/>
  <c r="J47" i="12" s="1"/>
  <c r="K47" i="12" s="1"/>
  <c r="G46" i="12"/>
  <c r="G51" i="12" s="1"/>
  <c r="K45" i="12"/>
  <c r="J45" i="12"/>
  <c r="I45" i="12"/>
  <c r="H45" i="12"/>
  <c r="G45" i="12"/>
  <c r="K36" i="12"/>
  <c r="J36" i="12"/>
  <c r="I36" i="12"/>
  <c r="H36" i="12"/>
  <c r="F36" i="12"/>
  <c r="F37" i="12" s="1"/>
  <c r="G26" i="12"/>
  <c r="H24" i="12"/>
  <c r="H23" i="12"/>
  <c r="I23" i="12" s="1"/>
  <c r="J23" i="12" s="1"/>
  <c r="K23" i="12" s="1"/>
  <c r="H22" i="12"/>
  <c r="I22" i="12" s="1"/>
  <c r="G19" i="12"/>
  <c r="H18" i="12"/>
  <c r="J17" i="12"/>
  <c r="K17" i="12" s="1"/>
  <c r="I17" i="12"/>
  <c r="H17" i="12"/>
  <c r="H11" i="12"/>
  <c r="I11" i="12" s="1"/>
  <c r="J11" i="12" s="1"/>
  <c r="K11" i="12" s="1"/>
  <c r="L11" i="12" s="1"/>
  <c r="M11" i="12" s="1"/>
  <c r="N11" i="12" s="1"/>
  <c r="O11" i="12" s="1"/>
  <c r="P11" i="12" s="1"/>
  <c r="M31" i="9"/>
  <c r="N31" i="9"/>
  <c r="O31" i="9"/>
  <c r="P31" i="9"/>
  <c r="P29" i="11"/>
  <c r="P28" i="11"/>
  <c r="Q27" i="11" s="1"/>
  <c r="H79" i="11"/>
  <c r="I79" i="11" s="1"/>
  <c r="E79" i="11"/>
  <c r="H78" i="11"/>
  <c r="G78" i="11"/>
  <c r="I78" i="11" s="1"/>
  <c r="E78" i="11"/>
  <c r="F77" i="11"/>
  <c r="I77" i="11" s="1"/>
  <c r="H76" i="11"/>
  <c r="E76" i="11"/>
  <c r="I76" i="11" s="1"/>
  <c r="I75" i="11"/>
  <c r="E75" i="11"/>
  <c r="C75" i="11"/>
  <c r="B48" i="11"/>
  <c r="C39" i="11"/>
  <c r="N38" i="11"/>
  <c r="N37" i="11"/>
  <c r="O36" i="11"/>
  <c r="L32" i="11"/>
  <c r="L31" i="11"/>
  <c r="M30" i="11" s="1"/>
  <c r="N30" i="11" s="1"/>
  <c r="K29" i="11"/>
  <c r="K28" i="11"/>
  <c r="L27" i="11" s="1"/>
  <c r="I23" i="11"/>
  <c r="I22" i="11"/>
  <c r="J21" i="11" s="1"/>
  <c r="H20" i="11"/>
  <c r="H19" i="11"/>
  <c r="I18" i="11" s="1"/>
  <c r="G17" i="11"/>
  <c r="G16" i="11"/>
  <c r="H15" i="11" s="1"/>
  <c r="F14" i="11"/>
  <c r="F13" i="11"/>
  <c r="G12" i="11" s="1"/>
  <c r="E11" i="11"/>
  <c r="E10" i="11"/>
  <c r="F9" i="11" s="1"/>
  <c r="D8" i="11"/>
  <c r="D7" i="11"/>
  <c r="E6" i="11" s="1"/>
  <c r="A6" i="11"/>
  <c r="A9" i="11" s="1"/>
  <c r="A12" i="11" s="1"/>
  <c r="A15" i="11" s="1"/>
  <c r="A18" i="11" s="1"/>
  <c r="A21" i="11" s="1"/>
  <c r="A24" i="11" s="1"/>
  <c r="A27" i="11" s="1"/>
  <c r="A30" i="11" s="1"/>
  <c r="A33" i="11" s="1"/>
  <c r="A36" i="11" s="1"/>
  <c r="C5" i="11"/>
  <c r="C4" i="11"/>
  <c r="D3" i="11"/>
  <c r="D2" i="11"/>
  <c r="E2" i="11" s="1"/>
  <c r="F2" i="11" s="1"/>
  <c r="G2" i="11" s="1"/>
  <c r="H2" i="11" s="1"/>
  <c r="I2" i="11" s="1"/>
  <c r="J2" i="11" s="1"/>
  <c r="K2" i="11" s="1"/>
  <c r="L2" i="11" s="1"/>
  <c r="M2" i="11" s="1"/>
  <c r="N2" i="11" s="1"/>
  <c r="O2" i="11" s="1"/>
  <c r="P2" i="11" s="1"/>
  <c r="Q2" i="11" s="1"/>
  <c r="R2" i="11" s="1"/>
  <c r="S2" i="11" s="1"/>
  <c r="J18" i="11" l="1"/>
  <c r="J20" i="11" s="1"/>
  <c r="I20" i="11"/>
  <c r="H19" i="12"/>
  <c r="G27" i="12"/>
  <c r="J22" i="12"/>
  <c r="F38" i="12"/>
  <c r="G29" i="12"/>
  <c r="I24" i="12"/>
  <c r="H46" i="12"/>
  <c r="H26" i="12"/>
  <c r="K22" i="12"/>
  <c r="L22" i="12" s="1"/>
  <c r="I18" i="12"/>
  <c r="J18" i="12" s="1"/>
  <c r="K18" i="12" s="1"/>
  <c r="R27" i="11"/>
  <c r="Q29" i="11"/>
  <c r="R29" i="11"/>
  <c r="F11" i="11"/>
  <c r="G9" i="11"/>
  <c r="G11" i="11"/>
  <c r="O30" i="11"/>
  <c r="P38" i="11"/>
  <c r="I80" i="11"/>
  <c r="I15" i="11"/>
  <c r="H17" i="11"/>
  <c r="E5" i="11"/>
  <c r="H12" i="11"/>
  <c r="G14" i="11"/>
  <c r="H14" i="11"/>
  <c r="E3" i="11"/>
  <c r="P36" i="11"/>
  <c r="M27" i="11"/>
  <c r="M29" i="11" s="1"/>
  <c r="D5" i="11"/>
  <c r="D39" i="11" s="1"/>
  <c r="M32" i="11"/>
  <c r="N32" i="11"/>
  <c r="C50" i="11"/>
  <c r="C49" i="11" s="1"/>
  <c r="E8" i="11"/>
  <c r="L29" i="11"/>
  <c r="J23" i="11"/>
  <c r="F6" i="11"/>
  <c r="F8" i="11" s="1"/>
  <c r="K21" i="11"/>
  <c r="K23" i="11" s="1"/>
  <c r="O38" i="11"/>
  <c r="K18" i="11" l="1"/>
  <c r="K20" i="11" s="1"/>
  <c r="E39" i="11"/>
  <c r="J24" i="12"/>
  <c r="K24" i="12" s="1"/>
  <c r="L24" i="12" s="1"/>
  <c r="M24" i="12" s="1"/>
  <c r="N24" i="12" s="1"/>
  <c r="O24" i="12" s="1"/>
  <c r="P24" i="12" s="1"/>
  <c r="H27" i="12"/>
  <c r="L19" i="12"/>
  <c r="G30" i="12"/>
  <c r="M22" i="12"/>
  <c r="I26" i="12"/>
  <c r="H28" i="12"/>
  <c r="I19" i="12"/>
  <c r="I27" i="12" s="1"/>
  <c r="H51" i="12"/>
  <c r="I46" i="12"/>
  <c r="S27" i="11"/>
  <c r="P30" i="11"/>
  <c r="H9" i="11"/>
  <c r="H11" i="11"/>
  <c r="J15" i="11"/>
  <c r="J17" i="11"/>
  <c r="Q36" i="11"/>
  <c r="O32" i="11"/>
  <c r="F3" i="11"/>
  <c r="F5" i="11" s="1"/>
  <c r="F39" i="11" s="1"/>
  <c r="I12" i="11"/>
  <c r="I14" i="11"/>
  <c r="J81" i="11"/>
  <c r="J80" i="11"/>
  <c r="C48" i="11"/>
  <c r="N27" i="11"/>
  <c r="N29" i="11" s="1"/>
  <c r="L21" i="11"/>
  <c r="L23" i="11" s="1"/>
  <c r="G6" i="11"/>
  <c r="I17" i="11"/>
  <c r="L18" i="11"/>
  <c r="L20" i="11" s="1"/>
  <c r="K26" i="12" l="1"/>
  <c r="J26" i="12"/>
  <c r="Q24" i="12"/>
  <c r="L26" i="12"/>
  <c r="L27" i="12"/>
  <c r="L28" i="12" s="1"/>
  <c r="M19" i="12"/>
  <c r="N22" i="12"/>
  <c r="M26" i="12"/>
  <c r="I28" i="12"/>
  <c r="H29" i="12"/>
  <c r="J19" i="12"/>
  <c r="J27" i="12" s="1"/>
  <c r="I51" i="12"/>
  <c r="I29" i="12" s="1"/>
  <c r="I30" i="12" s="1"/>
  <c r="J46" i="12"/>
  <c r="T27" i="11"/>
  <c r="T29" i="11"/>
  <c r="S29" i="11"/>
  <c r="I9" i="11"/>
  <c r="I11" i="11" s="1"/>
  <c r="H6" i="11"/>
  <c r="G8" i="11"/>
  <c r="K15" i="11"/>
  <c r="K17" i="11"/>
  <c r="Q30" i="11"/>
  <c r="R32" i="11" s="1"/>
  <c r="P32" i="11"/>
  <c r="R36" i="11"/>
  <c r="G3" i="11"/>
  <c r="Q38" i="11"/>
  <c r="M21" i="11"/>
  <c r="O27" i="11"/>
  <c r="O29" i="11"/>
  <c r="D50" i="11"/>
  <c r="D49" i="11" s="1"/>
  <c r="D48" i="11"/>
  <c r="M18" i="11"/>
  <c r="N20" i="11" s="1"/>
  <c r="M20" i="11"/>
  <c r="J12" i="11"/>
  <c r="J14" i="11"/>
  <c r="M27" i="12" l="1"/>
  <c r="M28" i="12" s="1"/>
  <c r="L30" i="12"/>
  <c r="N19" i="12"/>
  <c r="O22" i="12"/>
  <c r="N26" i="12"/>
  <c r="J28" i="12"/>
  <c r="J51" i="12"/>
  <c r="J29" i="12" s="1"/>
  <c r="J30" i="12" s="1"/>
  <c r="K46" i="12"/>
  <c r="K19" i="12"/>
  <c r="K27" i="12" s="1"/>
  <c r="H30" i="12"/>
  <c r="U27" i="11"/>
  <c r="U29" i="11" s="1"/>
  <c r="U39" i="11" s="1"/>
  <c r="S36" i="11"/>
  <c r="T38" i="11" s="1"/>
  <c r="T39" i="11" s="1"/>
  <c r="I6" i="11"/>
  <c r="I8" i="11"/>
  <c r="R38" i="11"/>
  <c r="R39" i="11" s="1"/>
  <c r="E50" i="11"/>
  <c r="E49" i="11" s="1"/>
  <c r="H8" i="11"/>
  <c r="K12" i="11"/>
  <c r="L14" i="11" s="1"/>
  <c r="N21" i="11"/>
  <c r="O23" i="11" s="1"/>
  <c r="O39" i="11" s="1"/>
  <c r="L15" i="11"/>
  <c r="M17" i="11" s="1"/>
  <c r="L17" i="11"/>
  <c r="P39" i="11"/>
  <c r="M23" i="11"/>
  <c r="Q32" i="11"/>
  <c r="Q39" i="11" s="1"/>
  <c r="J9" i="11"/>
  <c r="K11" i="11" s="1"/>
  <c r="J11" i="11"/>
  <c r="H3" i="11"/>
  <c r="H5" i="11" s="1"/>
  <c r="G5" i="11"/>
  <c r="G39" i="11" s="1"/>
  <c r="I31" i="9" l="1"/>
  <c r="I31" i="12"/>
  <c r="I32" i="12" s="1"/>
  <c r="I33" i="12" s="1"/>
  <c r="I34" i="12" s="1"/>
  <c r="I37" i="12" s="1"/>
  <c r="L31" i="12"/>
  <c r="L32" i="12" s="1"/>
  <c r="L33" i="12" s="1"/>
  <c r="L34" i="12" s="1"/>
  <c r="L37" i="12" s="1"/>
  <c r="L31" i="9"/>
  <c r="H31" i="9"/>
  <c r="H31" i="12"/>
  <c r="G31" i="12"/>
  <c r="G31" i="9"/>
  <c r="K31" i="12"/>
  <c r="K31" i="9"/>
  <c r="H32" i="12"/>
  <c r="H33" i="12" s="1"/>
  <c r="H34" i="12" s="1"/>
  <c r="H37" i="12" s="1"/>
  <c r="K14" i="11"/>
  <c r="K39" i="11" s="1"/>
  <c r="M30" i="12"/>
  <c r="M32" i="12" s="1"/>
  <c r="M33" i="12" s="1"/>
  <c r="M34" i="12" s="1"/>
  <c r="M37" i="12" s="1"/>
  <c r="N27" i="12"/>
  <c r="N28" i="12" s="1"/>
  <c r="O19" i="12"/>
  <c r="P19" i="12"/>
  <c r="Q16" i="12"/>
  <c r="Q19" i="12" s="1"/>
  <c r="P22" i="12"/>
  <c r="P26" i="12" s="1"/>
  <c r="O26" i="12"/>
  <c r="Q22" i="12"/>
  <c r="Q26" i="12" s="1"/>
  <c r="K28" i="12"/>
  <c r="K51" i="12"/>
  <c r="N23" i="11"/>
  <c r="N39" i="11" s="1"/>
  <c r="M39" i="11"/>
  <c r="E48" i="11"/>
  <c r="H39" i="11"/>
  <c r="S38" i="11"/>
  <c r="S39" i="11" s="1"/>
  <c r="I3" i="11"/>
  <c r="L39" i="11"/>
  <c r="J31" i="12" l="1"/>
  <c r="J32" i="12" s="1"/>
  <c r="J33" i="12" s="1"/>
  <c r="J34" i="12" s="1"/>
  <c r="J37" i="12" s="1"/>
  <c r="J31" i="9"/>
  <c r="Q31" i="12"/>
  <c r="G32" i="12"/>
  <c r="N30" i="12"/>
  <c r="N32" i="12" s="1"/>
  <c r="N33" i="12" s="1"/>
  <c r="N34" i="12" s="1"/>
  <c r="N37" i="12" s="1"/>
  <c r="Q27" i="12"/>
  <c r="Q30" i="12" s="1"/>
  <c r="O27" i="12"/>
  <c r="O28" i="12" s="1"/>
  <c r="P27" i="12"/>
  <c r="P28" i="12" s="1"/>
  <c r="Q28" i="12"/>
  <c r="F42" i="12" s="1"/>
  <c r="K29" i="12"/>
  <c r="Q51" i="12"/>
  <c r="F50" i="11"/>
  <c r="F49" i="11" s="1"/>
  <c r="F48" i="11"/>
  <c r="J3" i="11"/>
  <c r="J5" i="11"/>
  <c r="J39" i="11" s="1"/>
  <c r="I5" i="11"/>
  <c r="I39" i="11" s="1"/>
  <c r="G33" i="12" l="1"/>
  <c r="G34" i="12" s="1"/>
  <c r="G37" i="12" s="1"/>
  <c r="G38" i="12" s="1"/>
  <c r="P30" i="12"/>
  <c r="P32" i="12" s="1"/>
  <c r="O30" i="12"/>
  <c r="O32" i="12" s="1"/>
  <c r="O33" i="12" s="1"/>
  <c r="O34" i="12" s="1"/>
  <c r="O37" i="12" s="1"/>
  <c r="P33" i="12"/>
  <c r="P34" i="12" s="1"/>
  <c r="P37" i="12" s="1"/>
  <c r="Q29" i="12"/>
  <c r="K30" i="12"/>
  <c r="K32" i="12" s="1"/>
  <c r="Q32" i="12" s="1"/>
  <c r="G48" i="11"/>
  <c r="G50" i="11"/>
  <c r="G49" i="11"/>
  <c r="G39" i="12" l="1"/>
  <c r="H38" i="12"/>
  <c r="H39" i="12"/>
  <c r="K33" i="12"/>
  <c r="Q33" i="12" s="1"/>
  <c r="Q34" i="12" s="1"/>
  <c r="H49" i="11"/>
  <c r="H50" i="11"/>
  <c r="H48" i="11"/>
  <c r="I38" i="12" l="1"/>
  <c r="J38" i="12" s="1"/>
  <c r="J39" i="12" s="1"/>
  <c r="K34" i="12"/>
  <c r="K37" i="12" s="1"/>
  <c r="I48" i="11"/>
  <c r="I50" i="11"/>
  <c r="I49" i="11"/>
  <c r="I39" i="12" l="1"/>
  <c r="Q37" i="12"/>
  <c r="F40" i="12"/>
  <c r="F41" i="12"/>
  <c r="K38" i="12"/>
  <c r="J50" i="11"/>
  <c r="J48" i="11" s="1"/>
  <c r="J49" i="11"/>
  <c r="K39" i="12" l="1"/>
  <c r="F43" i="12" s="1"/>
  <c r="L38" i="12"/>
  <c r="L39" i="12" s="1"/>
  <c r="K50" i="11"/>
  <c r="K48" i="11" s="1"/>
  <c r="M38" i="12" l="1"/>
  <c r="K49" i="11"/>
  <c r="N38" i="12" l="1"/>
  <c r="M39" i="12"/>
  <c r="O38" i="12" l="1"/>
  <c r="N39" i="12"/>
  <c r="P38" i="12" l="1"/>
  <c r="P39" i="12" s="1"/>
  <c r="O39" i="12"/>
  <c r="I48" i="9" l="1"/>
  <c r="K48" i="9" s="1"/>
  <c r="H47" i="9"/>
  <c r="J47" i="9" s="1"/>
  <c r="K47" i="9" s="1"/>
  <c r="G46" i="9"/>
  <c r="G51" i="9" s="1"/>
  <c r="G29" i="9" s="1"/>
  <c r="K45" i="9"/>
  <c r="J45" i="9"/>
  <c r="I45" i="9"/>
  <c r="H45" i="9"/>
  <c r="G45" i="9"/>
  <c r="K36" i="9"/>
  <c r="J36" i="9"/>
  <c r="I36" i="9"/>
  <c r="H36" i="9"/>
  <c r="F36" i="9"/>
  <c r="F37" i="9" s="1"/>
  <c r="Q31" i="9"/>
  <c r="H23" i="9"/>
  <c r="G19" i="9"/>
  <c r="H18" i="9"/>
  <c r="I18" i="9" s="1"/>
  <c r="H11" i="9"/>
  <c r="I11" i="9" s="1"/>
  <c r="J11" i="9" s="1"/>
  <c r="K11" i="9" s="1"/>
  <c r="L11" i="9" s="1"/>
  <c r="M11" i="9" s="1"/>
  <c r="N11" i="9" s="1"/>
  <c r="O11" i="9" s="1"/>
  <c r="P11" i="9" s="1"/>
  <c r="F38" i="9" l="1"/>
  <c r="J18" i="9"/>
  <c r="K18" i="9" s="1"/>
  <c r="Q18" i="9"/>
  <c r="G26" i="9"/>
  <c r="G27" i="9" s="1"/>
  <c r="G30" i="9" s="1"/>
  <c r="G32" i="9" s="1"/>
  <c r="H19" i="9"/>
  <c r="H24" i="9"/>
  <c r="I24" i="9" s="1"/>
  <c r="J24" i="9" s="1"/>
  <c r="K24" i="9" s="1"/>
  <c r="H46" i="9"/>
  <c r="I17" i="9"/>
  <c r="J17" i="9" s="1"/>
  <c r="K17" i="9" s="1"/>
  <c r="Q22" i="9"/>
  <c r="I23" i="9"/>
  <c r="C15" i="8"/>
  <c r="D12" i="8"/>
  <c r="Q24" i="9" l="1"/>
  <c r="G33" i="9"/>
  <c r="G34" i="9" s="1"/>
  <c r="G37" i="9" s="1"/>
  <c r="J23" i="9"/>
  <c r="I19" i="9"/>
  <c r="H51" i="9"/>
  <c r="I46" i="9"/>
  <c r="Q17" i="9"/>
  <c r="G16" i="4"/>
  <c r="G17" i="4"/>
  <c r="H15" i="4"/>
  <c r="G38" i="9" l="1"/>
  <c r="G39" i="9" s="1"/>
  <c r="I51" i="9"/>
  <c r="I29" i="9" s="1"/>
  <c r="J46" i="9"/>
  <c r="H29" i="9"/>
  <c r="I26" i="9"/>
  <c r="I27" i="9" s="1"/>
  <c r="K19" i="9"/>
  <c r="J19" i="9"/>
  <c r="Q16" i="9"/>
  <c r="Q19" i="9" s="1"/>
  <c r="K23" i="9"/>
  <c r="H26" i="9"/>
  <c r="H27" i="9" s="1"/>
  <c r="I15" i="4"/>
  <c r="I17" i="4"/>
  <c r="H17" i="4"/>
  <c r="H28" i="9" l="1"/>
  <c r="H30" i="9"/>
  <c r="H32" i="9" s="1"/>
  <c r="K26" i="9"/>
  <c r="K27" i="9" s="1"/>
  <c r="Q23" i="9"/>
  <c r="I28" i="9"/>
  <c r="I30" i="9"/>
  <c r="I32" i="9" s="1"/>
  <c r="J51" i="9"/>
  <c r="K46" i="9"/>
  <c r="K51" i="9" s="1"/>
  <c r="K29" i="9" s="1"/>
  <c r="Q46" i="9"/>
  <c r="J15" i="4"/>
  <c r="J17" i="4" s="1"/>
  <c r="N37" i="4"/>
  <c r="O36" i="4" s="1"/>
  <c r="P36" i="4" s="1"/>
  <c r="Q36" i="4" s="1"/>
  <c r="R36" i="4" s="1"/>
  <c r="S36" i="4" s="1"/>
  <c r="T38" i="4" s="1"/>
  <c r="T39" i="4" s="1"/>
  <c r="K31" i="2" s="1"/>
  <c r="N38" i="4"/>
  <c r="L32" i="4"/>
  <c r="K29" i="4"/>
  <c r="I23" i="4"/>
  <c r="H20" i="4"/>
  <c r="F14" i="4"/>
  <c r="H19" i="4"/>
  <c r="I18" i="4" s="1"/>
  <c r="J18" i="4" s="1"/>
  <c r="K18" i="4" s="1"/>
  <c r="L18" i="4" s="1"/>
  <c r="M18" i="4" s="1"/>
  <c r="N20" i="4" s="1"/>
  <c r="L20" i="4" l="1"/>
  <c r="M20" i="4"/>
  <c r="K28" i="9"/>
  <c r="K30" i="9"/>
  <c r="K32" i="9" s="1"/>
  <c r="I33" i="9"/>
  <c r="I34" i="9" s="1"/>
  <c r="I37" i="9" s="1"/>
  <c r="J26" i="9"/>
  <c r="J27" i="9" s="1"/>
  <c r="Q25" i="9"/>
  <c r="Q26" i="9" s="1"/>
  <c r="Q27" i="9" s="1"/>
  <c r="H33" i="9"/>
  <c r="J29" i="9"/>
  <c r="Q29" i="9" s="1"/>
  <c r="Q51" i="9"/>
  <c r="J20" i="4"/>
  <c r="K20" i="4"/>
  <c r="I20" i="4"/>
  <c r="K15" i="4"/>
  <c r="K17" i="4" s="1"/>
  <c r="S38" i="4"/>
  <c r="S39" i="4" s="1"/>
  <c r="J31" i="2" s="1"/>
  <c r="R38" i="4"/>
  <c r="O38" i="4"/>
  <c r="P38" i="4"/>
  <c r="Q38" i="4"/>
  <c r="Q28" i="9" l="1"/>
  <c r="F42" i="9" s="1"/>
  <c r="Q30" i="9"/>
  <c r="J28" i="9"/>
  <c r="J30" i="9"/>
  <c r="J32" i="9" s="1"/>
  <c r="H34" i="9"/>
  <c r="H37" i="9" s="1"/>
  <c r="K33" i="9"/>
  <c r="K34" i="9" s="1"/>
  <c r="K37" i="9" s="1"/>
  <c r="L15" i="4"/>
  <c r="M17" i="4" s="1"/>
  <c r="L31" i="4"/>
  <c r="M30" i="4" s="1"/>
  <c r="K28" i="4"/>
  <c r="L27" i="4" s="1"/>
  <c r="M27" i="4" s="1"/>
  <c r="N27" i="4" s="1"/>
  <c r="O27" i="4" s="1"/>
  <c r="P27" i="4" s="1"/>
  <c r="Q29" i="4" s="1"/>
  <c r="I22" i="4"/>
  <c r="J21" i="4" s="1"/>
  <c r="F13" i="4"/>
  <c r="G12" i="4" s="1"/>
  <c r="H12" i="4" s="1"/>
  <c r="I12" i="4" s="1"/>
  <c r="J12" i="4" s="1"/>
  <c r="K12" i="4" s="1"/>
  <c r="L14" i="4" s="1"/>
  <c r="E10" i="4"/>
  <c r="F9" i="4" s="1"/>
  <c r="E11" i="4"/>
  <c r="G19" i="2"/>
  <c r="H18" i="2"/>
  <c r="I18" i="2" s="1"/>
  <c r="I17" i="2"/>
  <c r="J17" i="2" s="1"/>
  <c r="K17" i="2" s="1"/>
  <c r="I16" i="2"/>
  <c r="J16" i="2" s="1"/>
  <c r="K16" i="2" s="1"/>
  <c r="H38" i="9" l="1"/>
  <c r="J33" i="9"/>
  <c r="Q33" i="9" s="1"/>
  <c r="Q32" i="9"/>
  <c r="J14" i="4"/>
  <c r="L17" i="4"/>
  <c r="G14" i="4"/>
  <c r="H14" i="4"/>
  <c r="I14" i="4"/>
  <c r="N30" i="4"/>
  <c r="N32" i="4"/>
  <c r="M32" i="4"/>
  <c r="L29" i="4"/>
  <c r="M29" i="4"/>
  <c r="N29" i="4"/>
  <c r="O29" i="4"/>
  <c r="P29" i="4"/>
  <c r="K21" i="4"/>
  <c r="K23" i="4" s="1"/>
  <c r="J23" i="4"/>
  <c r="G9" i="4"/>
  <c r="G11" i="4"/>
  <c r="F11" i="4"/>
  <c r="I19" i="2"/>
  <c r="I25" i="2" s="1"/>
  <c r="H19" i="2"/>
  <c r="H25" i="2" s="1"/>
  <c r="Q17" i="2"/>
  <c r="A6" i="4"/>
  <c r="A9" i="4" s="1"/>
  <c r="A12" i="4" s="1"/>
  <c r="A15" i="4" s="1"/>
  <c r="A18" i="4" s="1"/>
  <c r="A21" i="4" s="1"/>
  <c r="A24" i="4" s="1"/>
  <c r="A27" i="4" s="1"/>
  <c r="A30" i="4" s="1"/>
  <c r="A33" i="4" s="1"/>
  <c r="A36" i="4" s="1"/>
  <c r="I38" i="9" l="1"/>
  <c r="I39" i="9"/>
  <c r="H39" i="9"/>
  <c r="Q34" i="9"/>
  <c r="J34" i="9"/>
  <c r="J37" i="9" s="1"/>
  <c r="F40" i="9" s="1"/>
  <c r="Q18" i="2"/>
  <c r="K19" i="2"/>
  <c r="K25" i="2" s="1"/>
  <c r="J19" i="2"/>
  <c r="J25" i="2" s="1"/>
  <c r="O30" i="4"/>
  <c r="L21" i="4"/>
  <c r="L23" i="4"/>
  <c r="L39" i="4" s="1"/>
  <c r="H9" i="4"/>
  <c r="H11" i="4"/>
  <c r="Q37" i="9" l="1"/>
  <c r="F41" i="9"/>
  <c r="J38" i="9"/>
  <c r="J39" i="9" s="1"/>
  <c r="P30" i="4"/>
  <c r="P32" i="4"/>
  <c r="P39" i="4" s="1"/>
  <c r="G31" i="2" s="1"/>
  <c r="O32" i="4"/>
  <c r="M21" i="4"/>
  <c r="M23" i="4"/>
  <c r="M39" i="4" s="1"/>
  <c r="I9" i="4"/>
  <c r="I11" i="4" s="1"/>
  <c r="D8" i="4"/>
  <c r="D7" i="4"/>
  <c r="E6" i="4" s="1"/>
  <c r="C5" i="4"/>
  <c r="C39" i="4" s="1"/>
  <c r="K38" i="9" l="1"/>
  <c r="K39" i="9" s="1"/>
  <c r="F43" i="9" s="1"/>
  <c r="Q30" i="4"/>
  <c r="R32" i="4" s="1"/>
  <c r="R39" i="4" s="1"/>
  <c r="I31" i="2" s="1"/>
  <c r="N21" i="4"/>
  <c r="O23" i="4" s="1"/>
  <c r="O39" i="4" s="1"/>
  <c r="N23" i="4"/>
  <c r="N39" i="4" s="1"/>
  <c r="J9" i="4"/>
  <c r="K11" i="4" s="1"/>
  <c r="J11" i="4"/>
  <c r="F6" i="4"/>
  <c r="F8" i="4" s="1"/>
  <c r="E8" i="4"/>
  <c r="Q32" i="4" l="1"/>
  <c r="Q39" i="4" s="1"/>
  <c r="H31" i="2" s="1"/>
  <c r="G6" i="4"/>
  <c r="H6" i="4" l="1"/>
  <c r="G8" i="4"/>
  <c r="I6" i="4" l="1"/>
  <c r="I8" i="4" s="1"/>
  <c r="H8" i="4"/>
  <c r="M8" i="1" l="1"/>
  <c r="H11" i="2"/>
  <c r="I11" i="2" s="1"/>
  <c r="J11" i="2" s="1"/>
  <c r="K11" i="2" s="1"/>
  <c r="L11" i="2" s="1"/>
  <c r="M11" i="2" s="1"/>
  <c r="N11" i="2" s="1"/>
  <c r="O11" i="2" s="1"/>
  <c r="P11" i="2" s="1"/>
  <c r="H79" i="4"/>
  <c r="I79" i="4" s="1"/>
  <c r="E79" i="4"/>
  <c r="H78" i="4"/>
  <c r="G78" i="4"/>
  <c r="E78" i="4"/>
  <c r="F77" i="4"/>
  <c r="I77" i="4" s="1"/>
  <c r="H76" i="4"/>
  <c r="E76" i="4"/>
  <c r="I76" i="4" s="1"/>
  <c r="E75" i="4"/>
  <c r="C75" i="4"/>
  <c r="B48" i="4"/>
  <c r="C50" i="4" s="1"/>
  <c r="C49" i="4" s="1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I48" i="2"/>
  <c r="K48" i="2" s="1"/>
  <c r="H47" i="2"/>
  <c r="J47" i="2" s="1"/>
  <c r="K47" i="2" s="1"/>
  <c r="K45" i="2"/>
  <c r="J45" i="2"/>
  <c r="I45" i="2"/>
  <c r="H45" i="2"/>
  <c r="G45" i="2"/>
  <c r="K36" i="2"/>
  <c r="J36" i="2"/>
  <c r="I36" i="2"/>
  <c r="H36" i="2"/>
  <c r="H23" i="2"/>
  <c r="I23" i="2" s="1"/>
  <c r="J23" i="2" s="1"/>
  <c r="K23" i="2" s="1"/>
  <c r="Q22" i="2"/>
  <c r="M13" i="1" s="1"/>
  <c r="F37" i="2"/>
  <c r="I75" i="4" l="1"/>
  <c r="I24" i="2"/>
  <c r="J24" i="2" s="1"/>
  <c r="K24" i="2" s="1"/>
  <c r="D5" i="4"/>
  <c r="D39" i="4" s="1"/>
  <c r="K14" i="4"/>
  <c r="K39" i="4" s="1"/>
  <c r="I78" i="4"/>
  <c r="I80" i="4" s="1"/>
  <c r="Q16" i="2"/>
  <c r="Q19" i="2" s="1"/>
  <c r="C48" i="4"/>
  <c r="E3" i="4"/>
  <c r="F38" i="2"/>
  <c r="G46" i="2"/>
  <c r="Q24" i="2" l="1"/>
  <c r="E5" i="4"/>
  <c r="E39" i="4" s="1"/>
  <c r="M11" i="1"/>
  <c r="J80" i="4"/>
  <c r="J81" i="4"/>
  <c r="D50" i="4"/>
  <c r="D49" i="4" s="1"/>
  <c r="F3" i="4"/>
  <c r="G26" i="2"/>
  <c r="G27" i="2" s="1"/>
  <c r="I26" i="2"/>
  <c r="I27" i="2" s="1"/>
  <c r="H26" i="2"/>
  <c r="H27" i="2" s="1"/>
  <c r="G51" i="2"/>
  <c r="H46" i="2"/>
  <c r="I46" i="2" s="1"/>
  <c r="G29" i="2" l="1"/>
  <c r="G30" i="2" s="1"/>
  <c r="F5" i="4"/>
  <c r="F39" i="4" s="1"/>
  <c r="D48" i="4"/>
  <c r="G3" i="4"/>
  <c r="E50" i="4"/>
  <c r="E48" i="4"/>
  <c r="E49" i="4"/>
  <c r="H51" i="2"/>
  <c r="H29" i="2" s="1"/>
  <c r="H30" i="2" s="1"/>
  <c r="H28" i="2"/>
  <c r="J26" i="2"/>
  <c r="J27" i="2" s="1"/>
  <c r="K26" i="2"/>
  <c r="K27" i="2" s="1"/>
  <c r="I28" i="2"/>
  <c r="Q25" i="2"/>
  <c r="G5" i="4" l="1"/>
  <c r="G39" i="4" s="1"/>
  <c r="F50" i="4"/>
  <c r="F48" i="4"/>
  <c r="F49" i="4"/>
  <c r="H3" i="4"/>
  <c r="H5" i="4" s="1"/>
  <c r="H39" i="4" s="1"/>
  <c r="K28" i="2"/>
  <c r="J28" i="2"/>
  <c r="I51" i="2"/>
  <c r="I29" i="2" s="1"/>
  <c r="J46" i="2"/>
  <c r="Q23" i="2"/>
  <c r="H32" i="2" l="1"/>
  <c r="H33" i="2" s="1"/>
  <c r="H34" i="2" s="1"/>
  <c r="H37" i="2" s="1"/>
  <c r="Q26" i="2"/>
  <c r="Q27" i="2" s="1"/>
  <c r="Q28" i="2" s="1"/>
  <c r="F42" i="2" s="1"/>
  <c r="M18" i="1" s="1"/>
  <c r="M14" i="1"/>
  <c r="I3" i="4"/>
  <c r="I5" i="4"/>
  <c r="I39" i="4" s="1"/>
  <c r="G50" i="4"/>
  <c r="G49" i="4" s="1"/>
  <c r="G48" i="4"/>
  <c r="J51" i="2"/>
  <c r="J29" i="2" s="1"/>
  <c r="K46" i="2"/>
  <c r="K51" i="2" s="1"/>
  <c r="I30" i="2"/>
  <c r="I32" i="2" s="1"/>
  <c r="K29" i="2" l="1"/>
  <c r="K30" i="2" s="1"/>
  <c r="K32" i="2" s="1"/>
  <c r="K33" i="2" s="1"/>
  <c r="K34" i="2" s="1"/>
  <c r="K37" i="2" s="1"/>
  <c r="Q46" i="2"/>
  <c r="J30" i="2"/>
  <c r="J32" i="2" s="1"/>
  <c r="J33" i="2" s="1"/>
  <c r="J34" i="2" s="1"/>
  <c r="J37" i="2" s="1"/>
  <c r="Q51" i="2"/>
  <c r="G32" i="2"/>
  <c r="G33" i="2" s="1"/>
  <c r="G34" i="2" s="1"/>
  <c r="G37" i="2" s="1"/>
  <c r="Q31" i="2"/>
  <c r="H50" i="4"/>
  <c r="H49" i="4" s="1"/>
  <c r="H48" i="4"/>
  <c r="J3" i="4"/>
  <c r="J5" i="4" s="1"/>
  <c r="J39" i="4" s="1"/>
  <c r="I33" i="2"/>
  <c r="I34" i="2" s="1"/>
  <c r="I37" i="2" s="1"/>
  <c r="G38" i="2" l="1"/>
  <c r="H38" i="2" s="1"/>
  <c r="I38" i="2" s="1"/>
  <c r="J38" i="2" s="1"/>
  <c r="K38" i="2" s="1"/>
  <c r="F40" i="2"/>
  <c r="M16" i="1" s="1"/>
  <c r="F41" i="2"/>
  <c r="M17" i="1" s="1"/>
  <c r="Q29" i="2"/>
  <c r="Q30" i="2" s="1"/>
  <c r="Q32" i="2"/>
  <c r="I50" i="4"/>
  <c r="I49" i="4" s="1"/>
  <c r="I48" i="4"/>
  <c r="Q37" i="2"/>
  <c r="Q33" i="2"/>
  <c r="G39" i="2" l="1"/>
  <c r="Q34" i="2"/>
  <c r="H39" i="2"/>
  <c r="J50" i="4"/>
  <c r="J49" i="4" s="1"/>
  <c r="I39" i="2"/>
  <c r="J48" i="4" l="1"/>
  <c r="K50" i="4"/>
  <c r="K49" i="4" s="1"/>
  <c r="J39" i="2"/>
  <c r="K48" i="4" l="1"/>
  <c r="K39" i="2"/>
  <c r="F43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G24" authorId="0" shapeId="0" xr:uid="{823246F9-C2E6-42FC-8030-1BDE0703671C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Plus 20 juta Koordinasi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74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5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74" authorId="0" shapeId="0" xr:uid="{C584C6BC-65C5-407A-A178-D5ED98F8D6F6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5" authorId="1" shapeId="0" xr:uid="{8FC0AC43-7F44-4F4A-9DED-B67526C2855B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<sst xmlns="http://schemas.openxmlformats.org/spreadsheetml/2006/main" count="596" uniqueCount="220">
  <si>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</si>
  <si>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</si>
  <si>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</si>
  <si>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</si>
  <si>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</si>
  <si>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</si>
  <si>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</si>
  <si>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</si>
  <si>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</si>
  <si>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</si>
  <si>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</si>
  <si>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</si>
  <si>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</si>
  <si>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</si>
  <si>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</si>
  <si>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</si>
  <si>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</si>
  <si>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</si>
  <si>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</si>
  <si>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</si>
  <si>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</si>
  <si>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</si>
  <si>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</si>
  <si>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</si>
  <si>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</si>
  <si>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Capex BV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</si>
  <si>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</si>
  <si>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</si>
  <si>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</si>
  <si>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</si>
  <si>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</si>
  <si>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</si>
  <si>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</si>
  <si>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</si>
  <si>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</si>
  <si>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</si>
  <si>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</si>
  <si>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</si>
  <si>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</si>
  <si>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</si>
  <si>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</si>
  <si>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</si>
  <si>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</si>
  <si>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</si>
  <si>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</si>
  <si>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</si>
  <si>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</si>
  <si>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</si>
  <si>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</si>
  <si>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</si>
  <si>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</si>
  <si>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</si>
  <si>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</si>
  <si>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</si>
  <si>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</si>
  <si>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</si>
  <si>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</si>
  <si>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</si>
  <si>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</si>
  <si>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</si>
  <si>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</si>
  <si>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</si>
  <si>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</si>
  <si>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</si>
  <si>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</si>
  <si>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</si>
  <si>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</si>
  <si>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</si>
  <si>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</si>
  <si>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</si>
  <si>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</si>
  <si>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</si>
  <si>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</si>
  <si>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</si>
  <si>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</si>
  <si>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</si>
  <si>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</si>
  <si>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</si>
  <si>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</si>
  <si>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</si>
  <si>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</si>
  <si>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</si>
  <si>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</si>
  <si>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</si>
  <si>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</si>
  <si>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</si>
  <si>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</si>
  <si>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</si>
  <si>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</si>
  <si>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</si>
  <si>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</si>
  <si>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</si>
  <si>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</si>
  <si>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</si>
  <si>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</si>
  <si>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</si>
  <si>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</si>
  <si>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</si>
  <si>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</si>
  <si>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</si>
  <si>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</si>
  <si>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</si>
  <si>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</si>
  <si>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</si>
  <si>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</si>
  <si>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</si>
  <si>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</si>
  <si>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</si>
  <si>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</si>
  <si>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</si>
  <si>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</si>
  <si>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</si>
  <si>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</si>
  <si>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</si>
  <si>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</si>
  <si>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</si>
  <si>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</si>
  <si>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</si>
  <si>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</si>
  <si>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</si>
  <si>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</si>
  <si>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</si>
  <si>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</si>
  <si>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</si>
  <si>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</si>
  <si>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</si>
  <si>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</si>
  <si>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</si>
  <si>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</si>
  <si>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</si>
  <si>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</si>
  <si>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</si>
  <si>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</si>
  <si>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</si>
  <si>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</si>
  <si>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</si>
  <si>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</si>
  <si>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</si>
  <si>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</si>
  <si>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</si>
  <si>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</si>
  <si>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</si>
  <si>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</si>
  <si>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</si>
  <si>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</si>
  <si>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</si>
  <si>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</si>
  <si>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</si>
  <si>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</si>
  <si>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</si>
  <si>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</si>
  <si>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</si>
  <si>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</si>
  <si>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</si>
  <si>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</si>
  <si>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</si>
  <si>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</si>
  <si>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</si>
  <si>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</si>
  <si>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</si>
  <si>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</si>
  <si>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</si>
  <si>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</si>
  <si>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</si>
  <si>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</si>
  <si>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</si>
  <si>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</si>
  <si>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</si>
  <si>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</si>
  <si>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</si>
  <si>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</si>
  <si>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</si>
  <si>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</si>
  <si>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</si>
  <si>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</si>
  <si>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</si>
  <si>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</si>
  <si>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</si>
  <si>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-</t>
  </si>
  <si>
    <t>Jakarta</t>
  </si>
  <si>
    <t>Office</t>
  </si>
  <si>
    <t>Extend</t>
  </si>
  <si>
    <t>RS Graha Kedoya</t>
  </si>
  <si>
    <t>XL</t>
  </si>
  <si>
    <t>IOH</t>
  </si>
  <si>
    <t xml:space="preserve">Harga Sewa </t>
  </si>
  <si>
    <t>DAS BV 30 Nov 24</t>
  </si>
  <si>
    <t xml:space="preserve">Nama Site                          </t>
  </si>
  <si>
    <t xml:space="preserve">Nama Pemilik      </t>
  </si>
  <si>
    <t xml:space="preserve">Alamat Pemilik      </t>
  </si>
  <si>
    <t>: Jl. Fatmawati raya, cilandak baru jakarta Selatan</t>
  </si>
  <si>
    <t xml:space="preserve">Telp                                            </t>
  </si>
  <si>
    <t xml:space="preserve">Obyek Sewa            </t>
  </si>
  <si>
    <t xml:space="preserve">71 antenna Omni, BTS dan Pole </t>
  </si>
  <si>
    <t xml:space="preserve">11 Des 2022 s/d 10 Des 2024 </t>
  </si>
  <si>
    <t xml:space="preserve">10 Des 2024 - 11 des 2027 </t>
  </si>
  <si>
    <t xml:space="preserve">Harga Sewa / Yearly </t>
  </si>
  <si>
    <t xml:space="preserve">Operator Joint </t>
  </si>
  <si>
    <t>IOH  : 28 Jan 18 - 27-Jan-23                                             Rp. 5.565484</t>
  </si>
  <si>
    <t xml:space="preserve">Telkomsel : 13-April-20 - 12-Apr-25                          Rp. 216.000.000
</t>
  </si>
  <si>
    <t xml:space="preserve">Telkomsel : 13-April-20 - 12-Apr-25            Rp. 216.000.000
</t>
  </si>
  <si>
    <t>Penurunan Harga</t>
  </si>
  <si>
    <t>IOH  : 28 Jan 23 - 27-Jan-28                            Rp. 76.680.000</t>
  </si>
  <si>
    <t>RSUP Fatmawati</t>
  </si>
  <si>
    <t>: RSUP Fatmawati</t>
  </si>
  <si>
    <t>0040/IRR/IBC/XI/2024</t>
  </si>
  <si>
    <t xml:space="preserve">Periode </t>
  </si>
  <si>
    <t>Start</t>
  </si>
  <si>
    <t>End</t>
  </si>
  <si>
    <t>Rev H3I</t>
  </si>
  <si>
    <t>Sewa BM</t>
  </si>
  <si>
    <t>Days</t>
  </si>
  <si>
    <t xml:space="preserve">Sewa BM </t>
  </si>
  <si>
    <t xml:space="preserve">OM </t>
  </si>
  <si>
    <t>Antisipasi Add Capex and Pole</t>
  </si>
  <si>
    <t>SITE RSUP Fatmawati</t>
  </si>
  <si>
    <t>Rev TSEL</t>
  </si>
  <si>
    <t>Worse &gt;&gt; Jika Sewa BM diperpanjang 3 tahun dan XL sesuai periodenya XL, maka:</t>
  </si>
  <si>
    <t>Listrik Tsel</t>
  </si>
  <si>
    <t>Profit selama sewa BM 3 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</si>
</sst>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&quot;Rp&quot;#,##0"/>
    <numFmt numFmtId="171" formatCode="[$-C09]dd\-mmm\-yy;@"/>
    <numFmt numFmtId="172" formatCode="#,###&quot;/thn&quot;"/>
    <numFmt numFmtId="173" formatCode="#,###&quot;/pole&quot;"/>
    <numFmt numFmtId="174" formatCode="0.0000000%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0" fontId="19" fillId="0" borderId="0"/>
  </cellStyleXfs>
  <cellXfs count="266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4" fillId="0" borderId="5" xfId="3" applyFont="1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0" fillId="0" borderId="15" xfId="4" applyFont="1" applyBorder="1" applyAlignment="1">
      <alignment vertical="center"/>
    </xf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38" fontId="11" fillId="0" borderId="0" xfId="3" applyNumberFormat="1" applyFont="1" applyAlignment="1">
      <alignment vertical="center"/>
    </xf>
    <xf numFmtId="165" fontId="0" fillId="0" borderId="0" xfId="2" applyFont="1"/>
    <xf numFmtId="0" fontId="19" fillId="0" borderId="0" xfId="8" applyFont="1"/>
    <xf numFmtId="0" fontId="4" fillId="0" borderId="0" xfId="13" applyFont="1"/>
    <xf numFmtId="0" fontId="19" fillId="0" borderId="24" xfId="8" applyFont="1" applyBorder="1"/>
    <xf numFmtId="165" fontId="0" fillId="0" borderId="0" xfId="0" applyNumberFormat="1"/>
    <xf numFmtId="0" fontId="19" fillId="0" borderId="24" xfId="8" applyFont="1" applyBorder="1" applyAlignment="1">
      <alignment wrapText="1"/>
    </xf>
    <xf numFmtId="0" fontId="19" fillId="0" borderId="27" xfId="8" applyFont="1" applyBorder="1"/>
    <xf numFmtId="0" fontId="21" fillId="0" borderId="0" xfId="14" applyFont="1" applyAlignment="1">
      <alignment horizontal="left" vertical="top"/>
    </xf>
    <xf numFmtId="0" fontId="21" fillId="0" borderId="0" xfId="14" applyFont="1"/>
    <xf numFmtId="0" fontId="0" fillId="0" borderId="0" xfId="8" applyFont="1" applyBorder="1"/>
    <xf numFmtId="0" fontId="19" fillId="0" borderId="33" xfId="8" applyFont="1" applyBorder="1" applyAlignment="1">
      <alignment horizontal="center" vertical="center"/>
    </xf>
    <xf numFmtId="0" fontId="19" fillId="0" borderId="35" xfId="8" applyFont="1" applyBorder="1"/>
    <xf numFmtId="0" fontId="1" fillId="0" borderId="35" xfId="8" applyFont="1" applyBorder="1"/>
    <xf numFmtId="0" fontId="19" fillId="0" borderId="24" xfId="14" applyFont="1" applyBorder="1"/>
    <xf numFmtId="0" fontId="19" fillId="0" borderId="35" xfId="14" applyFont="1" applyBorder="1"/>
    <xf numFmtId="170" fontId="0" fillId="0" borderId="24" xfId="11" applyNumberFormat="1" applyFont="1" applyBorder="1" applyAlignment="1">
      <alignment horizontal="right" vertical="top"/>
    </xf>
    <xf numFmtId="164" fontId="0" fillId="0" borderId="35" xfId="9" applyFont="1" applyBorder="1"/>
    <xf numFmtId="0" fontId="19" fillId="0" borderId="36" xfId="8" applyFont="1" applyBorder="1" applyAlignment="1">
      <alignment horizontal="center" vertical="center"/>
    </xf>
    <xf numFmtId="0" fontId="19" fillId="0" borderId="24" xfId="8" applyFont="1" applyFill="1" applyBorder="1"/>
    <xf numFmtId="170" fontId="19" fillId="0" borderId="24" xfId="8" applyNumberFormat="1" applyFont="1" applyBorder="1"/>
    <xf numFmtId="164" fontId="19" fillId="0" borderId="35" xfId="8" applyNumberFormat="1" applyFont="1" applyBorder="1"/>
    <xf numFmtId="0" fontId="19" fillId="0" borderId="27" xfId="8" applyFont="1" applyBorder="1" applyAlignment="1">
      <alignment horizontal="left" vertical="top" wrapText="1"/>
    </xf>
    <xf numFmtId="0" fontId="19" fillId="0" borderId="35" xfId="8" applyFont="1" applyBorder="1" applyAlignment="1">
      <alignment horizontal="left" vertical="top" wrapText="1"/>
    </xf>
    <xf numFmtId="0" fontId="19" fillId="0" borderId="39" xfId="8" applyFont="1" applyBorder="1" applyAlignment="1">
      <alignment horizontal="center" vertical="center"/>
    </xf>
    <xf numFmtId="0" fontId="19" fillId="0" borderId="40" xfId="8" applyFont="1" applyFill="1" applyBorder="1"/>
    <xf numFmtId="41" fontId="19" fillId="0" borderId="0" xfId="11" applyFont="1"/>
    <xf numFmtId="41" fontId="4" fillId="0" borderId="0" xfId="13" applyNumberFormat="1" applyFont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0" fillId="0" borderId="24" xfId="0" applyBorder="1" applyAlignment="1">
      <alignment horizontal="center" vertical="center"/>
    </xf>
    <xf numFmtId="0" fontId="3" fillId="0" borderId="29" xfId="3" applyBorder="1" applyAlignment="1">
      <alignment horizontal="center"/>
    </xf>
    <xf numFmtId="41" fontId="27" fillId="0" borderId="21" xfId="3" applyNumberFormat="1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174" fontId="3" fillId="0" borderId="0" xfId="3" applyNumberFormat="1" applyAlignment="1">
      <alignment horizontal="left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24" xfId="8" applyBorder="1" applyAlignment="1">
      <alignment horizontal="center"/>
    </xf>
    <xf numFmtId="0" fontId="19" fillId="0" borderId="41" xfId="8" applyFont="1" applyBorder="1" applyAlignment="1">
      <alignment horizontal="center"/>
    </xf>
    <xf numFmtId="0" fontId="19" fillId="0" borderId="42" xfId="8" applyFont="1" applyBorder="1" applyAlignment="1">
      <alignment horizontal="center"/>
    </xf>
    <xf numFmtId="0" fontId="22" fillId="6" borderId="30" xfId="8" applyFont="1" applyFill="1" applyBorder="1" applyAlignment="1">
      <alignment horizontal="center" vertical="center"/>
    </xf>
    <xf numFmtId="0" fontId="22" fillId="6" borderId="33" xfId="8" applyFont="1" applyFill="1" applyBorder="1" applyAlignment="1">
      <alignment horizontal="center" vertical="center"/>
    </xf>
    <xf numFmtId="0" fontId="23" fillId="6" borderId="31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23" fillId="6" borderId="32" xfId="8" applyFont="1" applyFill="1" applyBorder="1" applyAlignment="1">
      <alignment horizontal="center" vertical="center"/>
    </xf>
    <xf numFmtId="0" fontId="23" fillId="6" borderId="34" xfId="8" applyFont="1" applyFill="1" applyBorder="1" applyAlignment="1">
      <alignment horizontal="center" vertical="center"/>
    </xf>
    <xf numFmtId="0" fontId="19" fillId="0" borderId="36" xfId="8" applyFont="1" applyBorder="1" applyAlignment="1">
      <alignment horizontal="center" vertical="center"/>
    </xf>
    <xf numFmtId="0" fontId="19" fillId="0" borderId="37" xfId="8" applyFont="1" applyBorder="1" applyAlignment="1">
      <alignment horizontal="center" vertical="center"/>
    </xf>
    <xf numFmtId="0" fontId="19" fillId="0" borderId="38" xfId="8" applyFont="1" applyBorder="1" applyAlignment="1">
      <alignment horizontal="center" vertical="center"/>
    </xf>
    <xf numFmtId="0" fontId="19" fillId="0" borderId="25" xfId="8" applyFont="1" applyFill="1" applyBorder="1" applyAlignment="1">
      <alignment horizontal="center" vertical="center"/>
    </xf>
    <xf numFmtId="0" fontId="19" fillId="0" borderId="28" xfId="8" applyFont="1" applyFill="1" applyBorder="1" applyAlignment="1">
      <alignment horizontal="center" vertical="center"/>
    </xf>
    <xf numFmtId="0" fontId="19" fillId="0" borderId="26" xfId="8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</cellXfs>
  <cellStyles count="15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4" xfId="13" xr:uid="{834E640F-E774-463F-83D2-4F114B1579AA}"/>
    <cellStyle name="Normal 7" xfId="8" xr:uid="{8336AFE8-187C-4DC7-9E05-5CF89FA2A319}"/>
    <cellStyle name="Normal 7 2" xfId="14" xr:uid="{8C96E5BE-26EC-4AC7-9C71-B1983DEFD00C}"/>
    <cellStyle name="Normal 7 3" xfId="10" xr:uid="{E3956C3F-B4CE-4040-AFD0-AC78C0F19FE7}"/>
    <cellStyle name="Percent 3" xfId="7" xr:uid="{54F020B5-68BB-4710-814E-90969CA1DF9C}"/>
  </cellStyles>
  <dxfs count="9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526426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283890</xdr:colOff>
      <xdr:row>33</xdr:row>
      <xdr:rowOff>38937</xdr:rowOff>
    </xdr:from>
    <xdr:to>
      <xdr:col>13</xdr:col>
      <xdr:colOff>47988</xdr:colOff>
      <xdr:row>34</xdr:row>
      <xdr:rowOff>14060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601390" y="6543151"/>
          <a:ext cx="9207455" cy="174695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zoomScale="70" zoomScaleNormal="70" workbookViewId="0">
      <selection activeCell="M10" sqref="M10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2.75" customHeight="1" x14ac:dyDescent="0.55000000000000004">
      <c r="B2" s="1" t="s">
        <v>0</v>
      </c>
      <c r="C2" s="2" t="s">
        <v>205</v>
      </c>
      <c r="M2" s="3"/>
      <c r="N2" s="4" t="s">
        <v>203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40853</v>
      </c>
    </row>
    <row r="4" spans="2:14" ht="18.5" x14ac:dyDescent="0.45">
      <c r="C4" s="5" t="s">
        <v>4</v>
      </c>
      <c r="D4" s="2" t="s">
        <v>181</v>
      </c>
    </row>
    <row r="5" spans="2:14" ht="0.9" customHeight="1" thickBot="1" x14ac:dyDescent="0.4">
      <c r="C5" s="2"/>
    </row>
    <row r="6" spans="2:14" s="7" customFormat="1" ht="19" thickBot="1" x14ac:dyDescent="0.5">
      <c r="B6" s="232" t="s">
        <v>5</v>
      </c>
      <c r="C6" s="233"/>
      <c r="D6" s="234"/>
      <c r="E6" s="232" t="s">
        <v>6</v>
      </c>
      <c r="F6" s="233"/>
      <c r="G6" s="233"/>
      <c r="H6" s="233"/>
      <c r="I6" s="233"/>
      <c r="J6" s="232" t="s">
        <v>7</v>
      </c>
      <c r="K6" s="233"/>
      <c r="L6" s="233"/>
      <c r="M6" s="233"/>
      <c r="N6" s="234"/>
    </row>
    <row r="7" spans="2:14" x14ac:dyDescent="0.35">
      <c r="B7" s="235" t="s">
        <v>8</v>
      </c>
      <c r="C7" s="236"/>
      <c r="D7" s="8" t="s">
        <v>182</v>
      </c>
      <c r="E7" s="237" t="s">
        <v>9</v>
      </c>
      <c r="F7" s="237"/>
      <c r="G7" s="237"/>
      <c r="H7" s="237"/>
      <c r="I7" s="237"/>
      <c r="J7" s="9"/>
      <c r="K7" s="236" t="s">
        <v>10</v>
      </c>
      <c r="L7" s="236"/>
      <c r="M7" s="10">
        <v>628667131</v>
      </c>
      <c r="N7" s="8"/>
    </row>
    <row r="8" spans="2:14" x14ac:dyDescent="0.35">
      <c r="B8" s="230" t="s">
        <v>11</v>
      </c>
      <c r="C8" s="231"/>
      <c r="D8" s="11" t="s">
        <v>179</v>
      </c>
      <c r="E8" s="224" t="s">
        <v>12</v>
      </c>
      <c r="F8" s="224"/>
      <c r="G8" s="224"/>
      <c r="H8" s="12">
        <v>82</v>
      </c>
      <c r="J8" s="13"/>
      <c r="K8" s="224" t="s">
        <v>13</v>
      </c>
      <c r="L8" s="224"/>
      <c r="M8" s="25">
        <f>M7/H9</f>
        <v>8854466.6338028163</v>
      </c>
      <c r="N8" s="14"/>
    </row>
    <row r="9" spans="2:14" x14ac:dyDescent="0.35">
      <c r="B9" s="230"/>
      <c r="C9" s="231"/>
      <c r="D9" s="14"/>
      <c r="E9" s="224" t="s">
        <v>14</v>
      </c>
      <c r="F9" s="224"/>
      <c r="G9" s="224"/>
      <c r="H9" s="12">
        <v>71</v>
      </c>
      <c r="J9" s="13"/>
      <c r="K9" s="224" t="s">
        <v>15</v>
      </c>
      <c r="L9" s="224"/>
      <c r="M9" s="15">
        <v>5</v>
      </c>
      <c r="N9" s="14"/>
    </row>
    <row r="10" spans="2:14" x14ac:dyDescent="0.35">
      <c r="B10" s="16" t="s">
        <v>16</v>
      </c>
      <c r="C10" s="17"/>
      <c r="D10" s="14" t="s">
        <v>179</v>
      </c>
      <c r="E10" s="224" t="s">
        <v>17</v>
      </c>
      <c r="F10" s="224"/>
      <c r="G10" s="224"/>
      <c r="H10" s="18">
        <v>0</v>
      </c>
      <c r="J10" s="13"/>
      <c r="K10" s="19" t="s">
        <v>18</v>
      </c>
      <c r="L10" s="19"/>
      <c r="M10" s="20">
        <v>0.1</v>
      </c>
      <c r="N10" s="14"/>
    </row>
    <row r="11" spans="2:14" x14ac:dyDescent="0.35">
      <c r="B11" s="21" t="s">
        <v>19</v>
      </c>
      <c r="C11" s="19"/>
      <c r="D11" s="14" t="s">
        <v>180</v>
      </c>
      <c r="E11" s="225" t="s">
        <v>20</v>
      </c>
      <c r="F11" s="225"/>
      <c r="G11" s="225"/>
      <c r="H11" s="225"/>
      <c r="I11" s="225"/>
      <c r="J11" s="22"/>
      <c r="K11" s="224" t="s">
        <v>21</v>
      </c>
      <c r="L11" s="224"/>
      <c r="M11" s="10">
        <f>IRR!Q19</f>
        <v>1394920001.9520001</v>
      </c>
      <c r="N11" s="14"/>
    </row>
    <row r="12" spans="2:14" x14ac:dyDescent="0.35">
      <c r="B12" s="21" t="s">
        <v>22</v>
      </c>
      <c r="C12" s="19"/>
      <c r="D12" s="14" t="s">
        <v>23</v>
      </c>
      <c r="E12" s="223" t="s">
        <v>24</v>
      </c>
      <c r="F12" s="223"/>
      <c r="G12" s="223"/>
      <c r="H12" s="23">
        <v>0</v>
      </c>
      <c r="J12" s="13"/>
      <c r="K12" s="224" t="s">
        <v>25</v>
      </c>
      <c r="L12" s="224"/>
      <c r="M12" s="10">
        <f>IRR!G9</f>
        <v>6752491</v>
      </c>
      <c r="N12" s="14"/>
    </row>
    <row r="13" spans="2:14" x14ac:dyDescent="0.35">
      <c r="B13" s="21" t="s">
        <v>26</v>
      </c>
      <c r="C13" s="19"/>
      <c r="D13" s="24"/>
      <c r="E13" s="223" t="s">
        <v>27</v>
      </c>
      <c r="F13" s="223"/>
      <c r="G13" s="223"/>
      <c r="H13" s="23">
        <v>0</v>
      </c>
      <c r="J13" s="13"/>
      <c r="K13" s="224" t="s">
        <v>28</v>
      </c>
      <c r="L13" s="224"/>
      <c r="M13" s="10">
        <f>IRR!Q22</f>
        <v>1050000000</v>
      </c>
      <c r="N13" s="14"/>
    </row>
    <row r="14" spans="2:14" x14ac:dyDescent="0.35">
      <c r="B14" s="21" t="s">
        <v>29</v>
      </c>
      <c r="C14" s="19"/>
      <c r="D14" s="24"/>
      <c r="E14" s="223" t="s">
        <v>30</v>
      </c>
      <c r="F14" s="223"/>
      <c r="G14" s="223"/>
      <c r="H14" s="23">
        <v>0</v>
      </c>
      <c r="J14" s="13"/>
      <c r="K14" s="224" t="s">
        <v>31</v>
      </c>
      <c r="L14" s="224"/>
      <c r="M14" s="25">
        <f>IRR!Q23+IRR!Q24+IRR!Q25</f>
        <v>297898400.03903997</v>
      </c>
      <c r="N14" s="14"/>
    </row>
    <row r="15" spans="2:14" ht="16" thickBot="1" x14ac:dyDescent="0.4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225" t="s">
        <v>33</v>
      </c>
      <c r="F16" s="225"/>
      <c r="G16" s="225"/>
      <c r="H16" s="225"/>
      <c r="I16" s="225"/>
      <c r="J16" s="28"/>
      <c r="K16" s="226" t="s">
        <v>34</v>
      </c>
      <c r="L16" s="227"/>
      <c r="M16" s="29">
        <f>IRR!F40</f>
        <v>3.1360611830587359E-2</v>
      </c>
      <c r="N16" s="14"/>
    </row>
    <row r="17" spans="2:18" x14ac:dyDescent="0.35">
      <c r="B17" s="13"/>
      <c r="D17" s="14"/>
      <c r="J17" s="30"/>
      <c r="K17" s="228" t="s">
        <v>35</v>
      </c>
      <c r="L17" s="229"/>
      <c r="M17" s="31">
        <f>IRR!F41</f>
        <v>-44817210.958860874</v>
      </c>
      <c r="N17" s="14"/>
    </row>
    <row r="18" spans="2:18" x14ac:dyDescent="0.35">
      <c r="B18" s="13"/>
      <c r="D18" s="14"/>
      <c r="J18" s="30"/>
      <c r="K18" s="228" t="s">
        <v>36</v>
      </c>
      <c r="L18" s="229"/>
      <c r="M18" s="32">
        <f>IRR!F42</f>
        <v>3.3709174610127991E-2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219" t="s">
        <v>38</v>
      </c>
      <c r="L19" s="220"/>
      <c r="M19" s="33">
        <f>IRR!F43</f>
        <v>4.8745546436725729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40" t="s">
        <v>40</v>
      </c>
      <c r="M21" s="39"/>
      <c r="N21" s="8"/>
    </row>
    <row r="22" spans="2:18" x14ac:dyDescent="0.35">
      <c r="B22" s="13" t="s">
        <v>41</v>
      </c>
      <c r="D22" s="1" t="s">
        <v>42</v>
      </c>
      <c r="L22" s="221" t="s">
        <v>43</v>
      </c>
      <c r="M22" s="222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spans="2:18" x14ac:dyDescent="0.35"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</row>
    <row r="31" spans="2:18" x14ac:dyDescent="0.35"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</row>
    <row r="32" spans="2:18" x14ac:dyDescent="0.35"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</row>
    <row r="33" spans="2:15" x14ac:dyDescent="0.35"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</row>
    <row r="34" spans="2:15" x14ac:dyDescent="0.35"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</row>
    <row r="35" spans="2:15" x14ac:dyDescent="0.35"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</row>
  </sheetData>
  <mergeCells count="27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9:L19"/>
    <mergeCell ref="L22:M22"/>
    <mergeCell ref="E14:G14"/>
    <mergeCell ref="K14:L14"/>
    <mergeCell ref="E16:I16"/>
    <mergeCell ref="K16:L16"/>
    <mergeCell ref="K17:L17"/>
    <mergeCell ref="K18:L18"/>
  </mergeCells>
  <pageMargins left="0.7" right="0.7" top="0.6" bottom="0.75" header="0.3" footer="0.3"/>
  <pageSetup paperSize="9" scale="96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topLeftCell="A8" zoomScale="86" zoomScaleNormal="86" workbookViewId="0">
      <selection activeCell="G24" sqref="G24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9.81640625" style="1" customWidth="1"/>
    <col min="7" max="7" width="19.54296875" style="42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hidden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205</v>
      </c>
      <c r="Q1" s="4" t="s">
        <v>203</v>
      </c>
    </row>
    <row r="2" spans="2:25" x14ac:dyDescent="0.35">
      <c r="B2" s="43" t="s">
        <v>46</v>
      </c>
      <c r="H2" s="169" t="s">
        <v>47</v>
      </c>
      <c r="I2" s="170" t="s">
        <v>48</v>
      </c>
    </row>
    <row r="3" spans="2:25" x14ac:dyDescent="0.35">
      <c r="C3" s="1" t="s">
        <v>49</v>
      </c>
      <c r="E3" s="45">
        <v>0.02</v>
      </c>
      <c r="H3" s="171" t="s">
        <v>69</v>
      </c>
      <c r="I3" s="218">
        <v>-7.9259257E-2</v>
      </c>
      <c r="L3" s="46"/>
      <c r="M3" s="46"/>
      <c r="N3" s="46"/>
      <c r="O3" s="46"/>
      <c r="P3" s="46"/>
      <c r="R3" s="47"/>
      <c r="S3" s="47"/>
    </row>
    <row r="4" spans="2:25" x14ac:dyDescent="0.35">
      <c r="C4" s="1" t="s">
        <v>50</v>
      </c>
      <c r="E4" s="45">
        <v>0.1</v>
      </c>
      <c r="H4" s="171" t="s">
        <v>183</v>
      </c>
      <c r="I4" s="46"/>
      <c r="L4" s="46"/>
      <c r="M4" s="46"/>
      <c r="N4" s="46"/>
      <c r="O4" s="46"/>
      <c r="P4" s="46"/>
      <c r="R4" s="47"/>
      <c r="S4" s="47"/>
    </row>
    <row r="5" spans="2:25" x14ac:dyDescent="0.35">
      <c r="C5" s="1" t="s">
        <v>51</v>
      </c>
      <c r="E5" s="45">
        <v>0.02</v>
      </c>
      <c r="F5" s="42" t="s">
        <v>52</v>
      </c>
      <c r="H5" s="171" t="s">
        <v>184</v>
      </c>
      <c r="I5" s="77"/>
      <c r="S5" s="48"/>
      <c r="T5" s="48"/>
      <c r="U5" s="48"/>
      <c r="V5" s="48"/>
    </row>
    <row r="6" spans="2:25" x14ac:dyDescent="0.35">
      <c r="C6" s="1" t="s">
        <v>53</v>
      </c>
      <c r="E6" s="49">
        <v>0</v>
      </c>
      <c r="F6" s="42" t="s">
        <v>52</v>
      </c>
      <c r="H6" s="171"/>
      <c r="I6" s="1" t="s">
        <v>178</v>
      </c>
    </row>
    <row r="7" spans="2:25" x14ac:dyDescent="0.35">
      <c r="F7" s="45"/>
    </row>
    <row r="8" spans="2:25" ht="14.4" customHeight="1" x14ac:dyDescent="0.35">
      <c r="B8" s="2"/>
      <c r="G8" s="44" t="s">
        <v>54</v>
      </c>
      <c r="H8" s="44" t="s">
        <v>55</v>
      </c>
      <c r="I8" s="203" t="s">
        <v>56</v>
      </c>
      <c r="J8" s="44" t="s">
        <v>57</v>
      </c>
      <c r="K8" s="44" t="s">
        <v>58</v>
      </c>
      <c r="L8" s="44" t="s">
        <v>173</v>
      </c>
      <c r="M8" s="44" t="s">
        <v>174</v>
      </c>
      <c r="N8" s="44" t="s">
        <v>175</v>
      </c>
      <c r="O8" s="44" t="s">
        <v>176</v>
      </c>
      <c r="P8" s="44" t="s">
        <v>177</v>
      </c>
      <c r="R8" s="50"/>
      <c r="W8" s="50"/>
      <c r="X8" s="50"/>
      <c r="Y8" s="50"/>
    </row>
    <row r="9" spans="2:25" s="52" customFormat="1" ht="16" thickBot="1" x14ac:dyDescent="0.4">
      <c r="B9" s="51" t="s">
        <v>59</v>
      </c>
      <c r="E9" s="52" t="s">
        <v>186</v>
      </c>
      <c r="F9" s="53"/>
      <c r="G9" s="54">
        <f>6752491</f>
        <v>6752491</v>
      </c>
      <c r="H9" s="54">
        <v>0</v>
      </c>
      <c r="I9" s="54">
        <v>0</v>
      </c>
      <c r="J9" s="54">
        <v>0</v>
      </c>
      <c r="K9" s="54"/>
      <c r="L9" s="54"/>
      <c r="M9" s="54"/>
      <c r="N9" s="54"/>
      <c r="O9" s="54"/>
      <c r="P9" s="54"/>
      <c r="Q9" s="53"/>
      <c r="R9" s="53"/>
      <c r="S9" s="1"/>
      <c r="T9" s="1"/>
      <c r="U9" s="1"/>
      <c r="V9" s="1"/>
      <c r="W9" s="53"/>
      <c r="X9" s="53"/>
      <c r="Y9" s="53"/>
    </row>
    <row r="10" spans="2:25" s="52" customFormat="1" ht="16" thickTop="1" x14ac:dyDescent="0.35">
      <c r="B10" s="5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1"/>
      <c r="T10" s="1"/>
      <c r="U10" s="1"/>
      <c r="V10" s="1"/>
      <c r="W10" s="53"/>
      <c r="X10" s="53"/>
      <c r="Y10" s="53"/>
    </row>
    <row r="11" spans="2:25" x14ac:dyDescent="0.35">
      <c r="F11" s="55"/>
      <c r="G11" s="56">
        <v>2025</v>
      </c>
      <c r="H11" s="56">
        <f>G11+1</f>
        <v>2026</v>
      </c>
      <c r="I11" s="56">
        <f t="shared" ref="I11:P11" si="0">H11+1</f>
        <v>2027</v>
      </c>
      <c r="J11" s="56">
        <f t="shared" si="0"/>
        <v>2028</v>
      </c>
      <c r="K11" s="56">
        <f t="shared" si="0"/>
        <v>2029</v>
      </c>
      <c r="L11" s="56">
        <f t="shared" si="0"/>
        <v>2030</v>
      </c>
      <c r="M11" s="56">
        <f t="shared" si="0"/>
        <v>2031</v>
      </c>
      <c r="N11" s="56">
        <f t="shared" si="0"/>
        <v>2032</v>
      </c>
      <c r="O11" s="56">
        <f t="shared" si="0"/>
        <v>2033</v>
      </c>
      <c r="P11" s="56">
        <f t="shared" si="0"/>
        <v>2034</v>
      </c>
      <c r="Q11" s="56"/>
    </row>
    <row r="12" spans="2:25" ht="16" thickBot="1" x14ac:dyDescent="0.4">
      <c r="B12" s="57" t="s">
        <v>60</v>
      </c>
      <c r="C12" s="35"/>
      <c r="D12" s="35"/>
      <c r="E12" s="35"/>
      <c r="F12" s="58" t="s">
        <v>172</v>
      </c>
      <c r="G12" s="58" t="s">
        <v>61</v>
      </c>
      <c r="H12" s="59" t="s">
        <v>62</v>
      </c>
      <c r="I12" s="58" t="s">
        <v>63</v>
      </c>
      <c r="J12" s="59" t="s">
        <v>64</v>
      </c>
      <c r="K12" s="58" t="s">
        <v>65</v>
      </c>
      <c r="L12" s="58" t="s">
        <v>91</v>
      </c>
      <c r="M12" s="58" t="s">
        <v>168</v>
      </c>
      <c r="N12" s="58" t="s">
        <v>169</v>
      </c>
      <c r="O12" s="58" t="s">
        <v>170</v>
      </c>
      <c r="P12" s="58" t="s">
        <v>171</v>
      </c>
      <c r="Q12" s="60" t="s">
        <v>66</v>
      </c>
      <c r="R12" s="48"/>
      <c r="S12" s="61"/>
      <c r="T12" s="61"/>
      <c r="U12" s="61"/>
      <c r="V12" s="61"/>
      <c r="W12" s="48"/>
    </row>
    <row r="13" spans="2:25" x14ac:dyDescent="0.35">
      <c r="B13" s="1" t="s">
        <v>67</v>
      </c>
      <c r="G13" s="56">
        <v>12</v>
      </c>
      <c r="H13" s="56">
        <v>12</v>
      </c>
      <c r="I13" s="56">
        <v>12</v>
      </c>
      <c r="J13" s="56">
        <v>12</v>
      </c>
      <c r="K13" s="56">
        <v>12</v>
      </c>
      <c r="L13" s="56"/>
      <c r="M13" s="56"/>
      <c r="N13" s="56"/>
      <c r="O13" s="56"/>
      <c r="P13" s="56"/>
      <c r="Q13" s="62"/>
      <c r="S13" s="47"/>
      <c r="T13" s="47"/>
      <c r="U13" s="47"/>
      <c r="V13" s="47"/>
    </row>
    <row r="14" spans="2:25" ht="6.65" customHeight="1" x14ac:dyDescent="0.35">
      <c r="Q14" s="62"/>
      <c r="S14" s="63"/>
      <c r="T14" s="63"/>
      <c r="U14" s="63"/>
      <c r="V14" s="63"/>
    </row>
    <row r="15" spans="2:25" x14ac:dyDescent="0.35">
      <c r="B15" s="2" t="s">
        <v>68</v>
      </c>
      <c r="E15" s="64"/>
      <c r="G15" s="65"/>
      <c r="H15" s="121"/>
      <c r="I15" s="67"/>
      <c r="J15" s="67"/>
      <c r="K15" s="67"/>
      <c r="L15" s="67"/>
      <c r="M15" s="67"/>
      <c r="N15" s="67"/>
      <c r="O15" s="67"/>
      <c r="P15" s="67"/>
      <c r="Q15" s="62"/>
      <c r="S15" s="61"/>
      <c r="T15" s="61"/>
      <c r="U15" s="61"/>
      <c r="V15" s="61"/>
    </row>
    <row r="16" spans="2:25" x14ac:dyDescent="0.35">
      <c r="B16" s="2"/>
      <c r="C16" s="1" t="s">
        <v>183</v>
      </c>
      <c r="E16" s="64"/>
      <c r="G16" s="66"/>
      <c r="H16" s="66"/>
      <c r="I16" s="66">
        <f t="shared" ref="H16:I18" si="1">H16</f>
        <v>0</v>
      </c>
      <c r="J16" s="66">
        <f t="shared" ref="J16:K18" si="2">I16</f>
        <v>0</v>
      </c>
      <c r="K16" s="66">
        <f t="shared" si="2"/>
        <v>0</v>
      </c>
      <c r="L16" s="66"/>
      <c r="M16" s="66"/>
      <c r="N16" s="66"/>
      <c r="O16" s="66"/>
      <c r="P16" s="66"/>
      <c r="Q16" s="68">
        <f>SUM(G16:K16)</f>
        <v>0</v>
      </c>
      <c r="S16" s="61"/>
      <c r="T16" s="61"/>
      <c r="U16" s="61"/>
      <c r="V16" s="61"/>
    </row>
    <row r="17" spans="2:24" x14ac:dyDescent="0.35">
      <c r="B17" s="2"/>
      <c r="C17" s="1" t="s">
        <v>69</v>
      </c>
      <c r="E17" s="64"/>
      <c r="G17" s="66">
        <v>216000000</v>
      </c>
      <c r="H17" s="66">
        <f>(G17*(100%+I3))</f>
        <v>198880000.48800001</v>
      </c>
      <c r="I17" s="66">
        <f t="shared" si="1"/>
        <v>198880000.48800001</v>
      </c>
      <c r="J17" s="66">
        <f t="shared" si="2"/>
        <v>198880000.48800001</v>
      </c>
      <c r="K17" s="66">
        <f>J17</f>
        <v>198880000.48800001</v>
      </c>
      <c r="L17" s="66"/>
      <c r="M17" s="66"/>
      <c r="N17" s="66"/>
      <c r="O17" s="66"/>
      <c r="P17" s="66"/>
      <c r="Q17" s="68">
        <f>SUM(G17:K17)</f>
        <v>1011520001.9520001</v>
      </c>
      <c r="S17" s="61"/>
      <c r="T17" s="61"/>
      <c r="U17" s="61"/>
      <c r="V17" s="61"/>
    </row>
    <row r="18" spans="2:24" x14ac:dyDescent="0.35">
      <c r="B18" s="2"/>
      <c r="C18" s="1" t="s">
        <v>184</v>
      </c>
      <c r="E18" s="64"/>
      <c r="G18" s="66">
        <v>76680000</v>
      </c>
      <c r="H18" s="66">
        <f t="shared" si="1"/>
        <v>76680000</v>
      </c>
      <c r="I18" s="66">
        <f>H18</f>
        <v>76680000</v>
      </c>
      <c r="J18" s="66">
        <f t="shared" si="2"/>
        <v>76680000</v>
      </c>
      <c r="K18" s="66">
        <f t="shared" si="2"/>
        <v>76680000</v>
      </c>
      <c r="L18" s="66"/>
      <c r="M18" s="66"/>
      <c r="N18" s="66"/>
      <c r="O18" s="66"/>
      <c r="P18" s="66"/>
      <c r="Q18" s="68">
        <f>SUM(G18:K18)</f>
        <v>383400000</v>
      </c>
      <c r="S18" s="61"/>
      <c r="T18" s="61"/>
      <c r="U18" s="61"/>
      <c r="V18" s="61"/>
    </row>
    <row r="19" spans="2:24" x14ac:dyDescent="0.35">
      <c r="B19" s="71" t="s">
        <v>70</v>
      </c>
      <c r="C19" s="71"/>
      <c r="D19" s="71"/>
      <c r="E19" s="238"/>
      <c r="F19" s="239"/>
      <c r="G19" s="72">
        <f t="shared" ref="G19:K19" si="3">SUM(G16:G18)</f>
        <v>292680000</v>
      </c>
      <c r="H19" s="72">
        <f t="shared" si="3"/>
        <v>275560000.48800004</v>
      </c>
      <c r="I19" s="72">
        <f t="shared" si="3"/>
        <v>275560000.48800004</v>
      </c>
      <c r="J19" s="72">
        <f t="shared" si="3"/>
        <v>275560000.48800004</v>
      </c>
      <c r="K19" s="72">
        <f t="shared" si="3"/>
        <v>275560000.48800004</v>
      </c>
      <c r="L19" s="72"/>
      <c r="M19" s="72"/>
      <c r="N19" s="72"/>
      <c r="O19" s="72"/>
      <c r="P19" s="72"/>
      <c r="Q19" s="73">
        <f>SUM(Q16:Q18)</f>
        <v>1394920001.9520001</v>
      </c>
      <c r="R19" s="61"/>
      <c r="S19" s="74"/>
      <c r="T19" s="74"/>
      <c r="U19" s="74"/>
      <c r="V19" s="74"/>
      <c r="W19" s="61"/>
      <c r="X19" s="47"/>
    </row>
    <row r="20" spans="2:24" x14ac:dyDescent="0.35">
      <c r="Q20" s="62"/>
      <c r="R20" s="47"/>
      <c r="S20" s="74"/>
      <c r="T20" s="74"/>
      <c r="U20" s="74"/>
      <c r="V20" s="74"/>
      <c r="W20" s="47"/>
      <c r="X20" s="47"/>
    </row>
    <row r="21" spans="2:24" x14ac:dyDescent="0.35">
      <c r="B21" s="2" t="s">
        <v>71</v>
      </c>
      <c r="E21" s="64"/>
      <c r="F21" s="64"/>
      <c r="G21" s="65"/>
      <c r="H21" s="64"/>
      <c r="I21" s="67"/>
      <c r="J21" s="67"/>
      <c r="K21" s="67"/>
      <c r="L21" s="67"/>
      <c r="M21" s="67"/>
      <c r="N21" s="67"/>
      <c r="O21" s="67"/>
      <c r="P21" s="67"/>
      <c r="Q21" s="75"/>
      <c r="R21" s="63"/>
      <c r="S21" s="76"/>
      <c r="T21" s="76"/>
      <c r="U21" s="76"/>
      <c r="V21" s="76"/>
      <c r="W21" s="47"/>
      <c r="X21" s="47"/>
    </row>
    <row r="22" spans="2:24" x14ac:dyDescent="0.35">
      <c r="C22" s="1" t="s">
        <v>72</v>
      </c>
      <c r="E22" s="77"/>
      <c r="G22" s="78">
        <f>210000000*3</f>
        <v>630000000</v>
      </c>
      <c r="H22" s="78"/>
      <c r="I22" s="78"/>
      <c r="J22" s="78">
        <f>210000000*2</f>
        <v>420000000</v>
      </c>
      <c r="K22" s="78"/>
      <c r="L22" s="78"/>
      <c r="M22" s="78"/>
      <c r="N22" s="78"/>
      <c r="O22" s="78"/>
      <c r="P22" s="78"/>
      <c r="Q22" s="79">
        <f>SUM(G22:K22)</f>
        <v>1050000000</v>
      </c>
      <c r="R22" s="61" t="s">
        <v>37</v>
      </c>
      <c r="S22" s="61"/>
      <c r="T22" s="61"/>
      <c r="U22" s="61"/>
      <c r="V22" s="61"/>
      <c r="W22" s="80"/>
      <c r="X22" s="47"/>
    </row>
    <row r="23" spans="2:24" x14ac:dyDescent="0.35">
      <c r="C23" s="1" t="s">
        <v>73</v>
      </c>
      <c r="F23" s="81"/>
      <c r="G23" s="78">
        <v>36000000</v>
      </c>
      <c r="H23" s="78">
        <f>G23</f>
        <v>36000000</v>
      </c>
      <c r="I23" s="78">
        <f>H23</f>
        <v>36000000</v>
      </c>
      <c r="J23" s="78">
        <f>I23</f>
        <v>36000000</v>
      </c>
      <c r="K23" s="78">
        <f>J23</f>
        <v>36000000</v>
      </c>
      <c r="L23" s="78"/>
      <c r="M23" s="78"/>
      <c r="N23" s="78"/>
      <c r="O23" s="78"/>
      <c r="P23" s="78"/>
      <c r="Q23" s="79">
        <f>SUM(G23:K23)</f>
        <v>180000000</v>
      </c>
      <c r="R23" s="61"/>
      <c r="S23" s="82"/>
      <c r="T23" s="82"/>
      <c r="U23" s="82"/>
      <c r="V23" s="82"/>
      <c r="W23" s="80"/>
      <c r="X23" s="47"/>
    </row>
    <row r="24" spans="2:24" x14ac:dyDescent="0.35">
      <c r="C24" s="1" t="s">
        <v>74</v>
      </c>
      <c r="G24" s="83">
        <f>7000000*2+20000000</f>
        <v>34000000</v>
      </c>
      <c r="H24" s="83">
        <f>14000000</f>
        <v>14000000</v>
      </c>
      <c r="I24" s="83">
        <f>H24</f>
        <v>14000000</v>
      </c>
      <c r="J24" s="83">
        <f t="shared" ref="J24:K24" si="4">I24</f>
        <v>14000000</v>
      </c>
      <c r="K24" s="83">
        <f t="shared" si="4"/>
        <v>14000000</v>
      </c>
      <c r="L24" s="83"/>
      <c r="M24" s="83"/>
      <c r="N24" s="83"/>
      <c r="O24" s="83"/>
      <c r="P24" s="83"/>
      <c r="Q24" s="79">
        <f t="shared" ref="Q24:Q25" si="5">SUM(G24:K24)</f>
        <v>90000000</v>
      </c>
      <c r="R24" s="61"/>
      <c r="S24" s="82"/>
      <c r="T24" s="82"/>
      <c r="U24" s="82"/>
      <c r="V24" s="82"/>
      <c r="W24" s="80"/>
      <c r="X24" s="47"/>
    </row>
    <row r="25" spans="2:24" x14ac:dyDescent="0.35">
      <c r="B25" s="84"/>
      <c r="C25" s="84" t="s">
        <v>51</v>
      </c>
      <c r="D25" s="84"/>
      <c r="E25" s="84"/>
      <c r="F25" s="84"/>
      <c r="G25" s="85">
        <f>G19*$E$5</f>
        <v>5853600</v>
      </c>
      <c r="H25" s="85">
        <f t="shared" ref="H25:K25" si="6">H19*$E$5</f>
        <v>5511200.0097600007</v>
      </c>
      <c r="I25" s="85">
        <f t="shared" si="6"/>
        <v>5511200.0097600007</v>
      </c>
      <c r="J25" s="85">
        <f t="shared" si="6"/>
        <v>5511200.0097600007</v>
      </c>
      <c r="K25" s="85">
        <f t="shared" si="6"/>
        <v>5511200.0097600007</v>
      </c>
      <c r="L25" s="85">
        <f t="shared" ref="L25:P25" si="7">L19*J5</f>
        <v>0</v>
      </c>
      <c r="M25" s="85">
        <f t="shared" si="7"/>
        <v>0</v>
      </c>
      <c r="N25" s="85">
        <f t="shared" si="7"/>
        <v>0</v>
      </c>
      <c r="O25" s="85">
        <f t="shared" si="7"/>
        <v>0</v>
      </c>
      <c r="P25" s="85">
        <f t="shared" si="7"/>
        <v>0</v>
      </c>
      <c r="Q25" s="79">
        <f t="shared" si="5"/>
        <v>27898400.039039999</v>
      </c>
      <c r="R25" s="70"/>
      <c r="S25" s="82"/>
      <c r="T25" s="82"/>
      <c r="U25" s="82"/>
      <c r="V25" s="82"/>
      <c r="W25" s="80"/>
      <c r="X25" s="47"/>
    </row>
    <row r="26" spans="2:24" s="2" customFormat="1" x14ac:dyDescent="0.35">
      <c r="B26" s="71" t="s">
        <v>75</v>
      </c>
      <c r="C26" s="71"/>
      <c r="D26" s="71"/>
      <c r="E26" s="71"/>
      <c r="F26" s="71"/>
      <c r="G26" s="72">
        <f>SUM(G22:G25)</f>
        <v>705853600</v>
      </c>
      <c r="H26" s="72">
        <f t="shared" ref="H26:K26" si="8">SUM(H22:H25)</f>
        <v>55511200.00976</v>
      </c>
      <c r="I26" s="72">
        <f t="shared" si="8"/>
        <v>55511200.00976</v>
      </c>
      <c r="J26" s="72">
        <f t="shared" si="8"/>
        <v>475511200.00976002</v>
      </c>
      <c r="K26" s="72">
        <f t="shared" si="8"/>
        <v>55511200.00976</v>
      </c>
      <c r="L26" s="72"/>
      <c r="M26" s="72"/>
      <c r="N26" s="72"/>
      <c r="O26" s="72"/>
      <c r="P26" s="72"/>
      <c r="Q26" s="86">
        <f>SUM(Q22:Q25)</f>
        <v>1347898400.0390401</v>
      </c>
      <c r="R26" s="74"/>
      <c r="S26" s="87"/>
      <c r="T26" s="87"/>
      <c r="U26" s="87"/>
      <c r="V26" s="87"/>
      <c r="W26" s="74"/>
      <c r="X26" s="88"/>
    </row>
    <row r="27" spans="2:24" s="2" customFormat="1" x14ac:dyDescent="0.35">
      <c r="B27" s="2" t="s">
        <v>76</v>
      </c>
      <c r="G27" s="172">
        <f>G19-G26</f>
        <v>-413173600</v>
      </c>
      <c r="H27" s="89">
        <f>H19-H26</f>
        <v>220048800.47824004</v>
      </c>
      <c r="I27" s="89">
        <f t="shared" ref="I27:K27" si="9">I19-I26</f>
        <v>220048800.47824004</v>
      </c>
      <c r="J27" s="89">
        <f t="shared" si="9"/>
        <v>-199951199.52175999</v>
      </c>
      <c r="K27" s="89">
        <f t="shared" si="9"/>
        <v>220048800.47824004</v>
      </c>
      <c r="L27" s="89"/>
      <c r="M27" s="89"/>
      <c r="N27" s="89"/>
      <c r="O27" s="89"/>
      <c r="P27" s="89"/>
      <c r="Q27" s="90">
        <f>Q19-Q26</f>
        <v>47021601.912960052</v>
      </c>
      <c r="R27" s="74"/>
      <c r="S27" s="82"/>
      <c r="T27" s="82"/>
      <c r="U27" s="82"/>
      <c r="V27" s="82"/>
      <c r="W27" s="74"/>
      <c r="X27" s="88"/>
    </row>
    <row r="28" spans="2:24" s="2" customFormat="1" x14ac:dyDescent="0.35">
      <c r="B28" s="91" t="s">
        <v>77</v>
      </c>
      <c r="C28" s="92"/>
      <c r="D28" s="92"/>
      <c r="E28" s="92"/>
      <c r="F28" s="92"/>
      <c r="G28" s="93">
        <v>0</v>
      </c>
      <c r="H28" s="93">
        <f>H27/H19</f>
        <v>0.79855131400982349</v>
      </c>
      <c r="I28" s="93">
        <f t="shared" ref="I28:K28" si="10">I27/I19</f>
        <v>0.79855131400982349</v>
      </c>
      <c r="J28" s="93">
        <f t="shared" si="10"/>
        <v>-0.72561764830765918</v>
      </c>
      <c r="K28" s="93">
        <f t="shared" si="10"/>
        <v>0.79855131400982349</v>
      </c>
      <c r="L28" s="93"/>
      <c r="M28" s="93"/>
      <c r="N28" s="93"/>
      <c r="O28" s="93"/>
      <c r="P28" s="93"/>
      <c r="Q28" s="94">
        <f>Q27/Q19</f>
        <v>3.3709174610127991E-2</v>
      </c>
      <c r="R28" s="76"/>
      <c r="S28" s="47"/>
      <c r="T28" s="47"/>
      <c r="U28" s="47"/>
      <c r="V28" s="47"/>
      <c r="W28" s="76"/>
      <c r="X28" s="88"/>
    </row>
    <row r="29" spans="2:24" x14ac:dyDescent="0.35">
      <c r="B29" s="84" t="s">
        <v>78</v>
      </c>
      <c r="C29" s="84"/>
      <c r="D29" s="84"/>
      <c r="E29" s="84"/>
      <c r="F29" s="84"/>
      <c r="G29" s="95">
        <f>G51</f>
        <v>1350498.2</v>
      </c>
      <c r="H29" s="95">
        <f>H51</f>
        <v>1350498.2</v>
      </c>
      <c r="I29" s="95">
        <f>I51</f>
        <v>1350498.2</v>
      </c>
      <c r="J29" s="95">
        <f>J51</f>
        <v>1350498.2</v>
      </c>
      <c r="K29" s="95">
        <f>K51</f>
        <v>1350498.2</v>
      </c>
      <c r="L29" s="95"/>
      <c r="M29" s="95"/>
      <c r="N29" s="95"/>
      <c r="O29" s="95"/>
      <c r="P29" s="95"/>
      <c r="Q29" s="96">
        <f>SUM(G29:K29)</f>
        <v>6752491</v>
      </c>
      <c r="R29" s="61"/>
      <c r="S29" s="97"/>
      <c r="T29" s="97"/>
      <c r="U29" s="97"/>
      <c r="V29" s="97"/>
      <c r="W29" s="61"/>
      <c r="X29" s="47"/>
    </row>
    <row r="30" spans="2:24" x14ac:dyDescent="0.35">
      <c r="B30" s="1" t="s">
        <v>79</v>
      </c>
      <c r="G30" s="98">
        <f t="shared" ref="G30:Q30" si="11">G27-G29</f>
        <v>-414524098.19999999</v>
      </c>
      <c r="H30" s="98">
        <f t="shared" si="11"/>
        <v>218698302.27824005</v>
      </c>
      <c r="I30" s="98">
        <f t="shared" si="11"/>
        <v>218698302.27824005</v>
      </c>
      <c r="J30" s="98">
        <f t="shared" si="11"/>
        <v>-201301697.72175997</v>
      </c>
      <c r="K30" s="98">
        <f t="shared" si="11"/>
        <v>218698302.27824005</v>
      </c>
      <c r="L30" s="98"/>
      <c r="M30" s="98"/>
      <c r="N30" s="98"/>
      <c r="O30" s="98"/>
      <c r="P30" s="98"/>
      <c r="Q30" s="99">
        <f t="shared" si="11"/>
        <v>40269110.912960052</v>
      </c>
      <c r="R30" s="82"/>
      <c r="S30" s="97"/>
      <c r="T30" s="97"/>
      <c r="U30" s="97"/>
      <c r="V30" s="97"/>
      <c r="W30" s="82"/>
      <c r="X30" s="47"/>
    </row>
    <row r="31" spans="2:24" x14ac:dyDescent="0.35">
      <c r="B31" s="1" t="s">
        <v>80</v>
      </c>
      <c r="G31" s="100">
        <f>Parameter!P39</f>
        <v>91806.319999999978</v>
      </c>
      <c r="H31" s="100">
        <f>Parameter!Q39</f>
        <v>0</v>
      </c>
      <c r="I31" s="100">
        <f>Parameter!R39</f>
        <v>0</v>
      </c>
      <c r="J31" s="100">
        <f>Parameter!S39</f>
        <v>0</v>
      </c>
      <c r="K31" s="100">
        <f>Parameter!T39</f>
        <v>0</v>
      </c>
      <c r="L31" s="100"/>
      <c r="M31" s="100"/>
      <c r="N31" s="100"/>
      <c r="O31" s="100"/>
      <c r="P31" s="100"/>
      <c r="Q31" s="101">
        <f>SUM(G31:K31)</f>
        <v>91806.319999999978</v>
      </c>
      <c r="R31" s="82"/>
      <c r="S31" s="97"/>
      <c r="T31" s="97"/>
      <c r="U31" s="97"/>
      <c r="V31" s="97"/>
      <c r="W31" s="82"/>
      <c r="X31" s="47"/>
    </row>
    <row r="32" spans="2:24" x14ac:dyDescent="0.35">
      <c r="B32" s="1" t="s">
        <v>81</v>
      </c>
      <c r="G32" s="100">
        <f t="shared" ref="G32:K32" si="12">G30-G31</f>
        <v>-414615904.51999998</v>
      </c>
      <c r="H32" s="100">
        <f t="shared" si="12"/>
        <v>218698302.27824005</v>
      </c>
      <c r="I32" s="100">
        <f t="shared" si="12"/>
        <v>218698302.27824005</v>
      </c>
      <c r="J32" s="100">
        <f t="shared" si="12"/>
        <v>-201301697.72175997</v>
      </c>
      <c r="K32" s="100">
        <f t="shared" si="12"/>
        <v>218698302.27824005</v>
      </c>
      <c r="L32" s="100"/>
      <c r="M32" s="100"/>
      <c r="N32" s="100"/>
      <c r="O32" s="100"/>
      <c r="P32" s="100"/>
      <c r="Q32" s="101">
        <f>SUM(G32:K32)</f>
        <v>40177304.592960209</v>
      </c>
      <c r="R32" s="82"/>
      <c r="S32" s="102"/>
      <c r="T32" s="102"/>
      <c r="U32" s="102"/>
      <c r="V32" s="102"/>
      <c r="W32" s="82"/>
      <c r="X32" s="47"/>
    </row>
    <row r="33" spans="2:24" x14ac:dyDescent="0.35">
      <c r="B33" s="84" t="s">
        <v>82</v>
      </c>
      <c r="C33" s="84"/>
      <c r="D33" s="84"/>
      <c r="E33" s="84"/>
      <c r="F33" s="84"/>
      <c r="G33" s="103">
        <f>IF(G32&lt;0,0,G32*$E$3)</f>
        <v>0</v>
      </c>
      <c r="H33" s="103">
        <f>IF(H32&lt;0,0,H32*$E$3)</f>
        <v>4373966.0455648014</v>
      </c>
      <c r="I33" s="103">
        <f>IF(I32&lt;0,0,I32*$E$3)</f>
        <v>4373966.0455648014</v>
      </c>
      <c r="J33" s="103">
        <f>IF(J32&lt;0,0,J32*$E$3)</f>
        <v>0</v>
      </c>
      <c r="K33" s="103">
        <f>IF(K32&lt;0,0,K32*$E$3)</f>
        <v>4373966.0455648014</v>
      </c>
      <c r="L33" s="103"/>
      <c r="M33" s="103"/>
      <c r="N33" s="103"/>
      <c r="O33" s="103"/>
      <c r="P33" s="103"/>
      <c r="Q33" s="104">
        <f>SUM(G33:K33)</f>
        <v>13121898.136694405</v>
      </c>
      <c r="R33" s="87"/>
      <c r="W33" s="97"/>
      <c r="X33" s="47"/>
    </row>
    <row r="34" spans="2:24" ht="16" thickBot="1" x14ac:dyDescent="0.4">
      <c r="B34" s="105" t="s">
        <v>83</v>
      </c>
      <c r="C34" s="105"/>
      <c r="D34" s="105"/>
      <c r="E34" s="105"/>
      <c r="F34" s="105"/>
      <c r="G34" s="106">
        <f>G32-G33</f>
        <v>-414615904.51999998</v>
      </c>
      <c r="H34" s="106">
        <f t="shared" ref="H34:K34" si="13">H32-H33</f>
        <v>214324336.23267525</v>
      </c>
      <c r="I34" s="106">
        <f t="shared" si="13"/>
        <v>214324336.23267525</v>
      </c>
      <c r="J34" s="106">
        <f t="shared" si="13"/>
        <v>-201301697.72175997</v>
      </c>
      <c r="K34" s="106">
        <f t="shared" si="13"/>
        <v>214324336.23267525</v>
      </c>
      <c r="L34" s="106"/>
      <c r="M34" s="106"/>
      <c r="N34" s="106"/>
      <c r="O34" s="106"/>
      <c r="P34" s="106"/>
      <c r="Q34" s="107">
        <f>Q32-Q33</f>
        <v>27055406.456265803</v>
      </c>
      <c r="R34" s="82"/>
      <c r="W34" s="82"/>
      <c r="X34" s="47"/>
    </row>
    <row r="35" spans="2:24" x14ac:dyDescent="0.35">
      <c r="Q35" s="62"/>
      <c r="R35" s="47"/>
      <c r="W35" s="47"/>
      <c r="X35" s="47"/>
    </row>
    <row r="36" spans="2:24" x14ac:dyDescent="0.35">
      <c r="B36" s="84" t="s">
        <v>84</v>
      </c>
      <c r="C36" s="84"/>
      <c r="D36" s="84"/>
      <c r="E36" s="84"/>
      <c r="F36" s="108">
        <f>-G9</f>
        <v>-6752491</v>
      </c>
      <c r="G36" s="108"/>
      <c r="H36" s="108">
        <f>-I9+-I10</f>
        <v>0</v>
      </c>
      <c r="I36" s="108">
        <f>-J9+-J10</f>
        <v>0</v>
      </c>
      <c r="J36" s="108">
        <f>-K9+-K10</f>
        <v>0</v>
      </c>
      <c r="K36" s="108">
        <f>-Q9+-Q10</f>
        <v>0</v>
      </c>
      <c r="L36" s="108"/>
      <c r="M36" s="108"/>
      <c r="N36" s="108"/>
      <c r="O36" s="108"/>
      <c r="P36" s="108"/>
      <c r="Q36" s="109"/>
      <c r="R36" s="97"/>
      <c r="W36" s="97"/>
      <c r="X36" s="47"/>
    </row>
    <row r="37" spans="2:24" x14ac:dyDescent="0.35">
      <c r="B37" s="1" t="s">
        <v>85</v>
      </c>
      <c r="F37" s="110">
        <f>F36</f>
        <v>-6752491</v>
      </c>
      <c r="G37" s="110">
        <f>G36+G34+G29</f>
        <v>-413265406.31999999</v>
      </c>
      <c r="H37" s="110">
        <f t="shared" ref="H37:J37" si="14">H36+H34+H29</f>
        <v>215674834.43267524</v>
      </c>
      <c r="I37" s="110">
        <f t="shared" si="14"/>
        <v>215674834.43267524</v>
      </c>
      <c r="J37" s="110">
        <f t="shared" si="14"/>
        <v>-199951199.52175999</v>
      </c>
      <c r="K37" s="110">
        <f>K36+K34+K29</f>
        <v>215674834.43267524</v>
      </c>
      <c r="L37" s="110"/>
      <c r="M37" s="110"/>
      <c r="N37" s="110"/>
      <c r="O37" s="110"/>
      <c r="P37" s="110"/>
      <c r="Q37" s="111">
        <f>SUM(F37:K37)</f>
        <v>27055406.456265748</v>
      </c>
      <c r="R37" s="97"/>
      <c r="S37" s="44"/>
      <c r="T37" s="56"/>
      <c r="U37" s="44"/>
      <c r="V37" s="56"/>
      <c r="W37" s="97"/>
      <c r="X37" s="47"/>
    </row>
    <row r="38" spans="2:24" x14ac:dyDescent="0.35">
      <c r="B38" s="1" t="s">
        <v>86</v>
      </c>
      <c r="F38" s="110">
        <f>F37</f>
        <v>-6752491</v>
      </c>
      <c r="G38" s="110">
        <f>F38+G37</f>
        <v>-420017897.31999999</v>
      </c>
      <c r="H38" s="110">
        <f t="shared" ref="H38:K38" si="15">G38+H37</f>
        <v>-204343062.88732475</v>
      </c>
      <c r="I38" s="110">
        <f>(H38+I37)</f>
        <v>11331771.545350492</v>
      </c>
      <c r="J38" s="110">
        <f t="shared" si="15"/>
        <v>-188619427.97640949</v>
      </c>
      <c r="K38" s="110">
        <f t="shared" si="15"/>
        <v>27055406.456265748</v>
      </c>
      <c r="L38" s="110"/>
      <c r="M38" s="110"/>
      <c r="N38" s="110"/>
      <c r="O38" s="110"/>
      <c r="P38" s="110"/>
      <c r="Q38" s="111"/>
      <c r="R38" s="97"/>
      <c r="S38" s="112"/>
      <c r="T38" s="112"/>
      <c r="U38" s="112"/>
      <c r="V38" s="112"/>
      <c r="W38" s="97"/>
      <c r="X38" s="47"/>
    </row>
    <row r="39" spans="2:24" x14ac:dyDescent="0.35">
      <c r="B39" s="1" t="s">
        <v>87</v>
      </c>
      <c r="F39" s="110"/>
      <c r="G39" s="102">
        <f>IF(AND(F38&lt;0,G38&gt;0),G44-(G38/G37),0)</f>
        <v>0</v>
      </c>
      <c r="H39" s="102">
        <f t="shared" ref="H39:K39" si="16">IF(AND(G38&lt;0,H38&gt;0),H44-(H38/H37),0)</f>
        <v>0</v>
      </c>
      <c r="I39" s="102">
        <f t="shared" si="16"/>
        <v>2.9474589996781111</v>
      </c>
      <c r="J39" s="102">
        <f t="shared" si="16"/>
        <v>0</v>
      </c>
      <c r="K39" s="102">
        <f t="shared" si="16"/>
        <v>4.8745546436725729</v>
      </c>
      <c r="L39" s="102"/>
      <c r="M39" s="102"/>
      <c r="N39" s="102"/>
      <c r="O39" s="102"/>
      <c r="P39" s="102"/>
      <c r="Q39" s="113"/>
      <c r="R39" s="102"/>
      <c r="S39" s="114"/>
      <c r="T39" s="114"/>
      <c r="U39" s="114"/>
      <c r="V39" s="114"/>
      <c r="W39" s="102"/>
    </row>
    <row r="40" spans="2:24" x14ac:dyDescent="0.35">
      <c r="B40" s="115" t="s">
        <v>34</v>
      </c>
      <c r="C40" s="116"/>
      <c r="D40" s="116"/>
      <c r="E40" s="116"/>
      <c r="F40" s="117">
        <f>IRR(F37:K37)</f>
        <v>3.1360611830587359E-2</v>
      </c>
      <c r="S40" s="114"/>
      <c r="T40" s="114"/>
      <c r="U40" s="114"/>
      <c r="V40" s="114"/>
    </row>
    <row r="41" spans="2:24" x14ac:dyDescent="0.35">
      <c r="B41" s="118" t="s">
        <v>35</v>
      </c>
      <c r="C41" s="51"/>
      <c r="D41" s="51"/>
      <c r="E41" s="51"/>
      <c r="F41" s="204">
        <f>NPV(E4,G37:K37)+F37</f>
        <v>-44817210.958860874</v>
      </c>
      <c r="H41" s="120"/>
      <c r="I41" s="121"/>
      <c r="S41" s="114"/>
      <c r="T41" s="114"/>
      <c r="U41" s="114"/>
      <c r="V41" s="114"/>
    </row>
    <row r="42" spans="2:24" x14ac:dyDescent="0.35">
      <c r="B42" s="118" t="s">
        <v>36</v>
      </c>
      <c r="C42" s="51"/>
      <c r="D42" s="51"/>
      <c r="E42" s="51"/>
      <c r="F42" s="122">
        <f>Q28</f>
        <v>3.3709174610127991E-2</v>
      </c>
      <c r="H42" s="69"/>
      <c r="S42" s="114"/>
      <c r="T42" s="114"/>
      <c r="U42" s="114"/>
      <c r="V42" s="114"/>
    </row>
    <row r="43" spans="2:24" x14ac:dyDescent="0.35">
      <c r="B43" s="123" t="s">
        <v>88</v>
      </c>
      <c r="C43" s="124"/>
      <c r="D43" s="124"/>
      <c r="E43" s="124"/>
      <c r="F43" s="125">
        <f>K39</f>
        <v>4.8745546436725729</v>
      </c>
      <c r="S43" s="114"/>
      <c r="T43" s="114"/>
      <c r="U43" s="114"/>
      <c r="V43" s="114"/>
    </row>
    <row r="44" spans="2:24" ht="9.65" customHeight="1" x14ac:dyDescent="0.35">
      <c r="G44" s="56">
        <v>1</v>
      </c>
      <c r="H44" s="44">
        <v>2</v>
      </c>
      <c r="I44" s="56">
        <v>3</v>
      </c>
      <c r="J44" s="44">
        <v>4</v>
      </c>
      <c r="K44" s="56">
        <v>5</v>
      </c>
      <c r="L44" s="56"/>
      <c r="M44" s="56"/>
      <c r="N44" s="56"/>
      <c r="O44" s="56"/>
      <c r="P44" s="56"/>
      <c r="Q44" s="44"/>
      <c r="R44" s="56"/>
      <c r="S44" s="126"/>
      <c r="T44" s="126"/>
      <c r="U44" s="126"/>
      <c r="V44" s="126"/>
    </row>
    <row r="45" spans="2:24" x14ac:dyDescent="0.35">
      <c r="B45" s="127" t="s">
        <v>89</v>
      </c>
      <c r="E45" s="112" t="s">
        <v>90</v>
      </c>
      <c r="G45" s="112" t="str">
        <f>G12</f>
        <v>Year 1</v>
      </c>
      <c r="H45" s="112" t="str">
        <f>H12</f>
        <v>Year 2</v>
      </c>
      <c r="I45" s="112" t="str">
        <f>I12</f>
        <v>Year 3</v>
      </c>
      <c r="J45" s="112" t="str">
        <f>J12</f>
        <v>Year 4</v>
      </c>
      <c r="K45" s="112" t="str">
        <f>K12</f>
        <v>Year 5</v>
      </c>
      <c r="L45" s="112"/>
      <c r="M45" s="112"/>
      <c r="N45" s="112"/>
      <c r="O45" s="112"/>
      <c r="P45" s="112"/>
      <c r="Q45" s="112"/>
      <c r="R45" s="112"/>
      <c r="W45" s="112"/>
    </row>
    <row r="46" spans="2:24" x14ac:dyDescent="0.35">
      <c r="D46" s="1" t="s">
        <v>61</v>
      </c>
      <c r="E46" s="1">
        <v>5</v>
      </c>
      <c r="G46" s="128">
        <f>SUM(G9:G10)/$E46</f>
        <v>1350498.2</v>
      </c>
      <c r="H46" s="114">
        <f>G46</f>
        <v>1350498.2</v>
      </c>
      <c r="I46" s="114">
        <f>H46</f>
        <v>1350498.2</v>
      </c>
      <c r="J46" s="114">
        <f t="shared" ref="J46:K47" si="17">I46</f>
        <v>1350498.2</v>
      </c>
      <c r="K46" s="114">
        <f t="shared" si="17"/>
        <v>1350498.2</v>
      </c>
      <c r="L46" s="114"/>
      <c r="M46" s="114"/>
      <c r="N46" s="114"/>
      <c r="O46" s="114"/>
      <c r="P46" s="114"/>
      <c r="Q46" s="114">
        <f>SUM(G46:K46)</f>
        <v>6752491</v>
      </c>
      <c r="R46" s="114"/>
      <c r="W46" s="129"/>
    </row>
    <row r="47" spans="2:24" hidden="1" x14ac:dyDescent="0.35">
      <c r="D47" s="1" t="s">
        <v>63</v>
      </c>
      <c r="E47" s="1">
        <v>4</v>
      </c>
      <c r="H47" s="128">
        <f>I$10/$E47</f>
        <v>0</v>
      </c>
      <c r="J47" s="114">
        <f>H47</f>
        <v>0</v>
      </c>
      <c r="K47" s="114">
        <f t="shared" si="17"/>
        <v>0</v>
      </c>
      <c r="L47" s="114"/>
      <c r="M47" s="114"/>
      <c r="N47" s="114"/>
      <c r="O47" s="114"/>
      <c r="P47" s="114"/>
      <c r="Q47" s="114"/>
      <c r="R47" s="114"/>
      <c r="W47" s="129"/>
    </row>
    <row r="48" spans="2:24" hidden="1" x14ac:dyDescent="0.35">
      <c r="D48" s="1" t="s">
        <v>64</v>
      </c>
      <c r="E48" s="1">
        <v>3</v>
      </c>
      <c r="I48" s="128">
        <f>J$9/$E48</f>
        <v>0</v>
      </c>
      <c r="K48" s="114">
        <f>I48</f>
        <v>0</v>
      </c>
      <c r="L48" s="114"/>
      <c r="M48" s="114"/>
      <c r="N48" s="114"/>
      <c r="O48" s="114"/>
      <c r="P48" s="114"/>
      <c r="Q48" s="114"/>
      <c r="R48" s="114"/>
      <c r="W48" s="129"/>
    </row>
    <row r="49" spans="2:23" hidden="1" x14ac:dyDescent="0.35">
      <c r="D49" s="1" t="s">
        <v>65</v>
      </c>
      <c r="E49" s="1">
        <v>2</v>
      </c>
      <c r="J49" s="128"/>
      <c r="Q49" s="114"/>
      <c r="R49" s="114"/>
      <c r="W49" s="129"/>
    </row>
    <row r="50" spans="2:23" hidden="1" x14ac:dyDescent="0.35">
      <c r="D50" s="1" t="s">
        <v>91</v>
      </c>
      <c r="E50" s="1">
        <v>1</v>
      </c>
      <c r="K50" s="128"/>
      <c r="L50" s="128"/>
      <c r="M50" s="128"/>
      <c r="N50" s="128"/>
      <c r="O50" s="128"/>
      <c r="P50" s="128"/>
      <c r="Q50" s="114"/>
      <c r="R50" s="114"/>
      <c r="W50" s="129"/>
    </row>
    <row r="51" spans="2:23" ht="16" thickBot="1" x14ac:dyDescent="0.4">
      <c r="B51" s="130" t="s">
        <v>92</v>
      </c>
      <c r="C51" s="131"/>
      <c r="D51" s="131"/>
      <c r="E51" s="131"/>
      <c r="F51" s="131"/>
      <c r="G51" s="132">
        <f>SUM(G46:G49)</f>
        <v>1350498.2</v>
      </c>
      <c r="H51" s="132">
        <f>SUM(H46:H49)</f>
        <v>1350498.2</v>
      </c>
      <c r="I51" s="132">
        <f>SUM(I46:I49)</f>
        <v>1350498.2</v>
      </c>
      <c r="J51" s="132">
        <f>SUM(J46:J49)</f>
        <v>1350498.2</v>
      </c>
      <c r="K51" s="132">
        <f>SUM(K46:K49)</f>
        <v>1350498.2</v>
      </c>
      <c r="L51" s="168"/>
      <c r="M51" s="168"/>
      <c r="N51" s="168"/>
      <c r="O51" s="168"/>
      <c r="P51" s="168"/>
      <c r="Q51" s="114">
        <f>SUM(G51:K51)</f>
        <v>6752491</v>
      </c>
      <c r="R51" s="126"/>
      <c r="W51" s="126"/>
    </row>
    <row r="52" spans="2:23" ht="16" thickTop="1" x14ac:dyDescent="0.35">
      <c r="W52" s="121"/>
    </row>
    <row r="54" spans="2:23" x14ac:dyDescent="0.35">
      <c r="F54" s="1" t="s">
        <v>37</v>
      </c>
    </row>
  </sheetData>
  <mergeCells count="1">
    <mergeCell ref="E19:F19"/>
  </mergeCells>
  <phoneticPr fontId="26" type="noConversion"/>
  <pageMargins left="0.61" right="0.64" top="0.35" bottom="0.35" header="0.65" footer="0.3"/>
  <pageSetup paperSize="9" scale="7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6D3A7-D9D7-4ADF-A360-DF0A796D0D8E}">
  <dimension ref="A2:M17"/>
  <sheetViews>
    <sheetView workbookViewId="0">
      <selection activeCell="E14" sqref="E14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0" t="s">
        <v>215</v>
      </c>
      <c r="B2" s="240"/>
      <c r="C2" s="240"/>
      <c r="D2" s="240"/>
      <c r="E2" s="240"/>
      <c r="F2" s="240"/>
      <c r="G2" s="205"/>
      <c r="H2" s="205"/>
      <c r="I2" s="205"/>
      <c r="J2" s="205"/>
      <c r="K2" s="205"/>
      <c r="L2" s="205"/>
      <c r="M2" s="205"/>
    </row>
    <row r="3" spans="1:13" x14ac:dyDescent="0.35">
      <c r="A3" s="206" t="s">
        <v>206</v>
      </c>
      <c r="B3" s="206" t="s">
        <v>207</v>
      </c>
      <c r="C3" s="206" t="s">
        <v>208</v>
      </c>
      <c r="D3" s="207"/>
      <c r="G3" s="205"/>
      <c r="H3" s="205"/>
      <c r="I3" s="205"/>
      <c r="J3" s="205"/>
      <c r="K3" s="205"/>
      <c r="L3" s="205"/>
      <c r="M3" s="205"/>
    </row>
    <row r="4" spans="1:13" x14ac:dyDescent="0.35">
      <c r="A4" s="208" t="s">
        <v>209</v>
      </c>
      <c r="B4" s="209">
        <v>44954</v>
      </c>
      <c r="C4" s="209">
        <v>46779</v>
      </c>
      <c r="D4" s="210"/>
      <c r="E4" s="211"/>
      <c r="F4" s="211"/>
      <c r="G4" s="205"/>
      <c r="H4" s="205"/>
      <c r="I4" s="205"/>
      <c r="J4" s="205"/>
      <c r="K4" s="205"/>
      <c r="L4" s="205"/>
      <c r="M4" s="205"/>
    </row>
    <row r="5" spans="1:13" x14ac:dyDescent="0.35">
      <c r="A5" s="208" t="s">
        <v>216</v>
      </c>
      <c r="B5" s="209">
        <v>45760</v>
      </c>
      <c r="C5" s="209">
        <v>47585</v>
      </c>
      <c r="D5" s="210"/>
      <c r="E5" s="211"/>
      <c r="F5" s="211"/>
      <c r="G5" s="205"/>
      <c r="H5" s="205"/>
      <c r="I5" s="205"/>
      <c r="J5" s="205"/>
      <c r="K5" s="205"/>
      <c r="L5" s="205"/>
      <c r="M5" s="205"/>
    </row>
    <row r="6" spans="1:13" x14ac:dyDescent="0.35">
      <c r="A6" s="208" t="s">
        <v>210</v>
      </c>
      <c r="B6" s="209">
        <v>45636</v>
      </c>
      <c r="C6" s="209">
        <v>46732</v>
      </c>
      <c r="D6" s="210"/>
      <c r="G6" s="205"/>
      <c r="H6" s="205"/>
      <c r="I6" s="205"/>
      <c r="J6" s="205"/>
      <c r="K6" s="205"/>
      <c r="L6" s="205"/>
      <c r="M6" s="205"/>
    </row>
    <row r="7" spans="1:13" x14ac:dyDescent="0.35">
      <c r="A7" s="205"/>
      <c r="G7" s="205"/>
      <c r="H7" s="205"/>
      <c r="I7" s="205"/>
      <c r="J7" s="205"/>
      <c r="K7" s="205"/>
      <c r="L7" s="205"/>
      <c r="M7" s="205"/>
    </row>
    <row r="8" spans="1:13" x14ac:dyDescent="0.35">
      <c r="A8" s="205"/>
      <c r="B8" s="206" t="s">
        <v>207</v>
      </c>
      <c r="C8" s="206" t="s">
        <v>208</v>
      </c>
      <c r="D8" s="206" t="s">
        <v>211</v>
      </c>
      <c r="E8" s="210"/>
      <c r="F8" s="210"/>
      <c r="G8" s="205"/>
      <c r="H8" s="205"/>
      <c r="I8" s="205"/>
      <c r="J8" s="205"/>
      <c r="K8" s="205"/>
      <c r="L8" s="205"/>
      <c r="M8" s="205"/>
    </row>
    <row r="9" spans="1:13" x14ac:dyDescent="0.35">
      <c r="A9" s="205" t="s">
        <v>217</v>
      </c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</row>
    <row r="10" spans="1:13" x14ac:dyDescent="0.35">
      <c r="A10" s="205" t="s">
        <v>209</v>
      </c>
      <c r="B10" s="212">
        <v>45636</v>
      </c>
      <c r="C10" s="212">
        <v>46732</v>
      </c>
      <c r="D10" s="213">
        <f t="shared" ref="D10:D14" si="0">C10-B10</f>
        <v>1096</v>
      </c>
      <c r="E10" s="214">
        <v>76680000</v>
      </c>
      <c r="F10" s="215">
        <f>E10/365*D10</f>
        <v>230250082.19178081</v>
      </c>
      <c r="G10" s="205"/>
      <c r="H10" s="205"/>
      <c r="I10" s="205"/>
      <c r="J10" s="205"/>
      <c r="K10" s="205"/>
      <c r="L10" s="205"/>
      <c r="M10" s="205"/>
    </row>
    <row r="11" spans="1:13" x14ac:dyDescent="0.35">
      <c r="A11" s="205" t="s">
        <v>216</v>
      </c>
      <c r="B11" s="212">
        <v>45636</v>
      </c>
      <c r="C11" s="212">
        <v>46732</v>
      </c>
      <c r="D11" s="213">
        <f t="shared" si="0"/>
        <v>1096</v>
      </c>
      <c r="E11" s="214">
        <v>198880000</v>
      </c>
      <c r="F11" s="215">
        <f>E11/365*D11</f>
        <v>597184876.71232879</v>
      </c>
      <c r="G11" s="205"/>
      <c r="H11" s="205"/>
      <c r="I11" s="205"/>
      <c r="J11" s="205"/>
      <c r="K11" s="205"/>
      <c r="L11" s="205"/>
      <c r="M11" s="205"/>
    </row>
    <row r="12" spans="1:13" x14ac:dyDescent="0.35">
      <c r="A12" s="205" t="s">
        <v>212</v>
      </c>
      <c r="B12" s="212">
        <v>45636</v>
      </c>
      <c r="C12" s="212">
        <v>46732</v>
      </c>
      <c r="D12" s="213">
        <f t="shared" si="0"/>
        <v>1096</v>
      </c>
      <c r="E12" s="214">
        <v>210000000</v>
      </c>
      <c r="F12" s="215">
        <f>-E12/365*D12</f>
        <v>-630575342.46575344</v>
      </c>
      <c r="G12" s="205"/>
      <c r="H12" s="205"/>
      <c r="I12" s="205"/>
      <c r="J12" s="205"/>
      <c r="K12" s="205"/>
      <c r="L12" s="205"/>
      <c r="M12" s="205"/>
    </row>
    <row r="13" spans="1:13" x14ac:dyDescent="0.35">
      <c r="A13" s="205" t="s">
        <v>218</v>
      </c>
      <c r="B13" s="212">
        <v>45636</v>
      </c>
      <c r="C13" s="212">
        <v>46732</v>
      </c>
      <c r="D13" s="213">
        <f t="shared" si="0"/>
        <v>1096</v>
      </c>
      <c r="E13" s="214">
        <v>36000000</v>
      </c>
      <c r="F13" s="215">
        <f t="shared" ref="F13:F14" si="1">-E13/365*D13</f>
        <v>-108098630.1369863</v>
      </c>
      <c r="G13" s="205"/>
      <c r="H13" s="205"/>
      <c r="I13" s="205"/>
      <c r="J13" s="205"/>
      <c r="K13" s="205"/>
      <c r="L13" s="205"/>
      <c r="M13" s="205"/>
    </row>
    <row r="14" spans="1:13" x14ac:dyDescent="0.35">
      <c r="A14" s="205" t="s">
        <v>213</v>
      </c>
      <c r="B14" s="212">
        <v>45636</v>
      </c>
      <c r="C14" s="212">
        <v>46732</v>
      </c>
      <c r="D14" s="213">
        <f t="shared" si="0"/>
        <v>1096</v>
      </c>
      <c r="E14" s="214">
        <v>14000000</v>
      </c>
      <c r="F14" s="215">
        <f t="shared" si="1"/>
        <v>-42038356.16438356</v>
      </c>
      <c r="G14" s="205"/>
      <c r="H14" s="205"/>
      <c r="I14" s="205"/>
      <c r="J14" s="205"/>
      <c r="K14" s="205"/>
      <c r="L14" s="205"/>
      <c r="M14" s="205"/>
    </row>
    <row r="15" spans="1:13" x14ac:dyDescent="0.35">
      <c r="A15" s="205" t="s">
        <v>214</v>
      </c>
      <c r="B15" s="205"/>
      <c r="C15" s="205"/>
      <c r="D15" s="205"/>
      <c r="E15" s="216">
        <v>100000000</v>
      </c>
      <c r="F15" s="217"/>
      <c r="G15" s="205"/>
      <c r="H15" s="205"/>
      <c r="I15" s="205"/>
      <c r="J15" s="205"/>
      <c r="K15" s="205"/>
      <c r="L15" s="205"/>
      <c r="M15" s="205"/>
    </row>
    <row r="16" spans="1:13" x14ac:dyDescent="0.35">
      <c r="A16" s="205" t="s">
        <v>219</v>
      </c>
      <c r="B16" s="205"/>
      <c r="C16" s="205"/>
      <c r="D16" s="205"/>
      <c r="E16" s="205"/>
      <c r="F16" s="215">
        <f>SUM(F10:F15)</f>
        <v>46722630.1369863</v>
      </c>
      <c r="G16" s="205"/>
      <c r="H16" s="205"/>
      <c r="I16" s="205"/>
      <c r="J16" s="205"/>
      <c r="K16" s="205"/>
      <c r="L16" s="205"/>
      <c r="M16" s="205"/>
    </row>
    <row r="17" spans="1:13" x14ac:dyDescent="0.35">
      <c r="A17" s="205"/>
      <c r="B17" s="205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</row>
  </sheetData>
  <mergeCells count="1">
    <mergeCell ref="A2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54E08-FDD6-4403-A4D9-4589786EB7A7}">
  <sheetPr>
    <tabColor theme="9" tint="0.39997558519241921"/>
  </sheetPr>
  <dimension ref="A1:D31"/>
  <sheetViews>
    <sheetView zoomScaleNormal="100" workbookViewId="0">
      <selection activeCell="D15" sqref="D15"/>
    </sheetView>
  </sheetViews>
  <sheetFormatPr defaultColWidth="9.1796875" defaultRowHeight="14.5" x14ac:dyDescent="0.35"/>
  <cols>
    <col min="1" max="1" width="5.54296875" style="174" customWidth="1"/>
    <col min="2" max="2" width="31.54296875" style="174" customWidth="1"/>
    <col min="3" max="3" width="58.1796875" style="174" customWidth="1"/>
    <col min="4" max="4" width="51.453125" style="174" customWidth="1"/>
    <col min="5" max="16384" width="9.1796875" style="174"/>
  </cols>
  <sheetData>
    <row r="1" spans="1:4" ht="21" x14ac:dyDescent="0.5">
      <c r="C1" s="133" t="s">
        <v>93</v>
      </c>
    </row>
    <row r="3" spans="1:4" x14ac:dyDescent="0.35">
      <c r="A3" s="180" t="s">
        <v>187</v>
      </c>
      <c r="B3" s="180"/>
      <c r="C3" s="181" t="s">
        <v>204</v>
      </c>
    </row>
    <row r="4" spans="1:4" x14ac:dyDescent="0.35">
      <c r="A4" s="180" t="s">
        <v>188</v>
      </c>
      <c r="B4" s="180"/>
      <c r="C4" s="181"/>
    </row>
    <row r="5" spans="1:4" x14ac:dyDescent="0.35">
      <c r="A5" s="180" t="s">
        <v>189</v>
      </c>
      <c r="B5" s="180"/>
      <c r="C5" s="181" t="s">
        <v>190</v>
      </c>
    </row>
    <row r="6" spans="1:4" x14ac:dyDescent="0.35">
      <c r="A6" s="180" t="s">
        <v>191</v>
      </c>
      <c r="B6" s="180"/>
      <c r="C6" s="181" t="s">
        <v>42</v>
      </c>
    </row>
    <row r="7" spans="1:4" x14ac:dyDescent="0.35">
      <c r="A7" s="180" t="s">
        <v>192</v>
      </c>
      <c r="B7" s="180"/>
      <c r="C7" s="182" t="s">
        <v>193</v>
      </c>
    </row>
    <row r="8" spans="1:4" ht="15" thickBot="1" x14ac:dyDescent="0.4"/>
    <row r="9" spans="1:4" x14ac:dyDescent="0.35">
      <c r="A9" s="243" t="s">
        <v>94</v>
      </c>
      <c r="B9" s="245" t="s">
        <v>95</v>
      </c>
      <c r="C9" s="245" t="s">
        <v>96</v>
      </c>
      <c r="D9" s="247" t="s">
        <v>23</v>
      </c>
    </row>
    <row r="10" spans="1:4" x14ac:dyDescent="0.35">
      <c r="A10" s="244"/>
      <c r="B10" s="246"/>
      <c r="C10" s="246"/>
      <c r="D10" s="248"/>
    </row>
    <row r="11" spans="1:4" x14ac:dyDescent="0.35">
      <c r="A11" s="183">
        <v>1</v>
      </c>
      <c r="B11" s="176" t="s">
        <v>97</v>
      </c>
      <c r="C11" s="176" t="s">
        <v>9</v>
      </c>
      <c r="D11" s="184" t="s">
        <v>9</v>
      </c>
    </row>
    <row r="12" spans="1:4" x14ac:dyDescent="0.35">
      <c r="A12" s="183">
        <v>2</v>
      </c>
      <c r="B12" s="176" t="s">
        <v>98</v>
      </c>
      <c r="C12" s="182" t="s">
        <v>193</v>
      </c>
      <c r="D12" s="185" t="str">
        <f>C12</f>
        <v xml:space="preserve">71 antenna Omni, BTS dan Pole </v>
      </c>
    </row>
    <row r="13" spans="1:4" x14ac:dyDescent="0.35">
      <c r="A13" s="183">
        <v>3</v>
      </c>
      <c r="B13" s="186" t="s">
        <v>99</v>
      </c>
      <c r="C13" s="186" t="s">
        <v>194</v>
      </c>
      <c r="D13" s="187" t="s">
        <v>195</v>
      </c>
    </row>
    <row r="14" spans="1:4" x14ac:dyDescent="0.35">
      <c r="A14" s="183">
        <v>4</v>
      </c>
      <c r="B14" s="178" t="s">
        <v>185</v>
      </c>
      <c r="C14" s="188">
        <v>480000000</v>
      </c>
      <c r="D14" s="189">
        <f>210000000*3</f>
        <v>630000000</v>
      </c>
    </row>
    <row r="15" spans="1:4" x14ac:dyDescent="0.35">
      <c r="A15" s="190">
        <v>6</v>
      </c>
      <c r="B15" s="191" t="s">
        <v>196</v>
      </c>
      <c r="C15" s="192">
        <f>C14/3</f>
        <v>160000000</v>
      </c>
      <c r="D15" s="193">
        <v>210000000</v>
      </c>
    </row>
    <row r="16" spans="1:4" x14ac:dyDescent="0.35">
      <c r="A16" s="249">
        <v>7</v>
      </c>
      <c r="B16" s="252" t="s">
        <v>197</v>
      </c>
      <c r="C16" s="179" t="s">
        <v>198</v>
      </c>
      <c r="D16" s="184" t="s">
        <v>202</v>
      </c>
    </row>
    <row r="17" spans="1:4" ht="19.5" customHeight="1" x14ac:dyDescent="0.35">
      <c r="A17" s="250"/>
      <c r="B17" s="253"/>
      <c r="C17" s="194" t="s">
        <v>199</v>
      </c>
      <c r="D17" s="195" t="s">
        <v>200</v>
      </c>
    </row>
    <row r="18" spans="1:4" x14ac:dyDescent="0.35">
      <c r="A18" s="251"/>
      <c r="B18" s="254"/>
      <c r="C18" s="179"/>
      <c r="D18" s="184"/>
    </row>
    <row r="19" spans="1:4" ht="15" thickBot="1" x14ac:dyDescent="0.4">
      <c r="A19" s="196"/>
      <c r="B19" s="197" t="s">
        <v>201</v>
      </c>
      <c r="C19" s="241"/>
      <c r="D19" s="242"/>
    </row>
    <row r="26" spans="1:4" x14ac:dyDescent="0.35">
      <c r="C26" s="198"/>
    </row>
    <row r="27" spans="1:4" ht="15.5" x14ac:dyDescent="0.35">
      <c r="B27" s="175"/>
      <c r="C27" s="199"/>
    </row>
    <row r="28" spans="1:4" ht="15.5" x14ac:dyDescent="0.35">
      <c r="B28" s="175"/>
      <c r="C28" s="175"/>
    </row>
    <row r="29" spans="1:4" ht="15.5" x14ac:dyDescent="0.35">
      <c r="B29" s="175"/>
      <c r="C29" s="175"/>
    </row>
    <row r="30" spans="1:4" ht="15.5" x14ac:dyDescent="0.35">
      <c r="B30" s="175"/>
      <c r="C30" s="175"/>
    </row>
    <row r="31" spans="1:4" ht="15.5" x14ac:dyDescent="0.35">
      <c r="B31" s="175"/>
      <c r="C31" s="175"/>
    </row>
  </sheetData>
  <mergeCells count="7">
    <mergeCell ref="C19:D19"/>
    <mergeCell ref="A9:A10"/>
    <mergeCell ref="B9:B10"/>
    <mergeCell ref="C9:C10"/>
    <mergeCell ref="D9:D10"/>
    <mergeCell ref="A16:A18"/>
    <mergeCell ref="B16:B18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7607-BA05-4676-A792-0A9B4013EC26}">
  <sheetPr>
    <pageSetUpPr fitToPage="1"/>
  </sheetPr>
  <dimension ref="B1:Y54"/>
  <sheetViews>
    <sheetView showGridLines="0" zoomScale="86" zoomScaleNormal="86" workbookViewId="0">
      <selection activeCell="G9" sqref="G9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9.81640625" style="1" customWidth="1"/>
    <col min="7" max="7" width="19.54296875" style="42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hidden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205</v>
      </c>
      <c r="Q1" s="4" t="s">
        <v>203</v>
      </c>
    </row>
    <row r="2" spans="2:25" x14ac:dyDescent="0.35">
      <c r="B2" s="43" t="s">
        <v>46</v>
      </c>
      <c r="H2" s="169" t="s">
        <v>47</v>
      </c>
      <c r="I2" s="170" t="s">
        <v>48</v>
      </c>
      <c r="Q2" s="121">
        <f>5000000*71</f>
        <v>355000000</v>
      </c>
    </row>
    <row r="3" spans="2:25" x14ac:dyDescent="0.35">
      <c r="C3" s="1" t="s">
        <v>49</v>
      </c>
      <c r="E3" s="45">
        <v>0.02</v>
      </c>
      <c r="H3" s="171" t="s">
        <v>69</v>
      </c>
      <c r="I3" s="46">
        <v>-0.1</v>
      </c>
      <c r="L3" s="46"/>
      <c r="M3" s="46"/>
      <c r="N3" s="46"/>
      <c r="O3" s="46"/>
      <c r="P3" s="46"/>
      <c r="R3" s="47"/>
      <c r="S3" s="47"/>
    </row>
    <row r="4" spans="2:25" x14ac:dyDescent="0.35">
      <c r="C4" s="1" t="s">
        <v>50</v>
      </c>
      <c r="E4" s="45">
        <v>0.1</v>
      </c>
      <c r="H4" s="171" t="s">
        <v>183</v>
      </c>
      <c r="I4" s="46">
        <v>-0.1</v>
      </c>
      <c r="L4" s="46"/>
      <c r="M4" s="46"/>
      <c r="N4" s="46"/>
      <c r="O4" s="46"/>
      <c r="P4" s="46"/>
      <c r="R4" s="47"/>
      <c r="S4" s="47"/>
    </row>
    <row r="5" spans="2:25" x14ac:dyDescent="0.35">
      <c r="C5" s="1" t="s">
        <v>51</v>
      </c>
      <c r="E5" s="45">
        <v>0.05</v>
      </c>
      <c r="F5" s="42" t="s">
        <v>52</v>
      </c>
      <c r="H5" s="171" t="s">
        <v>184</v>
      </c>
      <c r="I5" s="77">
        <v>0</v>
      </c>
      <c r="S5" s="200"/>
      <c r="T5" s="200"/>
      <c r="U5" s="200"/>
      <c r="V5" s="200"/>
    </row>
    <row r="6" spans="2:25" x14ac:dyDescent="0.35">
      <c r="C6" s="1" t="s">
        <v>53</v>
      </c>
      <c r="E6" s="49">
        <v>0</v>
      </c>
      <c r="F6" s="42" t="s">
        <v>52</v>
      </c>
      <c r="H6" s="171"/>
      <c r="I6" s="1" t="s">
        <v>178</v>
      </c>
    </row>
    <row r="7" spans="2:25" ht="3" customHeight="1" x14ac:dyDescent="0.35">
      <c r="F7" s="45"/>
    </row>
    <row r="8" spans="2:25" ht="14.4" customHeight="1" x14ac:dyDescent="0.35">
      <c r="B8" s="2"/>
      <c r="G8" s="201" t="s">
        <v>54</v>
      </c>
      <c r="H8" s="201" t="s">
        <v>55</v>
      </c>
      <c r="I8" s="170" t="s">
        <v>56</v>
      </c>
      <c r="J8" s="201" t="s">
        <v>57</v>
      </c>
      <c r="K8" s="201" t="s">
        <v>58</v>
      </c>
      <c r="L8" s="201" t="s">
        <v>173</v>
      </c>
      <c r="M8" s="201" t="s">
        <v>174</v>
      </c>
      <c r="N8" s="201" t="s">
        <v>175</v>
      </c>
      <c r="O8" s="201" t="s">
        <v>176</v>
      </c>
      <c r="P8" s="201" t="s">
        <v>177</v>
      </c>
      <c r="R8" s="50"/>
      <c r="W8" s="50"/>
      <c r="X8" s="50"/>
      <c r="Y8" s="50"/>
    </row>
    <row r="9" spans="2:25" s="52" customFormat="1" ht="16" thickBot="1" x14ac:dyDescent="0.4">
      <c r="B9" s="51" t="s">
        <v>59</v>
      </c>
      <c r="E9" s="52" t="s">
        <v>186</v>
      </c>
      <c r="F9" s="53"/>
      <c r="G9" s="54">
        <v>400000000</v>
      </c>
      <c r="H9" s="54">
        <v>0</v>
      </c>
      <c r="I9" s="54">
        <v>0</v>
      </c>
      <c r="J9" s="54">
        <v>0</v>
      </c>
      <c r="K9" s="54"/>
      <c r="L9" s="54"/>
      <c r="M9" s="54"/>
      <c r="N9" s="54"/>
      <c r="O9" s="54"/>
      <c r="P9" s="54"/>
      <c r="Q9" s="53"/>
      <c r="R9" s="53"/>
      <c r="S9" s="1"/>
      <c r="T9" s="1"/>
      <c r="U9" s="1"/>
      <c r="V9" s="1"/>
      <c r="W9" s="53"/>
      <c r="X9" s="53"/>
      <c r="Y9" s="53"/>
    </row>
    <row r="10" spans="2:25" s="52" customFormat="1" ht="16" thickTop="1" x14ac:dyDescent="0.35">
      <c r="B10" s="5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1"/>
      <c r="T10" s="1"/>
      <c r="U10" s="1"/>
      <c r="V10" s="1"/>
      <c r="W10" s="53"/>
      <c r="X10" s="53"/>
      <c r="Y10" s="53"/>
    </row>
    <row r="11" spans="2:25" x14ac:dyDescent="0.35">
      <c r="F11" s="55"/>
      <c r="G11" s="56">
        <v>2025</v>
      </c>
      <c r="H11" s="56">
        <f>G11+1</f>
        <v>2026</v>
      </c>
      <c r="I11" s="56">
        <f t="shared" ref="I11:P11" si="0">H11+1</f>
        <v>2027</v>
      </c>
      <c r="J11" s="56">
        <f t="shared" si="0"/>
        <v>2028</v>
      </c>
      <c r="K11" s="56">
        <f t="shared" si="0"/>
        <v>2029</v>
      </c>
      <c r="L11" s="56">
        <f t="shared" si="0"/>
        <v>2030</v>
      </c>
      <c r="M11" s="56">
        <f t="shared" si="0"/>
        <v>2031</v>
      </c>
      <c r="N11" s="56">
        <f t="shared" si="0"/>
        <v>2032</v>
      </c>
      <c r="O11" s="56">
        <f t="shared" si="0"/>
        <v>2033</v>
      </c>
      <c r="P11" s="56">
        <f t="shared" si="0"/>
        <v>2034</v>
      </c>
      <c r="Q11" s="56"/>
    </row>
    <row r="12" spans="2:25" ht="16" thickBot="1" x14ac:dyDescent="0.4">
      <c r="B12" s="57" t="s">
        <v>60</v>
      </c>
      <c r="C12" s="35"/>
      <c r="D12" s="35"/>
      <c r="E12" s="35"/>
      <c r="F12" s="58" t="s">
        <v>172</v>
      </c>
      <c r="G12" s="58" t="s">
        <v>61</v>
      </c>
      <c r="H12" s="59" t="s">
        <v>62</v>
      </c>
      <c r="I12" s="58" t="s">
        <v>63</v>
      </c>
      <c r="J12" s="59" t="s">
        <v>64</v>
      </c>
      <c r="K12" s="58" t="s">
        <v>65</v>
      </c>
      <c r="L12" s="58" t="s">
        <v>91</v>
      </c>
      <c r="M12" s="58" t="s">
        <v>168</v>
      </c>
      <c r="N12" s="58" t="s">
        <v>169</v>
      </c>
      <c r="O12" s="58" t="s">
        <v>170</v>
      </c>
      <c r="P12" s="58" t="s">
        <v>171</v>
      </c>
      <c r="Q12" s="60" t="s">
        <v>66</v>
      </c>
      <c r="R12" s="200"/>
      <c r="S12" s="61"/>
      <c r="T12" s="61"/>
      <c r="U12" s="61"/>
      <c r="V12" s="61"/>
      <c r="W12" s="200"/>
    </row>
    <row r="13" spans="2:25" x14ac:dyDescent="0.35">
      <c r="B13" s="1" t="s">
        <v>67</v>
      </c>
      <c r="G13" s="56">
        <v>12</v>
      </c>
      <c r="H13" s="56">
        <v>12</v>
      </c>
      <c r="I13" s="56">
        <v>12</v>
      </c>
      <c r="J13" s="56">
        <v>12</v>
      </c>
      <c r="K13" s="56">
        <v>12</v>
      </c>
      <c r="L13" s="56"/>
      <c r="M13" s="56"/>
      <c r="N13" s="56"/>
      <c r="O13" s="56"/>
      <c r="P13" s="56"/>
      <c r="Q13" s="62"/>
      <c r="S13" s="47"/>
      <c r="T13" s="47"/>
      <c r="U13" s="47"/>
      <c r="V13" s="47"/>
    </row>
    <row r="14" spans="2:25" ht="1.75" customHeight="1" x14ac:dyDescent="0.35">
      <c r="Q14" s="62"/>
      <c r="S14" s="63"/>
      <c r="T14" s="63"/>
      <c r="U14" s="63"/>
      <c r="V14" s="63"/>
    </row>
    <row r="15" spans="2:25" x14ac:dyDescent="0.35">
      <c r="B15" s="2" t="s">
        <v>68</v>
      </c>
      <c r="E15" s="64"/>
      <c r="G15" s="65"/>
      <c r="H15" s="66"/>
      <c r="I15" s="67"/>
      <c r="J15" s="67"/>
      <c r="K15" s="67"/>
      <c r="L15" s="67"/>
      <c r="M15" s="67"/>
      <c r="N15" s="67"/>
      <c r="O15" s="67"/>
      <c r="P15" s="67"/>
      <c r="Q15" s="62"/>
      <c r="S15" s="61"/>
      <c r="T15" s="61"/>
      <c r="U15" s="61"/>
      <c r="V15" s="61"/>
    </row>
    <row r="16" spans="2:25" x14ac:dyDescent="0.35">
      <c r="B16" s="2"/>
      <c r="C16" s="1" t="s">
        <v>183</v>
      </c>
      <c r="E16" s="64"/>
      <c r="G16" s="66">
        <v>150000000</v>
      </c>
      <c r="H16" s="66">
        <f>G16</f>
        <v>150000000</v>
      </c>
      <c r="I16" s="66">
        <f t="shared" ref="I16:K16" si="1">H16</f>
        <v>150000000</v>
      </c>
      <c r="J16" s="66">
        <f t="shared" si="1"/>
        <v>150000000</v>
      </c>
      <c r="K16" s="66">
        <f t="shared" si="1"/>
        <v>150000000</v>
      </c>
      <c r="L16" s="66"/>
      <c r="M16" s="66"/>
      <c r="N16" s="66"/>
      <c r="O16" s="66"/>
      <c r="P16" s="66"/>
      <c r="Q16" s="68">
        <f>SUM(G16:K16)</f>
        <v>750000000</v>
      </c>
      <c r="S16" s="61"/>
      <c r="T16" s="61"/>
      <c r="U16" s="61"/>
      <c r="V16" s="61"/>
    </row>
    <row r="17" spans="2:24" x14ac:dyDescent="0.35">
      <c r="B17" s="2"/>
      <c r="C17" s="1" t="s">
        <v>69</v>
      </c>
      <c r="E17" s="64"/>
      <c r="G17" s="66">
        <v>216000000</v>
      </c>
      <c r="H17" s="66">
        <f>(G17*92%)+160000</f>
        <v>198880000</v>
      </c>
      <c r="I17" s="66">
        <f t="shared" ref="H17:K18" si="2">H17</f>
        <v>198880000</v>
      </c>
      <c r="J17" s="66">
        <f t="shared" si="2"/>
        <v>198880000</v>
      </c>
      <c r="K17" s="66">
        <f>J17</f>
        <v>198880000</v>
      </c>
      <c r="L17" s="66"/>
      <c r="M17" s="66"/>
      <c r="N17" s="66"/>
      <c r="O17" s="66"/>
      <c r="P17" s="66"/>
      <c r="Q17" s="68">
        <f>SUM(G17:K17)</f>
        <v>1011520000</v>
      </c>
      <c r="S17" s="61"/>
      <c r="T17" s="61"/>
      <c r="U17" s="61"/>
      <c r="V17" s="61"/>
    </row>
    <row r="18" spans="2:24" x14ac:dyDescent="0.35">
      <c r="B18" s="2"/>
      <c r="C18" s="1" t="s">
        <v>184</v>
      </c>
      <c r="E18" s="64"/>
      <c r="G18" s="66">
        <v>76680000</v>
      </c>
      <c r="H18" s="66">
        <f t="shared" si="2"/>
        <v>76680000</v>
      </c>
      <c r="I18" s="66">
        <f>H18</f>
        <v>76680000</v>
      </c>
      <c r="J18" s="66">
        <f t="shared" si="2"/>
        <v>76680000</v>
      </c>
      <c r="K18" s="66">
        <f t="shared" si="2"/>
        <v>76680000</v>
      </c>
      <c r="L18" s="66"/>
      <c r="M18" s="66"/>
      <c r="N18" s="66"/>
      <c r="O18" s="66"/>
      <c r="P18" s="66"/>
      <c r="Q18" s="68">
        <f>SUM(G18:K18)</f>
        <v>383400000</v>
      </c>
      <c r="S18" s="61"/>
      <c r="T18" s="61"/>
      <c r="U18" s="61"/>
      <c r="V18" s="61"/>
    </row>
    <row r="19" spans="2:24" x14ac:dyDescent="0.35">
      <c r="B19" s="71" t="s">
        <v>70</v>
      </c>
      <c r="C19" s="71"/>
      <c r="D19" s="71"/>
      <c r="E19" s="238"/>
      <c r="F19" s="239"/>
      <c r="G19" s="72">
        <f t="shared" ref="G19:K19" si="3">SUM(G16:G18)</f>
        <v>442680000</v>
      </c>
      <c r="H19" s="72">
        <f t="shared" si="3"/>
        <v>425560000</v>
      </c>
      <c r="I19" s="72">
        <f t="shared" si="3"/>
        <v>425560000</v>
      </c>
      <c r="J19" s="72">
        <f t="shared" si="3"/>
        <v>425560000</v>
      </c>
      <c r="K19" s="72">
        <f t="shared" si="3"/>
        <v>425560000</v>
      </c>
      <c r="L19" s="72"/>
      <c r="M19" s="72"/>
      <c r="N19" s="72"/>
      <c r="O19" s="72"/>
      <c r="P19" s="72"/>
      <c r="Q19" s="73">
        <f>SUM(Q16:Q18)</f>
        <v>2144920000</v>
      </c>
      <c r="R19" s="61"/>
      <c r="S19" s="74"/>
      <c r="T19" s="74"/>
      <c r="U19" s="74"/>
      <c r="V19" s="74"/>
      <c r="W19" s="61"/>
      <c r="X19" s="47"/>
    </row>
    <row r="20" spans="2:24" ht="3" customHeight="1" x14ac:dyDescent="0.35">
      <c r="Q20" s="62"/>
      <c r="R20" s="47"/>
      <c r="S20" s="74"/>
      <c r="T20" s="74"/>
      <c r="U20" s="74"/>
      <c r="V20" s="74"/>
      <c r="W20" s="47"/>
      <c r="X20" s="47"/>
    </row>
    <row r="21" spans="2:24" x14ac:dyDescent="0.35">
      <c r="B21" s="2" t="s">
        <v>71</v>
      </c>
      <c r="E21" s="64"/>
      <c r="F21" s="64"/>
      <c r="G21" s="65"/>
      <c r="H21" s="64"/>
      <c r="I21" s="67"/>
      <c r="J21" s="67"/>
      <c r="K21" s="67"/>
      <c r="L21" s="67"/>
      <c r="M21" s="67"/>
      <c r="N21" s="67"/>
      <c r="O21" s="67"/>
      <c r="P21" s="67"/>
      <c r="Q21" s="75"/>
      <c r="R21" s="63"/>
      <c r="S21" s="76"/>
      <c r="T21" s="76"/>
      <c r="U21" s="76"/>
      <c r="V21" s="76"/>
      <c r="W21" s="47"/>
      <c r="X21" s="47"/>
    </row>
    <row r="22" spans="2:24" x14ac:dyDescent="0.35">
      <c r="C22" s="1" t="s">
        <v>72</v>
      </c>
      <c r="E22" s="77"/>
      <c r="G22" s="78">
        <f>210000000*3</f>
        <v>630000000</v>
      </c>
      <c r="H22" s="78"/>
      <c r="I22" s="78"/>
      <c r="J22" s="78">
        <f>210000000*2</f>
        <v>420000000</v>
      </c>
      <c r="K22" s="78"/>
      <c r="L22" s="78"/>
      <c r="M22" s="78"/>
      <c r="N22" s="78"/>
      <c r="O22" s="78"/>
      <c r="P22" s="78"/>
      <c r="Q22" s="79">
        <f>SUM(G22:K22)</f>
        <v>1050000000</v>
      </c>
      <c r="R22" s="61">
        <f>210000000*5</f>
        <v>1050000000</v>
      </c>
      <c r="S22" s="61"/>
      <c r="T22" s="61"/>
      <c r="U22" s="61"/>
      <c r="V22" s="61"/>
      <c r="W22" s="80"/>
      <c r="X22" s="47"/>
    </row>
    <row r="23" spans="2:24" x14ac:dyDescent="0.35">
      <c r="C23" s="1" t="s">
        <v>73</v>
      </c>
      <c r="F23" s="81"/>
      <c r="G23" s="78">
        <v>36000000</v>
      </c>
      <c r="H23" s="78">
        <f>G23</f>
        <v>36000000</v>
      </c>
      <c r="I23" s="78">
        <f>H23</f>
        <v>36000000</v>
      </c>
      <c r="J23" s="78">
        <f>I23</f>
        <v>36000000</v>
      </c>
      <c r="K23" s="78">
        <f>J23</f>
        <v>36000000</v>
      </c>
      <c r="L23" s="78"/>
      <c r="M23" s="78"/>
      <c r="N23" s="78"/>
      <c r="O23" s="78"/>
      <c r="P23" s="78"/>
      <c r="Q23" s="79">
        <f>SUM(G23:K23)</f>
        <v>180000000</v>
      </c>
      <c r="R23" s="61">
        <f>210000000*3</f>
        <v>630000000</v>
      </c>
      <c r="S23" s="82"/>
      <c r="T23" s="82"/>
      <c r="U23" s="82"/>
      <c r="V23" s="82"/>
      <c r="W23" s="80"/>
      <c r="X23" s="47"/>
    </row>
    <row r="24" spans="2:24" x14ac:dyDescent="0.35">
      <c r="C24" s="1" t="s">
        <v>74</v>
      </c>
      <c r="G24" s="83">
        <v>7000000</v>
      </c>
      <c r="H24" s="83">
        <f>G24</f>
        <v>7000000</v>
      </c>
      <c r="I24" s="83">
        <f>H24</f>
        <v>7000000</v>
      </c>
      <c r="J24" s="83">
        <f t="shared" ref="J24:K24" si="4">I24</f>
        <v>7000000</v>
      </c>
      <c r="K24" s="83">
        <f t="shared" si="4"/>
        <v>7000000</v>
      </c>
      <c r="L24" s="83"/>
      <c r="M24" s="83"/>
      <c r="N24" s="83"/>
      <c r="O24" s="83"/>
      <c r="P24" s="83"/>
      <c r="Q24" s="79">
        <f t="shared" ref="Q24:Q25" si="5">SUM(G24:K24)</f>
        <v>35000000</v>
      </c>
      <c r="R24" s="61"/>
      <c r="S24" s="82"/>
      <c r="T24" s="82"/>
      <c r="U24" s="82"/>
      <c r="V24" s="82"/>
      <c r="W24" s="80"/>
      <c r="X24" s="47"/>
    </row>
    <row r="25" spans="2:24" x14ac:dyDescent="0.35">
      <c r="B25" s="84"/>
      <c r="C25" s="84" t="s">
        <v>51</v>
      </c>
      <c r="D25" s="84"/>
      <c r="E25" s="84"/>
      <c r="F25" s="84"/>
      <c r="G25" s="85"/>
      <c r="H25" s="85"/>
      <c r="I25" s="85"/>
      <c r="J25" s="85"/>
      <c r="K25" s="85"/>
      <c r="L25" s="167"/>
      <c r="M25" s="167"/>
      <c r="N25" s="167"/>
      <c r="O25" s="167"/>
      <c r="P25" s="167"/>
      <c r="Q25" s="79">
        <f t="shared" si="5"/>
        <v>0</v>
      </c>
      <c r="R25" s="70"/>
      <c r="S25" s="82"/>
      <c r="T25" s="82"/>
      <c r="U25" s="82"/>
      <c r="V25" s="82"/>
      <c r="W25" s="80"/>
      <c r="X25" s="47"/>
    </row>
    <row r="26" spans="2:24" s="2" customFormat="1" x14ac:dyDescent="0.35">
      <c r="B26" s="71" t="s">
        <v>75</v>
      </c>
      <c r="C26" s="71"/>
      <c r="D26" s="71"/>
      <c r="E26" s="71"/>
      <c r="F26" s="71"/>
      <c r="G26" s="72">
        <f>SUM(G22:G25)</f>
        <v>673000000</v>
      </c>
      <c r="H26" s="72">
        <f t="shared" ref="H26:K26" si="6">SUM(H22:H25)</f>
        <v>43000000</v>
      </c>
      <c r="I26" s="72">
        <f>SUM(I22:I25)</f>
        <v>43000000</v>
      </c>
      <c r="J26" s="72">
        <f t="shared" si="6"/>
        <v>463000000</v>
      </c>
      <c r="K26" s="72">
        <f t="shared" si="6"/>
        <v>43000000</v>
      </c>
      <c r="L26" s="72"/>
      <c r="M26" s="72"/>
      <c r="N26" s="72"/>
      <c r="O26" s="72"/>
      <c r="P26" s="72"/>
      <c r="Q26" s="86">
        <f>SUM(Q22:Q25)</f>
        <v>1265000000</v>
      </c>
      <c r="R26" s="74"/>
      <c r="S26" s="87"/>
      <c r="T26" s="87"/>
      <c r="U26" s="87"/>
      <c r="V26" s="87"/>
      <c r="W26" s="74"/>
      <c r="X26" s="88"/>
    </row>
    <row r="27" spans="2:24" s="2" customFormat="1" x14ac:dyDescent="0.35">
      <c r="B27" s="2" t="s">
        <v>76</v>
      </c>
      <c r="G27" s="172">
        <f>G19-G26</f>
        <v>-230320000</v>
      </c>
      <c r="H27" s="89">
        <f>H19-H26</f>
        <v>382560000</v>
      </c>
      <c r="I27" s="89">
        <f t="shared" ref="I27:K27" si="7">I19-I26</f>
        <v>382560000</v>
      </c>
      <c r="J27" s="89">
        <f t="shared" si="7"/>
        <v>-37440000</v>
      </c>
      <c r="K27" s="89">
        <f t="shared" si="7"/>
        <v>382560000</v>
      </c>
      <c r="L27" s="89"/>
      <c r="M27" s="89"/>
      <c r="N27" s="89"/>
      <c r="O27" s="89"/>
      <c r="P27" s="89"/>
      <c r="Q27" s="90">
        <f>Q19-Q26</f>
        <v>879920000</v>
      </c>
      <c r="R27" s="74"/>
      <c r="S27" s="82"/>
      <c r="T27" s="82"/>
      <c r="U27" s="82"/>
      <c r="V27" s="82"/>
      <c r="W27" s="74"/>
      <c r="X27" s="88"/>
    </row>
    <row r="28" spans="2:24" s="2" customFormat="1" x14ac:dyDescent="0.35">
      <c r="B28" s="91" t="s">
        <v>77</v>
      </c>
      <c r="C28" s="92"/>
      <c r="D28" s="92"/>
      <c r="E28" s="92"/>
      <c r="F28" s="92"/>
      <c r="G28" s="93">
        <v>0</v>
      </c>
      <c r="H28" s="93">
        <f>H27/H19</f>
        <v>0.89895666885985526</v>
      </c>
      <c r="I28" s="93">
        <f t="shared" ref="I28:K28" si="8">I27/I19</f>
        <v>0.89895666885985526</v>
      </c>
      <c r="J28" s="93">
        <f t="shared" si="8"/>
        <v>-8.7978193439233007E-2</v>
      </c>
      <c r="K28" s="93">
        <f t="shared" si="8"/>
        <v>0.89895666885985526</v>
      </c>
      <c r="L28" s="93"/>
      <c r="M28" s="93"/>
      <c r="N28" s="93"/>
      <c r="O28" s="93"/>
      <c r="P28" s="93"/>
      <c r="Q28" s="94">
        <f>Q27/Q19</f>
        <v>0.41023441433713148</v>
      </c>
      <c r="R28" s="76"/>
      <c r="S28" s="47"/>
      <c r="T28" s="47"/>
      <c r="U28" s="47"/>
      <c r="V28" s="47"/>
      <c r="W28" s="76"/>
      <c r="X28" s="88"/>
    </row>
    <row r="29" spans="2:24" x14ac:dyDescent="0.35">
      <c r="B29" s="84" t="s">
        <v>78</v>
      </c>
      <c r="C29" s="84"/>
      <c r="D29" s="84"/>
      <c r="E29" s="84"/>
      <c r="F29" s="84"/>
      <c r="G29" s="95">
        <f>G51</f>
        <v>80000000</v>
      </c>
      <c r="H29" s="95">
        <f>H51</f>
        <v>80000000</v>
      </c>
      <c r="I29" s="95">
        <f>I51</f>
        <v>80000000</v>
      </c>
      <c r="J29" s="95">
        <f>J51</f>
        <v>80000000</v>
      </c>
      <c r="K29" s="95">
        <f>K51</f>
        <v>80000000</v>
      </c>
      <c r="L29" s="95"/>
      <c r="M29" s="95"/>
      <c r="N29" s="95"/>
      <c r="O29" s="95"/>
      <c r="P29" s="95"/>
      <c r="Q29" s="96">
        <f>SUM(G29:K29)</f>
        <v>400000000</v>
      </c>
      <c r="R29" s="61"/>
      <c r="S29" s="97"/>
      <c r="T29" s="97"/>
      <c r="U29" s="97"/>
      <c r="V29" s="97"/>
      <c r="W29" s="61"/>
      <c r="X29" s="47"/>
    </row>
    <row r="30" spans="2:24" x14ac:dyDescent="0.35">
      <c r="B30" s="1" t="s">
        <v>79</v>
      </c>
      <c r="G30" s="98">
        <f t="shared" ref="G30:Q30" si="9">G27-G29</f>
        <v>-310320000</v>
      </c>
      <c r="H30" s="98">
        <f t="shared" si="9"/>
        <v>302560000</v>
      </c>
      <c r="I30" s="98">
        <f t="shared" si="9"/>
        <v>302560000</v>
      </c>
      <c r="J30" s="98">
        <f t="shared" si="9"/>
        <v>-117440000</v>
      </c>
      <c r="K30" s="98">
        <f t="shared" si="9"/>
        <v>302560000</v>
      </c>
      <c r="L30" s="98"/>
      <c r="M30" s="98"/>
      <c r="N30" s="98"/>
      <c r="O30" s="98"/>
      <c r="P30" s="98"/>
      <c r="Q30" s="99">
        <f t="shared" si="9"/>
        <v>479920000</v>
      </c>
      <c r="R30" s="82"/>
      <c r="S30" s="97"/>
      <c r="T30" s="97"/>
      <c r="U30" s="97"/>
      <c r="V30" s="97"/>
      <c r="W30" s="82"/>
      <c r="X30" s="47"/>
    </row>
    <row r="31" spans="2:24" x14ac:dyDescent="0.35">
      <c r="B31" s="1" t="s">
        <v>80</v>
      </c>
      <c r="G31" s="100">
        <f>'Parameter (2)'!P39</f>
        <v>45000000</v>
      </c>
      <c r="H31" s="100">
        <f>'Parameter (2)'!Q39</f>
        <v>81000000</v>
      </c>
      <c r="I31" s="100">
        <f>'Parameter (2)'!R39</f>
        <v>63000000</v>
      </c>
      <c r="J31" s="100">
        <f>'Parameter (2)'!S39</f>
        <v>45000000</v>
      </c>
      <c r="K31" s="100">
        <f>'Parameter (2)'!T39</f>
        <v>27000000</v>
      </c>
      <c r="L31" s="100">
        <f>'Parameter (2)'!U39</f>
        <v>9000000</v>
      </c>
      <c r="M31" s="100">
        <f>'Parameter (2)'!V39</f>
        <v>0</v>
      </c>
      <c r="N31" s="100">
        <f>'Parameter (2)'!W39</f>
        <v>0</v>
      </c>
      <c r="O31" s="100">
        <f>'Parameter (2)'!X39</f>
        <v>0</v>
      </c>
      <c r="P31" s="100">
        <f>'Parameter (2)'!Y39</f>
        <v>0</v>
      </c>
      <c r="Q31" s="101">
        <f>SUM(G31:K31)</f>
        <v>261000000</v>
      </c>
      <c r="R31" s="82"/>
      <c r="S31" s="97"/>
      <c r="T31" s="97"/>
      <c r="U31" s="97"/>
      <c r="V31" s="97"/>
      <c r="W31" s="82"/>
      <c r="X31" s="47"/>
    </row>
    <row r="32" spans="2:24" x14ac:dyDescent="0.35">
      <c r="B32" s="1" t="s">
        <v>81</v>
      </c>
      <c r="G32" s="100">
        <f t="shared" ref="G32:K32" si="10">G30-G31</f>
        <v>-355320000</v>
      </c>
      <c r="H32" s="100">
        <f t="shared" si="10"/>
        <v>221560000</v>
      </c>
      <c r="I32" s="100">
        <f t="shared" si="10"/>
        <v>239560000</v>
      </c>
      <c r="J32" s="100">
        <f t="shared" si="10"/>
        <v>-162440000</v>
      </c>
      <c r="K32" s="100">
        <f t="shared" si="10"/>
        <v>275560000</v>
      </c>
      <c r="L32" s="100"/>
      <c r="M32" s="100"/>
      <c r="N32" s="100"/>
      <c r="O32" s="100"/>
      <c r="P32" s="100"/>
      <c r="Q32" s="101">
        <f>SUM(G32:K32)</f>
        <v>218920000</v>
      </c>
      <c r="R32" s="82"/>
      <c r="S32" s="102"/>
      <c r="T32" s="102"/>
      <c r="U32" s="102"/>
      <c r="V32" s="102"/>
      <c r="W32" s="82"/>
      <c r="X32" s="47"/>
    </row>
    <row r="33" spans="2:24" x14ac:dyDescent="0.35">
      <c r="B33" s="84" t="s">
        <v>82</v>
      </c>
      <c r="C33" s="84"/>
      <c r="D33" s="84"/>
      <c r="E33" s="84"/>
      <c r="F33" s="84"/>
      <c r="G33" s="103">
        <f>IF(G32&lt;0,0,G32*$E$3)</f>
        <v>0</v>
      </c>
      <c r="H33" s="103">
        <f>IF(H32&lt;0,0,H32*$E$3)</f>
        <v>4431200</v>
      </c>
      <c r="I33" s="103">
        <f>IF(I32&lt;0,0,I32*$E$3)</f>
        <v>4791200</v>
      </c>
      <c r="J33" s="103">
        <f>IF(J32&lt;0,0,J32*$E$3)</f>
        <v>0</v>
      </c>
      <c r="K33" s="103">
        <f>IF(K32&lt;0,0,K32*$E$3)</f>
        <v>5511200</v>
      </c>
      <c r="L33" s="103"/>
      <c r="M33" s="103"/>
      <c r="N33" s="103"/>
      <c r="O33" s="103"/>
      <c r="P33" s="103"/>
      <c r="Q33" s="104">
        <f>SUM(G33:K33)</f>
        <v>14733600</v>
      </c>
      <c r="R33" s="87"/>
      <c r="W33" s="97"/>
      <c r="X33" s="47"/>
    </row>
    <row r="34" spans="2:24" ht="16" thickBot="1" x14ac:dyDescent="0.4">
      <c r="B34" s="105" t="s">
        <v>83</v>
      </c>
      <c r="C34" s="105"/>
      <c r="D34" s="105"/>
      <c r="E34" s="105"/>
      <c r="F34" s="105"/>
      <c r="G34" s="106">
        <f>G32-G33</f>
        <v>-355320000</v>
      </c>
      <c r="H34" s="106">
        <f t="shared" ref="H34:K34" si="11">H32-H33</f>
        <v>217128800</v>
      </c>
      <c r="I34" s="106">
        <f t="shared" si="11"/>
        <v>234768800</v>
      </c>
      <c r="J34" s="106">
        <f t="shared" si="11"/>
        <v>-162440000</v>
      </c>
      <c r="K34" s="106">
        <f t="shared" si="11"/>
        <v>270048800</v>
      </c>
      <c r="L34" s="106"/>
      <c r="M34" s="106"/>
      <c r="N34" s="106"/>
      <c r="O34" s="106"/>
      <c r="P34" s="106"/>
      <c r="Q34" s="107">
        <f>Q32-Q33</f>
        <v>204186400</v>
      </c>
      <c r="R34" s="82"/>
      <c r="W34" s="82"/>
      <c r="X34" s="47"/>
    </row>
    <row r="35" spans="2:24" x14ac:dyDescent="0.35">
      <c r="Q35" s="62"/>
      <c r="R35" s="47"/>
      <c r="W35" s="47"/>
      <c r="X35" s="47"/>
    </row>
    <row r="36" spans="2:24" x14ac:dyDescent="0.35">
      <c r="B36" s="84" t="s">
        <v>84</v>
      </c>
      <c r="C36" s="84"/>
      <c r="D36" s="84"/>
      <c r="E36" s="84"/>
      <c r="F36" s="108">
        <f>-G9</f>
        <v>-400000000</v>
      </c>
      <c r="G36" s="108"/>
      <c r="H36" s="108">
        <f>-I9+-I10</f>
        <v>0</v>
      </c>
      <c r="I36" s="108">
        <f>-J9+-J10</f>
        <v>0</v>
      </c>
      <c r="J36" s="108">
        <f>-K9+-K10</f>
        <v>0</v>
      </c>
      <c r="K36" s="108">
        <f>-Q9+-Q10</f>
        <v>0</v>
      </c>
      <c r="L36" s="108"/>
      <c r="M36" s="108"/>
      <c r="N36" s="108"/>
      <c r="O36" s="108"/>
      <c r="P36" s="108"/>
      <c r="Q36" s="109"/>
      <c r="R36" s="97"/>
      <c r="W36" s="97"/>
      <c r="X36" s="47"/>
    </row>
    <row r="37" spans="2:24" x14ac:dyDescent="0.35">
      <c r="B37" s="1" t="s">
        <v>85</v>
      </c>
      <c r="F37" s="110">
        <f>F36</f>
        <v>-400000000</v>
      </c>
      <c r="G37" s="110">
        <f>G36+G34+G29</f>
        <v>-275320000</v>
      </c>
      <c r="H37" s="110">
        <f t="shared" ref="H37:J37" si="12">H36+H34+H29</f>
        <v>297128800</v>
      </c>
      <c r="I37" s="110">
        <f t="shared" si="12"/>
        <v>314768800</v>
      </c>
      <c r="J37" s="110">
        <f t="shared" si="12"/>
        <v>-82440000</v>
      </c>
      <c r="K37" s="110">
        <f>K36+K34+K29</f>
        <v>350048800</v>
      </c>
      <c r="L37" s="110"/>
      <c r="M37" s="110"/>
      <c r="N37" s="110"/>
      <c r="O37" s="110"/>
      <c r="P37" s="110"/>
      <c r="Q37" s="111">
        <f>SUM(F37:K37)</f>
        <v>204186400</v>
      </c>
      <c r="R37" s="97"/>
      <c r="S37" s="201"/>
      <c r="T37" s="56"/>
      <c r="U37" s="201"/>
      <c r="V37" s="56"/>
      <c r="W37" s="97"/>
      <c r="X37" s="47"/>
    </row>
    <row r="38" spans="2:24" x14ac:dyDescent="0.35">
      <c r="B38" s="1" t="s">
        <v>86</v>
      </c>
      <c r="F38" s="110">
        <f>F37</f>
        <v>-400000000</v>
      </c>
      <c r="G38" s="110">
        <f>F38+G37</f>
        <v>-675320000</v>
      </c>
      <c r="H38" s="110">
        <f t="shared" ref="H38:K38" si="13">G38+H37</f>
        <v>-378191200</v>
      </c>
      <c r="I38" s="110">
        <f>(H38+I37)</f>
        <v>-63422400</v>
      </c>
      <c r="J38" s="110">
        <f t="shared" si="13"/>
        <v>-145862400</v>
      </c>
      <c r="K38" s="110">
        <f t="shared" si="13"/>
        <v>204186400</v>
      </c>
      <c r="L38" s="110"/>
      <c r="M38" s="110"/>
      <c r="N38" s="110"/>
      <c r="O38" s="110"/>
      <c r="P38" s="110"/>
      <c r="Q38" s="111"/>
      <c r="R38" s="97"/>
      <c r="S38" s="112"/>
      <c r="T38" s="112"/>
      <c r="U38" s="112"/>
      <c r="V38" s="112"/>
      <c r="W38" s="97"/>
      <c r="X38" s="47"/>
    </row>
    <row r="39" spans="2:24" x14ac:dyDescent="0.35">
      <c r="B39" s="1" t="s">
        <v>87</v>
      </c>
      <c r="F39" s="110"/>
      <c r="G39" s="102">
        <f>IF(AND(F38&lt;0,G38&gt;0),G44-(G38/G37),0)</f>
        <v>0</v>
      </c>
      <c r="H39" s="102">
        <f t="shared" ref="H39:K39" si="14">IF(AND(G38&lt;0,H38&gt;0),H44-(H38/H37),0)</f>
        <v>0</v>
      </c>
      <c r="I39" s="102">
        <f t="shared" si="14"/>
        <v>0</v>
      </c>
      <c r="J39" s="102">
        <f t="shared" si="14"/>
        <v>0</v>
      </c>
      <c r="K39" s="102">
        <f t="shared" si="14"/>
        <v>4.4166916155690288</v>
      </c>
      <c r="L39" s="102"/>
      <c r="M39" s="102"/>
      <c r="N39" s="102"/>
      <c r="O39" s="102"/>
      <c r="P39" s="102"/>
      <c r="Q39" s="113"/>
      <c r="R39" s="102"/>
      <c r="S39" s="114"/>
      <c r="T39" s="114"/>
      <c r="U39" s="114"/>
      <c r="V39" s="114"/>
      <c r="W39" s="102"/>
    </row>
    <row r="40" spans="2:24" x14ac:dyDescent="0.35">
      <c r="B40" s="115" t="s">
        <v>34</v>
      </c>
      <c r="C40" s="116"/>
      <c r="D40" s="116"/>
      <c r="E40" s="116"/>
      <c r="F40" s="117">
        <f>IRR(F37:K37)</f>
        <v>9.5675727575884384E-2</v>
      </c>
      <c r="S40" s="114"/>
      <c r="T40" s="114"/>
      <c r="U40" s="114"/>
      <c r="V40" s="114"/>
    </row>
    <row r="41" spans="2:24" x14ac:dyDescent="0.35">
      <c r="B41" s="118" t="s">
        <v>35</v>
      </c>
      <c r="C41" s="51"/>
      <c r="D41" s="51"/>
      <c r="E41" s="51"/>
      <c r="F41" s="119">
        <f>NPV(E4,G37:K37)+F37</f>
        <v>-7194324.2823703885</v>
      </c>
      <c r="H41" s="120"/>
      <c r="I41" s="121"/>
      <c r="S41" s="114"/>
      <c r="T41" s="114"/>
      <c r="U41" s="114"/>
      <c r="V41" s="114"/>
    </row>
    <row r="42" spans="2:24" x14ac:dyDescent="0.35">
      <c r="B42" s="118" t="s">
        <v>36</v>
      </c>
      <c r="C42" s="51"/>
      <c r="D42" s="51"/>
      <c r="E42" s="51"/>
      <c r="F42" s="122">
        <f>Q28</f>
        <v>0.41023441433713148</v>
      </c>
      <c r="H42" s="69"/>
      <c r="S42" s="114"/>
      <c r="T42" s="114"/>
      <c r="U42" s="114"/>
      <c r="V42" s="114"/>
    </row>
    <row r="43" spans="2:24" x14ac:dyDescent="0.35">
      <c r="B43" s="123" t="s">
        <v>88</v>
      </c>
      <c r="C43" s="124"/>
      <c r="D43" s="124"/>
      <c r="E43" s="124"/>
      <c r="F43" s="125">
        <f>K39</f>
        <v>4.4166916155690288</v>
      </c>
      <c r="S43" s="114"/>
      <c r="T43" s="114"/>
      <c r="U43" s="114"/>
      <c r="V43" s="114"/>
    </row>
    <row r="44" spans="2:24" ht="9.65" customHeight="1" x14ac:dyDescent="0.35">
      <c r="G44" s="56">
        <v>1</v>
      </c>
      <c r="H44" s="201">
        <v>2</v>
      </c>
      <c r="I44" s="56">
        <v>3</v>
      </c>
      <c r="J44" s="201">
        <v>4</v>
      </c>
      <c r="K44" s="56">
        <v>5</v>
      </c>
      <c r="L44" s="56"/>
      <c r="M44" s="56"/>
      <c r="N44" s="56"/>
      <c r="O44" s="56"/>
      <c r="P44" s="56"/>
      <c r="Q44" s="201"/>
      <c r="R44" s="56"/>
      <c r="S44" s="126"/>
      <c r="T44" s="126"/>
      <c r="U44" s="126"/>
      <c r="V44" s="126"/>
    </row>
    <row r="45" spans="2:24" x14ac:dyDescent="0.35">
      <c r="B45" s="127" t="s">
        <v>89</v>
      </c>
      <c r="E45" s="112" t="s">
        <v>90</v>
      </c>
      <c r="G45" s="112" t="str">
        <f>G12</f>
        <v>Year 1</v>
      </c>
      <c r="H45" s="112" t="str">
        <f>H12</f>
        <v>Year 2</v>
      </c>
      <c r="I45" s="112" t="str">
        <f>I12</f>
        <v>Year 3</v>
      </c>
      <c r="J45" s="112" t="str">
        <f>J12</f>
        <v>Year 4</v>
      </c>
      <c r="K45" s="112" t="str">
        <f>K12</f>
        <v>Year 5</v>
      </c>
      <c r="L45" s="112"/>
      <c r="M45" s="112"/>
      <c r="N45" s="112"/>
      <c r="O45" s="112"/>
      <c r="P45" s="112"/>
      <c r="Q45" s="112"/>
      <c r="R45" s="112"/>
      <c r="W45" s="112"/>
    </row>
    <row r="46" spans="2:24" x14ac:dyDescent="0.35">
      <c r="D46" s="1" t="s">
        <v>61</v>
      </c>
      <c r="E46" s="1">
        <v>5</v>
      </c>
      <c r="G46" s="128">
        <f>SUM(G9:G10)/$E46</f>
        <v>80000000</v>
      </c>
      <c r="H46" s="114">
        <f>G46</f>
        <v>80000000</v>
      </c>
      <c r="I46" s="114">
        <f>H46</f>
        <v>80000000</v>
      </c>
      <c r="J46" s="114">
        <f t="shared" ref="J46:K47" si="15">I46</f>
        <v>80000000</v>
      </c>
      <c r="K46" s="114">
        <f t="shared" si="15"/>
        <v>80000000</v>
      </c>
      <c r="L46" s="114"/>
      <c r="M46" s="114"/>
      <c r="N46" s="114"/>
      <c r="O46" s="114"/>
      <c r="P46" s="114"/>
      <c r="Q46" s="114">
        <f>SUM(G46:K46)</f>
        <v>400000000</v>
      </c>
      <c r="R46" s="114"/>
      <c r="W46" s="129"/>
    </row>
    <row r="47" spans="2:24" hidden="1" x14ac:dyDescent="0.35">
      <c r="D47" s="1" t="s">
        <v>63</v>
      </c>
      <c r="E47" s="1">
        <v>4</v>
      </c>
      <c r="H47" s="128">
        <f>I$10/$E47</f>
        <v>0</v>
      </c>
      <c r="J47" s="114">
        <f>H47</f>
        <v>0</v>
      </c>
      <c r="K47" s="114">
        <f t="shared" si="15"/>
        <v>0</v>
      </c>
      <c r="L47" s="114"/>
      <c r="M47" s="114"/>
      <c r="N47" s="114"/>
      <c r="O47" s="114"/>
      <c r="P47" s="114"/>
      <c r="Q47" s="114"/>
      <c r="R47" s="114"/>
      <c r="W47" s="129"/>
    </row>
    <row r="48" spans="2:24" hidden="1" x14ac:dyDescent="0.35">
      <c r="D48" s="1" t="s">
        <v>64</v>
      </c>
      <c r="E48" s="1">
        <v>3</v>
      </c>
      <c r="I48" s="128">
        <f>J$9/$E48</f>
        <v>0</v>
      </c>
      <c r="K48" s="114">
        <f>I48</f>
        <v>0</v>
      </c>
      <c r="L48" s="114"/>
      <c r="M48" s="114"/>
      <c r="N48" s="114"/>
      <c r="O48" s="114"/>
      <c r="P48" s="114"/>
      <c r="Q48" s="114"/>
      <c r="R48" s="114"/>
      <c r="W48" s="129"/>
    </row>
    <row r="49" spans="2:23" hidden="1" x14ac:dyDescent="0.35">
      <c r="D49" s="1" t="s">
        <v>65</v>
      </c>
      <c r="E49" s="1">
        <v>2</v>
      </c>
      <c r="J49" s="128"/>
      <c r="Q49" s="114"/>
      <c r="R49" s="114"/>
      <c r="W49" s="129"/>
    </row>
    <row r="50" spans="2:23" hidden="1" x14ac:dyDescent="0.35">
      <c r="D50" s="1" t="s">
        <v>91</v>
      </c>
      <c r="E50" s="1">
        <v>1</v>
      </c>
      <c r="K50" s="128"/>
      <c r="L50" s="128"/>
      <c r="M50" s="128"/>
      <c r="N50" s="128"/>
      <c r="O50" s="128"/>
      <c r="P50" s="128"/>
      <c r="Q50" s="114"/>
      <c r="R50" s="114"/>
      <c r="W50" s="129"/>
    </row>
    <row r="51" spans="2:23" ht="16" thickBot="1" x14ac:dyDescent="0.4">
      <c r="B51" s="130" t="s">
        <v>92</v>
      </c>
      <c r="C51" s="131"/>
      <c r="D51" s="131"/>
      <c r="E51" s="131"/>
      <c r="F51" s="131"/>
      <c r="G51" s="132">
        <f>SUM(G46:G49)</f>
        <v>80000000</v>
      </c>
      <c r="H51" s="132">
        <f>SUM(H46:H49)</f>
        <v>80000000</v>
      </c>
      <c r="I51" s="132">
        <f>SUM(I46:I49)</f>
        <v>80000000</v>
      </c>
      <c r="J51" s="132">
        <f>SUM(J46:J49)</f>
        <v>80000000</v>
      </c>
      <c r="K51" s="132">
        <f>SUM(K46:K49)</f>
        <v>80000000</v>
      </c>
      <c r="L51" s="168"/>
      <c r="M51" s="168"/>
      <c r="N51" s="168"/>
      <c r="O51" s="168"/>
      <c r="P51" s="168"/>
      <c r="Q51" s="114">
        <f>SUM(G51:K51)</f>
        <v>400000000</v>
      </c>
      <c r="R51" s="126"/>
      <c r="W51" s="126"/>
    </row>
    <row r="52" spans="2:23" ht="16" thickTop="1" x14ac:dyDescent="0.35">
      <c r="W52" s="121"/>
    </row>
    <row r="54" spans="2:23" x14ac:dyDescent="0.35">
      <c r="F54" s="1" t="s">
        <v>37</v>
      </c>
    </row>
  </sheetData>
  <mergeCells count="1">
    <mergeCell ref="E19:F19"/>
  </mergeCells>
  <pageMargins left="0.61" right="0.64" top="0.35" bottom="0.35" header="0.65" footer="0.3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84672-9F0C-4C5F-9243-17EE4560BB69}">
  <sheetPr>
    <pageSetUpPr fitToPage="1"/>
  </sheetPr>
  <dimension ref="B1:Y54"/>
  <sheetViews>
    <sheetView showGridLines="0" zoomScale="86" zoomScaleNormal="86" workbookViewId="0">
      <selection activeCell="Q19" sqref="Q19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9.81640625" style="1" customWidth="1"/>
    <col min="7" max="7" width="19.54296875" style="42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205</v>
      </c>
      <c r="Q1" s="4" t="s">
        <v>203</v>
      </c>
    </row>
    <row r="2" spans="2:25" x14ac:dyDescent="0.35">
      <c r="B2" s="43" t="s">
        <v>46</v>
      </c>
      <c r="H2" s="169" t="s">
        <v>47</v>
      </c>
      <c r="I2" s="170" t="s">
        <v>48</v>
      </c>
    </row>
    <row r="3" spans="2:25" x14ac:dyDescent="0.35">
      <c r="C3" s="1" t="s">
        <v>49</v>
      </c>
      <c r="E3" s="45">
        <v>0.02</v>
      </c>
      <c r="H3" s="171" t="s">
        <v>69</v>
      </c>
      <c r="I3" s="46">
        <v>-0.1</v>
      </c>
      <c r="L3" s="46"/>
      <c r="M3" s="46"/>
      <c r="N3" s="46"/>
      <c r="O3" s="46"/>
      <c r="P3" s="46"/>
      <c r="R3" s="47"/>
      <c r="S3" s="47"/>
    </row>
    <row r="4" spans="2:25" x14ac:dyDescent="0.35">
      <c r="C4" s="1" t="s">
        <v>50</v>
      </c>
      <c r="E4" s="45">
        <v>0.1</v>
      </c>
      <c r="H4" s="171" t="s">
        <v>183</v>
      </c>
      <c r="I4" s="46">
        <v>-0.1</v>
      </c>
      <c r="L4" s="46"/>
      <c r="M4" s="46"/>
      <c r="N4" s="46"/>
      <c r="O4" s="46"/>
      <c r="P4" s="46"/>
      <c r="R4" s="47"/>
      <c r="S4" s="47"/>
    </row>
    <row r="5" spans="2:25" x14ac:dyDescent="0.35">
      <c r="C5" s="1" t="s">
        <v>51</v>
      </c>
      <c r="E5" s="45">
        <v>0.05</v>
      </c>
      <c r="F5" s="42" t="s">
        <v>52</v>
      </c>
      <c r="H5" s="171" t="s">
        <v>184</v>
      </c>
      <c r="I5" s="77">
        <v>0</v>
      </c>
      <c r="S5" s="200"/>
      <c r="T5" s="200"/>
      <c r="U5" s="200"/>
      <c r="V5" s="200"/>
    </row>
    <row r="6" spans="2:25" x14ac:dyDescent="0.35">
      <c r="C6" s="1" t="s">
        <v>53</v>
      </c>
      <c r="E6" s="49">
        <v>0</v>
      </c>
      <c r="F6" s="42" t="s">
        <v>52</v>
      </c>
      <c r="H6" s="171"/>
      <c r="I6" s="1" t="s">
        <v>178</v>
      </c>
    </row>
    <row r="7" spans="2:25" x14ac:dyDescent="0.35">
      <c r="F7" s="45"/>
    </row>
    <row r="8" spans="2:25" ht="14.4" customHeight="1" x14ac:dyDescent="0.35">
      <c r="B8" s="2"/>
      <c r="G8" s="201" t="s">
        <v>54</v>
      </c>
      <c r="H8" s="201" t="s">
        <v>55</v>
      </c>
      <c r="I8" s="170" t="s">
        <v>56</v>
      </c>
      <c r="J8" s="201" t="s">
        <v>57</v>
      </c>
      <c r="K8" s="201" t="s">
        <v>58</v>
      </c>
      <c r="L8" s="201" t="s">
        <v>173</v>
      </c>
      <c r="M8" s="201" t="s">
        <v>174</v>
      </c>
      <c r="N8" s="201" t="s">
        <v>175</v>
      </c>
      <c r="O8" s="201" t="s">
        <v>176</v>
      </c>
      <c r="P8" s="201" t="s">
        <v>177</v>
      </c>
      <c r="R8" s="50"/>
      <c r="W8" s="50"/>
      <c r="X8" s="50"/>
      <c r="Y8" s="50"/>
    </row>
    <row r="9" spans="2:25" s="52" customFormat="1" ht="16" thickBot="1" x14ac:dyDescent="0.4">
      <c r="B9" s="51" t="s">
        <v>59</v>
      </c>
      <c r="E9" s="52" t="s">
        <v>186</v>
      </c>
      <c r="F9" s="53"/>
      <c r="G9" s="54">
        <v>800000000</v>
      </c>
      <c r="H9" s="54">
        <v>0</v>
      </c>
      <c r="I9" s="54">
        <v>0</v>
      </c>
      <c r="J9" s="54">
        <v>0</v>
      </c>
      <c r="K9" s="54"/>
      <c r="L9" s="54"/>
      <c r="M9" s="54"/>
      <c r="N9" s="54"/>
      <c r="O9" s="54"/>
      <c r="P9" s="54"/>
      <c r="Q9" s="53"/>
      <c r="R9" s="53"/>
      <c r="S9" s="1"/>
      <c r="T9" s="1"/>
      <c r="U9" s="1"/>
      <c r="V9" s="1"/>
      <c r="W9" s="53"/>
      <c r="X9" s="53"/>
      <c r="Y9" s="53"/>
    </row>
    <row r="10" spans="2:25" s="52" customFormat="1" ht="16" thickTop="1" x14ac:dyDescent="0.35">
      <c r="B10" s="5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1"/>
      <c r="T10" s="1"/>
      <c r="U10" s="1"/>
      <c r="V10" s="1"/>
      <c r="W10" s="53"/>
      <c r="X10" s="53"/>
      <c r="Y10" s="53"/>
    </row>
    <row r="11" spans="2:25" x14ac:dyDescent="0.35">
      <c r="F11" s="55"/>
      <c r="G11" s="56">
        <v>2025</v>
      </c>
      <c r="H11" s="56">
        <f>G11+1</f>
        <v>2026</v>
      </c>
      <c r="I11" s="56">
        <f t="shared" ref="I11:P11" si="0">H11+1</f>
        <v>2027</v>
      </c>
      <c r="J11" s="56">
        <f t="shared" si="0"/>
        <v>2028</v>
      </c>
      <c r="K11" s="56">
        <f t="shared" si="0"/>
        <v>2029</v>
      </c>
      <c r="L11" s="56">
        <f t="shared" si="0"/>
        <v>2030</v>
      </c>
      <c r="M11" s="56">
        <f t="shared" si="0"/>
        <v>2031</v>
      </c>
      <c r="N11" s="56">
        <f t="shared" si="0"/>
        <v>2032</v>
      </c>
      <c r="O11" s="56">
        <f t="shared" si="0"/>
        <v>2033</v>
      </c>
      <c r="P11" s="56">
        <f t="shared" si="0"/>
        <v>2034</v>
      </c>
      <c r="Q11" s="56"/>
    </row>
    <row r="12" spans="2:25" ht="16" thickBot="1" x14ac:dyDescent="0.4">
      <c r="B12" s="57" t="s">
        <v>60</v>
      </c>
      <c r="C12" s="35"/>
      <c r="D12" s="35"/>
      <c r="E12" s="35"/>
      <c r="F12" s="58" t="s">
        <v>172</v>
      </c>
      <c r="G12" s="58" t="s">
        <v>61</v>
      </c>
      <c r="H12" s="59" t="s">
        <v>62</v>
      </c>
      <c r="I12" s="58" t="s">
        <v>63</v>
      </c>
      <c r="J12" s="59" t="s">
        <v>64</v>
      </c>
      <c r="K12" s="58" t="s">
        <v>65</v>
      </c>
      <c r="L12" s="58" t="s">
        <v>91</v>
      </c>
      <c r="M12" s="58" t="s">
        <v>168</v>
      </c>
      <c r="N12" s="58" t="s">
        <v>169</v>
      </c>
      <c r="O12" s="58" t="s">
        <v>170</v>
      </c>
      <c r="P12" s="58" t="s">
        <v>171</v>
      </c>
      <c r="Q12" s="60" t="s">
        <v>66</v>
      </c>
      <c r="R12" s="200"/>
      <c r="S12" s="61"/>
      <c r="T12" s="61"/>
      <c r="U12" s="61"/>
      <c r="V12" s="61"/>
      <c r="W12" s="200"/>
    </row>
    <row r="13" spans="2:25" x14ac:dyDescent="0.35">
      <c r="B13" s="1" t="s">
        <v>67</v>
      </c>
      <c r="G13" s="56">
        <v>12</v>
      </c>
      <c r="H13" s="56">
        <v>12</v>
      </c>
      <c r="I13" s="56">
        <v>12</v>
      </c>
      <c r="J13" s="56">
        <v>12</v>
      </c>
      <c r="K13" s="56">
        <v>12</v>
      </c>
      <c r="L13" s="56"/>
      <c r="M13" s="56"/>
      <c r="N13" s="56"/>
      <c r="O13" s="56"/>
      <c r="P13" s="56"/>
      <c r="Q13" s="62"/>
      <c r="S13" s="47"/>
      <c r="T13" s="47"/>
      <c r="U13" s="47"/>
      <c r="V13" s="47"/>
    </row>
    <row r="14" spans="2:25" ht="6.65" customHeight="1" x14ac:dyDescent="0.35">
      <c r="Q14" s="62"/>
      <c r="S14" s="63"/>
      <c r="T14" s="63"/>
      <c r="U14" s="63"/>
      <c r="V14" s="63"/>
    </row>
    <row r="15" spans="2:25" x14ac:dyDescent="0.35">
      <c r="B15" s="2" t="s">
        <v>68</v>
      </c>
      <c r="E15" s="64"/>
      <c r="G15" s="65"/>
      <c r="H15" s="66"/>
      <c r="I15" s="67"/>
      <c r="J15" s="67"/>
      <c r="K15" s="67"/>
      <c r="L15" s="67"/>
      <c r="M15" s="67"/>
      <c r="N15" s="67"/>
      <c r="O15" s="67"/>
      <c r="P15" s="67"/>
      <c r="Q15" s="62"/>
      <c r="S15" s="61"/>
      <c r="T15" s="61"/>
      <c r="U15" s="61"/>
      <c r="V15" s="61"/>
    </row>
    <row r="16" spans="2:25" x14ac:dyDescent="0.35">
      <c r="B16" s="2"/>
      <c r="C16" s="1" t="s">
        <v>183</v>
      </c>
      <c r="E16" s="64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8">
        <f>SUM(G16:P16)</f>
        <v>0</v>
      </c>
      <c r="S16" s="61"/>
      <c r="T16" s="61"/>
      <c r="U16" s="61"/>
      <c r="V16" s="61"/>
    </row>
    <row r="17" spans="2:24" x14ac:dyDescent="0.35">
      <c r="B17" s="2"/>
      <c r="C17" s="1" t="s">
        <v>69</v>
      </c>
      <c r="E17" s="64"/>
      <c r="G17" s="66">
        <v>216000000</v>
      </c>
      <c r="H17" s="66">
        <f>(G17*92%)+160000</f>
        <v>198880000</v>
      </c>
      <c r="I17" s="66">
        <f t="shared" ref="H17:K18" si="1">H17</f>
        <v>198880000</v>
      </c>
      <c r="J17" s="66">
        <f t="shared" si="1"/>
        <v>198880000</v>
      </c>
      <c r="K17" s="66">
        <f>J17</f>
        <v>198880000</v>
      </c>
      <c r="L17" s="66">
        <f t="shared" ref="L17:L18" si="2">K17</f>
        <v>198880000</v>
      </c>
      <c r="M17" s="66">
        <f t="shared" ref="M17:M18" si="3">L17</f>
        <v>198880000</v>
      </c>
      <c r="N17" s="66">
        <f t="shared" ref="N17:N18" si="4">M17</f>
        <v>198880000</v>
      </c>
      <c r="O17" s="66">
        <f t="shared" ref="O17:O18" si="5">N17</f>
        <v>198880000</v>
      </c>
      <c r="P17" s="66">
        <f t="shared" ref="P17:P18" si="6">O17</f>
        <v>198880000</v>
      </c>
      <c r="Q17" s="68">
        <f t="shared" ref="Q17:Q18" si="7">SUM(G17:P17)</f>
        <v>2005920000</v>
      </c>
      <c r="S17" s="61"/>
      <c r="T17" s="61"/>
      <c r="U17" s="61"/>
      <c r="V17" s="61"/>
    </row>
    <row r="18" spans="2:24" x14ac:dyDescent="0.35">
      <c r="B18" s="2"/>
      <c r="C18" s="1" t="s">
        <v>184</v>
      </c>
      <c r="E18" s="64"/>
      <c r="G18" s="66">
        <v>76680000</v>
      </c>
      <c r="H18" s="66">
        <f t="shared" si="1"/>
        <v>76680000</v>
      </c>
      <c r="I18" s="66">
        <f>H18</f>
        <v>76680000</v>
      </c>
      <c r="J18" s="66">
        <f t="shared" si="1"/>
        <v>76680000</v>
      </c>
      <c r="K18" s="66">
        <f t="shared" si="1"/>
        <v>76680000</v>
      </c>
      <c r="L18" s="66">
        <f t="shared" si="2"/>
        <v>76680000</v>
      </c>
      <c r="M18" s="66">
        <f t="shared" si="3"/>
        <v>76680000</v>
      </c>
      <c r="N18" s="66">
        <f t="shared" si="4"/>
        <v>76680000</v>
      </c>
      <c r="O18" s="66">
        <f t="shared" si="5"/>
        <v>76680000</v>
      </c>
      <c r="P18" s="66">
        <f t="shared" si="6"/>
        <v>76680000</v>
      </c>
      <c r="Q18" s="68">
        <f t="shared" si="7"/>
        <v>766800000</v>
      </c>
      <c r="S18" s="61"/>
      <c r="T18" s="61"/>
      <c r="U18" s="61"/>
      <c r="V18" s="61"/>
    </row>
    <row r="19" spans="2:24" x14ac:dyDescent="0.35">
      <c r="B19" s="71" t="s">
        <v>70</v>
      </c>
      <c r="C19" s="71"/>
      <c r="D19" s="71"/>
      <c r="E19" s="238"/>
      <c r="F19" s="239"/>
      <c r="G19" s="72">
        <f t="shared" ref="G19:P19" si="8">SUM(G16:G18)</f>
        <v>292680000</v>
      </c>
      <c r="H19" s="72">
        <f t="shared" si="8"/>
        <v>275560000</v>
      </c>
      <c r="I19" s="72">
        <f t="shared" si="8"/>
        <v>275560000</v>
      </c>
      <c r="J19" s="72">
        <f t="shared" si="8"/>
        <v>275560000</v>
      </c>
      <c r="K19" s="72">
        <f t="shared" si="8"/>
        <v>275560000</v>
      </c>
      <c r="L19" s="72">
        <f t="shared" si="8"/>
        <v>275560000</v>
      </c>
      <c r="M19" s="72">
        <f t="shared" si="8"/>
        <v>275560000</v>
      </c>
      <c r="N19" s="72">
        <f t="shared" si="8"/>
        <v>275560000</v>
      </c>
      <c r="O19" s="72">
        <f t="shared" si="8"/>
        <v>275560000</v>
      </c>
      <c r="P19" s="72">
        <f t="shared" si="8"/>
        <v>275560000</v>
      </c>
      <c r="Q19" s="73">
        <f>SUM(Q16:Q18)</f>
        <v>2772720000</v>
      </c>
      <c r="R19" s="61"/>
      <c r="S19" s="74"/>
      <c r="T19" s="74"/>
      <c r="U19" s="74"/>
      <c r="V19" s="74"/>
      <c r="W19" s="61"/>
      <c r="X19" s="47"/>
    </row>
    <row r="20" spans="2:24" x14ac:dyDescent="0.35">
      <c r="Q20" s="62"/>
      <c r="R20" s="47"/>
      <c r="S20" s="74"/>
      <c r="T20" s="74"/>
      <c r="U20" s="74"/>
      <c r="V20" s="74"/>
      <c r="W20" s="47"/>
      <c r="X20" s="47"/>
    </row>
    <row r="21" spans="2:24" x14ac:dyDescent="0.35">
      <c r="B21" s="2" t="s">
        <v>71</v>
      </c>
      <c r="E21" s="64"/>
      <c r="F21" s="64"/>
      <c r="G21" s="65"/>
      <c r="H21" s="64"/>
      <c r="I21" s="67"/>
      <c r="J21" s="67"/>
      <c r="K21" s="67"/>
      <c r="L21" s="67"/>
      <c r="M21" s="67"/>
      <c r="N21" s="67"/>
      <c r="O21" s="67"/>
      <c r="P21" s="67"/>
      <c r="Q21" s="75"/>
      <c r="R21" s="63"/>
      <c r="S21" s="76"/>
      <c r="T21" s="76"/>
      <c r="U21" s="76"/>
      <c r="V21" s="76"/>
      <c r="W21" s="47"/>
      <c r="X21" s="47"/>
    </row>
    <row r="22" spans="2:24" x14ac:dyDescent="0.35">
      <c r="C22" s="1" t="s">
        <v>72</v>
      </c>
      <c r="E22" s="77"/>
      <c r="G22" s="78">
        <v>200000000</v>
      </c>
      <c r="H22" s="78">
        <f>G22</f>
        <v>200000000</v>
      </c>
      <c r="I22" s="78">
        <f t="shared" ref="I22:K22" si="9">H22</f>
        <v>200000000</v>
      </c>
      <c r="J22" s="78">
        <f t="shared" si="9"/>
        <v>200000000</v>
      </c>
      <c r="K22" s="78">
        <f t="shared" si="9"/>
        <v>200000000</v>
      </c>
      <c r="L22" s="78">
        <f t="shared" ref="L22:P22" si="10">K22</f>
        <v>200000000</v>
      </c>
      <c r="M22" s="78">
        <f t="shared" si="10"/>
        <v>200000000</v>
      </c>
      <c r="N22" s="78">
        <f t="shared" si="10"/>
        <v>200000000</v>
      </c>
      <c r="O22" s="78">
        <f t="shared" si="10"/>
        <v>200000000</v>
      </c>
      <c r="P22" s="78">
        <f t="shared" si="10"/>
        <v>200000000</v>
      </c>
      <c r="Q22" s="79">
        <f>SUM(G22:P22)</f>
        <v>2000000000</v>
      </c>
      <c r="R22" s="61" t="s">
        <v>37</v>
      </c>
      <c r="S22" s="61"/>
      <c r="T22" s="61"/>
      <c r="U22" s="61"/>
      <c r="V22" s="61"/>
      <c r="W22" s="80"/>
      <c r="X22" s="47"/>
    </row>
    <row r="23" spans="2:24" x14ac:dyDescent="0.35">
      <c r="C23" s="1" t="s">
        <v>73</v>
      </c>
      <c r="F23" s="81"/>
      <c r="G23" s="78">
        <v>36000000</v>
      </c>
      <c r="H23" s="78">
        <f>G23</f>
        <v>36000000</v>
      </c>
      <c r="I23" s="78">
        <f>H23</f>
        <v>36000000</v>
      </c>
      <c r="J23" s="78">
        <f>I23</f>
        <v>36000000</v>
      </c>
      <c r="K23" s="78">
        <f>J23</f>
        <v>36000000</v>
      </c>
      <c r="L23" s="78">
        <f t="shared" ref="L23:P24" si="11">K23</f>
        <v>36000000</v>
      </c>
      <c r="M23" s="78">
        <f t="shared" si="11"/>
        <v>36000000</v>
      </c>
      <c r="N23" s="78">
        <f t="shared" si="11"/>
        <v>36000000</v>
      </c>
      <c r="O23" s="78">
        <f t="shared" si="11"/>
        <v>36000000</v>
      </c>
      <c r="P23" s="78">
        <f t="shared" si="11"/>
        <v>36000000</v>
      </c>
      <c r="Q23" s="79">
        <f t="shared" ref="Q23:Q25" si="12">SUM(G23:P23)</f>
        <v>360000000</v>
      </c>
      <c r="R23" s="61"/>
      <c r="S23" s="82"/>
      <c r="T23" s="82"/>
      <c r="U23" s="82"/>
      <c r="V23" s="82"/>
      <c r="W23" s="80"/>
      <c r="X23" s="47"/>
    </row>
    <row r="24" spans="2:24" x14ac:dyDescent="0.35">
      <c r="C24" s="1" t="s">
        <v>74</v>
      </c>
      <c r="G24" s="83">
        <v>7000000</v>
      </c>
      <c r="H24" s="83">
        <f>G24</f>
        <v>7000000</v>
      </c>
      <c r="I24" s="83">
        <f>H24</f>
        <v>7000000</v>
      </c>
      <c r="J24" s="83">
        <f t="shared" ref="J24:K24" si="13">I24</f>
        <v>7000000</v>
      </c>
      <c r="K24" s="83">
        <f t="shared" si="13"/>
        <v>7000000</v>
      </c>
      <c r="L24" s="83">
        <f t="shared" si="11"/>
        <v>7000000</v>
      </c>
      <c r="M24" s="83">
        <f t="shared" si="11"/>
        <v>7000000</v>
      </c>
      <c r="N24" s="83">
        <f t="shared" si="11"/>
        <v>7000000</v>
      </c>
      <c r="O24" s="83">
        <f t="shared" si="11"/>
        <v>7000000</v>
      </c>
      <c r="P24" s="83">
        <f t="shared" si="11"/>
        <v>7000000</v>
      </c>
      <c r="Q24" s="79">
        <f t="shared" si="12"/>
        <v>70000000</v>
      </c>
      <c r="R24" s="61"/>
      <c r="S24" s="82"/>
      <c r="T24" s="82"/>
      <c r="U24" s="82"/>
      <c r="V24" s="82"/>
      <c r="W24" s="80"/>
      <c r="X24" s="47"/>
    </row>
    <row r="25" spans="2:24" x14ac:dyDescent="0.35">
      <c r="B25" s="84"/>
      <c r="C25" s="84" t="s">
        <v>51</v>
      </c>
      <c r="D25" s="84"/>
      <c r="E25" s="84"/>
      <c r="F25" s="84"/>
      <c r="G25" s="85"/>
      <c r="H25" s="85"/>
      <c r="I25" s="85"/>
      <c r="J25" s="85"/>
      <c r="K25" s="85"/>
      <c r="L25" s="167"/>
      <c r="M25" s="167"/>
      <c r="N25" s="167"/>
      <c r="O25" s="167"/>
      <c r="P25" s="167"/>
      <c r="Q25" s="79">
        <f t="shared" si="12"/>
        <v>0</v>
      </c>
      <c r="R25" s="70"/>
      <c r="S25" s="82"/>
      <c r="T25" s="82"/>
      <c r="U25" s="82"/>
      <c r="V25" s="82"/>
      <c r="W25" s="80"/>
      <c r="X25" s="47"/>
    </row>
    <row r="26" spans="2:24" s="2" customFormat="1" x14ac:dyDescent="0.35">
      <c r="B26" s="71" t="s">
        <v>75</v>
      </c>
      <c r="C26" s="71"/>
      <c r="D26" s="71"/>
      <c r="E26" s="71"/>
      <c r="F26" s="71"/>
      <c r="G26" s="72">
        <f>SUM(G22:G25)</f>
        <v>243000000</v>
      </c>
      <c r="H26" s="72">
        <f t="shared" ref="H26:P26" si="14">SUM(H22:H25)</f>
        <v>243000000</v>
      </c>
      <c r="I26" s="72">
        <f>SUM(I22:I25)</f>
        <v>243000000</v>
      </c>
      <c r="J26" s="72">
        <f t="shared" si="14"/>
        <v>243000000</v>
      </c>
      <c r="K26" s="72">
        <f t="shared" si="14"/>
        <v>243000000</v>
      </c>
      <c r="L26" s="72">
        <f t="shared" si="14"/>
        <v>243000000</v>
      </c>
      <c r="M26" s="72">
        <f t="shared" si="14"/>
        <v>243000000</v>
      </c>
      <c r="N26" s="72">
        <f t="shared" si="14"/>
        <v>243000000</v>
      </c>
      <c r="O26" s="72">
        <f t="shared" si="14"/>
        <v>243000000</v>
      </c>
      <c r="P26" s="72">
        <f t="shared" si="14"/>
        <v>243000000</v>
      </c>
      <c r="Q26" s="86">
        <f>SUM(Q22:Q25)</f>
        <v>2430000000</v>
      </c>
      <c r="R26" s="74"/>
      <c r="S26" s="87"/>
      <c r="T26" s="87"/>
      <c r="U26" s="87"/>
      <c r="V26" s="87"/>
      <c r="W26" s="74"/>
      <c r="X26" s="88"/>
    </row>
    <row r="27" spans="2:24" s="2" customFormat="1" x14ac:dyDescent="0.35">
      <c r="B27" s="2" t="s">
        <v>76</v>
      </c>
      <c r="G27" s="172">
        <f>G19-G26</f>
        <v>49680000</v>
      </c>
      <c r="H27" s="89">
        <f>H19-H26</f>
        <v>32560000</v>
      </c>
      <c r="I27" s="89">
        <f t="shared" ref="I27:K27" si="15">I19-I26</f>
        <v>32560000</v>
      </c>
      <c r="J27" s="89">
        <f t="shared" si="15"/>
        <v>32560000</v>
      </c>
      <c r="K27" s="89">
        <f t="shared" si="15"/>
        <v>32560000</v>
      </c>
      <c r="L27" s="89">
        <f t="shared" ref="L27:P27" si="16">L19-L26</f>
        <v>32560000</v>
      </c>
      <c r="M27" s="89">
        <f t="shared" si="16"/>
        <v>32560000</v>
      </c>
      <c r="N27" s="89">
        <f t="shared" si="16"/>
        <v>32560000</v>
      </c>
      <c r="O27" s="89">
        <f t="shared" si="16"/>
        <v>32560000</v>
      </c>
      <c r="P27" s="89">
        <f t="shared" si="16"/>
        <v>32560000</v>
      </c>
      <c r="Q27" s="90">
        <f>Q19-Q26</f>
        <v>342720000</v>
      </c>
      <c r="R27" s="74"/>
      <c r="S27" s="82"/>
      <c r="T27" s="82"/>
      <c r="U27" s="82"/>
      <c r="V27" s="82"/>
      <c r="W27" s="74"/>
      <c r="X27" s="88"/>
    </row>
    <row r="28" spans="2:24" s="2" customFormat="1" x14ac:dyDescent="0.35">
      <c r="B28" s="91" t="s">
        <v>77</v>
      </c>
      <c r="C28" s="92"/>
      <c r="D28" s="92"/>
      <c r="E28" s="92"/>
      <c r="F28" s="92"/>
      <c r="G28" s="93">
        <v>0</v>
      </c>
      <c r="H28" s="93">
        <f>H27/H19</f>
        <v>0.11815938452605604</v>
      </c>
      <c r="I28" s="93">
        <f t="shared" ref="I28:K28" si="17">I27/I19</f>
        <v>0.11815938452605604</v>
      </c>
      <c r="J28" s="93">
        <f t="shared" si="17"/>
        <v>0.11815938452605604</v>
      </c>
      <c r="K28" s="93">
        <f t="shared" si="17"/>
        <v>0.11815938452605604</v>
      </c>
      <c r="L28" s="93">
        <f t="shared" ref="L28:P28" si="18">L27/L19</f>
        <v>0.11815938452605604</v>
      </c>
      <c r="M28" s="93">
        <f t="shared" si="18"/>
        <v>0.11815938452605604</v>
      </c>
      <c r="N28" s="93">
        <f t="shared" si="18"/>
        <v>0.11815938452605604</v>
      </c>
      <c r="O28" s="93">
        <f t="shared" si="18"/>
        <v>0.11815938452605604</v>
      </c>
      <c r="P28" s="93">
        <f t="shared" si="18"/>
        <v>0.11815938452605604</v>
      </c>
      <c r="Q28" s="94">
        <f>Q27/Q19</f>
        <v>0.12360425863412101</v>
      </c>
      <c r="R28" s="76"/>
      <c r="S28" s="47"/>
      <c r="T28" s="47"/>
      <c r="U28" s="47"/>
      <c r="V28" s="47"/>
      <c r="W28" s="76"/>
      <c r="X28" s="88"/>
    </row>
    <row r="29" spans="2:24" x14ac:dyDescent="0.35">
      <c r="B29" s="84" t="s">
        <v>78</v>
      </c>
      <c r="C29" s="84"/>
      <c r="D29" s="84"/>
      <c r="E29" s="84"/>
      <c r="F29" s="84"/>
      <c r="G29" s="95">
        <f>G51</f>
        <v>160000000</v>
      </c>
      <c r="H29" s="95">
        <f>H51</f>
        <v>160000000</v>
      </c>
      <c r="I29" s="95">
        <f>I51</f>
        <v>160000000</v>
      </c>
      <c r="J29" s="95">
        <f>J51</f>
        <v>160000000</v>
      </c>
      <c r="K29" s="95">
        <f>K51</f>
        <v>160000000</v>
      </c>
      <c r="L29" s="95">
        <f t="shared" ref="L29:P29" si="19">L51</f>
        <v>0</v>
      </c>
      <c r="M29" s="95">
        <f t="shared" si="19"/>
        <v>0</v>
      </c>
      <c r="N29" s="95">
        <f t="shared" si="19"/>
        <v>0</v>
      </c>
      <c r="O29" s="95">
        <f t="shared" si="19"/>
        <v>0</v>
      </c>
      <c r="P29" s="95">
        <f t="shared" si="19"/>
        <v>0</v>
      </c>
      <c r="Q29" s="96">
        <f>SUM(G29:K29)</f>
        <v>800000000</v>
      </c>
      <c r="R29" s="61"/>
      <c r="S29" s="97"/>
      <c r="T29" s="97"/>
      <c r="U29" s="97"/>
      <c r="V29" s="97"/>
      <c r="W29" s="61"/>
      <c r="X29" s="47"/>
    </row>
    <row r="30" spans="2:24" x14ac:dyDescent="0.35">
      <c r="B30" s="1" t="s">
        <v>79</v>
      </c>
      <c r="G30" s="98">
        <f t="shared" ref="G30:K30" si="20">G27-G29</f>
        <v>-110320000</v>
      </c>
      <c r="H30" s="98">
        <f t="shared" si="20"/>
        <v>-127440000</v>
      </c>
      <c r="I30" s="98">
        <f t="shared" si="20"/>
        <v>-127440000</v>
      </c>
      <c r="J30" s="98">
        <f t="shared" si="20"/>
        <v>-127440000</v>
      </c>
      <c r="K30" s="98">
        <f t="shared" si="20"/>
        <v>-127440000</v>
      </c>
      <c r="L30" s="98">
        <f t="shared" ref="L30:P30" si="21">L27-L29</f>
        <v>32560000</v>
      </c>
      <c r="M30" s="98">
        <f t="shared" si="21"/>
        <v>32560000</v>
      </c>
      <c r="N30" s="98">
        <f t="shared" si="21"/>
        <v>32560000</v>
      </c>
      <c r="O30" s="98">
        <f t="shared" si="21"/>
        <v>32560000</v>
      </c>
      <c r="P30" s="98">
        <f t="shared" si="21"/>
        <v>32560000</v>
      </c>
      <c r="Q30" s="99">
        <f>Q27-Q29</f>
        <v>-457280000</v>
      </c>
      <c r="R30" s="82"/>
      <c r="S30" s="97"/>
      <c r="T30" s="97"/>
      <c r="U30" s="97"/>
      <c r="V30" s="97"/>
      <c r="W30" s="82"/>
      <c r="X30" s="47"/>
    </row>
    <row r="31" spans="2:24" x14ac:dyDescent="0.35">
      <c r="B31" s="1" t="s">
        <v>80</v>
      </c>
      <c r="G31" s="100">
        <f>'Parameter (2)'!P39</f>
        <v>45000000</v>
      </c>
      <c r="H31" s="100">
        <f>'Parameter (2)'!Q39</f>
        <v>81000000</v>
      </c>
      <c r="I31" s="100">
        <f>'Parameter (2)'!R39</f>
        <v>63000000</v>
      </c>
      <c r="J31" s="100">
        <f>'Parameter (2)'!S39</f>
        <v>45000000</v>
      </c>
      <c r="K31" s="100">
        <f>'Parameter (2)'!T39</f>
        <v>27000000</v>
      </c>
      <c r="L31" s="100">
        <f>'Parameter (2)'!U39</f>
        <v>9000000</v>
      </c>
      <c r="M31" s="100">
        <f>'Parameter (2)'!V39</f>
        <v>0</v>
      </c>
      <c r="N31" s="100">
        <f>'Parameter (2)'!W39</f>
        <v>0</v>
      </c>
      <c r="O31" s="100">
        <f>'Parameter (2)'!X39</f>
        <v>0</v>
      </c>
      <c r="P31" s="100">
        <f>'Parameter (2)'!Y39</f>
        <v>0</v>
      </c>
      <c r="Q31" s="101">
        <f>SUM(G31:P31)</f>
        <v>270000000</v>
      </c>
      <c r="R31" s="82"/>
      <c r="S31" s="97"/>
      <c r="T31" s="97"/>
      <c r="U31" s="97"/>
      <c r="V31" s="97"/>
      <c r="W31" s="82"/>
      <c r="X31" s="47"/>
    </row>
    <row r="32" spans="2:24" x14ac:dyDescent="0.35">
      <c r="B32" s="1" t="s">
        <v>81</v>
      </c>
      <c r="G32" s="100">
        <f t="shared" ref="G32:K32" si="22">G30-G31</f>
        <v>-155320000</v>
      </c>
      <c r="H32" s="100">
        <f t="shared" si="22"/>
        <v>-208440000</v>
      </c>
      <c r="I32" s="100">
        <f t="shared" si="22"/>
        <v>-190440000</v>
      </c>
      <c r="J32" s="100">
        <f t="shared" si="22"/>
        <v>-172440000</v>
      </c>
      <c r="K32" s="100">
        <f t="shared" si="22"/>
        <v>-154440000</v>
      </c>
      <c r="L32" s="100">
        <f t="shared" ref="L32:P32" si="23">L30-L31</f>
        <v>23560000</v>
      </c>
      <c r="M32" s="100">
        <f t="shared" si="23"/>
        <v>32560000</v>
      </c>
      <c r="N32" s="100">
        <f t="shared" si="23"/>
        <v>32560000</v>
      </c>
      <c r="O32" s="100">
        <f t="shared" si="23"/>
        <v>32560000</v>
      </c>
      <c r="P32" s="100">
        <f t="shared" si="23"/>
        <v>32560000</v>
      </c>
      <c r="Q32" s="101">
        <f>SUM(G32:P32)</f>
        <v>-727280000</v>
      </c>
      <c r="R32" s="82"/>
      <c r="S32" s="102"/>
      <c r="T32" s="102"/>
      <c r="U32" s="102"/>
      <c r="V32" s="102"/>
      <c r="W32" s="82"/>
      <c r="X32" s="47"/>
    </row>
    <row r="33" spans="2:24" x14ac:dyDescent="0.35">
      <c r="B33" s="84" t="s">
        <v>82</v>
      </c>
      <c r="C33" s="84"/>
      <c r="D33" s="84"/>
      <c r="E33" s="84"/>
      <c r="F33" s="84"/>
      <c r="G33" s="103">
        <f>IF(G32&lt;0,0,G32*$E$3)</f>
        <v>0</v>
      </c>
      <c r="H33" s="103">
        <f>IF(H32&lt;0,0,H32*$E$3)</f>
        <v>0</v>
      </c>
      <c r="I33" s="103">
        <f>IF(I32&lt;0,0,I32*$E$3)</f>
        <v>0</v>
      </c>
      <c r="J33" s="103">
        <f>IF(J32&lt;0,0,J32*$E$3)</f>
        <v>0</v>
      </c>
      <c r="K33" s="103">
        <f>IF(K32&lt;0,0,K32*$E$3)</f>
        <v>0</v>
      </c>
      <c r="L33" s="103">
        <f t="shared" ref="L33:P33" si="24">IF(L32&lt;0,0,L32*$E$3)</f>
        <v>471200</v>
      </c>
      <c r="M33" s="103">
        <f t="shared" si="24"/>
        <v>651200</v>
      </c>
      <c r="N33" s="103">
        <f t="shared" si="24"/>
        <v>651200</v>
      </c>
      <c r="O33" s="103">
        <f t="shared" si="24"/>
        <v>651200</v>
      </c>
      <c r="P33" s="103">
        <f t="shared" si="24"/>
        <v>651200</v>
      </c>
      <c r="Q33" s="101">
        <f>SUM(G33:P33)</f>
        <v>3076000</v>
      </c>
      <c r="R33" s="87"/>
      <c r="W33" s="97"/>
      <c r="X33" s="47"/>
    </row>
    <row r="34" spans="2:24" ht="16" thickBot="1" x14ac:dyDescent="0.4">
      <c r="B34" s="105" t="s">
        <v>83</v>
      </c>
      <c r="C34" s="105"/>
      <c r="D34" s="105"/>
      <c r="E34" s="105"/>
      <c r="F34" s="105"/>
      <c r="G34" s="106">
        <f>G32-G33</f>
        <v>-155320000</v>
      </c>
      <c r="H34" s="106">
        <f t="shared" ref="H34:P34" si="25">H32-H33</f>
        <v>-208440000</v>
      </c>
      <c r="I34" s="106">
        <f t="shared" si="25"/>
        <v>-190440000</v>
      </c>
      <c r="J34" s="106">
        <f t="shared" si="25"/>
        <v>-172440000</v>
      </c>
      <c r="K34" s="106">
        <f t="shared" si="25"/>
        <v>-154440000</v>
      </c>
      <c r="L34" s="106">
        <f t="shared" si="25"/>
        <v>23088800</v>
      </c>
      <c r="M34" s="106">
        <f t="shared" si="25"/>
        <v>31908800</v>
      </c>
      <c r="N34" s="106">
        <f t="shared" si="25"/>
        <v>31908800</v>
      </c>
      <c r="O34" s="106">
        <f t="shared" si="25"/>
        <v>31908800</v>
      </c>
      <c r="P34" s="106">
        <f t="shared" si="25"/>
        <v>31908800</v>
      </c>
      <c r="Q34" s="107">
        <f>Q32-Q33</f>
        <v>-730356000</v>
      </c>
      <c r="R34" s="82"/>
      <c r="W34" s="82"/>
      <c r="X34" s="47"/>
    </row>
    <row r="35" spans="2:24" x14ac:dyDescent="0.35">
      <c r="Q35" s="62"/>
      <c r="R35" s="47"/>
      <c r="W35" s="47"/>
      <c r="X35" s="47"/>
    </row>
    <row r="36" spans="2:24" x14ac:dyDescent="0.35">
      <c r="B36" s="84" t="s">
        <v>84</v>
      </c>
      <c r="C36" s="84"/>
      <c r="D36" s="84"/>
      <c r="E36" s="84"/>
      <c r="F36" s="108">
        <f>-G9</f>
        <v>-800000000</v>
      </c>
      <c r="G36" s="108"/>
      <c r="H36" s="108">
        <f>-I9+-I10</f>
        <v>0</v>
      </c>
      <c r="I36" s="108">
        <f>-J9+-J10</f>
        <v>0</v>
      </c>
      <c r="J36" s="108">
        <f>-K9+-K10</f>
        <v>0</v>
      </c>
      <c r="K36" s="108">
        <f>-Q9+-Q10</f>
        <v>0</v>
      </c>
      <c r="L36" s="108">
        <f t="shared" ref="L36:P36" si="26">-R9+-R10</f>
        <v>0</v>
      </c>
      <c r="M36" s="108">
        <f t="shared" si="26"/>
        <v>0</v>
      </c>
      <c r="N36" s="108">
        <f t="shared" si="26"/>
        <v>0</v>
      </c>
      <c r="O36" s="108">
        <f t="shared" si="26"/>
        <v>0</v>
      </c>
      <c r="P36" s="108">
        <f t="shared" si="26"/>
        <v>0</v>
      </c>
      <c r="Q36" s="109"/>
      <c r="R36" s="97"/>
      <c r="W36" s="97"/>
      <c r="X36" s="47"/>
    </row>
    <row r="37" spans="2:24" x14ac:dyDescent="0.35">
      <c r="B37" s="1" t="s">
        <v>85</v>
      </c>
      <c r="F37" s="110">
        <f>F36</f>
        <v>-800000000</v>
      </c>
      <c r="G37" s="110">
        <f>G36+G34+G29</f>
        <v>4680000</v>
      </c>
      <c r="H37" s="110">
        <f t="shared" ref="H37:J37" si="27">H36+H34+H29</f>
        <v>-48440000</v>
      </c>
      <c r="I37" s="110">
        <f t="shared" si="27"/>
        <v>-30440000</v>
      </c>
      <c r="J37" s="110">
        <f t="shared" si="27"/>
        <v>-12440000</v>
      </c>
      <c r="K37" s="110">
        <f>K36+K34+K29</f>
        <v>5560000</v>
      </c>
      <c r="L37" s="110">
        <f t="shared" ref="L37:P37" si="28">L36+L34+L29</f>
        <v>23088800</v>
      </c>
      <c r="M37" s="110">
        <f t="shared" si="28"/>
        <v>31908800</v>
      </c>
      <c r="N37" s="110">
        <f t="shared" si="28"/>
        <v>31908800</v>
      </c>
      <c r="O37" s="110">
        <f t="shared" si="28"/>
        <v>31908800</v>
      </c>
      <c r="P37" s="110">
        <f t="shared" si="28"/>
        <v>31908800</v>
      </c>
      <c r="Q37" s="111">
        <f>SUM(F37:P37)</f>
        <v>-730356000</v>
      </c>
      <c r="R37" s="97"/>
      <c r="S37" s="201"/>
      <c r="T37" s="56"/>
      <c r="U37" s="201"/>
      <c r="V37" s="56"/>
      <c r="W37" s="97"/>
      <c r="X37" s="47"/>
    </row>
    <row r="38" spans="2:24" x14ac:dyDescent="0.35">
      <c r="B38" s="1" t="s">
        <v>86</v>
      </c>
      <c r="F38" s="110">
        <f>F37</f>
        <v>-800000000</v>
      </c>
      <c r="G38" s="110">
        <f>F38+G37</f>
        <v>-795320000</v>
      </c>
      <c r="H38" s="110">
        <f t="shared" ref="H38:K38" si="29">G38+H37</f>
        <v>-843760000</v>
      </c>
      <c r="I38" s="110">
        <f>(H38+I37)</f>
        <v>-874200000</v>
      </c>
      <c r="J38" s="110">
        <f t="shared" si="29"/>
        <v>-886640000</v>
      </c>
      <c r="K38" s="110">
        <f t="shared" si="29"/>
        <v>-881080000</v>
      </c>
      <c r="L38" s="110">
        <f t="shared" ref="L38" si="30">K38+L37</f>
        <v>-857991200</v>
      </c>
      <c r="M38" s="110">
        <f t="shared" ref="M38" si="31">L38+M37</f>
        <v>-826082400</v>
      </c>
      <c r="N38" s="110">
        <f t="shared" ref="N38" si="32">M38+N37</f>
        <v>-794173600</v>
      </c>
      <c r="O38" s="110">
        <f t="shared" ref="O38" si="33">N38+O37</f>
        <v>-762264800</v>
      </c>
      <c r="P38" s="110">
        <f t="shared" ref="P38" si="34">O38+P37</f>
        <v>-730356000</v>
      </c>
      <c r="Q38" s="111"/>
      <c r="R38" s="97"/>
      <c r="S38" s="112"/>
      <c r="T38" s="112"/>
      <c r="U38" s="112"/>
      <c r="V38" s="112"/>
      <c r="W38" s="97"/>
      <c r="X38" s="47"/>
    </row>
    <row r="39" spans="2:24" x14ac:dyDescent="0.35">
      <c r="B39" s="1" t="s">
        <v>87</v>
      </c>
      <c r="F39" s="110"/>
      <c r="G39" s="102">
        <f>IF(AND(F38&lt;0,G38&gt;0),G44-(G38/G37),0)</f>
        <v>0</v>
      </c>
      <c r="H39" s="102">
        <f t="shared" ref="H39:K39" si="35">IF(AND(G38&lt;0,H38&gt;0),H44-(H38/H37),0)</f>
        <v>0</v>
      </c>
      <c r="I39" s="102">
        <f t="shared" si="35"/>
        <v>0</v>
      </c>
      <c r="J39" s="102">
        <f t="shared" si="35"/>
        <v>0</v>
      </c>
      <c r="K39" s="102">
        <f t="shared" si="35"/>
        <v>0</v>
      </c>
      <c r="L39" s="102">
        <f t="shared" ref="L39" si="36">IF(AND(K38&lt;0,L38&gt;0),L44-(L38/L37),0)</f>
        <v>0</v>
      </c>
      <c r="M39" s="102">
        <f t="shared" ref="M39" si="37">IF(AND(L38&lt;0,M38&gt;0),M44-(M38/M37),0)</f>
        <v>0</v>
      </c>
      <c r="N39" s="102">
        <f t="shared" ref="N39" si="38">IF(AND(M38&lt;0,N38&gt;0),N44-(N38/N37),0)</f>
        <v>0</v>
      </c>
      <c r="O39" s="102">
        <f t="shared" ref="O39" si="39">IF(AND(N38&lt;0,O38&gt;0),O44-(O38/O37),0)</f>
        <v>0</v>
      </c>
      <c r="P39" s="102">
        <f t="shared" ref="P39" si="40">IF(AND(O38&lt;0,P38&gt;0),P44-(P38/P37),0)</f>
        <v>0</v>
      </c>
      <c r="Q39" s="113"/>
      <c r="R39" s="102"/>
      <c r="S39" s="114"/>
      <c r="T39" s="114"/>
      <c r="U39" s="114"/>
      <c r="V39" s="114"/>
      <c r="W39" s="102"/>
    </row>
    <row r="40" spans="2:24" x14ac:dyDescent="0.35">
      <c r="B40" s="115" t="s">
        <v>34</v>
      </c>
      <c r="C40" s="116"/>
      <c r="D40" s="116"/>
      <c r="E40" s="116"/>
      <c r="F40" s="117">
        <f>IRR(F37:P37)</f>
        <v>-0.19766361075021643</v>
      </c>
      <c r="S40" s="114"/>
      <c r="T40" s="114"/>
      <c r="U40" s="114"/>
      <c r="V40" s="114"/>
    </row>
    <row r="41" spans="2:24" x14ac:dyDescent="0.35">
      <c r="B41" s="118" t="s">
        <v>35</v>
      </c>
      <c r="C41" s="51"/>
      <c r="D41" s="51"/>
      <c r="E41" s="51"/>
      <c r="F41" s="119">
        <f>NPV(E4,G37:P37)+F37</f>
        <v>-793565253.83293593</v>
      </c>
      <c r="H41" s="120"/>
      <c r="I41" s="121"/>
      <c r="S41" s="114"/>
      <c r="T41" s="114"/>
      <c r="U41" s="114"/>
      <c r="V41" s="114"/>
    </row>
    <row r="42" spans="2:24" x14ac:dyDescent="0.35">
      <c r="B42" s="118" t="s">
        <v>36</v>
      </c>
      <c r="C42" s="51"/>
      <c r="D42" s="51"/>
      <c r="E42" s="51"/>
      <c r="F42" s="122">
        <f>Q28</f>
        <v>0.12360425863412101</v>
      </c>
      <c r="H42" s="69"/>
      <c r="S42" s="114"/>
      <c r="T42" s="114"/>
      <c r="U42" s="114"/>
      <c r="V42" s="114"/>
    </row>
    <row r="43" spans="2:24" x14ac:dyDescent="0.35">
      <c r="B43" s="123" t="s">
        <v>88</v>
      </c>
      <c r="C43" s="124"/>
      <c r="D43" s="124"/>
      <c r="E43" s="124"/>
      <c r="F43" s="125">
        <f>K39</f>
        <v>0</v>
      </c>
      <c r="S43" s="114"/>
      <c r="T43" s="114"/>
      <c r="U43" s="114"/>
      <c r="V43" s="114"/>
    </row>
    <row r="44" spans="2:24" ht="9.65" customHeight="1" x14ac:dyDescent="0.35">
      <c r="G44" s="56">
        <v>1</v>
      </c>
      <c r="H44" s="201">
        <v>2</v>
      </c>
      <c r="I44" s="56">
        <v>3</v>
      </c>
      <c r="J44" s="201">
        <v>4</v>
      </c>
      <c r="K44" s="56">
        <v>5</v>
      </c>
      <c r="L44" s="56">
        <v>6</v>
      </c>
      <c r="M44" s="56">
        <v>7</v>
      </c>
      <c r="N44" s="56">
        <v>8</v>
      </c>
      <c r="O44" s="56">
        <v>9</v>
      </c>
      <c r="P44" s="56">
        <v>10</v>
      </c>
      <c r="Q44" s="201"/>
      <c r="R44" s="56"/>
      <c r="S44" s="126"/>
      <c r="T44" s="126"/>
      <c r="U44" s="126"/>
      <c r="V44" s="126"/>
    </row>
    <row r="45" spans="2:24" x14ac:dyDescent="0.35">
      <c r="B45" s="127" t="s">
        <v>89</v>
      </c>
      <c r="E45" s="112" t="s">
        <v>90</v>
      </c>
      <c r="G45" s="112" t="str">
        <f>G12</f>
        <v>Year 1</v>
      </c>
      <c r="H45" s="112" t="str">
        <f>H12</f>
        <v>Year 2</v>
      </c>
      <c r="I45" s="112" t="str">
        <f>I12</f>
        <v>Year 3</v>
      </c>
      <c r="J45" s="112" t="str">
        <f>J12</f>
        <v>Year 4</v>
      </c>
      <c r="K45" s="112" t="str">
        <f>K12</f>
        <v>Year 5</v>
      </c>
      <c r="L45" s="112"/>
      <c r="M45" s="112"/>
      <c r="N45" s="112"/>
      <c r="O45" s="112"/>
      <c r="P45" s="112"/>
      <c r="Q45" s="112"/>
      <c r="R45" s="112"/>
      <c r="W45" s="112"/>
    </row>
    <row r="46" spans="2:24" x14ac:dyDescent="0.35">
      <c r="D46" s="1" t="s">
        <v>61</v>
      </c>
      <c r="E46" s="1">
        <v>5</v>
      </c>
      <c r="G46" s="128">
        <f>SUM(G9:G10)/$E46</f>
        <v>160000000</v>
      </c>
      <c r="H46" s="114">
        <f>G46</f>
        <v>160000000</v>
      </c>
      <c r="I46" s="114">
        <f>H46</f>
        <v>160000000</v>
      </c>
      <c r="J46" s="114">
        <f t="shared" ref="J46:K47" si="41">I46</f>
        <v>160000000</v>
      </c>
      <c r="K46" s="114">
        <f t="shared" si="41"/>
        <v>160000000</v>
      </c>
      <c r="L46" s="114"/>
      <c r="M46" s="114"/>
      <c r="N46" s="114"/>
      <c r="O46" s="114"/>
      <c r="P46" s="114"/>
      <c r="Q46" s="114">
        <f>SUM(G46:P46)</f>
        <v>800000000</v>
      </c>
      <c r="R46" s="114"/>
      <c r="W46" s="129"/>
    </row>
    <row r="47" spans="2:24" hidden="1" x14ac:dyDescent="0.35">
      <c r="D47" s="1" t="s">
        <v>63</v>
      </c>
      <c r="E47" s="1">
        <v>4</v>
      </c>
      <c r="H47" s="128">
        <f>I$10/$E47</f>
        <v>0</v>
      </c>
      <c r="J47" s="114">
        <f>H47</f>
        <v>0</v>
      </c>
      <c r="K47" s="114">
        <f t="shared" si="41"/>
        <v>0</v>
      </c>
      <c r="L47" s="114"/>
      <c r="M47" s="114"/>
      <c r="N47" s="114"/>
      <c r="O47" s="114"/>
      <c r="P47" s="114"/>
      <c r="Q47" s="114"/>
      <c r="R47" s="114"/>
      <c r="W47" s="129"/>
    </row>
    <row r="48" spans="2:24" hidden="1" x14ac:dyDescent="0.35">
      <c r="D48" s="1" t="s">
        <v>64</v>
      </c>
      <c r="E48" s="1">
        <v>3</v>
      </c>
      <c r="I48" s="128">
        <f>J$9/$E48</f>
        <v>0</v>
      </c>
      <c r="K48" s="114">
        <f>I48</f>
        <v>0</v>
      </c>
      <c r="L48" s="114"/>
      <c r="M48" s="114"/>
      <c r="N48" s="114"/>
      <c r="O48" s="114"/>
      <c r="P48" s="114"/>
      <c r="Q48" s="114"/>
      <c r="R48" s="114"/>
      <c r="W48" s="129"/>
    </row>
    <row r="49" spans="2:23" hidden="1" x14ac:dyDescent="0.35">
      <c r="D49" s="1" t="s">
        <v>65</v>
      </c>
      <c r="E49" s="1">
        <v>2</v>
      </c>
      <c r="J49" s="128"/>
      <c r="Q49" s="114"/>
      <c r="R49" s="114"/>
      <c r="W49" s="129"/>
    </row>
    <row r="50" spans="2:23" hidden="1" x14ac:dyDescent="0.35">
      <c r="D50" s="1" t="s">
        <v>91</v>
      </c>
      <c r="E50" s="1">
        <v>1</v>
      </c>
      <c r="K50" s="128"/>
      <c r="L50" s="128"/>
      <c r="M50" s="128"/>
      <c r="N50" s="128"/>
      <c r="O50" s="128"/>
      <c r="P50" s="128"/>
      <c r="Q50" s="114"/>
      <c r="R50" s="114"/>
      <c r="W50" s="129"/>
    </row>
    <row r="51" spans="2:23" ht="16" thickBot="1" x14ac:dyDescent="0.4">
      <c r="B51" s="130" t="s">
        <v>92</v>
      </c>
      <c r="C51" s="131"/>
      <c r="D51" s="131"/>
      <c r="E51" s="131"/>
      <c r="F51" s="131"/>
      <c r="G51" s="132">
        <f>SUM(G46:G49)</f>
        <v>160000000</v>
      </c>
      <c r="H51" s="132">
        <f>SUM(H46:H49)</f>
        <v>160000000</v>
      </c>
      <c r="I51" s="132">
        <f>SUM(I46:I49)</f>
        <v>160000000</v>
      </c>
      <c r="J51" s="132">
        <f>SUM(J46:J49)</f>
        <v>160000000</v>
      </c>
      <c r="K51" s="132">
        <f>SUM(K46:K49)</f>
        <v>160000000</v>
      </c>
      <c r="L51" s="132">
        <f t="shared" ref="L51:P51" si="42">SUM(L46:L49)</f>
        <v>0</v>
      </c>
      <c r="M51" s="132">
        <f t="shared" si="42"/>
        <v>0</v>
      </c>
      <c r="N51" s="132">
        <f t="shared" si="42"/>
        <v>0</v>
      </c>
      <c r="O51" s="132">
        <f t="shared" si="42"/>
        <v>0</v>
      </c>
      <c r="P51" s="132">
        <f t="shared" si="42"/>
        <v>0</v>
      </c>
      <c r="Q51" s="114">
        <f>SUM(G51:K51)</f>
        <v>800000000</v>
      </c>
      <c r="R51" s="126"/>
      <c r="W51" s="126"/>
    </row>
    <row r="52" spans="2:23" ht="16" thickTop="1" x14ac:dyDescent="0.35">
      <c r="W52" s="121"/>
    </row>
    <row r="54" spans="2:23" x14ac:dyDescent="0.35">
      <c r="F54" s="1" t="s">
        <v>37</v>
      </c>
    </row>
  </sheetData>
  <mergeCells count="1">
    <mergeCell ref="E19:F19"/>
  </mergeCells>
  <pageMargins left="0.61" right="0.64" top="0.35" bottom="0.35" header="0.65" footer="0.3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6"/>
  <sheetViews>
    <sheetView workbookViewId="0">
      <pane xSplit="2" ySplit="2" topLeftCell="I22" activePane="bottomRight" state="frozen"/>
      <selection pane="topRight" activeCell="C1" sqref="C1"/>
      <selection pane="bottomLeft" activeCell="A3" sqref="A3"/>
      <selection pane="bottomRight" activeCell="P39" sqref="P39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134" t="s">
        <v>100</v>
      </c>
    </row>
    <row r="2" spans="1:20" x14ac:dyDescent="0.35">
      <c r="A2" s="135" t="s">
        <v>101</v>
      </c>
      <c r="B2" s="136">
        <v>5</v>
      </c>
      <c r="C2" s="137">
        <v>2012</v>
      </c>
      <c r="D2" s="137">
        <f>C2+1</f>
        <v>2013</v>
      </c>
      <c r="E2" s="137">
        <f t="shared" ref="E2:M2" si="0">D2+1</f>
        <v>2014</v>
      </c>
      <c r="F2" s="137">
        <f t="shared" si="0"/>
        <v>2015</v>
      </c>
      <c r="G2" s="137">
        <f t="shared" si="0"/>
        <v>2016</v>
      </c>
      <c r="H2" s="137">
        <f t="shared" si="0"/>
        <v>2017</v>
      </c>
      <c r="I2" s="137">
        <f t="shared" si="0"/>
        <v>2018</v>
      </c>
      <c r="J2" s="137">
        <f t="shared" si="0"/>
        <v>2019</v>
      </c>
      <c r="K2" s="137">
        <f t="shared" si="0"/>
        <v>2020</v>
      </c>
      <c r="L2" s="137">
        <f t="shared" si="0"/>
        <v>2021</v>
      </c>
      <c r="M2" s="137">
        <f t="shared" si="0"/>
        <v>2022</v>
      </c>
      <c r="N2" s="137">
        <f t="shared" ref="N2" si="1">M2+1</f>
        <v>2023</v>
      </c>
      <c r="O2" s="137">
        <f t="shared" ref="O2" si="2">N2+1</f>
        <v>2024</v>
      </c>
      <c r="P2" s="137">
        <f t="shared" ref="P2" si="3">O2+1</f>
        <v>2025</v>
      </c>
      <c r="Q2" s="137">
        <f t="shared" ref="Q2" si="4">P2+1</f>
        <v>2026</v>
      </c>
      <c r="R2" s="137">
        <f t="shared" ref="R2:S2" si="5">Q2+1</f>
        <v>2027</v>
      </c>
      <c r="S2" s="137">
        <f t="shared" si="5"/>
        <v>2028</v>
      </c>
    </row>
    <row r="3" spans="1:20" x14ac:dyDescent="0.35">
      <c r="A3" s="138">
        <v>2012</v>
      </c>
      <c r="B3" t="s">
        <v>102</v>
      </c>
      <c r="C3" s="173"/>
      <c r="D3" s="173">
        <f>C3-C4</f>
        <v>0</v>
      </c>
      <c r="E3" s="173">
        <f>D3-C4</f>
        <v>0</v>
      </c>
      <c r="F3" s="173">
        <f>E3-C4</f>
        <v>0</v>
      </c>
      <c r="G3" s="173">
        <f>F3-C4</f>
        <v>0</v>
      </c>
      <c r="H3" s="173">
        <f>G3-C4</f>
        <v>0</v>
      </c>
      <c r="I3" s="173">
        <f>H3-$E$4</f>
        <v>0</v>
      </c>
      <c r="J3" s="173">
        <f>I3-$E$4</f>
        <v>0</v>
      </c>
      <c r="K3" s="173"/>
      <c r="L3" s="173"/>
      <c r="M3" s="173"/>
      <c r="Q3" s="139"/>
      <c r="R3" s="140"/>
      <c r="S3" s="140"/>
    </row>
    <row r="4" spans="1:20" x14ac:dyDescent="0.35">
      <c r="A4" s="141"/>
      <c r="B4" t="s">
        <v>103</v>
      </c>
      <c r="C4" s="173">
        <f>C3/B2</f>
        <v>0</v>
      </c>
      <c r="D4" s="173"/>
      <c r="E4" s="173"/>
      <c r="F4" s="173"/>
      <c r="G4" s="173"/>
      <c r="H4" s="173"/>
      <c r="I4" s="173"/>
      <c r="J4" s="173"/>
      <c r="K4" s="173"/>
      <c r="L4" s="173"/>
      <c r="M4" s="173"/>
      <c r="Q4" s="139"/>
    </row>
    <row r="5" spans="1:20" x14ac:dyDescent="0.35">
      <c r="A5" s="141"/>
      <c r="B5" t="s">
        <v>104</v>
      </c>
      <c r="C5" s="173">
        <f>(($C$3*IRR!E4*6)/12)</f>
        <v>0</v>
      </c>
      <c r="D5" s="173">
        <f>AVERAGE(C3:D3)*IRR!$E$4</f>
        <v>0</v>
      </c>
      <c r="E5" s="173">
        <f>AVERAGE(D3:E3)*IRR!$E$4</f>
        <v>0</v>
      </c>
      <c r="F5" s="173">
        <f>AVERAGE(E3:F3)*IRR!$E$4</f>
        <v>0</v>
      </c>
      <c r="G5" s="173">
        <f>AVERAGE(F3:G3)*IRR!$E$4</f>
        <v>0</v>
      </c>
      <c r="H5" s="173">
        <f>AVERAGE(G3:H3)*IRR!$E$4</f>
        <v>0</v>
      </c>
      <c r="I5" s="173">
        <f>AVERAGE($H$3:$I$3)*[2]IRR!$G$4</f>
        <v>0</v>
      </c>
      <c r="J5" s="173">
        <f>AVERAGE($I$3:$J$3)*[2]IRR!$G$4</f>
        <v>0</v>
      </c>
      <c r="K5" s="173"/>
      <c r="L5" s="173"/>
      <c r="M5" s="173"/>
      <c r="Q5" s="139"/>
      <c r="R5" s="140"/>
      <c r="S5" s="140"/>
      <c r="T5" s="140"/>
    </row>
    <row r="6" spans="1:20" x14ac:dyDescent="0.35">
      <c r="A6" s="138">
        <f>A3+1</f>
        <v>2013</v>
      </c>
      <c r="B6" t="s">
        <v>102</v>
      </c>
      <c r="C6" s="173"/>
      <c r="D6" s="173">
        <v>158218258</v>
      </c>
      <c r="E6" s="173">
        <f>D6-D7</f>
        <v>126574606.40000001</v>
      </c>
      <c r="F6" s="173">
        <f>E6-D7</f>
        <v>94930954.800000012</v>
      </c>
      <c r="G6" s="173">
        <f>F6-D7</f>
        <v>63287303.20000001</v>
      </c>
      <c r="H6" s="173">
        <f>G6-D7</f>
        <v>31643651.600000009</v>
      </c>
      <c r="I6" s="173">
        <f>H6-D7</f>
        <v>0</v>
      </c>
      <c r="J6" s="173"/>
      <c r="K6" s="173"/>
      <c r="L6" s="173"/>
      <c r="M6" s="173"/>
      <c r="Q6" s="139"/>
    </row>
    <row r="7" spans="1:20" x14ac:dyDescent="0.35">
      <c r="A7" s="141"/>
      <c r="B7" t="s">
        <v>103</v>
      </c>
      <c r="C7" s="173"/>
      <c r="D7" s="173">
        <f>D6/B2</f>
        <v>31643651.600000001</v>
      </c>
      <c r="E7" s="173"/>
      <c r="F7" s="173"/>
      <c r="G7" s="173"/>
      <c r="H7" s="173"/>
      <c r="I7" s="173"/>
      <c r="J7" s="173"/>
      <c r="K7" s="173"/>
      <c r="L7" s="173"/>
      <c r="M7" s="173"/>
    </row>
    <row r="8" spans="1:20" x14ac:dyDescent="0.35">
      <c r="A8" s="141"/>
      <c r="B8" t="s">
        <v>104</v>
      </c>
      <c r="C8" s="173"/>
      <c r="D8" s="173">
        <f>((D6*IRR!$E$4*6)/12)</f>
        <v>7910912.9000000013</v>
      </c>
      <c r="E8" s="173">
        <f>AVERAGE(D6:E6)*IRR!$E$4</f>
        <v>14239643.219999999</v>
      </c>
      <c r="F8" s="173">
        <f>AVERAGE(E6:F6)*IRR!$E$4</f>
        <v>11075278.060000002</v>
      </c>
      <c r="G8" s="173">
        <f>AVERAGE(F6:G6)*IRR!$E$4</f>
        <v>7910912.9000000022</v>
      </c>
      <c r="H8" s="173">
        <f>AVERAGE(G6:H6)*IRR!$E$4</f>
        <v>4746547.7400000012</v>
      </c>
      <c r="I8" s="173">
        <f>AVERAGE(H6:I6)*IRR!$E$4</f>
        <v>1582182.5800000005</v>
      </c>
      <c r="J8" s="173"/>
      <c r="K8" s="173"/>
      <c r="L8" s="173"/>
      <c r="M8" s="173"/>
    </row>
    <row r="9" spans="1:20" x14ac:dyDescent="0.35">
      <c r="A9" s="138">
        <f>A6+1</f>
        <v>2014</v>
      </c>
      <c r="B9" t="s">
        <v>102</v>
      </c>
      <c r="C9" s="173"/>
      <c r="D9" s="173"/>
      <c r="E9" s="173">
        <v>816538066</v>
      </c>
      <c r="F9" s="173">
        <f>E9-E10</f>
        <v>653230452.79999995</v>
      </c>
      <c r="G9" s="173">
        <f>F9-E10</f>
        <v>489922839.59999996</v>
      </c>
      <c r="H9" s="173">
        <f>G9-E10</f>
        <v>326615226.39999998</v>
      </c>
      <c r="I9" s="173">
        <f>H9-E10</f>
        <v>163307613.19999999</v>
      </c>
      <c r="J9" s="173">
        <f>I9-E10</f>
        <v>0</v>
      </c>
      <c r="K9" s="173"/>
      <c r="L9" s="173"/>
      <c r="M9" s="173"/>
      <c r="N9" s="140"/>
    </row>
    <row r="10" spans="1:20" x14ac:dyDescent="0.35">
      <c r="A10" s="141"/>
      <c r="B10" t="s">
        <v>103</v>
      </c>
      <c r="C10" s="173"/>
      <c r="D10" s="173"/>
      <c r="E10" s="173">
        <f>E9/B2</f>
        <v>163307613.19999999</v>
      </c>
      <c r="F10" s="173"/>
      <c r="G10" s="173"/>
      <c r="H10" s="173"/>
      <c r="I10" s="173"/>
      <c r="J10" s="173"/>
      <c r="K10" s="173"/>
      <c r="L10" s="173"/>
      <c r="M10" s="173"/>
      <c r="N10" s="140"/>
    </row>
    <row r="11" spans="1:20" x14ac:dyDescent="0.35">
      <c r="A11" s="141"/>
      <c r="B11" t="s">
        <v>104</v>
      </c>
      <c r="C11" s="173"/>
      <c r="D11" s="173"/>
      <c r="E11" s="173">
        <f>((E9*IRR!$E$4*6)/12)</f>
        <v>40826903.300000004</v>
      </c>
      <c r="F11" s="173">
        <f>AVERAGE(E9:F9)*IRR!$E$4</f>
        <v>73488425.939999998</v>
      </c>
      <c r="G11" s="173">
        <f>AVERAGE(F9:G9)*IRR!$E$4</f>
        <v>57157664.619999997</v>
      </c>
      <c r="H11" s="173">
        <f>AVERAGE(G9:H9)*IRR!$E$4</f>
        <v>40826903.300000004</v>
      </c>
      <c r="I11" s="173">
        <f>AVERAGE(H9:I9)*IRR!$E$4</f>
        <v>24496141.98</v>
      </c>
      <c r="J11" s="173">
        <f>AVERAGE(I9:J9)*IRR!$E$4</f>
        <v>8165380.6600000001</v>
      </c>
      <c r="K11" s="173">
        <f>AVERAGE(J9:K9)*IRR!$E$4</f>
        <v>0</v>
      </c>
      <c r="L11" s="173"/>
      <c r="M11" s="173"/>
      <c r="N11" s="140"/>
    </row>
    <row r="12" spans="1:20" x14ac:dyDescent="0.35">
      <c r="A12" s="138">
        <f>A9+1</f>
        <v>2015</v>
      </c>
      <c r="B12" t="s">
        <v>102</v>
      </c>
      <c r="C12" s="173"/>
      <c r="D12" s="173"/>
      <c r="E12" s="173"/>
      <c r="F12" s="173"/>
      <c r="G12" s="173">
        <f>F12-F13</f>
        <v>0</v>
      </c>
      <c r="H12" s="173">
        <f>G12-F13</f>
        <v>0</v>
      </c>
      <c r="I12" s="173">
        <f>H12-F13</f>
        <v>0</v>
      </c>
      <c r="J12" s="173">
        <f>I12-F13</f>
        <v>0</v>
      </c>
      <c r="K12" s="173">
        <f>J12-F13</f>
        <v>0</v>
      </c>
      <c r="L12" s="173"/>
      <c r="M12" s="173"/>
      <c r="N12" s="140"/>
      <c r="O12" s="140"/>
    </row>
    <row r="13" spans="1:20" x14ac:dyDescent="0.35">
      <c r="B13" t="s">
        <v>103</v>
      </c>
      <c r="C13" s="173"/>
      <c r="D13" s="173"/>
      <c r="E13" s="173"/>
      <c r="F13" s="173">
        <f>F12/B2</f>
        <v>0</v>
      </c>
      <c r="G13" s="173"/>
      <c r="H13" s="173"/>
      <c r="I13" s="173"/>
      <c r="J13" s="173"/>
      <c r="K13" s="173"/>
      <c r="L13" s="173"/>
      <c r="M13" s="173"/>
      <c r="N13" s="140"/>
      <c r="O13" s="140"/>
    </row>
    <row r="14" spans="1:20" x14ac:dyDescent="0.35">
      <c r="B14" t="s">
        <v>104</v>
      </c>
      <c r="C14" s="173"/>
      <c r="D14" s="173"/>
      <c r="E14" s="173"/>
      <c r="F14" s="173">
        <f>((F12*IRR!$E$4*6)/12)</f>
        <v>0</v>
      </c>
      <c r="G14" s="173">
        <f>AVERAGE(F12:G12)*IRR!$E$4</f>
        <v>0</v>
      </c>
      <c r="H14" s="173">
        <f>AVERAGE(G12:H12)*IRR!$E$4</f>
        <v>0</v>
      </c>
      <c r="I14" s="173">
        <f>AVERAGE(H12:I12)*IRR!$E$4</f>
        <v>0</v>
      </c>
      <c r="J14" s="173">
        <f>AVERAGE(I12:J12)*IRR!$E$4</f>
        <v>0</v>
      </c>
      <c r="K14" s="173">
        <f>AVERAGE(J12:K12)*IRR!$E$4</f>
        <v>0</v>
      </c>
      <c r="L14" s="173">
        <f>AVERAGE(K12:L12)*IRR!$E$4</f>
        <v>0</v>
      </c>
      <c r="M14" s="173"/>
      <c r="N14" s="140"/>
      <c r="O14" s="140"/>
    </row>
    <row r="15" spans="1:20" x14ac:dyDescent="0.35">
      <c r="A15">
        <f>A12+1</f>
        <v>2016</v>
      </c>
      <c r="B15" t="s">
        <v>102</v>
      </c>
      <c r="C15" s="173"/>
      <c r="D15" s="173"/>
      <c r="E15" s="173"/>
      <c r="F15" s="173"/>
      <c r="G15" s="173">
        <v>120433746</v>
      </c>
      <c r="H15" s="173">
        <f>G15-G16</f>
        <v>96346996.799999997</v>
      </c>
      <c r="I15" s="173">
        <f>H15-G16</f>
        <v>72260247.599999994</v>
      </c>
      <c r="J15" s="173">
        <f>I15-G16</f>
        <v>48173498.399999991</v>
      </c>
      <c r="K15" s="173">
        <f>J15-G16</f>
        <v>24086749.199999992</v>
      </c>
      <c r="L15" s="173">
        <f>K15-G16</f>
        <v>0</v>
      </c>
      <c r="M15" s="173"/>
      <c r="N15" s="140"/>
      <c r="O15" s="140"/>
    </row>
    <row r="16" spans="1:20" x14ac:dyDescent="0.35">
      <c r="B16" t="s">
        <v>103</v>
      </c>
      <c r="C16" s="173"/>
      <c r="D16" s="173"/>
      <c r="E16" s="173"/>
      <c r="F16" s="173"/>
      <c r="G16" s="173">
        <f>G15/$B$2</f>
        <v>24086749.199999999</v>
      </c>
      <c r="H16" s="173"/>
      <c r="I16" s="173"/>
      <c r="J16" s="173"/>
      <c r="K16" s="173"/>
      <c r="L16" s="173"/>
      <c r="M16" s="173"/>
      <c r="N16" s="140"/>
      <c r="O16" s="140"/>
    </row>
    <row r="17" spans="1:18" x14ac:dyDescent="0.35">
      <c r="B17" t="s">
        <v>104</v>
      </c>
      <c r="C17" s="173"/>
      <c r="D17" s="173"/>
      <c r="E17" s="173"/>
      <c r="F17" s="173"/>
      <c r="G17" s="173">
        <f>((G15*IRR!$E$4*6)/12)</f>
        <v>6021687.3000000007</v>
      </c>
      <c r="H17" s="173">
        <f>AVERAGE(G15:H15)*IRR!$E$4</f>
        <v>10839037.140000001</v>
      </c>
      <c r="I17" s="173">
        <f>AVERAGE(H15:I15)*IRR!$E$4</f>
        <v>8430362.2199999988</v>
      </c>
      <c r="J17" s="173">
        <f>AVERAGE(I15:J15)*IRR!$E$4</f>
        <v>6021687.2999999998</v>
      </c>
      <c r="K17" s="173">
        <f>AVERAGE(J15:K15)*IRR!$E$4</f>
        <v>3613012.379999999</v>
      </c>
      <c r="L17" s="173">
        <f>AVERAGE(K15:L15)*IRR!$E$4</f>
        <v>1204337.4599999997</v>
      </c>
      <c r="M17" s="173">
        <f>AVERAGE(L15:M15)*IRR!$E$4</f>
        <v>0</v>
      </c>
      <c r="N17" s="140"/>
      <c r="O17" s="140"/>
    </row>
    <row r="18" spans="1:18" x14ac:dyDescent="0.35">
      <c r="A18">
        <f>A15+1</f>
        <v>2017</v>
      </c>
      <c r="B18" t="s">
        <v>102</v>
      </c>
      <c r="C18" s="173"/>
      <c r="D18" s="173"/>
      <c r="E18" s="173"/>
      <c r="F18" s="173"/>
      <c r="G18" s="173"/>
      <c r="H18" s="173"/>
      <c r="I18" s="173">
        <f>H18-H19</f>
        <v>0</v>
      </c>
      <c r="J18" s="173">
        <f>I18-H19</f>
        <v>0</v>
      </c>
      <c r="K18" s="173">
        <f>J18-H19</f>
        <v>0</v>
      </c>
      <c r="L18" s="173">
        <f>K18-H19</f>
        <v>0</v>
      </c>
      <c r="M18" s="173">
        <f>L18-H19</f>
        <v>0</v>
      </c>
      <c r="N18" s="140"/>
      <c r="O18" s="140"/>
    </row>
    <row r="19" spans="1:18" x14ac:dyDescent="0.35">
      <c r="B19" t="s">
        <v>103</v>
      </c>
      <c r="C19" s="173"/>
      <c r="D19" s="173"/>
      <c r="E19" s="173"/>
      <c r="F19" s="173"/>
      <c r="G19" s="173"/>
      <c r="H19" s="173">
        <f>H18/$B$2</f>
        <v>0</v>
      </c>
      <c r="I19" s="173"/>
      <c r="J19" s="173"/>
      <c r="K19" s="173"/>
      <c r="L19" s="173"/>
      <c r="M19" s="173"/>
      <c r="N19" s="140"/>
      <c r="O19" s="140"/>
    </row>
    <row r="20" spans="1:18" x14ac:dyDescent="0.35">
      <c r="B20" t="s">
        <v>104</v>
      </c>
      <c r="C20" s="173"/>
      <c r="D20" s="173"/>
      <c r="E20" s="173"/>
      <c r="F20" s="173"/>
      <c r="G20" s="173"/>
      <c r="H20" s="173">
        <f>((H18*IRR!$E$4*6)/12)</f>
        <v>0</v>
      </c>
      <c r="I20" s="173">
        <f>AVERAGE(H18:I18)*IRR!$E$4</f>
        <v>0</v>
      </c>
      <c r="J20" s="173">
        <f>AVERAGE(I18:J18)*IRR!$E$4</f>
        <v>0</v>
      </c>
      <c r="K20" s="173">
        <f>AVERAGE(J18:K18)*IRR!$E$4</f>
        <v>0</v>
      </c>
      <c r="L20" s="173">
        <f>AVERAGE(K18:L18)*IRR!$E$4</f>
        <v>0</v>
      </c>
      <c r="M20" s="173">
        <f>AVERAGE(L18:M18)*IRR!$E$4</f>
        <v>0</v>
      </c>
      <c r="N20" s="173">
        <f>AVERAGE(M18:N18)*IRR!$E$4</f>
        <v>0</v>
      </c>
      <c r="O20" s="140"/>
    </row>
    <row r="21" spans="1:18" x14ac:dyDescent="0.35">
      <c r="A21">
        <f>A18+1</f>
        <v>2018</v>
      </c>
      <c r="B21" t="s">
        <v>102</v>
      </c>
      <c r="C21" s="173"/>
      <c r="D21" s="173"/>
      <c r="E21" s="173"/>
      <c r="F21" s="173"/>
      <c r="G21" s="173"/>
      <c r="H21" s="173"/>
      <c r="I21" s="173">
        <v>15842000</v>
      </c>
      <c r="J21" s="173">
        <f>I21-I22</f>
        <v>12673600</v>
      </c>
      <c r="K21" s="173">
        <f>J21-I22</f>
        <v>9505200</v>
      </c>
      <c r="L21" s="173">
        <f>K21-I22</f>
        <v>6336800</v>
      </c>
      <c r="M21" s="173">
        <f>L21-I22</f>
        <v>3168400</v>
      </c>
      <c r="N21" s="173">
        <f>M21-I22</f>
        <v>0</v>
      </c>
      <c r="O21" s="140"/>
    </row>
    <row r="22" spans="1:18" x14ac:dyDescent="0.35">
      <c r="B22" t="s">
        <v>103</v>
      </c>
      <c r="C22" s="173"/>
      <c r="D22" s="173"/>
      <c r="E22" s="173"/>
      <c r="F22" s="173"/>
      <c r="G22" s="173"/>
      <c r="H22" s="173"/>
      <c r="I22" s="173">
        <f>I21/B2</f>
        <v>3168400</v>
      </c>
      <c r="J22" s="173"/>
      <c r="K22" s="173"/>
      <c r="L22" s="173"/>
      <c r="M22" s="173"/>
      <c r="N22" s="140"/>
      <c r="O22" s="140"/>
    </row>
    <row r="23" spans="1:18" x14ac:dyDescent="0.35">
      <c r="B23" t="s">
        <v>104</v>
      </c>
      <c r="C23" s="173"/>
      <c r="D23" s="173"/>
      <c r="E23" s="173"/>
      <c r="F23" s="173"/>
      <c r="G23" s="173"/>
      <c r="H23" s="173"/>
      <c r="I23" s="173">
        <f>((I21*IRR!$E$4*6)/12)</f>
        <v>792100</v>
      </c>
      <c r="J23" s="173">
        <f>AVERAGE(I21:J21)*IRR!$E$4</f>
        <v>1425780</v>
      </c>
      <c r="K23" s="173">
        <f>AVERAGE(J21:K21)*IRR!$E$4</f>
        <v>1108940</v>
      </c>
      <c r="L23" s="173">
        <f>AVERAGE(K21:L21)*IRR!$E$4</f>
        <v>792100</v>
      </c>
      <c r="M23" s="173">
        <f>AVERAGE(L21:M21)*IRR!$E$4</f>
        <v>475260</v>
      </c>
      <c r="N23" s="173">
        <f>AVERAGE(M21:N21)*IRR!$E$4</f>
        <v>158420</v>
      </c>
      <c r="O23" s="173">
        <f>AVERAGE(N21:O21)*IRR!$E$4</f>
        <v>0</v>
      </c>
    </row>
    <row r="24" spans="1:18" x14ac:dyDescent="0.35">
      <c r="A24">
        <f>A21+1</f>
        <v>2019</v>
      </c>
      <c r="B24" t="s">
        <v>102</v>
      </c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18" x14ac:dyDescent="0.35">
      <c r="B25" t="s">
        <v>103</v>
      </c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18" x14ac:dyDescent="0.35">
      <c r="B26" t="s">
        <v>104</v>
      </c>
      <c r="C26" s="173"/>
      <c r="D26" s="173"/>
      <c r="E26" s="173"/>
      <c r="F26" s="173"/>
      <c r="G26" s="173"/>
      <c r="H26" s="173"/>
      <c r="I26" s="173"/>
      <c r="K26" s="173"/>
      <c r="L26" s="173"/>
      <c r="M26" s="173"/>
    </row>
    <row r="27" spans="1:18" x14ac:dyDescent="0.35">
      <c r="A27">
        <f>A24+1</f>
        <v>2020</v>
      </c>
      <c r="B27" t="s">
        <v>102</v>
      </c>
      <c r="C27" s="173"/>
      <c r="D27" s="173"/>
      <c r="E27" s="173"/>
      <c r="F27" s="173"/>
      <c r="G27" s="173"/>
      <c r="H27" s="173"/>
      <c r="I27" s="173"/>
      <c r="J27" s="173"/>
      <c r="K27" s="173">
        <v>9180632</v>
      </c>
      <c r="L27" s="173">
        <f>K27-K28</f>
        <v>7344505.5999999996</v>
      </c>
      <c r="M27" s="173">
        <f>L27-K28</f>
        <v>5508379.1999999993</v>
      </c>
      <c r="N27" s="173">
        <f>M27-K28</f>
        <v>3672252.7999999993</v>
      </c>
      <c r="O27" s="173">
        <f>N27-K28</f>
        <v>1836126.3999999994</v>
      </c>
      <c r="P27" s="173">
        <f>O27-K28</f>
        <v>0</v>
      </c>
    </row>
    <row r="28" spans="1:18" x14ac:dyDescent="0.35">
      <c r="B28" t="s">
        <v>103</v>
      </c>
      <c r="C28" s="173"/>
      <c r="D28" s="173"/>
      <c r="E28" s="173"/>
      <c r="F28" s="173"/>
      <c r="G28" s="173"/>
      <c r="H28" s="173"/>
      <c r="I28" s="173"/>
      <c r="J28" s="173"/>
      <c r="K28" s="173">
        <f>K27/B2</f>
        <v>1836126.4</v>
      </c>
      <c r="L28" s="173"/>
      <c r="M28" s="173"/>
    </row>
    <row r="29" spans="1:18" x14ac:dyDescent="0.35">
      <c r="B29" t="s">
        <v>104</v>
      </c>
      <c r="C29" s="173"/>
      <c r="D29" s="173"/>
      <c r="E29" s="173"/>
      <c r="F29" s="173"/>
      <c r="G29" s="173"/>
      <c r="H29" s="173"/>
      <c r="I29" s="173"/>
      <c r="J29" s="173"/>
      <c r="K29" s="173">
        <f>((K27*IRR!$E$4*6)/12)</f>
        <v>459031.60000000003</v>
      </c>
      <c r="L29" s="173">
        <f>AVERAGE(K27:L27)*IRR!$E$4</f>
        <v>826256.88</v>
      </c>
      <c r="M29" s="173">
        <f>AVERAGE(L27:M27)*IRR!$E$4</f>
        <v>642644.24</v>
      </c>
      <c r="N29" s="173">
        <f>AVERAGE(M27:N27)*IRR!$E$4</f>
        <v>459031.59999999992</v>
      </c>
      <c r="O29" s="173">
        <f>AVERAGE(N27:O27)*IRR!$E$4</f>
        <v>275418.95999999996</v>
      </c>
      <c r="P29" s="173">
        <f>AVERAGE(O27:P27)*IRR!$E$4</f>
        <v>91806.319999999978</v>
      </c>
      <c r="Q29" s="173">
        <f>AVERAGE(P27:Q27)*IRR!$E$4</f>
        <v>0</v>
      </c>
    </row>
    <row r="30" spans="1:18" x14ac:dyDescent="0.35">
      <c r="A30">
        <f>A27+1</f>
        <v>2021</v>
      </c>
      <c r="B30" t="s">
        <v>102</v>
      </c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>
        <f>L30-L31</f>
        <v>0</v>
      </c>
      <c r="N30" s="173">
        <f>M30-L31</f>
        <v>0</v>
      </c>
      <c r="O30" s="173">
        <f>N30-L31</f>
        <v>0</v>
      </c>
      <c r="P30" s="173">
        <f>O30-L31</f>
        <v>0</v>
      </c>
      <c r="Q30" s="173">
        <f>P30-L31</f>
        <v>0</v>
      </c>
    </row>
    <row r="31" spans="1:18" x14ac:dyDescent="0.35">
      <c r="B31" t="s">
        <v>103</v>
      </c>
      <c r="C31" s="139"/>
      <c r="D31" s="140"/>
      <c r="E31" s="140"/>
      <c r="F31" s="140"/>
      <c r="G31" s="140"/>
      <c r="H31" s="140"/>
      <c r="I31" s="140"/>
      <c r="J31" s="140"/>
      <c r="K31" s="140"/>
      <c r="L31" s="177">
        <f>L30/B2</f>
        <v>0</v>
      </c>
    </row>
    <row r="32" spans="1:18" x14ac:dyDescent="0.35">
      <c r="B32" t="s">
        <v>104</v>
      </c>
      <c r="C32" s="139"/>
      <c r="D32" s="140"/>
      <c r="E32" s="140"/>
      <c r="F32" s="140"/>
      <c r="G32" s="140"/>
      <c r="H32" s="140"/>
      <c r="I32" s="140"/>
      <c r="J32" s="140"/>
      <c r="K32" s="140"/>
      <c r="L32" s="173">
        <f>((L30*IRR!$E$4*6)/12)</f>
        <v>0</v>
      </c>
      <c r="M32" s="173">
        <f>AVERAGE(L30:M30)*IRR!$E$4</f>
        <v>0</v>
      </c>
      <c r="N32" s="173">
        <f>AVERAGE(M30:N30)*IRR!$E$4</f>
        <v>0</v>
      </c>
      <c r="O32" s="173">
        <f>AVERAGE(N30:O30)*IRR!$E$4</f>
        <v>0</v>
      </c>
      <c r="P32" s="173">
        <f>AVERAGE(O30:P30)*IRR!$E$4</f>
        <v>0</v>
      </c>
      <c r="Q32" s="173">
        <f>AVERAGE(P30:Q30)*IRR!$E$4</f>
        <v>0</v>
      </c>
      <c r="R32" s="173">
        <f>AVERAGE(Q30:R30)*IRR!$E$4</f>
        <v>0</v>
      </c>
    </row>
    <row r="33" spans="1:20" x14ac:dyDescent="0.35">
      <c r="A33">
        <f>A30+1</f>
        <v>2022</v>
      </c>
      <c r="B33" t="s">
        <v>102</v>
      </c>
      <c r="C33" s="139"/>
      <c r="D33" s="140"/>
      <c r="E33" s="140"/>
      <c r="F33" s="140"/>
      <c r="G33" s="140"/>
      <c r="H33" s="140"/>
      <c r="I33" s="140"/>
      <c r="J33" s="140"/>
      <c r="K33" s="140"/>
      <c r="L33" s="173"/>
      <c r="M33" s="173"/>
      <c r="N33" s="173"/>
      <c r="O33" s="173"/>
      <c r="P33" s="173"/>
      <c r="Q33" s="173"/>
      <c r="R33" s="173"/>
    </row>
    <row r="34" spans="1:20" x14ac:dyDescent="0.35">
      <c r="B34" t="s">
        <v>103</v>
      </c>
      <c r="C34" s="139"/>
      <c r="D34" s="140"/>
      <c r="E34" s="140"/>
      <c r="F34" s="140"/>
      <c r="G34" s="140"/>
      <c r="H34" s="140"/>
      <c r="I34" s="140"/>
      <c r="J34" s="140"/>
      <c r="K34" s="140"/>
      <c r="L34" s="173"/>
      <c r="M34" s="173"/>
      <c r="N34" s="173"/>
      <c r="O34" s="173"/>
      <c r="P34" s="173"/>
      <c r="Q34" s="173"/>
      <c r="R34" s="173"/>
    </row>
    <row r="35" spans="1:20" x14ac:dyDescent="0.35">
      <c r="B35" t="s">
        <v>104</v>
      </c>
      <c r="C35" s="139"/>
      <c r="D35" s="140"/>
      <c r="E35" s="140"/>
      <c r="F35" s="140"/>
      <c r="G35" s="140"/>
      <c r="H35" s="140"/>
      <c r="I35" s="140"/>
      <c r="J35" s="140"/>
      <c r="K35" s="140"/>
      <c r="L35" s="173"/>
      <c r="M35" s="173"/>
      <c r="N35" s="173"/>
      <c r="O35" s="173"/>
      <c r="P35" s="173"/>
      <c r="Q35" s="173"/>
      <c r="R35" s="173"/>
    </row>
    <row r="36" spans="1:20" x14ac:dyDescent="0.35">
      <c r="A36">
        <f>A33+1</f>
        <v>2023</v>
      </c>
      <c r="B36" t="s">
        <v>102</v>
      </c>
      <c r="C36" s="139"/>
      <c r="D36" s="140"/>
      <c r="E36" s="140"/>
      <c r="F36" s="140"/>
      <c r="G36" s="140"/>
      <c r="H36" s="140"/>
      <c r="I36" s="140"/>
      <c r="J36" s="140"/>
      <c r="K36" s="140"/>
      <c r="L36" s="173"/>
      <c r="M36" s="173"/>
      <c r="N36" s="173"/>
      <c r="O36" s="173">
        <f>N36-N37</f>
        <v>0</v>
      </c>
      <c r="P36" s="173">
        <f>O36-N37</f>
        <v>0</v>
      </c>
      <c r="Q36" s="173">
        <f>P36-N37</f>
        <v>0</v>
      </c>
      <c r="R36" s="173">
        <f>Q36-N37</f>
        <v>0</v>
      </c>
      <c r="S36" s="173">
        <f>R36-N37</f>
        <v>0</v>
      </c>
    </row>
    <row r="37" spans="1:20" x14ac:dyDescent="0.35">
      <c r="B37" t="s">
        <v>103</v>
      </c>
      <c r="C37" s="139"/>
      <c r="D37" s="140"/>
      <c r="E37" s="140"/>
      <c r="F37" s="140"/>
      <c r="G37" s="140"/>
      <c r="H37" s="140"/>
      <c r="I37" s="140"/>
      <c r="J37" s="140"/>
      <c r="K37" s="140"/>
      <c r="L37" s="173"/>
      <c r="M37" s="173"/>
      <c r="N37" s="173">
        <f>N36/$B$2</f>
        <v>0</v>
      </c>
      <c r="O37" s="173"/>
      <c r="P37" s="173"/>
    </row>
    <row r="38" spans="1:20" x14ac:dyDescent="0.35">
      <c r="B38" t="s">
        <v>104</v>
      </c>
      <c r="C38" s="139"/>
      <c r="D38" s="140"/>
      <c r="E38" s="140"/>
      <c r="F38" s="140"/>
      <c r="G38" s="140"/>
      <c r="H38" s="140"/>
      <c r="I38" s="140"/>
      <c r="J38" s="140"/>
      <c r="K38" s="140"/>
      <c r="N38" s="173">
        <f>((N36*IRR!$E$4*6)/12)</f>
        <v>0</v>
      </c>
      <c r="O38" s="173">
        <f>AVERAGE(N36:O36)*IRR!$E$4</f>
        <v>0</v>
      </c>
      <c r="P38" s="173">
        <f>AVERAGE(O36:P36)*IRR!$E$4</f>
        <v>0</v>
      </c>
      <c r="Q38" s="173">
        <f>AVERAGE(P36:Q36)*IRR!$E$4</f>
        <v>0</v>
      </c>
      <c r="R38" s="173">
        <f>AVERAGE(Q36:R36)*IRR!$E$4</f>
        <v>0</v>
      </c>
      <c r="S38" s="173">
        <f>AVERAGE(R36:S36)*IRR!$E$4</f>
        <v>0</v>
      </c>
      <c r="T38" s="173">
        <f>AVERAGE(S36:T36)*IRR!$E$4</f>
        <v>0</v>
      </c>
    </row>
    <row r="39" spans="1:20" x14ac:dyDescent="0.35">
      <c r="A39" s="135"/>
      <c r="B39" s="142" t="s">
        <v>105</v>
      </c>
      <c r="C39" s="143">
        <f t="shared" ref="C39:O39" si="6">C32+C29+C26+C23+C17+C20+C14+C11+C8+C5+C35+C38</f>
        <v>0</v>
      </c>
      <c r="D39" s="143">
        <f t="shared" si="6"/>
        <v>7910912.9000000013</v>
      </c>
      <c r="E39" s="143">
        <f t="shared" si="6"/>
        <v>55066546.520000003</v>
      </c>
      <c r="F39" s="143">
        <f t="shared" si="6"/>
        <v>84563704</v>
      </c>
      <c r="G39" s="143">
        <f t="shared" si="6"/>
        <v>71090264.820000008</v>
      </c>
      <c r="H39" s="143">
        <f t="shared" si="6"/>
        <v>56412488.180000007</v>
      </c>
      <c r="I39" s="143">
        <f t="shared" si="6"/>
        <v>35300786.780000001</v>
      </c>
      <c r="J39" s="143">
        <f t="shared" si="6"/>
        <v>15612847.960000001</v>
      </c>
      <c r="K39" s="143">
        <f t="shared" si="6"/>
        <v>5180983.9799999986</v>
      </c>
      <c r="L39" s="143">
        <f t="shared" si="6"/>
        <v>2822694.34</v>
      </c>
      <c r="M39" s="143">
        <f t="shared" si="6"/>
        <v>1117904.24</v>
      </c>
      <c r="N39" s="143">
        <f t="shared" si="6"/>
        <v>617451.59999999986</v>
      </c>
      <c r="O39" s="143">
        <f t="shared" si="6"/>
        <v>275418.95999999996</v>
      </c>
      <c r="P39" s="143">
        <f>P32+P29+P26+P23+P17+P20+P14+P11+P8+P5+P35+P38</f>
        <v>91806.319999999978</v>
      </c>
      <c r="Q39" s="143">
        <f t="shared" ref="Q39:T39" si="7">Q32+Q29+Q26+Q23+Q17+Q20+Q14+Q11+Q8+Q5+Q35+Q38</f>
        <v>0</v>
      </c>
      <c r="R39" s="143">
        <f t="shared" si="7"/>
        <v>0</v>
      </c>
      <c r="S39" s="143">
        <f t="shared" si="7"/>
        <v>0</v>
      </c>
      <c r="T39" s="143">
        <f t="shared" si="7"/>
        <v>0</v>
      </c>
    </row>
    <row r="40" spans="1:20" x14ac:dyDescent="0.35">
      <c r="B40" s="139"/>
      <c r="C40" s="140"/>
      <c r="D40" s="140"/>
      <c r="E40" s="140"/>
      <c r="F40" s="140"/>
      <c r="G40" s="140"/>
      <c r="H40" s="140"/>
      <c r="I40" s="140"/>
      <c r="J40" s="140"/>
      <c r="K40" s="140"/>
    </row>
    <row r="41" spans="1:20" x14ac:dyDescent="0.35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</row>
    <row r="42" spans="1:20" x14ac:dyDescent="0.35">
      <c r="A42" s="134" t="s">
        <v>106</v>
      </c>
    </row>
    <row r="43" spans="1:20" x14ac:dyDescent="0.35">
      <c r="A43" t="s">
        <v>107</v>
      </c>
      <c r="B43" t="s">
        <v>108</v>
      </c>
      <c r="C43" s="145">
        <v>50000000</v>
      </c>
    </row>
    <row r="44" spans="1:20" x14ac:dyDescent="0.35">
      <c r="A44" t="s">
        <v>109</v>
      </c>
      <c r="B44" t="s">
        <v>108</v>
      </c>
      <c r="C44" s="145">
        <v>20000000</v>
      </c>
    </row>
    <row r="45" spans="1:20" x14ac:dyDescent="0.35">
      <c r="A45" t="s">
        <v>110</v>
      </c>
      <c r="B45" s="146" t="s">
        <v>111</v>
      </c>
      <c r="C45" s="145"/>
    </row>
    <row r="46" spans="1:20" x14ac:dyDescent="0.35">
      <c r="A46" t="s">
        <v>112</v>
      </c>
      <c r="B46" s="146" t="s">
        <v>111</v>
      </c>
      <c r="C46" s="145"/>
    </row>
    <row r="48" spans="1:20" x14ac:dyDescent="0.35">
      <c r="A48" s="147" t="s">
        <v>51</v>
      </c>
      <c r="B48" s="143">
        <f>C43</f>
        <v>50000000</v>
      </c>
      <c r="C48" s="148">
        <f>B48+C49</f>
        <v>51000000</v>
      </c>
      <c r="D48" s="148">
        <f>C48+D50</f>
        <v>52020000</v>
      </c>
      <c r="E48" s="148">
        <f t="shared" ref="E48:K48" si="8">D48+E50</f>
        <v>53060400</v>
      </c>
      <c r="F48" s="148">
        <f t="shared" si="8"/>
        <v>54121608</v>
      </c>
      <c r="G48" s="148">
        <f t="shared" si="8"/>
        <v>55204040.159999996</v>
      </c>
      <c r="H48" s="148">
        <f t="shared" si="8"/>
        <v>56308120.963199995</v>
      </c>
      <c r="I48" s="148">
        <f t="shared" si="8"/>
        <v>57434283.382463992</v>
      </c>
      <c r="J48" s="148">
        <f t="shared" si="8"/>
        <v>58582969.050113268</v>
      </c>
      <c r="K48" s="148">
        <f t="shared" si="8"/>
        <v>59754628.43111553</v>
      </c>
    </row>
    <row r="49" spans="1:15" x14ac:dyDescent="0.35">
      <c r="A49" s="149">
        <v>0.02</v>
      </c>
      <c r="B49" s="147"/>
      <c r="C49" s="148">
        <f>C50</f>
        <v>1000000</v>
      </c>
      <c r="D49" s="148">
        <f>C49+D50</f>
        <v>2020000</v>
      </c>
      <c r="E49" s="148">
        <f t="shared" ref="E49:K49" si="9">D49+E50</f>
        <v>3060400</v>
      </c>
      <c r="F49" s="148">
        <f t="shared" si="9"/>
        <v>4121608</v>
      </c>
      <c r="G49" s="148">
        <f t="shared" si="9"/>
        <v>5204040.16</v>
      </c>
      <c r="H49" s="148">
        <f t="shared" si="9"/>
        <v>6308120.9632000001</v>
      </c>
      <c r="I49" s="148">
        <f t="shared" si="9"/>
        <v>7434283.382464</v>
      </c>
      <c r="J49" s="148">
        <f t="shared" si="9"/>
        <v>8582969.0501132794</v>
      </c>
      <c r="K49" s="148">
        <f t="shared" si="9"/>
        <v>9754628.4311155453</v>
      </c>
    </row>
    <row r="50" spans="1:15" x14ac:dyDescent="0.35">
      <c r="A50" s="147"/>
      <c r="B50" s="147"/>
      <c r="C50" s="148">
        <f t="shared" ref="C50:K50" si="10">B48*$A$49</f>
        <v>1000000</v>
      </c>
      <c r="D50" s="148">
        <f t="shared" si="10"/>
        <v>1020000</v>
      </c>
      <c r="E50" s="148">
        <f t="shared" si="10"/>
        <v>1040400</v>
      </c>
      <c r="F50" s="148">
        <f t="shared" si="10"/>
        <v>1061208</v>
      </c>
      <c r="G50" s="148">
        <f t="shared" si="10"/>
        <v>1082432.1599999999</v>
      </c>
      <c r="H50" s="148">
        <f t="shared" si="10"/>
        <v>1104080.8032</v>
      </c>
      <c r="I50" s="148">
        <f t="shared" si="10"/>
        <v>1126162.4192639999</v>
      </c>
      <c r="J50" s="148">
        <f t="shared" si="10"/>
        <v>1148685.6676492798</v>
      </c>
      <c r="K50" s="148">
        <f t="shared" si="10"/>
        <v>1171659.3810022655</v>
      </c>
    </row>
    <row r="51" spans="1:15" x14ac:dyDescent="0.35">
      <c r="C51" s="140"/>
      <c r="D51" s="140"/>
      <c r="E51" s="140"/>
      <c r="F51" s="140"/>
      <c r="G51" s="140"/>
      <c r="H51" s="140"/>
      <c r="I51" s="140"/>
      <c r="J51" s="140"/>
      <c r="K51" s="140"/>
    </row>
    <row r="52" spans="1:15" x14ac:dyDescent="0.35">
      <c r="A52" s="144"/>
      <c r="B52" s="144"/>
      <c r="C52" s="150"/>
      <c r="D52" s="150"/>
      <c r="E52" s="150"/>
      <c r="F52" s="150"/>
      <c r="G52" s="150"/>
      <c r="H52" s="150"/>
      <c r="I52" s="150"/>
      <c r="J52" s="150"/>
      <c r="K52" s="150"/>
      <c r="L52" s="144"/>
      <c r="M52" s="144"/>
      <c r="N52" s="144"/>
      <c r="O52" s="144"/>
    </row>
    <row r="53" spans="1:15" x14ac:dyDescent="0.35">
      <c r="A53" s="134" t="s">
        <v>113</v>
      </c>
      <c r="C53" s="140"/>
      <c r="D53" s="140"/>
      <c r="E53" s="140"/>
      <c r="F53" s="140"/>
      <c r="G53" s="140"/>
      <c r="H53" s="140"/>
      <c r="I53" s="140"/>
      <c r="J53" s="140"/>
      <c r="K53" s="140"/>
    </row>
    <row r="54" spans="1:15" x14ac:dyDescent="0.35">
      <c r="A54" t="s">
        <v>114</v>
      </c>
      <c r="C54" s="140"/>
      <c r="D54" s="140"/>
      <c r="E54" s="140"/>
      <c r="F54" s="140"/>
      <c r="G54" s="140"/>
      <c r="H54" s="140"/>
      <c r="I54" s="140"/>
      <c r="J54" s="140"/>
      <c r="K54" s="140"/>
    </row>
    <row r="55" spans="1:15" x14ac:dyDescent="0.35">
      <c r="A55" t="s">
        <v>115</v>
      </c>
      <c r="C55" s="140"/>
      <c r="D55" s="140"/>
      <c r="E55" s="140"/>
      <c r="F55" s="140"/>
      <c r="G55" s="140"/>
      <c r="H55" s="140"/>
      <c r="I55" s="140"/>
      <c r="J55" s="140"/>
      <c r="K55" s="140"/>
    </row>
    <row r="56" spans="1:15" x14ac:dyDescent="0.35">
      <c r="A56" t="s">
        <v>116</v>
      </c>
      <c r="C56" s="140"/>
      <c r="D56" s="140"/>
      <c r="E56" s="140"/>
      <c r="F56" s="140"/>
      <c r="G56" s="140"/>
      <c r="H56" s="140"/>
      <c r="I56" s="140"/>
      <c r="J56" s="140"/>
      <c r="K56" s="140"/>
    </row>
    <row r="57" spans="1:15" x14ac:dyDescent="0.35">
      <c r="A57" t="s">
        <v>117</v>
      </c>
      <c r="C57" s="140"/>
      <c r="D57" s="140"/>
      <c r="E57" s="140"/>
      <c r="F57" s="140"/>
      <c r="G57" s="140"/>
      <c r="H57" s="140"/>
      <c r="I57" s="140"/>
      <c r="J57" s="140"/>
      <c r="K57" s="140"/>
    </row>
    <row r="58" spans="1:15" x14ac:dyDescent="0.35">
      <c r="A58" s="151" t="s">
        <v>118</v>
      </c>
      <c r="B58" s="152"/>
      <c r="C58" s="153"/>
      <c r="D58" s="140"/>
      <c r="E58" s="140"/>
      <c r="F58" s="140"/>
      <c r="G58" s="140"/>
      <c r="H58" s="140"/>
      <c r="I58" s="140"/>
      <c r="J58" s="140"/>
      <c r="K58" s="140"/>
    </row>
    <row r="59" spans="1:15" x14ac:dyDescent="0.35">
      <c r="C59" s="140"/>
      <c r="D59" s="140"/>
      <c r="E59" s="140"/>
      <c r="F59" s="140"/>
      <c r="G59" s="140"/>
      <c r="H59" s="140"/>
      <c r="I59" s="140"/>
      <c r="J59" s="140"/>
      <c r="K59" s="140"/>
    </row>
    <row r="60" spans="1:15" x14ac:dyDescent="0.35">
      <c r="A60" s="154" t="s">
        <v>119</v>
      </c>
      <c r="B60" s="137" t="s">
        <v>120</v>
      </c>
      <c r="D60" s="154" t="s">
        <v>121</v>
      </c>
      <c r="E60" s="137" t="s">
        <v>122</v>
      </c>
      <c r="G60" s="260" t="s">
        <v>117</v>
      </c>
      <c r="H60" s="261"/>
      <c r="J60" s="137" t="s">
        <v>123</v>
      </c>
      <c r="K60" s="137" t="s">
        <v>124</v>
      </c>
    </row>
    <row r="61" spans="1:15" x14ac:dyDescent="0.35">
      <c r="A61" t="s">
        <v>125</v>
      </c>
      <c r="B61" s="139">
        <v>16800000</v>
      </c>
      <c r="D61" t="s">
        <v>126</v>
      </c>
      <c r="E61" s="139">
        <v>7000000</v>
      </c>
      <c r="G61" t="s">
        <v>127</v>
      </c>
      <c r="H61" s="139">
        <v>10000000</v>
      </c>
      <c r="J61" t="s">
        <v>125</v>
      </c>
      <c r="K61" s="139">
        <v>4000000</v>
      </c>
    </row>
    <row r="62" spans="1:15" x14ac:dyDescent="0.35">
      <c r="A62" t="s">
        <v>128</v>
      </c>
      <c r="B62" s="139"/>
      <c r="G62" t="s">
        <v>129</v>
      </c>
      <c r="H62" s="139">
        <v>12000000</v>
      </c>
      <c r="J62" t="s">
        <v>128</v>
      </c>
      <c r="K62" s="139">
        <v>3000000</v>
      </c>
    </row>
    <row r="63" spans="1:15" x14ac:dyDescent="0.35">
      <c r="A63" t="s">
        <v>130</v>
      </c>
      <c r="B63" s="139">
        <v>15600000</v>
      </c>
      <c r="G63" t="s">
        <v>131</v>
      </c>
      <c r="H63" s="139">
        <v>14000000</v>
      </c>
      <c r="J63" t="s">
        <v>130</v>
      </c>
      <c r="K63" s="139">
        <v>2500000</v>
      </c>
    </row>
    <row r="64" spans="1:15" x14ac:dyDescent="0.35">
      <c r="A64" t="s">
        <v>132</v>
      </c>
      <c r="B64" s="139">
        <v>15000000</v>
      </c>
      <c r="G64" t="s">
        <v>133</v>
      </c>
      <c r="H64" s="139">
        <v>14000000</v>
      </c>
      <c r="J64" t="s">
        <v>132</v>
      </c>
      <c r="K64" s="139">
        <v>2000000</v>
      </c>
    </row>
    <row r="65" spans="1:11" x14ac:dyDescent="0.35">
      <c r="A65" t="s">
        <v>134</v>
      </c>
      <c r="B65" s="139">
        <v>15000000</v>
      </c>
      <c r="G65" t="s">
        <v>125</v>
      </c>
      <c r="H65" s="139">
        <v>17000000</v>
      </c>
      <c r="J65" t="s">
        <v>134</v>
      </c>
      <c r="K65" s="139">
        <v>1850000</v>
      </c>
    </row>
    <row r="66" spans="1:11" x14ac:dyDescent="0.35">
      <c r="A66" t="s">
        <v>135</v>
      </c>
      <c r="B66" s="139">
        <v>12000000</v>
      </c>
      <c r="G66" t="s">
        <v>136</v>
      </c>
      <c r="H66" s="139">
        <v>14000000</v>
      </c>
      <c r="J66" t="s">
        <v>135</v>
      </c>
      <c r="K66" s="139">
        <v>1200000</v>
      </c>
    </row>
    <row r="67" spans="1:11" x14ac:dyDescent="0.35">
      <c r="A67" t="s">
        <v>136</v>
      </c>
      <c r="B67" s="139">
        <v>16800000</v>
      </c>
      <c r="J67" t="s">
        <v>136</v>
      </c>
      <c r="K67" s="139">
        <v>2000000</v>
      </c>
    </row>
    <row r="68" spans="1:11" x14ac:dyDescent="0.35">
      <c r="A68" t="s">
        <v>137</v>
      </c>
      <c r="B68" s="139">
        <v>15720000</v>
      </c>
      <c r="J68" t="s">
        <v>137</v>
      </c>
      <c r="K68" s="139">
        <v>3500000</v>
      </c>
    </row>
    <row r="69" spans="1:11" x14ac:dyDescent="0.35">
      <c r="A69" t="s">
        <v>138</v>
      </c>
      <c r="J69" t="s">
        <v>138</v>
      </c>
      <c r="K69" s="139">
        <v>2800000</v>
      </c>
    </row>
    <row r="70" spans="1:11" x14ac:dyDescent="0.35">
      <c r="A70" t="s">
        <v>139</v>
      </c>
      <c r="B70">
        <v>0</v>
      </c>
    </row>
    <row r="72" spans="1:11" x14ac:dyDescent="0.35">
      <c r="C72" s="140"/>
      <c r="D72" s="140"/>
      <c r="E72" s="140"/>
      <c r="F72" s="140"/>
      <c r="G72" s="140"/>
      <c r="H72" s="140"/>
      <c r="I72" s="140"/>
      <c r="J72" s="140"/>
      <c r="K72" s="140"/>
    </row>
    <row r="73" spans="1:11" ht="14.4" customHeight="1" x14ac:dyDescent="0.35">
      <c r="A73" s="262" t="s">
        <v>116</v>
      </c>
      <c r="B73" s="264" t="s">
        <v>95</v>
      </c>
      <c r="C73" s="264" t="s">
        <v>140</v>
      </c>
      <c r="D73" s="265" t="s">
        <v>141</v>
      </c>
      <c r="E73" s="155" t="s">
        <v>142</v>
      </c>
      <c r="F73" s="155" t="s">
        <v>143</v>
      </c>
      <c r="G73" s="155" t="s">
        <v>144</v>
      </c>
      <c r="H73" s="156" t="s">
        <v>145</v>
      </c>
      <c r="I73" s="255" t="s">
        <v>146</v>
      </c>
      <c r="J73" s="255" t="s">
        <v>147</v>
      </c>
    </row>
    <row r="74" spans="1:11" x14ac:dyDescent="0.35">
      <c r="A74" s="263"/>
      <c r="B74" s="264"/>
      <c r="C74" s="264"/>
      <c r="D74" s="265"/>
      <c r="E74" s="157">
        <v>1</v>
      </c>
      <c r="F74" s="158">
        <v>1</v>
      </c>
      <c r="G74" s="158">
        <v>1</v>
      </c>
      <c r="H74" s="159">
        <v>266</v>
      </c>
      <c r="I74" s="256"/>
      <c r="J74" s="256"/>
    </row>
    <row r="75" spans="1:11" x14ac:dyDescent="0.35">
      <c r="A75" s="257" t="s">
        <v>148</v>
      </c>
      <c r="B75" s="147" t="s">
        <v>123</v>
      </c>
      <c r="C75" s="160">
        <f>K62</f>
        <v>3000000</v>
      </c>
      <c r="D75" s="147" t="s">
        <v>142</v>
      </c>
      <c r="E75" s="137">
        <f>E74</f>
        <v>1</v>
      </c>
      <c r="F75" s="137"/>
      <c r="G75" s="137"/>
      <c r="H75" s="161"/>
      <c r="I75" s="162">
        <f>E75*C75</f>
        <v>3000000</v>
      </c>
    </row>
    <row r="76" spans="1:11" x14ac:dyDescent="0.35">
      <c r="A76" s="258"/>
      <c r="B76" s="147" t="s">
        <v>149</v>
      </c>
      <c r="C76" s="163">
        <v>600000</v>
      </c>
      <c r="D76" s="147" t="s">
        <v>142</v>
      </c>
      <c r="E76" s="137">
        <f>E74</f>
        <v>1</v>
      </c>
      <c r="F76" s="137"/>
      <c r="G76" s="137"/>
      <c r="H76" s="161">
        <f>IF($H$73&lt;=120,2,IF($H$73&gt;220,4,3))</f>
        <v>4</v>
      </c>
      <c r="I76" s="163">
        <f>C76*E76</f>
        <v>600000</v>
      </c>
    </row>
    <row r="77" spans="1:11" x14ac:dyDescent="0.35">
      <c r="A77" s="259"/>
      <c r="B77" s="147" t="s">
        <v>148</v>
      </c>
      <c r="C77" s="163">
        <v>200000</v>
      </c>
      <c r="D77" s="147" t="s">
        <v>150</v>
      </c>
      <c r="E77" s="137"/>
      <c r="F77" s="137">
        <f>F74</f>
        <v>1</v>
      </c>
      <c r="G77" s="137"/>
      <c r="H77" s="161"/>
      <c r="I77" s="163">
        <f>F77*C77</f>
        <v>200000</v>
      </c>
    </row>
    <row r="78" spans="1:11" x14ac:dyDescent="0.35">
      <c r="A78" s="147" t="s">
        <v>151</v>
      </c>
      <c r="B78" s="147" t="s">
        <v>151</v>
      </c>
      <c r="C78" s="163">
        <v>450000</v>
      </c>
      <c r="D78" s="147" t="s">
        <v>144</v>
      </c>
      <c r="E78" s="137">
        <f>E74</f>
        <v>1</v>
      </c>
      <c r="F78" s="137"/>
      <c r="G78" s="137">
        <f>G74</f>
        <v>1</v>
      </c>
      <c r="H78" s="161">
        <f>IF($H$73&lt;=120,2,IF($H$73&gt;220,4,3))</f>
        <v>4</v>
      </c>
      <c r="I78" s="163">
        <f>G78*C78*H78</f>
        <v>1800000</v>
      </c>
    </row>
    <row r="79" spans="1:11" x14ac:dyDescent="0.35">
      <c r="A79" s="147" t="s">
        <v>152</v>
      </c>
      <c r="B79" s="147" t="s">
        <v>152</v>
      </c>
      <c r="C79" s="163">
        <v>120000</v>
      </c>
      <c r="D79" s="147" t="s">
        <v>142</v>
      </c>
      <c r="E79" s="137">
        <f>E74</f>
        <v>1</v>
      </c>
      <c r="F79" s="137"/>
      <c r="G79" s="137"/>
      <c r="H79" s="161">
        <f>IF($H$73&lt;=120,2,IF($H$73&gt;220,4,3))</f>
        <v>4</v>
      </c>
      <c r="I79" s="163">
        <f>H79*C79*E79</f>
        <v>480000</v>
      </c>
    </row>
    <row r="80" spans="1:11" x14ac:dyDescent="0.35">
      <c r="I80" s="164">
        <f>SUM(I75:I79)</f>
        <v>6080000</v>
      </c>
      <c r="J80" s="165">
        <f>I80*2</f>
        <v>12160000</v>
      </c>
      <c r="K80" t="s">
        <v>153</v>
      </c>
    </row>
    <row r="81" spans="1:15" x14ac:dyDescent="0.35">
      <c r="J81" s="164">
        <f>I80*4</f>
        <v>24320000</v>
      </c>
      <c r="K81" t="s">
        <v>154</v>
      </c>
    </row>
    <row r="82" spans="1:15" x14ac:dyDescent="0.35">
      <c r="K82" s="140"/>
    </row>
    <row r="84" spans="1:15" x14ac:dyDescent="0.35">
      <c r="A84" s="144"/>
      <c r="B84" s="144"/>
      <c r="C84" s="150"/>
      <c r="D84" s="150"/>
      <c r="E84" s="150"/>
      <c r="F84" s="150"/>
      <c r="G84" s="150"/>
      <c r="H84" s="150"/>
      <c r="I84" s="150"/>
      <c r="J84" s="150"/>
      <c r="K84" s="150"/>
      <c r="L84" s="144"/>
      <c r="M84" s="144"/>
      <c r="N84" s="144"/>
      <c r="O84" s="144"/>
    </row>
    <row r="85" spans="1:15" x14ac:dyDescent="0.35">
      <c r="A85" s="134" t="s">
        <v>155</v>
      </c>
    </row>
    <row r="87" spans="1:15" x14ac:dyDescent="0.35">
      <c r="A87" s="147" t="s">
        <v>155</v>
      </c>
      <c r="B87" s="140"/>
    </row>
    <row r="88" spans="1:15" x14ac:dyDescent="0.35">
      <c r="A88" t="s">
        <v>156</v>
      </c>
    </row>
    <row r="89" spans="1:15" x14ac:dyDescent="0.35">
      <c r="A89" t="s">
        <v>157</v>
      </c>
      <c r="B89" s="139">
        <v>36000000</v>
      </c>
    </row>
    <row r="90" spans="1:15" x14ac:dyDescent="0.35">
      <c r="A90" t="s">
        <v>158</v>
      </c>
      <c r="B90" s="139">
        <v>42000000</v>
      </c>
    </row>
    <row r="91" spans="1:15" x14ac:dyDescent="0.35">
      <c r="A91" t="s">
        <v>159</v>
      </c>
      <c r="B91" s="139">
        <v>48000000</v>
      </c>
    </row>
    <row r="93" spans="1:15" x14ac:dyDescent="0.35">
      <c r="A93" t="s">
        <v>160</v>
      </c>
    </row>
    <row r="94" spans="1:15" x14ac:dyDescent="0.35">
      <c r="A94" t="s">
        <v>161</v>
      </c>
      <c r="B94" s="139">
        <v>75000000</v>
      </c>
    </row>
    <row r="95" spans="1:15" x14ac:dyDescent="0.35">
      <c r="A95" t="s">
        <v>159</v>
      </c>
      <c r="B95" s="139">
        <v>95000000</v>
      </c>
    </row>
    <row r="97" spans="1:15" x14ac:dyDescent="0.35">
      <c r="A97" s="144"/>
      <c r="B97" s="144"/>
      <c r="C97" s="150"/>
      <c r="D97" s="150"/>
      <c r="E97" s="150"/>
      <c r="F97" s="150"/>
      <c r="G97" s="150"/>
      <c r="H97" s="150"/>
      <c r="I97" s="150"/>
      <c r="J97" s="150"/>
      <c r="K97" s="150"/>
      <c r="L97" s="144"/>
      <c r="M97" s="144"/>
      <c r="N97" s="144"/>
      <c r="O97" s="144"/>
    </row>
    <row r="98" spans="1:15" x14ac:dyDescent="0.35">
      <c r="A98" s="134" t="s">
        <v>162</v>
      </c>
    </row>
    <row r="100" spans="1:15" x14ac:dyDescent="0.35">
      <c r="A100" t="s">
        <v>163</v>
      </c>
      <c r="C100" s="166">
        <v>150000000</v>
      </c>
    </row>
    <row r="101" spans="1:15" x14ac:dyDescent="0.35">
      <c r="A101" t="s">
        <v>164</v>
      </c>
      <c r="C101" s="166">
        <v>200000000</v>
      </c>
    </row>
    <row r="102" spans="1:15" x14ac:dyDescent="0.35">
      <c r="A102" t="s">
        <v>165</v>
      </c>
      <c r="C102" s="166">
        <v>85000000</v>
      </c>
    </row>
    <row r="103" spans="1:15" x14ac:dyDescent="0.35">
      <c r="A103" t="s">
        <v>166</v>
      </c>
      <c r="C103" s="166">
        <v>150000000</v>
      </c>
    </row>
    <row r="104" spans="1:15" x14ac:dyDescent="0.35">
      <c r="A104" t="s">
        <v>167</v>
      </c>
      <c r="C104" s="166">
        <v>50000000</v>
      </c>
    </row>
    <row r="106" spans="1:15" x14ac:dyDescent="0.35">
      <c r="A106" s="144"/>
      <c r="B106" s="144"/>
      <c r="C106" s="150"/>
      <c r="D106" s="150"/>
      <c r="E106" s="150"/>
      <c r="F106" s="150"/>
      <c r="G106" s="150"/>
      <c r="H106" s="150"/>
      <c r="I106" s="150"/>
      <c r="J106" s="150"/>
      <c r="K106" s="150"/>
      <c r="L106" s="144"/>
      <c r="M106" s="144"/>
      <c r="N106" s="144"/>
      <c r="O106" s="144"/>
    </row>
  </sheetData>
  <mergeCells count="8">
    <mergeCell ref="J73:J74"/>
    <mergeCell ref="A75:A77"/>
    <mergeCell ref="G60:H60"/>
    <mergeCell ref="A73:A74"/>
    <mergeCell ref="B73:B74"/>
    <mergeCell ref="C73:C74"/>
    <mergeCell ref="D73:D74"/>
    <mergeCell ref="I73:I74"/>
  </mergeCells>
  <conditionalFormatting sqref="B40:K40 C9:D11 I10:N10 C5:K5 C6:C8 J6:K8 Q5:S5 C15:F22 C12:F12 J9:N9 C13:E14 C23:H23 C30:K38 C29:J29 C24:K25 C26:I26 K26 C27:K28">
    <cfRule type="cellIs" dxfId="94" priority="49" operator="lessThan">
      <formula>0</formula>
    </cfRule>
  </conditionalFormatting>
  <conditionalFormatting sqref="T5">
    <cfRule type="cellIs" dxfId="93" priority="48" operator="lessThan">
      <formula>0</formula>
    </cfRule>
  </conditionalFormatting>
  <conditionalFormatting sqref="J13:O13 L12:O12 J22 J19">
    <cfRule type="cellIs" dxfId="92" priority="46" operator="lessThan">
      <formula>0</formula>
    </cfRule>
  </conditionalFormatting>
  <conditionalFormatting sqref="D8:I8">
    <cfRule type="cellIs" dxfId="91" priority="45" operator="lessThan">
      <formula>0</formula>
    </cfRule>
  </conditionalFormatting>
  <conditionalFormatting sqref="L11:N11">
    <cfRule type="cellIs" dxfId="90" priority="44" operator="lessThan">
      <formula>0</formula>
    </cfRule>
  </conditionalFormatting>
  <conditionalFormatting sqref="K14:O14 K22:O22 K19:O19 O20:O21 N15:O18">
    <cfRule type="cellIs" dxfId="89" priority="43" operator="lessThan">
      <formula>0</formula>
    </cfRule>
  </conditionalFormatting>
  <conditionalFormatting sqref="P39">
    <cfRule type="cellIs" dxfId="88" priority="42" operator="lessThan">
      <formula>0</formula>
    </cfRule>
  </conditionalFormatting>
  <conditionalFormatting sqref="E11">
    <cfRule type="cellIs" dxfId="87" priority="41" operator="lessThan">
      <formula>0</formula>
    </cfRule>
  </conditionalFormatting>
  <conditionalFormatting sqref="K12">
    <cfRule type="cellIs" dxfId="86" priority="39" operator="lessThan">
      <formula>0</formula>
    </cfRule>
  </conditionalFormatting>
  <conditionalFormatting sqref="F11:J11">
    <cfRule type="cellIs" dxfId="85" priority="38" operator="lessThan">
      <formula>0</formula>
    </cfRule>
  </conditionalFormatting>
  <conditionalFormatting sqref="K11">
    <cfRule type="cellIs" dxfId="84" priority="37" operator="lessThan">
      <formula>0</formula>
    </cfRule>
  </conditionalFormatting>
  <conditionalFormatting sqref="G14:J14">
    <cfRule type="cellIs" dxfId="83" priority="36" operator="lessThan">
      <formula>0</formula>
    </cfRule>
  </conditionalFormatting>
  <conditionalFormatting sqref="N21">
    <cfRule type="cellIs" dxfId="82" priority="35" operator="lessThan">
      <formula>0</formula>
    </cfRule>
  </conditionalFormatting>
  <conditionalFormatting sqref="N23">
    <cfRule type="cellIs" dxfId="81" priority="34" operator="lessThan">
      <formula>0</formula>
    </cfRule>
  </conditionalFormatting>
  <conditionalFormatting sqref="J23:M23">
    <cfRule type="cellIs" dxfId="80" priority="33" operator="lessThan">
      <formula>0</formula>
    </cfRule>
  </conditionalFormatting>
  <conditionalFormatting sqref="P27">
    <cfRule type="cellIs" dxfId="79" priority="32" operator="lessThan">
      <formula>0</formula>
    </cfRule>
  </conditionalFormatting>
  <conditionalFormatting sqref="P29">
    <cfRule type="cellIs" dxfId="78" priority="31" operator="lessThan">
      <formula>0</formula>
    </cfRule>
  </conditionalFormatting>
  <conditionalFormatting sqref="L29:O29">
    <cfRule type="cellIs" dxfId="77" priority="30" operator="lessThan">
      <formula>0</formula>
    </cfRule>
  </conditionalFormatting>
  <conditionalFormatting sqref="Q29">
    <cfRule type="cellIs" dxfId="76" priority="29" operator="lessThan">
      <formula>0</formula>
    </cfRule>
  </conditionalFormatting>
  <conditionalFormatting sqref="Q30">
    <cfRule type="cellIs" dxfId="75" priority="28" operator="lessThan">
      <formula>0</formula>
    </cfRule>
  </conditionalFormatting>
  <conditionalFormatting sqref="Q32:Q35">
    <cfRule type="cellIs" dxfId="74" priority="27" operator="lessThan">
      <formula>0</formula>
    </cfRule>
  </conditionalFormatting>
  <conditionalFormatting sqref="M32:P35 M37 M36:N36">
    <cfRule type="cellIs" dxfId="73" priority="26" operator="lessThan">
      <formula>0</formula>
    </cfRule>
  </conditionalFormatting>
  <conditionalFormatting sqref="R32:R35">
    <cfRule type="cellIs" dxfId="72" priority="25" operator="lessThan">
      <formula>0</formula>
    </cfRule>
  </conditionalFormatting>
  <conditionalFormatting sqref="M18">
    <cfRule type="cellIs" dxfId="71" priority="23" operator="lessThan">
      <formula>0</formula>
    </cfRule>
  </conditionalFormatting>
  <conditionalFormatting sqref="M20:N20">
    <cfRule type="cellIs" dxfId="70" priority="22" operator="lessThan">
      <formula>0</formula>
    </cfRule>
  </conditionalFormatting>
  <conditionalFormatting sqref="I20:L20">
    <cfRule type="cellIs" dxfId="69" priority="21" operator="lessThan">
      <formula>0</formula>
    </cfRule>
  </conditionalFormatting>
  <conditionalFormatting sqref="O23">
    <cfRule type="cellIs" dxfId="68" priority="20" operator="lessThan">
      <formula>0</formula>
    </cfRule>
  </conditionalFormatting>
  <conditionalFormatting sqref="F14">
    <cfRule type="cellIs" dxfId="67" priority="19" operator="lessThan">
      <formula>0</formula>
    </cfRule>
  </conditionalFormatting>
  <conditionalFormatting sqref="H20">
    <cfRule type="cellIs" dxfId="66" priority="18" operator="lessThan">
      <formula>0</formula>
    </cfRule>
  </conditionalFormatting>
  <conditionalFormatting sqref="I23">
    <cfRule type="cellIs" dxfId="65" priority="17" operator="lessThan">
      <formula>0</formula>
    </cfRule>
  </conditionalFormatting>
  <conditionalFormatting sqref="K29">
    <cfRule type="cellIs" dxfId="64" priority="16" operator="lessThan">
      <formula>0</formula>
    </cfRule>
  </conditionalFormatting>
  <conditionalFormatting sqref="L32:L37">
    <cfRule type="cellIs" dxfId="63" priority="15" operator="lessThan">
      <formula>0</formula>
    </cfRule>
  </conditionalFormatting>
  <conditionalFormatting sqref="S36">
    <cfRule type="cellIs" dxfId="62" priority="14" operator="lessThan">
      <formula>0</formula>
    </cfRule>
  </conditionalFormatting>
  <conditionalFormatting sqref="S38">
    <cfRule type="cellIs" dxfId="61" priority="12" operator="lessThan">
      <formula>0</formula>
    </cfRule>
  </conditionalFormatting>
  <conditionalFormatting sqref="O38:R38">
    <cfRule type="cellIs" dxfId="60" priority="11" operator="lessThan">
      <formula>0</formula>
    </cfRule>
  </conditionalFormatting>
  <conditionalFormatting sqref="T38">
    <cfRule type="cellIs" dxfId="59" priority="10" operator="lessThan">
      <formula>0</formula>
    </cfRule>
  </conditionalFormatting>
  <conditionalFormatting sqref="N38">
    <cfRule type="cellIs" dxfId="58" priority="9" operator="lessThan">
      <formula>0</formula>
    </cfRule>
  </conditionalFormatting>
  <conditionalFormatting sqref="Q39:T39">
    <cfRule type="cellIs" dxfId="57" priority="8" operator="lessThan">
      <formula>0</formula>
    </cfRule>
  </conditionalFormatting>
  <conditionalFormatting sqref="C39:O39">
    <cfRule type="cellIs" dxfId="56" priority="7" operator="lessThan">
      <formula>0</formula>
    </cfRule>
  </conditionalFormatting>
  <conditionalFormatting sqref="M15">
    <cfRule type="cellIs" dxfId="55" priority="6" operator="lessThan">
      <formula>0</formula>
    </cfRule>
  </conditionalFormatting>
  <conditionalFormatting sqref="L15">
    <cfRule type="cellIs" dxfId="54" priority="5" operator="lessThan">
      <formula>0</formula>
    </cfRule>
  </conditionalFormatting>
  <conditionalFormatting sqref="K16:M16">
    <cfRule type="cellIs" dxfId="53" priority="4" operator="lessThan">
      <formula>0</formula>
    </cfRule>
  </conditionalFormatting>
  <conditionalFormatting sqref="L17:M17">
    <cfRule type="cellIs" dxfId="52" priority="3" operator="lessThan">
      <formula>0</formula>
    </cfRule>
  </conditionalFormatting>
  <conditionalFormatting sqref="H17:K17">
    <cfRule type="cellIs" dxfId="51" priority="2" operator="lessThan">
      <formula>0</formula>
    </cfRule>
  </conditionalFormatting>
  <conditionalFormatting sqref="G17">
    <cfRule type="cellIs" dxfId="5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0690B-E27B-4819-9CAE-4F50040CB334}">
  <dimension ref="A1:U106"/>
  <sheetViews>
    <sheetView workbookViewId="0">
      <pane xSplit="2" ySplit="2" topLeftCell="J15" activePane="bottomRight" state="frozen"/>
      <selection pane="topRight" activeCell="C1" sqref="C1"/>
      <selection pane="bottomLeft" activeCell="A3" sqref="A3"/>
      <selection pane="bottomRight" activeCell="J22" sqref="J22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20" width="12.1796875" bestFit="1" customWidth="1"/>
    <col min="21" max="21" width="10.1796875" bestFit="1" customWidth="1"/>
  </cols>
  <sheetData>
    <row r="1" spans="1:20" x14ac:dyDescent="0.35">
      <c r="A1" s="134" t="s">
        <v>100</v>
      </c>
    </row>
    <row r="2" spans="1:20" x14ac:dyDescent="0.35">
      <c r="A2" s="135" t="s">
        <v>101</v>
      </c>
      <c r="B2" s="202">
        <v>5</v>
      </c>
      <c r="C2" s="137">
        <v>2012</v>
      </c>
      <c r="D2" s="137">
        <f>C2+1</f>
        <v>2013</v>
      </c>
      <c r="E2" s="137">
        <f t="shared" ref="E2:S2" si="0">D2+1</f>
        <v>2014</v>
      </c>
      <c r="F2" s="137">
        <f t="shared" si="0"/>
        <v>2015</v>
      </c>
      <c r="G2" s="137">
        <f t="shared" si="0"/>
        <v>2016</v>
      </c>
      <c r="H2" s="137">
        <f t="shared" si="0"/>
        <v>2017</v>
      </c>
      <c r="I2" s="137">
        <f t="shared" si="0"/>
        <v>2018</v>
      </c>
      <c r="J2" s="137">
        <f t="shared" si="0"/>
        <v>2019</v>
      </c>
      <c r="K2" s="137">
        <f t="shared" si="0"/>
        <v>2020</v>
      </c>
      <c r="L2" s="137">
        <f t="shared" si="0"/>
        <v>2021</v>
      </c>
      <c r="M2" s="137">
        <f t="shared" si="0"/>
        <v>2022</v>
      </c>
      <c r="N2" s="137">
        <f t="shared" si="0"/>
        <v>2023</v>
      </c>
      <c r="O2" s="137">
        <f t="shared" si="0"/>
        <v>2024</v>
      </c>
      <c r="P2" s="137">
        <f t="shared" si="0"/>
        <v>2025</v>
      </c>
      <c r="Q2" s="137">
        <f t="shared" si="0"/>
        <v>2026</v>
      </c>
      <c r="R2" s="137">
        <f t="shared" si="0"/>
        <v>2027</v>
      </c>
      <c r="S2" s="137">
        <f t="shared" si="0"/>
        <v>2028</v>
      </c>
    </row>
    <row r="3" spans="1:20" x14ac:dyDescent="0.35">
      <c r="A3" s="138">
        <v>2012</v>
      </c>
      <c r="B3" t="s">
        <v>102</v>
      </c>
      <c r="C3" s="173"/>
      <c r="D3" s="173">
        <f>C3-C4</f>
        <v>0</v>
      </c>
      <c r="E3" s="173">
        <f>D3-C4</f>
        <v>0</v>
      </c>
      <c r="F3" s="173">
        <f>E3-C4</f>
        <v>0</v>
      </c>
      <c r="G3" s="173">
        <f>F3-C4</f>
        <v>0</v>
      </c>
      <c r="H3" s="173">
        <f>G3-C4</f>
        <v>0</v>
      </c>
      <c r="I3" s="173">
        <f>H3-$E$4</f>
        <v>0</v>
      </c>
      <c r="J3" s="173">
        <f>I3-$E$4</f>
        <v>0</v>
      </c>
      <c r="K3" s="173"/>
      <c r="L3" s="173"/>
      <c r="M3" s="173"/>
      <c r="Q3" s="139"/>
      <c r="R3" s="140"/>
      <c r="S3" s="140"/>
    </row>
    <row r="4" spans="1:20" x14ac:dyDescent="0.35">
      <c r="A4" s="141"/>
      <c r="B4" t="s">
        <v>103</v>
      </c>
      <c r="C4" s="173">
        <f>C3/B2</f>
        <v>0</v>
      </c>
      <c r="D4" s="173"/>
      <c r="E4" s="173"/>
      <c r="F4" s="173"/>
      <c r="G4" s="173"/>
      <c r="H4" s="173"/>
      <c r="I4" s="173"/>
      <c r="J4" s="173"/>
      <c r="K4" s="173"/>
      <c r="L4" s="173"/>
      <c r="M4" s="173"/>
      <c r="Q4" s="139"/>
    </row>
    <row r="5" spans="1:20" x14ac:dyDescent="0.35">
      <c r="A5" s="141"/>
      <c r="B5" t="s">
        <v>104</v>
      </c>
      <c r="C5" s="173">
        <f>(($C$3*IRR!E4*6)/12)</f>
        <v>0</v>
      </c>
      <c r="D5" s="173">
        <f>AVERAGE(C3:D3)*IRR!$E$4</f>
        <v>0</v>
      </c>
      <c r="E5" s="173">
        <f>AVERAGE(D3:E3)*IRR!$E$4</f>
        <v>0</v>
      </c>
      <c r="F5" s="173">
        <f>AVERAGE(E3:F3)*IRR!$E$4</f>
        <v>0</v>
      </c>
      <c r="G5" s="173">
        <f>AVERAGE(F3:G3)*IRR!$E$4</f>
        <v>0</v>
      </c>
      <c r="H5" s="173">
        <f>AVERAGE(G3:H3)*IRR!$E$4</f>
        <v>0</v>
      </c>
      <c r="I5" s="173">
        <f>AVERAGE($H$3:$I$3)*[2]IRR!$G$4</f>
        <v>0</v>
      </c>
      <c r="J5" s="173">
        <f>AVERAGE($I$3:$J$3)*[2]IRR!$G$4</f>
        <v>0</v>
      </c>
      <c r="K5" s="173"/>
      <c r="L5" s="173"/>
      <c r="M5" s="173"/>
      <c r="Q5" s="139"/>
      <c r="R5" s="140"/>
      <c r="S5" s="140"/>
      <c r="T5" s="140"/>
    </row>
    <row r="6" spans="1:20" x14ac:dyDescent="0.35">
      <c r="A6" s="138">
        <f>A3+1</f>
        <v>2013</v>
      </c>
      <c r="B6" t="s">
        <v>102</v>
      </c>
      <c r="C6" s="173"/>
      <c r="D6" s="173">
        <v>0</v>
      </c>
      <c r="E6" s="173">
        <f>D6-D7</f>
        <v>0</v>
      </c>
      <c r="F6" s="173">
        <f>E6-D7</f>
        <v>0</v>
      </c>
      <c r="G6" s="173">
        <f>F6-D7</f>
        <v>0</v>
      </c>
      <c r="H6" s="173">
        <f>G6-D7</f>
        <v>0</v>
      </c>
      <c r="I6" s="173">
        <f>H6-D7</f>
        <v>0</v>
      </c>
      <c r="J6" s="173"/>
      <c r="K6" s="173"/>
      <c r="L6" s="173"/>
      <c r="M6" s="173"/>
      <c r="Q6" s="139"/>
    </row>
    <row r="7" spans="1:20" x14ac:dyDescent="0.35">
      <c r="A7" s="141"/>
      <c r="B7" t="s">
        <v>103</v>
      </c>
      <c r="C7" s="173"/>
      <c r="D7" s="173">
        <f>D6/B2</f>
        <v>0</v>
      </c>
      <c r="E7" s="173"/>
      <c r="F7" s="173"/>
      <c r="G7" s="173"/>
      <c r="H7" s="173"/>
      <c r="I7" s="173"/>
      <c r="J7" s="173"/>
      <c r="K7" s="173"/>
      <c r="L7" s="173"/>
      <c r="M7" s="173"/>
    </row>
    <row r="8" spans="1:20" x14ac:dyDescent="0.35">
      <c r="A8" s="141"/>
      <c r="B8" t="s">
        <v>104</v>
      </c>
      <c r="C8" s="173"/>
      <c r="D8" s="173">
        <f>((D6*IRR!$E$4*6)/12)</f>
        <v>0</v>
      </c>
      <c r="E8" s="173">
        <f>AVERAGE(D6:E6)*IRR!$E$4</f>
        <v>0</v>
      </c>
      <c r="F8" s="173">
        <f>AVERAGE(E6:F6)*IRR!$E$4</f>
        <v>0</v>
      </c>
      <c r="G8" s="173">
        <f>AVERAGE(F6:G6)*IRR!$E$4</f>
        <v>0</v>
      </c>
      <c r="H8" s="173">
        <f>AVERAGE(G6:H6)*IRR!$E$4</f>
        <v>0</v>
      </c>
      <c r="I8" s="173">
        <f>AVERAGE(H6:I6)*IRR!$E$4</f>
        <v>0</v>
      </c>
      <c r="J8" s="173"/>
      <c r="K8" s="173"/>
      <c r="L8" s="173"/>
      <c r="M8" s="173"/>
    </row>
    <row r="9" spans="1:20" x14ac:dyDescent="0.35">
      <c r="A9" s="138">
        <f>A6+1</f>
        <v>2014</v>
      </c>
      <c r="B9" t="s">
        <v>102</v>
      </c>
      <c r="C9" s="173"/>
      <c r="D9" s="173"/>
      <c r="E9" s="173">
        <v>0</v>
      </c>
      <c r="F9" s="173">
        <f>E9-E10</f>
        <v>0</v>
      </c>
      <c r="G9" s="173">
        <f>F9-E10</f>
        <v>0</v>
      </c>
      <c r="H9" s="173">
        <f>G9-E10</f>
        <v>0</v>
      </c>
      <c r="I9" s="173">
        <f>H9-E10</f>
        <v>0</v>
      </c>
      <c r="J9" s="173">
        <f>I9-E10</f>
        <v>0</v>
      </c>
      <c r="K9" s="173"/>
      <c r="L9" s="173"/>
      <c r="M9" s="173"/>
      <c r="N9" s="140"/>
    </row>
    <row r="10" spans="1:20" x14ac:dyDescent="0.35">
      <c r="A10" s="141"/>
      <c r="B10" t="s">
        <v>103</v>
      </c>
      <c r="C10" s="173"/>
      <c r="D10" s="173"/>
      <c r="E10" s="173">
        <f>E9/B2</f>
        <v>0</v>
      </c>
      <c r="F10" s="173"/>
      <c r="G10" s="173"/>
      <c r="H10" s="173"/>
      <c r="I10" s="173"/>
      <c r="J10" s="173"/>
      <c r="K10" s="173"/>
      <c r="L10" s="173"/>
      <c r="M10" s="173"/>
      <c r="N10" s="140"/>
    </row>
    <row r="11" spans="1:20" x14ac:dyDescent="0.35">
      <c r="A11" s="141"/>
      <c r="B11" t="s">
        <v>104</v>
      </c>
      <c r="C11" s="173"/>
      <c r="D11" s="173"/>
      <c r="E11" s="173">
        <f>((E9*IRR!$E$4*6)/12)</f>
        <v>0</v>
      </c>
      <c r="F11" s="173">
        <f>AVERAGE(E9:F9)*IRR!$E$4</f>
        <v>0</v>
      </c>
      <c r="G11" s="173">
        <f>AVERAGE(F9:G9)*IRR!$E$4</f>
        <v>0</v>
      </c>
      <c r="H11" s="173">
        <f>AVERAGE(G9:H9)*IRR!$E$4</f>
        <v>0</v>
      </c>
      <c r="I11" s="173">
        <f>AVERAGE(H9:I9)*IRR!$E$4</f>
        <v>0</v>
      </c>
      <c r="J11" s="173">
        <f>AVERAGE(I9:J9)*IRR!$E$4</f>
        <v>0</v>
      </c>
      <c r="K11" s="173">
        <f>AVERAGE(J9:K9)*IRR!$E$4</f>
        <v>0</v>
      </c>
      <c r="L11" s="173"/>
      <c r="M11" s="173"/>
      <c r="N11" s="140"/>
    </row>
    <row r="12" spans="1:20" x14ac:dyDescent="0.35">
      <c r="A12" s="138">
        <f>A9+1</f>
        <v>2015</v>
      </c>
      <c r="B12" t="s">
        <v>102</v>
      </c>
      <c r="C12" s="173"/>
      <c r="D12" s="173"/>
      <c r="E12" s="173"/>
      <c r="F12" s="173"/>
      <c r="G12" s="173">
        <f>F12-F13</f>
        <v>0</v>
      </c>
      <c r="H12" s="173">
        <f>G12-F13</f>
        <v>0</v>
      </c>
      <c r="I12" s="173">
        <f>H12-F13</f>
        <v>0</v>
      </c>
      <c r="J12" s="173">
        <f>I12-F13</f>
        <v>0</v>
      </c>
      <c r="K12" s="173">
        <f>J12-F13</f>
        <v>0</v>
      </c>
      <c r="L12" s="173"/>
      <c r="M12" s="173"/>
      <c r="N12" s="140"/>
      <c r="O12" s="140"/>
    </row>
    <row r="13" spans="1:20" x14ac:dyDescent="0.35">
      <c r="B13" t="s">
        <v>103</v>
      </c>
      <c r="C13" s="173"/>
      <c r="D13" s="173"/>
      <c r="E13" s="173"/>
      <c r="F13" s="173">
        <f>F12/B2</f>
        <v>0</v>
      </c>
      <c r="G13" s="173"/>
      <c r="H13" s="173"/>
      <c r="I13" s="173"/>
      <c r="J13" s="173"/>
      <c r="K13" s="173"/>
      <c r="L13" s="173"/>
      <c r="M13" s="173"/>
      <c r="N13" s="140"/>
      <c r="O13" s="140"/>
    </row>
    <row r="14" spans="1:20" x14ac:dyDescent="0.35">
      <c r="B14" t="s">
        <v>104</v>
      </c>
      <c r="C14" s="173"/>
      <c r="D14" s="173"/>
      <c r="E14" s="173"/>
      <c r="F14" s="173">
        <f>((F12*IRR!$E$4*6)/12)</f>
        <v>0</v>
      </c>
      <c r="G14" s="173">
        <f>AVERAGE(F12:G12)*IRR!$E$4</f>
        <v>0</v>
      </c>
      <c r="H14" s="173">
        <f>AVERAGE(G12:H12)*IRR!$E$4</f>
        <v>0</v>
      </c>
      <c r="I14" s="173">
        <f>AVERAGE(H12:I12)*IRR!$E$4</f>
        <v>0</v>
      </c>
      <c r="J14" s="173">
        <f>AVERAGE(I12:J12)*IRR!$E$4</f>
        <v>0</v>
      </c>
      <c r="K14" s="173">
        <f>AVERAGE(J12:K12)*IRR!$E$4</f>
        <v>0</v>
      </c>
      <c r="L14" s="173">
        <f>AVERAGE(K12:L12)*IRR!$E$4</f>
        <v>0</v>
      </c>
      <c r="M14" s="173"/>
      <c r="N14" s="140"/>
      <c r="O14" s="140"/>
    </row>
    <row r="15" spans="1:20" x14ac:dyDescent="0.35">
      <c r="A15">
        <f>A12+1</f>
        <v>2016</v>
      </c>
      <c r="B15" t="s">
        <v>102</v>
      </c>
      <c r="C15" s="173"/>
      <c r="D15" s="173"/>
      <c r="E15" s="173"/>
      <c r="F15" s="173"/>
      <c r="G15" s="173">
        <v>0</v>
      </c>
      <c r="H15" s="173">
        <f>G15-G16</f>
        <v>0</v>
      </c>
      <c r="I15" s="173">
        <f>H15-G16</f>
        <v>0</v>
      </c>
      <c r="J15" s="173">
        <f>I15-G16</f>
        <v>0</v>
      </c>
      <c r="K15" s="173">
        <f>J15-G16</f>
        <v>0</v>
      </c>
      <c r="L15" s="173">
        <f>K15-G16</f>
        <v>0</v>
      </c>
      <c r="M15" s="173"/>
      <c r="N15" s="140"/>
      <c r="O15" s="140"/>
    </row>
    <row r="16" spans="1:20" x14ac:dyDescent="0.35">
      <c r="B16" t="s">
        <v>103</v>
      </c>
      <c r="C16" s="173"/>
      <c r="D16" s="173"/>
      <c r="E16" s="173"/>
      <c r="F16" s="173"/>
      <c r="G16" s="173">
        <f>G15/$B$2</f>
        <v>0</v>
      </c>
      <c r="H16" s="173"/>
      <c r="I16" s="173"/>
      <c r="J16" s="173"/>
      <c r="K16" s="173"/>
      <c r="L16" s="173"/>
      <c r="M16" s="173"/>
      <c r="N16" s="140"/>
      <c r="O16" s="140"/>
    </row>
    <row r="17" spans="1:21" x14ac:dyDescent="0.35">
      <c r="B17" t="s">
        <v>104</v>
      </c>
      <c r="C17" s="173"/>
      <c r="D17" s="173"/>
      <c r="E17" s="173"/>
      <c r="F17" s="173"/>
      <c r="G17" s="173">
        <f>((G15*IRR!$E$4*6)/12)</f>
        <v>0</v>
      </c>
      <c r="H17" s="173">
        <f>AVERAGE(G15:H15)*IRR!$E$4</f>
        <v>0</v>
      </c>
      <c r="I17" s="173">
        <f>AVERAGE(H15:I15)*IRR!$E$4</f>
        <v>0</v>
      </c>
      <c r="J17" s="173">
        <f>AVERAGE(I15:J15)*IRR!$E$4</f>
        <v>0</v>
      </c>
      <c r="K17" s="173">
        <f>AVERAGE(J15:K15)*IRR!$E$4</f>
        <v>0</v>
      </c>
      <c r="L17" s="173">
        <f>AVERAGE(K15:L15)*IRR!$E$4</f>
        <v>0</v>
      </c>
      <c r="M17" s="173">
        <f>AVERAGE(L15:M15)*IRR!$E$4</f>
        <v>0</v>
      </c>
      <c r="N17" s="140"/>
      <c r="O17" s="140"/>
    </row>
    <row r="18" spans="1:21" x14ac:dyDescent="0.35">
      <c r="A18">
        <f>A15+1</f>
        <v>2017</v>
      </c>
      <c r="B18" t="s">
        <v>102</v>
      </c>
      <c r="C18" s="173"/>
      <c r="D18" s="173"/>
      <c r="E18" s="173"/>
      <c r="F18" s="173"/>
      <c r="G18" s="173"/>
      <c r="H18" s="173"/>
      <c r="I18" s="173">
        <f>H18-H19</f>
        <v>0</v>
      </c>
      <c r="J18" s="173">
        <f>I18-H19</f>
        <v>0</v>
      </c>
      <c r="K18" s="173">
        <f>J18-H19</f>
        <v>0</v>
      </c>
      <c r="L18" s="173">
        <f>K18-H19</f>
        <v>0</v>
      </c>
      <c r="M18" s="173">
        <f>L18-H19</f>
        <v>0</v>
      </c>
      <c r="N18" s="140"/>
      <c r="O18" s="140"/>
    </row>
    <row r="19" spans="1:21" x14ac:dyDescent="0.35">
      <c r="B19" t="s">
        <v>103</v>
      </c>
      <c r="C19" s="173"/>
      <c r="D19" s="173"/>
      <c r="E19" s="173"/>
      <c r="F19" s="173"/>
      <c r="G19" s="173"/>
      <c r="H19" s="173">
        <f>H18/$B$2</f>
        <v>0</v>
      </c>
      <c r="I19" s="173"/>
      <c r="J19" s="173"/>
      <c r="K19" s="173"/>
      <c r="L19" s="173"/>
      <c r="M19" s="173"/>
      <c r="N19" s="140"/>
      <c r="O19" s="140"/>
    </row>
    <row r="20" spans="1:21" x14ac:dyDescent="0.35">
      <c r="B20" t="s">
        <v>104</v>
      </c>
      <c r="C20" s="173"/>
      <c r="D20" s="173"/>
      <c r="E20" s="173"/>
      <c r="F20" s="173"/>
      <c r="G20" s="173"/>
      <c r="H20" s="173">
        <f>((H18*IRR!$E$4*6)/12)</f>
        <v>0</v>
      </c>
      <c r="I20" s="173">
        <f>AVERAGE(H18:I18)*IRR!$E$4</f>
        <v>0</v>
      </c>
      <c r="J20" s="173">
        <f>AVERAGE(I18:J18)*IRR!$E$4</f>
        <v>0</v>
      </c>
      <c r="K20" s="173">
        <f>AVERAGE(J18:K18)*IRR!$E$4</f>
        <v>0</v>
      </c>
      <c r="L20" s="173">
        <f>AVERAGE(K18:L18)*IRR!$E$4</f>
        <v>0</v>
      </c>
      <c r="M20" s="173">
        <f>AVERAGE(L18:M18)*IRR!$E$4</f>
        <v>0</v>
      </c>
      <c r="N20" s="173">
        <f>AVERAGE(M18:N18)*IRR!$E$4</f>
        <v>0</v>
      </c>
      <c r="O20" s="140"/>
    </row>
    <row r="21" spans="1:21" x14ac:dyDescent="0.35">
      <c r="A21">
        <f>A18+1</f>
        <v>2018</v>
      </c>
      <c r="B21" t="s">
        <v>102</v>
      </c>
      <c r="C21" s="173"/>
      <c r="D21" s="173"/>
      <c r="E21" s="173"/>
      <c r="F21" s="173"/>
      <c r="G21" s="173"/>
      <c r="H21" s="173"/>
      <c r="I21" s="173">
        <v>0</v>
      </c>
      <c r="J21" s="173">
        <f>I21-I22</f>
        <v>0</v>
      </c>
      <c r="K21" s="173">
        <f>J21-I22</f>
        <v>0</v>
      </c>
      <c r="L21" s="173">
        <f>K21-I22</f>
        <v>0</v>
      </c>
      <c r="M21" s="173">
        <f>L21-I22</f>
        <v>0</v>
      </c>
      <c r="N21" s="173">
        <f>M21-I22</f>
        <v>0</v>
      </c>
      <c r="O21" s="140"/>
    </row>
    <row r="22" spans="1:21" x14ac:dyDescent="0.35">
      <c r="B22" t="s">
        <v>103</v>
      </c>
      <c r="C22" s="173"/>
      <c r="D22" s="173"/>
      <c r="E22" s="173"/>
      <c r="F22" s="173"/>
      <c r="G22" s="173"/>
      <c r="H22" s="173"/>
      <c r="I22" s="173">
        <f>I21/B2</f>
        <v>0</v>
      </c>
      <c r="J22" s="173"/>
      <c r="K22" s="173"/>
      <c r="L22" s="173"/>
      <c r="M22" s="173"/>
      <c r="N22" s="140"/>
      <c r="O22" s="140"/>
    </row>
    <row r="23" spans="1:21" x14ac:dyDescent="0.35">
      <c r="B23" t="s">
        <v>104</v>
      </c>
      <c r="C23" s="173"/>
      <c r="D23" s="173"/>
      <c r="E23" s="173"/>
      <c r="F23" s="173"/>
      <c r="G23" s="173"/>
      <c r="H23" s="173"/>
      <c r="I23" s="173">
        <f>((I21*IRR!$E$4*6)/12)</f>
        <v>0</v>
      </c>
      <c r="J23" s="173">
        <f>AVERAGE(I21:J21)*IRR!$E$4</f>
        <v>0</v>
      </c>
      <c r="K23" s="173">
        <f>AVERAGE(J21:K21)*IRR!$E$4</f>
        <v>0</v>
      </c>
      <c r="L23" s="173">
        <f>AVERAGE(K21:L21)*IRR!$E$4</f>
        <v>0</v>
      </c>
      <c r="M23" s="173">
        <f>AVERAGE(L21:M21)*IRR!$E$4</f>
        <v>0</v>
      </c>
      <c r="N23" s="173">
        <f>AVERAGE(M21:N21)*IRR!$E$4</f>
        <v>0</v>
      </c>
      <c r="O23" s="173">
        <f>AVERAGE(N21:O21)*IRR!$E$4</f>
        <v>0</v>
      </c>
    </row>
    <row r="24" spans="1:21" x14ac:dyDescent="0.35">
      <c r="A24">
        <f>A21+1</f>
        <v>2019</v>
      </c>
      <c r="B24" t="s">
        <v>102</v>
      </c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21" x14ac:dyDescent="0.35">
      <c r="B25" t="s">
        <v>103</v>
      </c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21" x14ac:dyDescent="0.35">
      <c r="B26" t="s">
        <v>104</v>
      </c>
      <c r="C26" s="173"/>
      <c r="D26" s="173"/>
      <c r="E26" s="173"/>
      <c r="F26" s="173"/>
      <c r="G26" s="173"/>
      <c r="H26" s="173"/>
      <c r="I26" s="173"/>
      <c r="K26" s="173"/>
      <c r="L26" s="173"/>
      <c r="M26" s="173"/>
    </row>
    <row r="27" spans="1:21" x14ac:dyDescent="0.35">
      <c r="A27">
        <f>A24+1</f>
        <v>2020</v>
      </c>
      <c r="B27" t="s">
        <v>102</v>
      </c>
      <c r="C27" s="173"/>
      <c r="D27" s="173"/>
      <c r="E27" s="173"/>
      <c r="F27" s="173"/>
      <c r="G27" s="173"/>
      <c r="H27" s="173"/>
      <c r="I27" s="173"/>
      <c r="J27" s="173"/>
      <c r="K27" s="173">
        <v>0</v>
      </c>
      <c r="L27" s="173">
        <f>K27-K28</f>
        <v>0</v>
      </c>
      <c r="M27" s="173">
        <f>L27-K28</f>
        <v>0</v>
      </c>
      <c r="N27" s="173">
        <f>M27-K28</f>
        <v>0</v>
      </c>
      <c r="O27" s="173">
        <f>N27-K28</f>
        <v>0</v>
      </c>
      <c r="P27" s="173">
        <v>900000000</v>
      </c>
      <c r="Q27" s="173">
        <f>P27-P28</f>
        <v>720000000</v>
      </c>
      <c r="R27" s="173">
        <f>Q27-P28</f>
        <v>540000000</v>
      </c>
      <c r="S27" s="173">
        <f>R27-P28</f>
        <v>360000000</v>
      </c>
      <c r="T27" s="173">
        <f>S27-P28</f>
        <v>180000000</v>
      </c>
      <c r="U27" s="173">
        <f>T27-P28</f>
        <v>0</v>
      </c>
    </row>
    <row r="28" spans="1:21" x14ac:dyDescent="0.35">
      <c r="B28" t="s">
        <v>103</v>
      </c>
      <c r="C28" s="173"/>
      <c r="D28" s="173"/>
      <c r="E28" s="173"/>
      <c r="F28" s="173"/>
      <c r="G28" s="173"/>
      <c r="H28" s="173"/>
      <c r="I28" s="173"/>
      <c r="J28" s="173"/>
      <c r="K28" s="173">
        <f>K27/B2</f>
        <v>0</v>
      </c>
      <c r="L28" s="173"/>
      <c r="M28" s="173"/>
      <c r="P28" s="173">
        <f>P27/B2</f>
        <v>180000000</v>
      </c>
      <c r="Q28" s="173"/>
      <c r="R28" s="173"/>
    </row>
    <row r="29" spans="1:21" x14ac:dyDescent="0.35">
      <c r="B29" t="s">
        <v>104</v>
      </c>
      <c r="C29" s="173"/>
      <c r="D29" s="173"/>
      <c r="E29" s="173"/>
      <c r="F29" s="173"/>
      <c r="G29" s="173"/>
      <c r="H29" s="173"/>
      <c r="I29" s="173"/>
      <c r="J29" s="173"/>
      <c r="K29" s="173">
        <f>((K27*IRR!$E$4*6)/12)</f>
        <v>0</v>
      </c>
      <c r="L29" s="173">
        <f>AVERAGE(K27:L27)*IRR!$E$4</f>
        <v>0</v>
      </c>
      <c r="M29" s="173">
        <f>AVERAGE(L27:M27)*IRR!$E$4</f>
        <v>0</v>
      </c>
      <c r="N29" s="173">
        <f>AVERAGE(M27:N27)*IRR!$E$4</f>
        <v>0</v>
      </c>
      <c r="O29" s="173">
        <f>AVERAGE(N27:O27)*IRR!$E$4</f>
        <v>0</v>
      </c>
      <c r="P29" s="173">
        <f>((P27*IRR!$E$4*6)/12)</f>
        <v>45000000</v>
      </c>
      <c r="Q29" s="173">
        <f>AVERAGE(P27:Q27)*IRR!$E$4</f>
        <v>81000000</v>
      </c>
      <c r="R29" s="173">
        <f>AVERAGE(Q27:R27)*IRR!$E$4</f>
        <v>63000000</v>
      </c>
      <c r="S29" s="173">
        <f>AVERAGE(R27:S27)*IRR!$E$4</f>
        <v>45000000</v>
      </c>
      <c r="T29" s="173">
        <f>AVERAGE(S27:T27)*IRR!$E$4</f>
        <v>27000000</v>
      </c>
      <c r="U29" s="173">
        <f>AVERAGE(T27:U27)*IRR!$E$4</f>
        <v>9000000</v>
      </c>
    </row>
    <row r="30" spans="1:21" x14ac:dyDescent="0.35">
      <c r="A30">
        <f>A27+1</f>
        <v>2021</v>
      </c>
      <c r="B30" t="s">
        <v>102</v>
      </c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>
        <f>L30-L31</f>
        <v>0</v>
      </c>
      <c r="N30" s="173">
        <f>M30-L31</f>
        <v>0</v>
      </c>
      <c r="O30" s="173">
        <f>N30-L31</f>
        <v>0</v>
      </c>
      <c r="P30" s="173">
        <f>O30-L31</f>
        <v>0</v>
      </c>
      <c r="Q30" s="173">
        <f>P30-L31</f>
        <v>0</v>
      </c>
    </row>
    <row r="31" spans="1:21" x14ac:dyDescent="0.35">
      <c r="B31" t="s">
        <v>103</v>
      </c>
      <c r="C31" s="139"/>
      <c r="D31" s="140"/>
      <c r="E31" s="140"/>
      <c r="F31" s="140"/>
      <c r="G31" s="140"/>
      <c r="H31" s="140"/>
      <c r="I31" s="140"/>
      <c r="J31" s="140"/>
      <c r="K31" s="140"/>
      <c r="L31" s="177">
        <f>L30/B2</f>
        <v>0</v>
      </c>
    </row>
    <row r="32" spans="1:21" x14ac:dyDescent="0.35">
      <c r="B32" t="s">
        <v>104</v>
      </c>
      <c r="C32" s="139"/>
      <c r="D32" s="140"/>
      <c r="E32" s="140"/>
      <c r="F32" s="140"/>
      <c r="G32" s="140"/>
      <c r="H32" s="140"/>
      <c r="I32" s="140"/>
      <c r="J32" s="140"/>
      <c r="K32" s="140"/>
      <c r="L32" s="173">
        <f>((L30*IRR!$E$4*6)/12)</f>
        <v>0</v>
      </c>
      <c r="M32" s="173">
        <f>AVERAGE(L30:M30)*IRR!$E$4</f>
        <v>0</v>
      </c>
      <c r="N32" s="173">
        <f>AVERAGE(M30:N30)*IRR!$E$4</f>
        <v>0</v>
      </c>
      <c r="O32" s="173">
        <f>AVERAGE(N30:O30)*IRR!$E$4</f>
        <v>0</v>
      </c>
      <c r="P32" s="173">
        <f>AVERAGE(O30:P30)*IRR!$E$4</f>
        <v>0</v>
      </c>
      <c r="Q32" s="173">
        <f>AVERAGE(P30:Q30)*IRR!$E$4</f>
        <v>0</v>
      </c>
      <c r="R32" s="173">
        <f>AVERAGE(Q30:R30)*IRR!$E$4</f>
        <v>0</v>
      </c>
    </row>
    <row r="33" spans="1:21" x14ac:dyDescent="0.35">
      <c r="A33">
        <f>A30+1</f>
        <v>2022</v>
      </c>
      <c r="B33" t="s">
        <v>102</v>
      </c>
      <c r="C33" s="139"/>
      <c r="D33" s="140"/>
      <c r="E33" s="140"/>
      <c r="F33" s="140"/>
      <c r="G33" s="140"/>
      <c r="H33" s="140"/>
      <c r="I33" s="140"/>
      <c r="J33" s="140"/>
      <c r="K33" s="140"/>
      <c r="L33" s="173"/>
      <c r="M33" s="173"/>
      <c r="N33" s="173"/>
      <c r="O33" s="173"/>
      <c r="P33" s="173"/>
      <c r="Q33" s="173"/>
      <c r="R33" s="173"/>
    </row>
    <row r="34" spans="1:21" x14ac:dyDescent="0.35">
      <c r="B34" t="s">
        <v>103</v>
      </c>
      <c r="C34" s="139"/>
      <c r="D34" s="140"/>
      <c r="E34" s="140"/>
      <c r="F34" s="140"/>
      <c r="G34" s="140"/>
      <c r="H34" s="140"/>
      <c r="I34" s="140"/>
      <c r="J34" s="140"/>
      <c r="K34" s="140"/>
      <c r="L34" s="173"/>
      <c r="M34" s="173"/>
      <c r="N34" s="173"/>
      <c r="O34" s="173"/>
      <c r="P34" s="173"/>
      <c r="Q34" s="173"/>
      <c r="R34" s="173"/>
    </row>
    <row r="35" spans="1:21" x14ac:dyDescent="0.35">
      <c r="B35" t="s">
        <v>104</v>
      </c>
      <c r="C35" s="139"/>
      <c r="D35" s="140"/>
      <c r="E35" s="140"/>
      <c r="F35" s="140"/>
      <c r="G35" s="140"/>
      <c r="H35" s="140"/>
      <c r="I35" s="140"/>
      <c r="J35" s="140"/>
      <c r="K35" s="140"/>
      <c r="L35" s="173"/>
      <c r="M35" s="173"/>
      <c r="N35" s="173"/>
      <c r="O35" s="173"/>
      <c r="P35" s="173"/>
      <c r="Q35" s="173"/>
      <c r="R35" s="173"/>
    </row>
    <row r="36" spans="1:21" x14ac:dyDescent="0.35">
      <c r="A36">
        <f>A33+1</f>
        <v>2023</v>
      </c>
      <c r="B36" t="s">
        <v>102</v>
      </c>
      <c r="C36" s="139"/>
      <c r="D36" s="140"/>
      <c r="E36" s="140"/>
      <c r="F36" s="140"/>
      <c r="G36" s="140"/>
      <c r="H36" s="140"/>
      <c r="I36" s="140"/>
      <c r="J36" s="140"/>
      <c r="K36" s="140"/>
      <c r="L36" s="173"/>
      <c r="M36" s="173"/>
      <c r="N36" s="173"/>
      <c r="O36" s="173">
        <f>N36-N37</f>
        <v>0</v>
      </c>
      <c r="P36" s="173">
        <f>O36-N37</f>
        <v>0</v>
      </c>
      <c r="Q36" s="173">
        <f>P36-N37</f>
        <v>0</v>
      </c>
      <c r="R36" s="173">
        <f>Q36-N37</f>
        <v>0</v>
      </c>
      <c r="S36" s="173">
        <f>R36-N37</f>
        <v>0</v>
      </c>
    </row>
    <row r="37" spans="1:21" x14ac:dyDescent="0.35">
      <c r="B37" t="s">
        <v>103</v>
      </c>
      <c r="C37" s="139"/>
      <c r="D37" s="140"/>
      <c r="E37" s="140"/>
      <c r="F37" s="140"/>
      <c r="G37" s="140"/>
      <c r="H37" s="140"/>
      <c r="I37" s="140"/>
      <c r="J37" s="140"/>
      <c r="K37" s="140"/>
      <c r="L37" s="173"/>
      <c r="M37" s="173"/>
      <c r="N37" s="173">
        <f>N36/$B$2</f>
        <v>0</v>
      </c>
      <c r="O37" s="173"/>
      <c r="P37" s="173"/>
    </row>
    <row r="38" spans="1:21" x14ac:dyDescent="0.35">
      <c r="B38" t="s">
        <v>104</v>
      </c>
      <c r="C38" s="139"/>
      <c r="D38" s="140"/>
      <c r="E38" s="140"/>
      <c r="F38" s="140"/>
      <c r="G38" s="140"/>
      <c r="H38" s="140"/>
      <c r="I38" s="140"/>
      <c r="J38" s="140"/>
      <c r="K38" s="140"/>
      <c r="N38" s="173">
        <f>((N36*IRR!$E$4*6)/12)</f>
        <v>0</v>
      </c>
      <c r="O38" s="173">
        <f>AVERAGE(N36:O36)*IRR!$E$4</f>
        <v>0</v>
      </c>
      <c r="P38" s="173">
        <f>AVERAGE(O36:P36)*IRR!$E$4</f>
        <v>0</v>
      </c>
      <c r="Q38" s="173">
        <f>AVERAGE(P36:Q36)*IRR!$E$4</f>
        <v>0</v>
      </c>
      <c r="R38" s="173">
        <f>AVERAGE(Q36:R36)*IRR!$E$4</f>
        <v>0</v>
      </c>
      <c r="S38" s="173">
        <f>AVERAGE(R36:S36)*IRR!$E$4</f>
        <v>0</v>
      </c>
      <c r="T38" s="173">
        <f>AVERAGE(S36:T36)*IRR!$E$4</f>
        <v>0</v>
      </c>
    </row>
    <row r="39" spans="1:21" x14ac:dyDescent="0.35">
      <c r="A39" s="135"/>
      <c r="B39" s="142" t="s">
        <v>105</v>
      </c>
      <c r="C39" s="143">
        <f t="shared" ref="C39:O39" si="1">C32+C29+C26+C23+C17+C20+C14+C11+C8+C5+C35+C38</f>
        <v>0</v>
      </c>
      <c r="D39" s="143">
        <f t="shared" si="1"/>
        <v>0</v>
      </c>
      <c r="E39" s="143">
        <f t="shared" si="1"/>
        <v>0</v>
      </c>
      <c r="F39" s="143">
        <f t="shared" si="1"/>
        <v>0</v>
      </c>
      <c r="G39" s="143">
        <f t="shared" si="1"/>
        <v>0</v>
      </c>
      <c r="H39" s="143">
        <f t="shared" si="1"/>
        <v>0</v>
      </c>
      <c r="I39" s="143">
        <f t="shared" si="1"/>
        <v>0</v>
      </c>
      <c r="J39" s="143">
        <f t="shared" si="1"/>
        <v>0</v>
      </c>
      <c r="K39" s="143">
        <f t="shared" si="1"/>
        <v>0</v>
      </c>
      <c r="L39" s="143">
        <f t="shared" si="1"/>
        <v>0</v>
      </c>
      <c r="M39" s="143">
        <f t="shared" si="1"/>
        <v>0</v>
      </c>
      <c r="N39" s="143">
        <f t="shared" si="1"/>
        <v>0</v>
      </c>
      <c r="O39" s="143">
        <f t="shared" si="1"/>
        <v>0</v>
      </c>
      <c r="P39" s="143">
        <f>P32+P29+P26+P23+P17+P20+P14+P11+P8+P5+P35+P38</f>
        <v>45000000</v>
      </c>
      <c r="Q39" s="143">
        <f t="shared" ref="Q39:U39" si="2">Q32+Q29+Q26+Q23+Q17+Q20+Q14+Q11+Q8+Q5+Q35+Q38</f>
        <v>81000000</v>
      </c>
      <c r="R39" s="143">
        <f t="shared" si="2"/>
        <v>63000000</v>
      </c>
      <c r="S39" s="143">
        <f t="shared" si="2"/>
        <v>45000000</v>
      </c>
      <c r="T39" s="143">
        <f t="shared" si="2"/>
        <v>27000000</v>
      </c>
      <c r="U39" s="143">
        <f t="shared" si="2"/>
        <v>9000000</v>
      </c>
    </row>
    <row r="40" spans="1:21" x14ac:dyDescent="0.35">
      <c r="B40" s="139"/>
      <c r="C40" s="140"/>
      <c r="D40" s="140"/>
      <c r="E40" s="140"/>
      <c r="F40" s="140"/>
      <c r="G40" s="140"/>
      <c r="H40" s="140"/>
      <c r="I40" s="140"/>
      <c r="J40" s="140"/>
      <c r="K40" s="140"/>
    </row>
    <row r="41" spans="1:21" x14ac:dyDescent="0.35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</row>
    <row r="42" spans="1:21" x14ac:dyDescent="0.35">
      <c r="A42" s="134" t="s">
        <v>106</v>
      </c>
    </row>
    <row r="43" spans="1:21" x14ac:dyDescent="0.35">
      <c r="A43" t="s">
        <v>107</v>
      </c>
      <c r="B43" t="s">
        <v>108</v>
      </c>
      <c r="C43" s="145">
        <v>50000000</v>
      </c>
    </row>
    <row r="44" spans="1:21" x14ac:dyDescent="0.35">
      <c r="A44" t="s">
        <v>109</v>
      </c>
      <c r="B44" t="s">
        <v>108</v>
      </c>
      <c r="C44" s="145">
        <v>20000000</v>
      </c>
    </row>
    <row r="45" spans="1:21" x14ac:dyDescent="0.35">
      <c r="A45" t="s">
        <v>110</v>
      </c>
      <c r="B45" s="146" t="s">
        <v>111</v>
      </c>
      <c r="C45" s="145"/>
    </row>
    <row r="46" spans="1:21" x14ac:dyDescent="0.35">
      <c r="A46" t="s">
        <v>112</v>
      </c>
      <c r="B46" s="146" t="s">
        <v>111</v>
      </c>
      <c r="C46" s="145"/>
    </row>
    <row r="48" spans="1:21" x14ac:dyDescent="0.35">
      <c r="A48" s="147" t="s">
        <v>51</v>
      </c>
      <c r="B48" s="143">
        <f>C43</f>
        <v>50000000</v>
      </c>
      <c r="C48" s="148">
        <f>B48+C49</f>
        <v>51000000</v>
      </c>
      <c r="D48" s="148">
        <f>C48+D50</f>
        <v>52020000</v>
      </c>
      <c r="E48" s="148">
        <f t="shared" ref="E48:K48" si="3">D48+E50</f>
        <v>53060400</v>
      </c>
      <c r="F48" s="148">
        <f t="shared" si="3"/>
        <v>54121608</v>
      </c>
      <c r="G48" s="148">
        <f t="shared" si="3"/>
        <v>55204040.159999996</v>
      </c>
      <c r="H48" s="148">
        <f t="shared" si="3"/>
        <v>56308120.963199995</v>
      </c>
      <c r="I48" s="148">
        <f t="shared" si="3"/>
        <v>57434283.382463992</v>
      </c>
      <c r="J48" s="148">
        <f t="shared" si="3"/>
        <v>58582969.050113268</v>
      </c>
      <c r="K48" s="148">
        <f t="shared" si="3"/>
        <v>59754628.43111553</v>
      </c>
    </row>
    <row r="49" spans="1:15" x14ac:dyDescent="0.35">
      <c r="A49" s="149">
        <v>0.02</v>
      </c>
      <c r="B49" s="147"/>
      <c r="C49" s="148">
        <f>C50</f>
        <v>1000000</v>
      </c>
      <c r="D49" s="148">
        <f>C49+D50</f>
        <v>2020000</v>
      </c>
      <c r="E49" s="148">
        <f t="shared" ref="E49:K49" si="4">D49+E50</f>
        <v>3060400</v>
      </c>
      <c r="F49" s="148">
        <f t="shared" si="4"/>
        <v>4121608</v>
      </c>
      <c r="G49" s="148">
        <f t="shared" si="4"/>
        <v>5204040.16</v>
      </c>
      <c r="H49" s="148">
        <f t="shared" si="4"/>
        <v>6308120.9632000001</v>
      </c>
      <c r="I49" s="148">
        <f t="shared" si="4"/>
        <v>7434283.382464</v>
      </c>
      <c r="J49" s="148">
        <f t="shared" si="4"/>
        <v>8582969.0501132794</v>
      </c>
      <c r="K49" s="148">
        <f t="shared" si="4"/>
        <v>9754628.4311155453</v>
      </c>
    </row>
    <row r="50" spans="1:15" x14ac:dyDescent="0.35">
      <c r="A50" s="147"/>
      <c r="B50" s="147"/>
      <c r="C50" s="148">
        <f t="shared" ref="C50:K50" si="5">B48*$A$49</f>
        <v>1000000</v>
      </c>
      <c r="D50" s="148">
        <f t="shared" si="5"/>
        <v>1020000</v>
      </c>
      <c r="E50" s="148">
        <f t="shared" si="5"/>
        <v>1040400</v>
      </c>
      <c r="F50" s="148">
        <f t="shared" si="5"/>
        <v>1061208</v>
      </c>
      <c r="G50" s="148">
        <f t="shared" si="5"/>
        <v>1082432.1599999999</v>
      </c>
      <c r="H50" s="148">
        <f t="shared" si="5"/>
        <v>1104080.8032</v>
      </c>
      <c r="I50" s="148">
        <f t="shared" si="5"/>
        <v>1126162.4192639999</v>
      </c>
      <c r="J50" s="148">
        <f t="shared" si="5"/>
        <v>1148685.6676492798</v>
      </c>
      <c r="K50" s="148">
        <f t="shared" si="5"/>
        <v>1171659.3810022655</v>
      </c>
    </row>
    <row r="51" spans="1:15" x14ac:dyDescent="0.35">
      <c r="C51" s="140"/>
      <c r="D51" s="140"/>
      <c r="E51" s="140"/>
      <c r="F51" s="140"/>
      <c r="G51" s="140"/>
      <c r="H51" s="140"/>
      <c r="I51" s="140"/>
      <c r="J51" s="140"/>
      <c r="K51" s="140"/>
    </row>
    <row r="52" spans="1:15" x14ac:dyDescent="0.35">
      <c r="A52" s="144"/>
      <c r="B52" s="144"/>
      <c r="C52" s="150"/>
      <c r="D52" s="150"/>
      <c r="E52" s="150"/>
      <c r="F52" s="150"/>
      <c r="G52" s="150"/>
      <c r="H52" s="150"/>
      <c r="I52" s="150"/>
      <c r="J52" s="150"/>
      <c r="K52" s="150"/>
      <c r="L52" s="144"/>
      <c r="M52" s="144"/>
      <c r="N52" s="144"/>
      <c r="O52" s="144"/>
    </row>
    <row r="53" spans="1:15" x14ac:dyDescent="0.35">
      <c r="A53" s="134" t="s">
        <v>113</v>
      </c>
      <c r="C53" s="140"/>
      <c r="D53" s="140"/>
      <c r="E53" s="140"/>
      <c r="F53" s="140"/>
      <c r="G53" s="140"/>
      <c r="H53" s="140"/>
      <c r="I53" s="140"/>
      <c r="J53" s="140"/>
      <c r="K53" s="140"/>
    </row>
    <row r="54" spans="1:15" x14ac:dyDescent="0.35">
      <c r="A54" t="s">
        <v>114</v>
      </c>
      <c r="C54" s="140"/>
      <c r="D54" s="140"/>
      <c r="E54" s="140"/>
      <c r="F54" s="140"/>
      <c r="G54" s="140"/>
      <c r="H54" s="140"/>
      <c r="I54" s="140"/>
      <c r="J54" s="140"/>
      <c r="K54" s="140"/>
    </row>
    <row r="55" spans="1:15" x14ac:dyDescent="0.35">
      <c r="A55" t="s">
        <v>115</v>
      </c>
      <c r="C55" s="140"/>
      <c r="D55" s="140"/>
      <c r="E55" s="140"/>
      <c r="F55" s="140"/>
      <c r="G55" s="140"/>
      <c r="H55" s="140"/>
      <c r="I55" s="140"/>
      <c r="J55" s="140"/>
      <c r="K55" s="140"/>
    </row>
    <row r="56" spans="1:15" x14ac:dyDescent="0.35">
      <c r="A56" t="s">
        <v>116</v>
      </c>
      <c r="C56" s="140"/>
      <c r="D56" s="140"/>
      <c r="E56" s="140"/>
      <c r="F56" s="140"/>
      <c r="G56" s="140"/>
      <c r="H56" s="140"/>
      <c r="I56" s="140"/>
      <c r="J56" s="140"/>
      <c r="K56" s="140"/>
    </row>
    <row r="57" spans="1:15" x14ac:dyDescent="0.35">
      <c r="A57" t="s">
        <v>117</v>
      </c>
      <c r="C57" s="140"/>
      <c r="D57" s="140"/>
      <c r="E57" s="140"/>
      <c r="F57" s="140"/>
      <c r="G57" s="140"/>
      <c r="H57" s="140"/>
      <c r="I57" s="140"/>
      <c r="J57" s="140"/>
      <c r="K57" s="140"/>
    </row>
    <row r="58" spans="1:15" x14ac:dyDescent="0.35">
      <c r="A58" s="151" t="s">
        <v>118</v>
      </c>
      <c r="B58" s="152"/>
      <c r="C58" s="153"/>
      <c r="D58" s="140"/>
      <c r="E58" s="140"/>
      <c r="F58" s="140"/>
      <c r="G58" s="140"/>
      <c r="H58" s="140"/>
      <c r="I58" s="140"/>
      <c r="J58" s="140"/>
      <c r="K58" s="140"/>
    </row>
    <row r="59" spans="1:15" x14ac:dyDescent="0.35">
      <c r="C59" s="140"/>
      <c r="D59" s="140"/>
      <c r="E59" s="140"/>
      <c r="F59" s="140"/>
      <c r="G59" s="140"/>
      <c r="H59" s="140"/>
      <c r="I59" s="140"/>
      <c r="J59" s="140"/>
      <c r="K59" s="140"/>
    </row>
    <row r="60" spans="1:15" x14ac:dyDescent="0.35">
      <c r="A60" s="154" t="s">
        <v>119</v>
      </c>
      <c r="B60" s="137" t="s">
        <v>120</v>
      </c>
      <c r="D60" s="154" t="s">
        <v>121</v>
      </c>
      <c r="E60" s="137" t="s">
        <v>122</v>
      </c>
      <c r="G60" s="260" t="s">
        <v>117</v>
      </c>
      <c r="H60" s="261"/>
      <c r="J60" s="137" t="s">
        <v>123</v>
      </c>
      <c r="K60" s="137" t="s">
        <v>124</v>
      </c>
    </row>
    <row r="61" spans="1:15" x14ac:dyDescent="0.35">
      <c r="A61" t="s">
        <v>125</v>
      </c>
      <c r="B61" s="139">
        <v>16800000</v>
      </c>
      <c r="D61" t="s">
        <v>126</v>
      </c>
      <c r="E61" s="139">
        <v>7000000</v>
      </c>
      <c r="G61" t="s">
        <v>127</v>
      </c>
      <c r="H61" s="139">
        <v>10000000</v>
      </c>
      <c r="J61" t="s">
        <v>125</v>
      </c>
      <c r="K61" s="139">
        <v>4000000</v>
      </c>
    </row>
    <row r="62" spans="1:15" x14ac:dyDescent="0.35">
      <c r="A62" t="s">
        <v>128</v>
      </c>
      <c r="B62" s="139"/>
      <c r="G62" t="s">
        <v>129</v>
      </c>
      <c r="H62" s="139">
        <v>12000000</v>
      </c>
      <c r="J62" t="s">
        <v>128</v>
      </c>
      <c r="K62" s="139">
        <v>3000000</v>
      </c>
    </row>
    <row r="63" spans="1:15" x14ac:dyDescent="0.35">
      <c r="A63" t="s">
        <v>130</v>
      </c>
      <c r="B63" s="139">
        <v>15600000</v>
      </c>
      <c r="G63" t="s">
        <v>131</v>
      </c>
      <c r="H63" s="139">
        <v>14000000</v>
      </c>
      <c r="J63" t="s">
        <v>130</v>
      </c>
      <c r="K63" s="139">
        <v>2500000</v>
      </c>
    </row>
    <row r="64" spans="1:15" x14ac:dyDescent="0.35">
      <c r="A64" t="s">
        <v>132</v>
      </c>
      <c r="B64" s="139">
        <v>15000000</v>
      </c>
      <c r="G64" t="s">
        <v>133</v>
      </c>
      <c r="H64" s="139">
        <v>14000000</v>
      </c>
      <c r="J64" t="s">
        <v>132</v>
      </c>
      <c r="K64" s="139">
        <v>2000000</v>
      </c>
    </row>
    <row r="65" spans="1:11" x14ac:dyDescent="0.35">
      <c r="A65" t="s">
        <v>134</v>
      </c>
      <c r="B65" s="139">
        <v>15000000</v>
      </c>
      <c r="G65" t="s">
        <v>125</v>
      </c>
      <c r="H65" s="139">
        <v>17000000</v>
      </c>
      <c r="J65" t="s">
        <v>134</v>
      </c>
      <c r="K65" s="139">
        <v>1850000</v>
      </c>
    </row>
    <row r="66" spans="1:11" x14ac:dyDescent="0.35">
      <c r="A66" t="s">
        <v>135</v>
      </c>
      <c r="B66" s="139">
        <v>12000000</v>
      </c>
      <c r="G66" t="s">
        <v>136</v>
      </c>
      <c r="H66" s="139">
        <v>14000000</v>
      </c>
      <c r="J66" t="s">
        <v>135</v>
      </c>
      <c r="K66" s="139">
        <v>1200000</v>
      </c>
    </row>
    <row r="67" spans="1:11" x14ac:dyDescent="0.35">
      <c r="A67" t="s">
        <v>136</v>
      </c>
      <c r="B67" s="139">
        <v>16800000</v>
      </c>
      <c r="J67" t="s">
        <v>136</v>
      </c>
      <c r="K67" s="139">
        <v>2000000</v>
      </c>
    </row>
    <row r="68" spans="1:11" x14ac:dyDescent="0.35">
      <c r="A68" t="s">
        <v>137</v>
      </c>
      <c r="B68" s="139">
        <v>15720000</v>
      </c>
      <c r="J68" t="s">
        <v>137</v>
      </c>
      <c r="K68" s="139">
        <v>3500000</v>
      </c>
    </row>
    <row r="69" spans="1:11" x14ac:dyDescent="0.35">
      <c r="A69" t="s">
        <v>138</v>
      </c>
      <c r="J69" t="s">
        <v>138</v>
      </c>
      <c r="K69" s="139">
        <v>2800000</v>
      </c>
    </row>
    <row r="70" spans="1:11" x14ac:dyDescent="0.35">
      <c r="A70" t="s">
        <v>139</v>
      </c>
      <c r="B70">
        <v>0</v>
      </c>
    </row>
    <row r="72" spans="1:11" x14ac:dyDescent="0.35">
      <c r="C72" s="140"/>
      <c r="D72" s="140"/>
      <c r="E72" s="140"/>
      <c r="F72" s="140"/>
      <c r="G72" s="140"/>
      <c r="H72" s="140"/>
      <c r="I72" s="140"/>
      <c r="J72" s="140"/>
      <c r="K72" s="140"/>
    </row>
    <row r="73" spans="1:11" ht="14.4" customHeight="1" x14ac:dyDescent="0.35">
      <c r="A73" s="262" t="s">
        <v>116</v>
      </c>
      <c r="B73" s="264" t="s">
        <v>95</v>
      </c>
      <c r="C73" s="264" t="s">
        <v>140</v>
      </c>
      <c r="D73" s="265" t="s">
        <v>141</v>
      </c>
      <c r="E73" s="155" t="s">
        <v>142</v>
      </c>
      <c r="F73" s="155" t="s">
        <v>143</v>
      </c>
      <c r="G73" s="155" t="s">
        <v>144</v>
      </c>
      <c r="H73" s="156" t="s">
        <v>145</v>
      </c>
      <c r="I73" s="255" t="s">
        <v>146</v>
      </c>
      <c r="J73" s="255" t="s">
        <v>147</v>
      </c>
    </row>
    <row r="74" spans="1:11" x14ac:dyDescent="0.35">
      <c r="A74" s="263"/>
      <c r="B74" s="264"/>
      <c r="C74" s="264"/>
      <c r="D74" s="265"/>
      <c r="E74" s="157">
        <v>1</v>
      </c>
      <c r="F74" s="158">
        <v>1</v>
      </c>
      <c r="G74" s="158">
        <v>1</v>
      </c>
      <c r="H74" s="159">
        <v>266</v>
      </c>
      <c r="I74" s="256"/>
      <c r="J74" s="256"/>
    </row>
    <row r="75" spans="1:11" x14ac:dyDescent="0.35">
      <c r="A75" s="257" t="s">
        <v>148</v>
      </c>
      <c r="B75" s="147" t="s">
        <v>123</v>
      </c>
      <c r="C75" s="160">
        <f>K62</f>
        <v>3000000</v>
      </c>
      <c r="D75" s="147" t="s">
        <v>142</v>
      </c>
      <c r="E75" s="137">
        <f>E74</f>
        <v>1</v>
      </c>
      <c r="F75" s="137"/>
      <c r="G75" s="137"/>
      <c r="H75" s="161"/>
      <c r="I75" s="162">
        <f>E75*C75</f>
        <v>3000000</v>
      </c>
    </row>
    <row r="76" spans="1:11" x14ac:dyDescent="0.35">
      <c r="A76" s="258"/>
      <c r="B76" s="147" t="s">
        <v>149</v>
      </c>
      <c r="C76" s="163">
        <v>600000</v>
      </c>
      <c r="D76" s="147" t="s">
        <v>142</v>
      </c>
      <c r="E76" s="137">
        <f>E74</f>
        <v>1</v>
      </c>
      <c r="F76" s="137"/>
      <c r="G76" s="137"/>
      <c r="H76" s="161">
        <f>IF($H$73&lt;=120,2,IF($H$73&gt;220,4,3))</f>
        <v>4</v>
      </c>
      <c r="I76" s="163">
        <f>C76*E76</f>
        <v>600000</v>
      </c>
    </row>
    <row r="77" spans="1:11" x14ac:dyDescent="0.35">
      <c r="A77" s="259"/>
      <c r="B77" s="147" t="s">
        <v>148</v>
      </c>
      <c r="C77" s="163">
        <v>200000</v>
      </c>
      <c r="D77" s="147" t="s">
        <v>150</v>
      </c>
      <c r="E77" s="137"/>
      <c r="F77" s="137">
        <f>F74</f>
        <v>1</v>
      </c>
      <c r="G77" s="137"/>
      <c r="H77" s="161"/>
      <c r="I77" s="163">
        <f>F77*C77</f>
        <v>200000</v>
      </c>
    </row>
    <row r="78" spans="1:11" x14ac:dyDescent="0.35">
      <c r="A78" s="147" t="s">
        <v>151</v>
      </c>
      <c r="B78" s="147" t="s">
        <v>151</v>
      </c>
      <c r="C78" s="163">
        <v>450000</v>
      </c>
      <c r="D78" s="147" t="s">
        <v>144</v>
      </c>
      <c r="E78" s="137">
        <f>E74</f>
        <v>1</v>
      </c>
      <c r="F78" s="137"/>
      <c r="G78" s="137">
        <f>G74</f>
        <v>1</v>
      </c>
      <c r="H78" s="161">
        <f>IF($H$73&lt;=120,2,IF($H$73&gt;220,4,3))</f>
        <v>4</v>
      </c>
      <c r="I78" s="163">
        <f>G78*C78*H78</f>
        <v>1800000</v>
      </c>
    </row>
    <row r="79" spans="1:11" x14ac:dyDescent="0.35">
      <c r="A79" s="147" t="s">
        <v>152</v>
      </c>
      <c r="B79" s="147" t="s">
        <v>152</v>
      </c>
      <c r="C79" s="163">
        <v>120000</v>
      </c>
      <c r="D79" s="147" t="s">
        <v>142</v>
      </c>
      <c r="E79" s="137">
        <f>E74</f>
        <v>1</v>
      </c>
      <c r="F79" s="137"/>
      <c r="G79" s="137"/>
      <c r="H79" s="161">
        <f>IF($H$73&lt;=120,2,IF($H$73&gt;220,4,3))</f>
        <v>4</v>
      </c>
      <c r="I79" s="163">
        <f>H79*C79*E79</f>
        <v>480000</v>
      </c>
    </row>
    <row r="80" spans="1:11" x14ac:dyDescent="0.35">
      <c r="I80" s="164">
        <f>SUM(I75:I79)</f>
        <v>6080000</v>
      </c>
      <c r="J80" s="165">
        <f>I80*2</f>
        <v>12160000</v>
      </c>
      <c r="K80" t="s">
        <v>153</v>
      </c>
    </row>
    <row r="81" spans="1:15" x14ac:dyDescent="0.35">
      <c r="J81" s="164">
        <f>I80*4</f>
        <v>24320000</v>
      </c>
      <c r="K81" t="s">
        <v>154</v>
      </c>
    </row>
    <row r="82" spans="1:15" x14ac:dyDescent="0.35">
      <c r="K82" s="140"/>
    </row>
    <row r="84" spans="1:15" x14ac:dyDescent="0.35">
      <c r="A84" s="144"/>
      <c r="B84" s="144"/>
      <c r="C84" s="150"/>
      <c r="D84" s="150"/>
      <c r="E84" s="150"/>
      <c r="F84" s="150"/>
      <c r="G84" s="150"/>
      <c r="H84" s="150"/>
      <c r="I84" s="150"/>
      <c r="J84" s="150"/>
      <c r="K84" s="150"/>
      <c r="L84" s="144"/>
      <c r="M84" s="144"/>
      <c r="N84" s="144"/>
      <c r="O84" s="144"/>
    </row>
    <row r="85" spans="1:15" x14ac:dyDescent="0.35">
      <c r="A85" s="134" t="s">
        <v>155</v>
      </c>
    </row>
    <row r="87" spans="1:15" x14ac:dyDescent="0.35">
      <c r="A87" s="147" t="s">
        <v>155</v>
      </c>
      <c r="B87" s="140"/>
    </row>
    <row r="88" spans="1:15" x14ac:dyDescent="0.35">
      <c r="A88" t="s">
        <v>156</v>
      </c>
    </row>
    <row r="89" spans="1:15" x14ac:dyDescent="0.35">
      <c r="A89" t="s">
        <v>157</v>
      </c>
      <c r="B89" s="139">
        <v>36000000</v>
      </c>
    </row>
    <row r="90" spans="1:15" x14ac:dyDescent="0.35">
      <c r="A90" t="s">
        <v>158</v>
      </c>
      <c r="B90" s="139">
        <v>42000000</v>
      </c>
    </row>
    <row r="91" spans="1:15" x14ac:dyDescent="0.35">
      <c r="A91" t="s">
        <v>159</v>
      </c>
      <c r="B91" s="139">
        <v>48000000</v>
      </c>
    </row>
    <row r="93" spans="1:15" x14ac:dyDescent="0.35">
      <c r="A93" t="s">
        <v>160</v>
      </c>
    </row>
    <row r="94" spans="1:15" x14ac:dyDescent="0.35">
      <c r="A94" t="s">
        <v>161</v>
      </c>
      <c r="B94" s="139">
        <v>75000000</v>
      </c>
    </row>
    <row r="95" spans="1:15" x14ac:dyDescent="0.35">
      <c r="A95" t="s">
        <v>159</v>
      </c>
      <c r="B95" s="139">
        <v>95000000</v>
      </c>
    </row>
    <row r="97" spans="1:15" x14ac:dyDescent="0.35">
      <c r="A97" s="144"/>
      <c r="B97" s="144"/>
      <c r="C97" s="150"/>
      <c r="D97" s="150"/>
      <c r="E97" s="150"/>
      <c r="F97" s="150"/>
      <c r="G97" s="150"/>
      <c r="H97" s="150"/>
      <c r="I97" s="150"/>
      <c r="J97" s="150"/>
      <c r="K97" s="150"/>
      <c r="L97" s="144"/>
      <c r="M97" s="144"/>
      <c r="N97" s="144"/>
      <c r="O97" s="144"/>
    </row>
    <row r="98" spans="1:15" x14ac:dyDescent="0.35">
      <c r="A98" s="134" t="s">
        <v>162</v>
      </c>
    </row>
    <row r="100" spans="1:15" x14ac:dyDescent="0.35">
      <c r="A100" t="s">
        <v>163</v>
      </c>
      <c r="C100" s="166">
        <v>150000000</v>
      </c>
    </row>
    <row r="101" spans="1:15" x14ac:dyDescent="0.35">
      <c r="A101" t="s">
        <v>164</v>
      </c>
      <c r="C101" s="166">
        <v>200000000</v>
      </c>
    </row>
    <row r="102" spans="1:15" x14ac:dyDescent="0.35">
      <c r="A102" t="s">
        <v>165</v>
      </c>
      <c r="C102" s="166">
        <v>85000000</v>
      </c>
    </row>
    <row r="103" spans="1:15" x14ac:dyDescent="0.35">
      <c r="A103" t="s">
        <v>166</v>
      </c>
      <c r="C103" s="166">
        <v>150000000</v>
      </c>
    </row>
    <row r="104" spans="1:15" x14ac:dyDescent="0.35">
      <c r="A104" t="s">
        <v>167</v>
      </c>
      <c r="C104" s="166">
        <v>50000000</v>
      </c>
    </row>
    <row r="106" spans="1:15" x14ac:dyDescent="0.35">
      <c r="A106" s="144"/>
      <c r="B106" s="144"/>
      <c r="C106" s="150"/>
      <c r="D106" s="150"/>
      <c r="E106" s="150"/>
      <c r="F106" s="150"/>
      <c r="G106" s="150"/>
      <c r="H106" s="150"/>
      <c r="I106" s="150"/>
      <c r="J106" s="150"/>
      <c r="K106" s="150"/>
      <c r="L106" s="144"/>
      <c r="M106" s="144"/>
      <c r="N106" s="144"/>
      <c r="O106" s="144"/>
    </row>
  </sheetData>
  <mergeCells count="8">
    <mergeCell ref="J73:J74"/>
    <mergeCell ref="A75:A77"/>
    <mergeCell ref="G60:H60"/>
    <mergeCell ref="A73:A74"/>
    <mergeCell ref="B73:B74"/>
    <mergeCell ref="C73:C74"/>
    <mergeCell ref="D73:D74"/>
    <mergeCell ref="I73:I74"/>
  </mergeCells>
  <conditionalFormatting sqref="B40:K40 C9:D11 I10:N10 C5:K5 C6:C8 J6:K8 Q5:S5 C15:F22 C12:F12 J9:N9 C13:E14 C23:H23 C30:K38 C29:J29 C24:K25 C26:I26 K26 C27:K28">
    <cfRule type="cellIs" dxfId="49" priority="50" operator="lessThan">
      <formula>0</formula>
    </cfRule>
  </conditionalFormatting>
  <conditionalFormatting sqref="T5">
    <cfRule type="cellIs" dxfId="48" priority="49" operator="lessThan">
      <formula>0</formula>
    </cfRule>
  </conditionalFormatting>
  <conditionalFormatting sqref="J13:O13 L12:O12 J22 J19">
    <cfRule type="cellIs" dxfId="47" priority="48" operator="lessThan">
      <formula>0</formula>
    </cfRule>
  </conditionalFormatting>
  <conditionalFormatting sqref="D8:I8">
    <cfRule type="cellIs" dxfId="46" priority="47" operator="lessThan">
      <formula>0</formula>
    </cfRule>
  </conditionalFormatting>
  <conditionalFormatting sqref="L11:N11">
    <cfRule type="cellIs" dxfId="45" priority="46" operator="lessThan">
      <formula>0</formula>
    </cfRule>
  </conditionalFormatting>
  <conditionalFormatting sqref="K14:O14 K22:O22 K19:O19 O20:O21 N15:O18">
    <cfRule type="cellIs" dxfId="44" priority="45" operator="lessThan">
      <formula>0</formula>
    </cfRule>
  </conditionalFormatting>
  <conditionalFormatting sqref="P39">
    <cfRule type="cellIs" dxfId="43" priority="44" operator="lessThan">
      <formula>0</formula>
    </cfRule>
  </conditionalFormatting>
  <conditionalFormatting sqref="E11">
    <cfRule type="cellIs" dxfId="42" priority="43" operator="lessThan">
      <formula>0</formula>
    </cfRule>
  </conditionalFormatting>
  <conditionalFormatting sqref="K12">
    <cfRule type="cellIs" dxfId="41" priority="42" operator="lessThan">
      <formula>0</formula>
    </cfRule>
  </conditionalFormatting>
  <conditionalFormatting sqref="F11:J11">
    <cfRule type="cellIs" dxfId="40" priority="41" operator="lessThan">
      <formula>0</formula>
    </cfRule>
  </conditionalFormatting>
  <conditionalFormatting sqref="K11">
    <cfRule type="cellIs" dxfId="39" priority="40" operator="lessThan">
      <formula>0</formula>
    </cfRule>
  </conditionalFormatting>
  <conditionalFormatting sqref="G14:J14">
    <cfRule type="cellIs" dxfId="38" priority="39" operator="lessThan">
      <formula>0</formula>
    </cfRule>
  </conditionalFormatting>
  <conditionalFormatting sqref="N21">
    <cfRule type="cellIs" dxfId="37" priority="38" operator="lessThan">
      <formula>0</formula>
    </cfRule>
  </conditionalFormatting>
  <conditionalFormatting sqref="N23">
    <cfRule type="cellIs" dxfId="36" priority="37" operator="lessThan">
      <formula>0</formula>
    </cfRule>
  </conditionalFormatting>
  <conditionalFormatting sqref="J23:M23">
    <cfRule type="cellIs" dxfId="35" priority="36" operator="lessThan">
      <formula>0</formula>
    </cfRule>
  </conditionalFormatting>
  <conditionalFormatting sqref="P27">
    <cfRule type="cellIs" dxfId="34" priority="35" operator="lessThan">
      <formula>0</formula>
    </cfRule>
  </conditionalFormatting>
  <conditionalFormatting sqref="P29">
    <cfRule type="cellIs" dxfId="33" priority="34" operator="lessThan">
      <formula>0</formula>
    </cfRule>
  </conditionalFormatting>
  <conditionalFormatting sqref="L29:O29">
    <cfRule type="cellIs" dxfId="32" priority="33" operator="lessThan">
      <formula>0</formula>
    </cfRule>
  </conditionalFormatting>
  <conditionalFormatting sqref="Q29">
    <cfRule type="cellIs" dxfId="31" priority="32" operator="lessThan">
      <formula>0</formula>
    </cfRule>
  </conditionalFormatting>
  <conditionalFormatting sqref="Q30">
    <cfRule type="cellIs" dxfId="30" priority="31" operator="lessThan">
      <formula>0</formula>
    </cfRule>
  </conditionalFormatting>
  <conditionalFormatting sqref="Q32:Q35">
    <cfRule type="cellIs" dxfId="29" priority="30" operator="lessThan">
      <formula>0</formula>
    </cfRule>
  </conditionalFormatting>
  <conditionalFormatting sqref="M32:P35 M37 M36:N36">
    <cfRule type="cellIs" dxfId="28" priority="29" operator="lessThan">
      <formula>0</formula>
    </cfRule>
  </conditionalFormatting>
  <conditionalFormatting sqref="R32:R35">
    <cfRule type="cellIs" dxfId="27" priority="28" operator="lessThan">
      <formula>0</formula>
    </cfRule>
  </conditionalFormatting>
  <conditionalFormatting sqref="M18">
    <cfRule type="cellIs" dxfId="26" priority="27" operator="lessThan">
      <formula>0</formula>
    </cfRule>
  </conditionalFormatting>
  <conditionalFormatting sqref="M20:N20">
    <cfRule type="cellIs" dxfId="25" priority="26" operator="lessThan">
      <formula>0</formula>
    </cfRule>
  </conditionalFormatting>
  <conditionalFormatting sqref="I20:L20">
    <cfRule type="cellIs" dxfId="24" priority="25" operator="lessThan">
      <formula>0</formula>
    </cfRule>
  </conditionalFormatting>
  <conditionalFormatting sqref="O23">
    <cfRule type="cellIs" dxfId="23" priority="24" operator="lessThan">
      <formula>0</formula>
    </cfRule>
  </conditionalFormatting>
  <conditionalFormatting sqref="F14">
    <cfRule type="cellIs" dxfId="22" priority="23" operator="lessThan">
      <formula>0</formula>
    </cfRule>
  </conditionalFormatting>
  <conditionalFormatting sqref="H20">
    <cfRule type="cellIs" dxfId="21" priority="22" operator="lessThan">
      <formula>0</formula>
    </cfRule>
  </conditionalFormatting>
  <conditionalFormatting sqref="I23">
    <cfRule type="cellIs" dxfId="20" priority="21" operator="lessThan">
      <formula>0</formula>
    </cfRule>
  </conditionalFormatting>
  <conditionalFormatting sqref="K29">
    <cfRule type="cellIs" dxfId="19" priority="20" operator="lessThan">
      <formula>0</formula>
    </cfRule>
  </conditionalFormatting>
  <conditionalFormatting sqref="L32:L37">
    <cfRule type="cellIs" dxfId="18" priority="19" operator="lessThan">
      <formula>0</formula>
    </cfRule>
  </conditionalFormatting>
  <conditionalFormatting sqref="S36">
    <cfRule type="cellIs" dxfId="17" priority="18" operator="lessThan">
      <formula>0</formula>
    </cfRule>
  </conditionalFormatting>
  <conditionalFormatting sqref="S38">
    <cfRule type="cellIs" dxfId="16" priority="17" operator="lessThan">
      <formula>0</formula>
    </cfRule>
  </conditionalFormatting>
  <conditionalFormatting sqref="O38:R38">
    <cfRule type="cellIs" dxfId="15" priority="16" operator="lessThan">
      <formula>0</formula>
    </cfRule>
  </conditionalFormatting>
  <conditionalFormatting sqref="T38">
    <cfRule type="cellIs" dxfId="14" priority="15" operator="lessThan">
      <formula>0</formula>
    </cfRule>
  </conditionalFormatting>
  <conditionalFormatting sqref="N38">
    <cfRule type="cellIs" dxfId="13" priority="14" operator="lessThan">
      <formula>0</formula>
    </cfRule>
  </conditionalFormatting>
  <conditionalFormatting sqref="Q39:U39">
    <cfRule type="cellIs" dxfId="12" priority="13" operator="lessThan">
      <formula>0</formula>
    </cfRule>
  </conditionalFormatting>
  <conditionalFormatting sqref="C39:O39">
    <cfRule type="cellIs" dxfId="11" priority="12" operator="lessThan">
      <formula>0</formula>
    </cfRule>
  </conditionalFormatting>
  <conditionalFormatting sqref="M15">
    <cfRule type="cellIs" dxfId="10" priority="11" operator="lessThan">
      <formula>0</formula>
    </cfRule>
  </conditionalFormatting>
  <conditionalFormatting sqref="L15">
    <cfRule type="cellIs" dxfId="9" priority="10" operator="lessThan">
      <formula>0</formula>
    </cfRule>
  </conditionalFormatting>
  <conditionalFormatting sqref="K16:M16">
    <cfRule type="cellIs" dxfId="8" priority="9" operator="lessThan">
      <formula>0</formula>
    </cfRule>
  </conditionalFormatting>
  <conditionalFormatting sqref="L17:M17">
    <cfRule type="cellIs" dxfId="7" priority="8" operator="lessThan">
      <formula>0</formula>
    </cfRule>
  </conditionalFormatting>
  <conditionalFormatting sqref="H17:K17">
    <cfRule type="cellIs" dxfId="6" priority="7" operator="lessThan">
      <formula>0</formula>
    </cfRule>
  </conditionalFormatting>
  <conditionalFormatting sqref="G17">
    <cfRule type="cellIs" dxfId="5" priority="6" operator="lessThan">
      <formula>0</formula>
    </cfRule>
  </conditionalFormatting>
  <conditionalFormatting sqref="P27:P28">
    <cfRule type="cellIs" dxfId="4" priority="5" operator="lessThan">
      <formula>0</formula>
    </cfRule>
  </conditionalFormatting>
  <conditionalFormatting sqref="U27">
    <cfRule type="cellIs" dxfId="3" priority="4" operator="lessThan">
      <formula>0</formula>
    </cfRule>
  </conditionalFormatting>
  <conditionalFormatting sqref="U29">
    <cfRule type="cellIs" dxfId="2" priority="3" operator="lessThan">
      <formula>0</formula>
    </cfRule>
  </conditionalFormatting>
  <conditionalFormatting sqref="Q29:T29">
    <cfRule type="cellIs" dxfId="1" priority="2" operator="lessThan">
      <formula>0</formula>
    </cfRule>
  </conditionalFormatting>
  <conditionalFormatting sqref="P2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Summary</vt:lpstr>
      <vt:lpstr>IRR</vt:lpstr>
      <vt:lpstr>Analisa</vt:lpstr>
      <vt:lpstr>Summary Review </vt:lpstr>
      <vt:lpstr>IRR (2)</vt:lpstr>
      <vt:lpstr>IRR (3)</vt:lpstr>
      <vt:lpstr>Parameter</vt:lpstr>
      <vt:lpstr>Parameter (2)</vt:lpstr>
      <vt:lpstr>IRR!Print_Area</vt:lpstr>
      <vt:lpstr>'IRR (2)'!Print_Area</vt:lpstr>
      <vt:lpstr>'IRR (3)'!Print_Area</vt:lpstr>
      <vt:lpstr>Summary!Print_Area</vt:lpstr>
      <vt:lpstr>'Summary Review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2024-06-26T07:44:01Z</cp:lastPrinted>
  <dcterms:created xsi:type="dcterms:W3CDTF">2024-01-30T02:49:52Z</dcterms:created>
  <dcterms:modified xsi:type="dcterms:W3CDTF">2024-12-19T09:37:40Z</dcterms:modified>
</cp:coreProperties>
</file>