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RS Eka Hospital Pekanbaru\"/>
    </mc:Choice>
  </mc:AlternateContent>
  <xr:revisionPtr revIDLastSave="0" documentId="13_ncr:1_{EC08C6EB-09B0-4561-8289-3014B6638740}" xr6:coauthVersionLast="36" xr6:coauthVersionMax="47" xr10:uidLastSave="{00000000-0000-0000-0000-000000000000}"/>
  <bookViews>
    <workbookView xWindow="0" yWindow="0" windowWidth="19200" windowHeight="7550" activeTab="1" xr2:uid="{A4174494-61B9-4994-8303-9C4639E059BD}"/>
  </bookViews>
  <sheets>
    <sheet name="Summary" sheetId="1" r:id="rId1"/>
    <sheet name="IRR" sheetId="2" r:id="rId2"/>
    <sheet name="SummaryBR" sheetId="6" r:id="rId3"/>
    <sheet name="Analisa" sheetId="5" r:id="rId4"/>
    <sheet name="Parameter" sheetId="4" r:id="rId5"/>
  </sheets>
  <externalReferences>
    <externalReference r:id="rId6"/>
    <externalReference r:id="rId7"/>
    <externalReference r:id="rId8"/>
    <externalReference r:id="rId9"/>
  </externalReferences>
  <definedNames>
    <definedName name="jk" localSheetId="3">#REF!</definedName>
    <definedName name="jk" localSheetId="1">#REF!</definedName>
    <definedName name="jk" localSheetId="0">#REF!</definedName>
    <definedName name="jk">#REF!</definedName>
    <definedName name="_xlnm.Print_Area" localSheetId="1">IRR!$B$1:$L$50</definedName>
    <definedName name="_xlnm.Print_Area" localSheetId="0">Summary!$B$2:$O$35</definedName>
    <definedName name="_xlnm.Print_Area" localSheetId="2">SummaryBR!$A$2:$F$20</definedName>
    <definedName name="years_contract">[1]Kerlink!$D$5</definedName>
  </definedName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6" l="1"/>
  <c r="F24" i="6" l="1"/>
  <c r="F27" i="6"/>
  <c r="F25" i="6"/>
  <c r="F22" i="5"/>
  <c r="D22" i="5"/>
  <c r="E22" i="5"/>
  <c r="D27" i="5"/>
  <c r="F27" i="5" s="1"/>
  <c r="D26" i="5"/>
  <c r="F26" i="5" s="1"/>
  <c r="D25" i="5"/>
  <c r="F25" i="5" s="1"/>
  <c r="D24" i="5"/>
  <c r="F24" i="5" s="1"/>
  <c r="D23" i="5"/>
  <c r="F23" i="5" s="1"/>
  <c r="D21" i="5"/>
  <c r="F21" i="5" s="1"/>
  <c r="D11" i="5"/>
  <c r="F11" i="5" s="1"/>
  <c r="D12" i="5"/>
  <c r="F12" i="5" s="1"/>
  <c r="D13" i="5"/>
  <c r="F13" i="5" s="1"/>
  <c r="D14" i="5"/>
  <c r="F14" i="5" s="1"/>
  <c r="D15" i="5"/>
  <c r="F15" i="5" s="1"/>
  <c r="M14" i="1"/>
  <c r="M11" i="1"/>
  <c r="L21" i="2"/>
  <c r="M13" i="1" s="1"/>
  <c r="H22" i="2"/>
  <c r="F29" i="5" l="1"/>
  <c r="L22" i="2"/>
  <c r="I22" i="2"/>
  <c r="J22" i="2" s="1"/>
  <c r="K22" i="2" s="1"/>
  <c r="G23" i="2" l="1"/>
  <c r="L60" i="4"/>
  <c r="C55" i="4"/>
  <c r="M12" i="1"/>
  <c r="M8" i="1"/>
  <c r="G16" i="2"/>
  <c r="K30" i="2"/>
  <c r="M17" i="4"/>
  <c r="N17" i="4"/>
  <c r="O17" i="4"/>
  <c r="O19" i="4" s="1"/>
  <c r="I30" i="2" s="1"/>
  <c r="I14" i="4"/>
  <c r="D8" i="4"/>
  <c r="F3" i="4"/>
  <c r="F5" i="4"/>
  <c r="G3" i="4"/>
  <c r="E5" i="4"/>
  <c r="G5" i="4"/>
  <c r="H5" i="4"/>
  <c r="D5" i="4"/>
  <c r="C5" i="4"/>
  <c r="C19" i="4"/>
  <c r="F10" i="4"/>
  <c r="P17" i="4"/>
  <c r="P19" i="4" s="1"/>
  <c r="J30" i="2" s="1"/>
  <c r="L17" i="4"/>
  <c r="K17" i="4"/>
  <c r="L15" i="4"/>
  <c r="K16" i="4"/>
  <c r="N2" i="4"/>
  <c r="O2" i="4" s="1"/>
  <c r="P2" i="4" s="1"/>
  <c r="E14" i="6"/>
  <c r="C14" i="6"/>
  <c r="D19" i="4" l="1"/>
  <c r="M15" i="4"/>
  <c r="N15" i="4" l="1"/>
  <c r="O15" i="4" l="1"/>
  <c r="P15" i="4" l="1"/>
  <c r="N2" i="1" l="1"/>
  <c r="H17" i="2"/>
  <c r="I17" i="2" s="1"/>
  <c r="J17" i="2" s="1"/>
  <c r="K17" i="2" s="1"/>
  <c r="H16" i="2"/>
  <c r="D10" i="5"/>
  <c r="C4" i="4"/>
  <c r="D3" i="4" s="1"/>
  <c r="H59" i="4"/>
  <c r="I59" i="4" s="1"/>
  <c r="H58" i="4"/>
  <c r="H56" i="4"/>
  <c r="H11" i="2"/>
  <c r="I11" i="2" s="1"/>
  <c r="J11" i="2" s="1"/>
  <c r="K11" i="2" s="1"/>
  <c r="E59" i="4"/>
  <c r="G58" i="4"/>
  <c r="E58" i="4"/>
  <c r="F57" i="4"/>
  <c r="I57" i="4" s="1"/>
  <c r="E56" i="4"/>
  <c r="I56" i="4" s="1"/>
  <c r="E55" i="4"/>
  <c r="B28" i="4"/>
  <c r="C30" i="4" s="1"/>
  <c r="C29" i="4" s="1"/>
  <c r="I13" i="4"/>
  <c r="J12" i="4" s="1"/>
  <c r="F11" i="4"/>
  <c r="G9" i="4"/>
  <c r="D7" i="4"/>
  <c r="E6" i="4" s="1"/>
  <c r="D2" i="4"/>
  <c r="E2" i="4" s="1"/>
  <c r="F2" i="4" s="1"/>
  <c r="G2" i="4" s="1"/>
  <c r="H2" i="4" s="1"/>
  <c r="I2" i="4" s="1"/>
  <c r="J2" i="4" s="1"/>
  <c r="K2" i="4" s="1"/>
  <c r="L2" i="4" s="1"/>
  <c r="M2" i="4" s="1"/>
  <c r="I47" i="2"/>
  <c r="K47" i="2" s="1"/>
  <c r="H46" i="2"/>
  <c r="J46" i="2" s="1"/>
  <c r="K46" i="2" s="1"/>
  <c r="K44" i="2"/>
  <c r="J44" i="2"/>
  <c r="I44" i="2"/>
  <c r="H44" i="2"/>
  <c r="G44" i="2"/>
  <c r="K35" i="2"/>
  <c r="J35" i="2"/>
  <c r="I35" i="2"/>
  <c r="H35" i="2"/>
  <c r="G35" i="2"/>
  <c r="H23" i="2"/>
  <c r="G18" i="2"/>
  <c r="F35" i="2"/>
  <c r="F36" i="2" s="1"/>
  <c r="M10" i="1"/>
  <c r="F10" i="5" l="1"/>
  <c r="I23" i="2"/>
  <c r="J23" i="2" s="1"/>
  <c r="K23" i="2" s="1"/>
  <c r="L23" i="2"/>
  <c r="I16" i="2"/>
  <c r="J16" i="2" s="1"/>
  <c r="K16" i="2" s="1"/>
  <c r="L16" i="2"/>
  <c r="E8" i="4"/>
  <c r="E19" i="4" s="1"/>
  <c r="J14" i="4"/>
  <c r="G11" i="4"/>
  <c r="I55" i="4"/>
  <c r="K18" i="2"/>
  <c r="K24" i="2" s="1"/>
  <c r="F17" i="5"/>
  <c r="I58" i="4"/>
  <c r="I60" i="4" s="1"/>
  <c r="I18" i="2"/>
  <c r="I24" i="2" s="1"/>
  <c r="J18" i="2"/>
  <c r="J24" i="2" s="1"/>
  <c r="K12" i="4"/>
  <c r="K14" i="4" s="1"/>
  <c r="H9" i="4"/>
  <c r="H11" i="4" s="1"/>
  <c r="C28" i="4"/>
  <c r="E3" i="4"/>
  <c r="F6" i="4"/>
  <c r="F37" i="2"/>
  <c r="G24" i="2"/>
  <c r="G45" i="2"/>
  <c r="H18" i="2"/>
  <c r="F8" i="4" l="1"/>
  <c r="F19" i="4" s="1"/>
  <c r="L18" i="2"/>
  <c r="J60" i="4"/>
  <c r="J61" i="4"/>
  <c r="D30" i="4"/>
  <c r="D29" i="4" s="1"/>
  <c r="I9" i="4"/>
  <c r="I11" i="4" s="1"/>
  <c r="L12" i="4"/>
  <c r="L14" i="4" s="1"/>
  <c r="L19" i="4" s="1"/>
  <c r="G6" i="4"/>
  <c r="G25" i="2"/>
  <c r="G26" i="2" s="1"/>
  <c r="I25" i="2"/>
  <c r="I26" i="2" s="1"/>
  <c r="H24" i="2"/>
  <c r="H25" i="2" s="1"/>
  <c r="H26" i="2" s="1"/>
  <c r="G50" i="2"/>
  <c r="H45" i="2"/>
  <c r="G28" i="2" l="1"/>
  <c r="G29" i="2" s="1"/>
  <c r="G8" i="4"/>
  <c r="G19" i="4" s="1"/>
  <c r="D28" i="4"/>
  <c r="E28" i="4" s="1"/>
  <c r="H6" i="4"/>
  <c r="I8" i="4" s="1"/>
  <c r="M12" i="4"/>
  <c r="M14" i="4" s="1"/>
  <c r="M19" i="4" s="1"/>
  <c r="G30" i="2" s="1"/>
  <c r="J9" i="4"/>
  <c r="E30" i="4"/>
  <c r="E29" i="4" s="1"/>
  <c r="H50" i="2"/>
  <c r="H28" i="2" s="1"/>
  <c r="H29" i="2" s="1"/>
  <c r="I45" i="2"/>
  <c r="H27" i="2"/>
  <c r="J25" i="2"/>
  <c r="J26" i="2" s="1"/>
  <c r="I27" i="2"/>
  <c r="G31" i="2" l="1"/>
  <c r="G32" i="2" s="1"/>
  <c r="H8" i="4"/>
  <c r="H19" i="4" s="1"/>
  <c r="J11" i="4"/>
  <c r="K25" i="2"/>
  <c r="K26" i="2" s="1"/>
  <c r="K27" i="2" s="1"/>
  <c r="L24" i="2"/>
  <c r="F30" i="4"/>
  <c r="F28" i="4"/>
  <c r="F29" i="4"/>
  <c r="K9" i="4"/>
  <c r="K11" i="4" s="1"/>
  <c r="K19" i="4" s="1"/>
  <c r="N12" i="4"/>
  <c r="N14" i="4" s="1"/>
  <c r="N19" i="4" s="1"/>
  <c r="H30" i="2" s="1"/>
  <c r="L30" i="2" s="1"/>
  <c r="H3" i="4"/>
  <c r="J27" i="2"/>
  <c r="I50" i="2"/>
  <c r="I28" i="2" s="1"/>
  <c r="J45" i="2"/>
  <c r="L17" i="2" l="1"/>
  <c r="L25" i="2"/>
  <c r="L26" i="2" s="1"/>
  <c r="H31" i="2"/>
  <c r="I3" i="4"/>
  <c r="I5" i="4"/>
  <c r="I19" i="4" s="1"/>
  <c r="G30" i="4"/>
  <c r="G29" i="4" s="1"/>
  <c r="G28" i="4"/>
  <c r="L27" i="2"/>
  <c r="J50" i="2"/>
  <c r="J28" i="2" s="1"/>
  <c r="J29" i="2" s="1"/>
  <c r="J31" i="2" s="1"/>
  <c r="K45" i="2"/>
  <c r="L45" i="2" s="1"/>
  <c r="I29" i="2"/>
  <c r="I31" i="2" s="1"/>
  <c r="G33" i="2"/>
  <c r="G36" i="2" s="1"/>
  <c r="F41" i="2" l="1"/>
  <c r="M18" i="1" s="1"/>
  <c r="H32" i="2"/>
  <c r="H33" i="2" s="1"/>
  <c r="H36" i="2" s="1"/>
  <c r="K50" i="2"/>
  <c r="K28" i="2" s="1"/>
  <c r="H30" i="4"/>
  <c r="H29" i="4" s="1"/>
  <c r="H28" i="4"/>
  <c r="J3" i="4"/>
  <c r="J5" i="4"/>
  <c r="J19" i="4" s="1"/>
  <c r="G37" i="2"/>
  <c r="I32" i="2"/>
  <c r="I33" i="2" s="1"/>
  <c r="I36" i="2" s="1"/>
  <c r="J32" i="2"/>
  <c r="J33" i="2" s="1"/>
  <c r="J36" i="2" s="1"/>
  <c r="L50" i="2" l="1"/>
  <c r="K29" i="2"/>
  <c r="K31" i="2" s="1"/>
  <c r="K32" i="2" s="1"/>
  <c r="K33" i="2" s="1"/>
  <c r="K36" i="2" s="1"/>
  <c r="F40" i="2" s="1"/>
  <c r="L28" i="2"/>
  <c r="L29" i="2" s="1"/>
  <c r="I30" i="4"/>
  <c r="I29" i="4" s="1"/>
  <c r="I28" i="4"/>
  <c r="H37" i="2"/>
  <c r="H38" i="2" s="1"/>
  <c r="G38" i="2"/>
  <c r="F39" i="2" l="1"/>
  <c r="J30" i="4"/>
  <c r="J29" i="4" s="1"/>
  <c r="I37" i="2"/>
  <c r="I38" i="2" s="1"/>
  <c r="M16" i="1" l="1"/>
  <c r="J28" i="4"/>
  <c r="K30" i="4"/>
  <c r="K29" i="4" s="1"/>
  <c r="J37" i="2"/>
  <c r="J38" i="2" s="1"/>
  <c r="L31" i="2" l="1"/>
  <c r="L36" i="2"/>
  <c r="M17" i="1"/>
  <c r="L32" i="2"/>
  <c r="K28" i="4"/>
  <c r="K37" i="2"/>
  <c r="L33" i="2" l="1"/>
  <c r="K38" i="2"/>
  <c r="F42" i="2" l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54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55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<sst xmlns="http://schemas.openxmlformats.org/spreadsheetml/2006/main" count="294" uniqueCount="222">
  <si>
    <t>No.</t>
  </si>
  <si>
    <t>Product :</t>
  </si>
  <si>
    <t>IBS / DAS</t>
  </si>
  <si>
    <t xml:space="preserve">Tanggal P&amp;L:  </t>
  </si>
  <si>
    <t>Status P&amp;L</t>
  </si>
  <si>
    <t>New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</si>
  <si>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</si>
  <si>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</si>
  <si>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</si>
  <si>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</si>
  <si>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</si>
  <si>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</si>
  <si>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</si>
  <si>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</si>
  <si>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</si>
  <si>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</si>
  <si>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</si>
  <si>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</si>
  <si>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</si>
  <si>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</si>
  <si>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</si>
  <si>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</si>
  <si>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</si>
  <si>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</si>
  <si>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</si>
  <si>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</si>
  <si>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</si>
  <si>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</si>
  <si>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</si>
  <si>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</si>
  <si>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</si>
  <si>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</si>
  <si>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</si>
  <si>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</si>
  <si>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</si>
  <si>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</si>
  <si>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</si>
  <si>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</si>
  <si>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</si>
  <si>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</si>
  <si>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</si>
  <si>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</si>
  <si>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</si>
  <si>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</si>
  <si>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</si>
  <si>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No,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</si>
  <si>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</si>
  <si>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</si>
  <si>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</si>
  <si>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</si>
  <si>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</si>
  <si>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</si>
  <si>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</si>
  <si>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</si>
  <si>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</si>
  <si>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</si>
  <si>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</si>
  <si>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</si>
  <si>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</si>
  <si>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</si>
  <si>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BTS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</si>
  <si>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</si>
  <si>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</si>
  <si>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</si>
  <si>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</si>
  <si>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</si>
  <si>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</si>
  <si>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</si>
  <si>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</si>
  <si>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</si>
  <si>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</si>
  <si>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</si>
  <si>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</si>
  <si>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</si>
  <si>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</si>
  <si>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</si>
  <si>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</si>
  <si>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</si>
  <si>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</si>
  <si>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</si>
  <si>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</si>
  <si>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</si>
  <si>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</si>
  <si>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</si>
  <si>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</si>
  <si>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</si>
  <si>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</si>
  <si>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</si>
  <si>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</si>
  <si>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</si>
  <si>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</si>
  <si>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</si>
  <si>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</si>
  <si>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</si>
  <si>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</si>
  <si>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</si>
  <si>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</si>
  <si>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</si>
  <si>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</si>
  <si>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Periode Sewa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</si>
  <si>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</si>
  <si>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</si>
  <si>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</si>
  <si>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</si>
  <si>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</si>
  <si>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</si>
  <si>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</si>
  <si>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</si>
  <si>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</si>
  <si>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</si>
  <si>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</si>
  <si>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</si>
  <si>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</si>
  <si>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</si>
  <si>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</si>
  <si>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</si>
  <si>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</si>
  <si>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</si>
  <si>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</si>
  <si>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</si>
  <si>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</si>
  <si>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</si>
  <si>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</si>
  <si>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</si>
  <si>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</si>
  <si>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</si>
  <si>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</si>
  <si>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</si>
  <si>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</si>
  <si>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</si>
  <si>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</si>
  <si>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</si>
  <si>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</si>
  <si>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</si>
  <si>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</si>
  <si>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</si>
  <si>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</si>
  <si>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</si>
  <si>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</si>
  <si>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</si>
  <si>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</si>
  <si>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</si>
  <si>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</si>
  <si>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</si>
  <si>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</si>
  <si>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</si>
  <si>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</si>
  <si>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</si>
  <si>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</si>
  <si>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</si>
  <si>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</si>
  <si>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</si>
  <si>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</si>
  <si>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</si>
  <si>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</si>
  <si>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</si>
  <si>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</si>
  <si>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</si>
  <si>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</si>
  <si>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</si>
  <si>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</si>
  <si>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</si>
  <si>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</si>
  <si>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</si>
  <si>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</si>
  <si>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</si>
  <si>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</si>
  <si>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</si>
  <si>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 xml:space="preserve">Periode </t>
  </si>
  <si>
    <t>Start</t>
  </si>
  <si>
    <t>End</t>
  </si>
  <si>
    <t>Sewa BM</t>
  </si>
  <si>
    <t>Days</t>
  </si>
  <si>
    <t xml:space="preserve">Sewa BM </t>
  </si>
  <si>
    <t>Antisipasi Add Capex and Pole</t>
  </si>
  <si>
    <t>Profit</t>
  </si>
  <si>
    <t>Year 0</t>
  </si>
  <si>
    <t>2023 Tsel</t>
  </si>
  <si>
    <t>2021 IOH</t>
  </si>
  <si>
    <t>2019 SF</t>
  </si>
  <si>
    <t>2020 XL</t>
  </si>
  <si>
    <t>-</t>
  </si>
  <si>
    <t>RS EKA HOSPITAL PEKANBARU</t>
  </si>
  <si>
    <t>0043/IRR/IBC/XII/2024</t>
  </si>
  <si>
    <t>RS Eka Hosp. Pekanbaru</t>
  </si>
  <si>
    <t>Riau</t>
  </si>
  <si>
    <t>RS</t>
  </si>
  <si>
    <t xml:space="preserve">Nama Site                   </t>
  </si>
  <si>
    <t xml:space="preserve">: RS Eka Hospital Pekanbaru </t>
  </si>
  <si>
    <t xml:space="preserve">Nama Pemilik           </t>
  </si>
  <si>
    <t xml:space="preserve">:  PT. Ekamas International Hospital </t>
  </si>
  <si>
    <t xml:space="preserve">Alamat Pemilik       </t>
  </si>
  <si>
    <t>:  Jl. Soekarno Hatta Km. 6.5 Pekanbaru</t>
  </si>
  <si>
    <t>Object Sewa</t>
  </si>
  <si>
    <t>:    205 + Pole Antenna + RBS m2</t>
  </si>
  <si>
    <t xml:space="preserve">IBC, antenna 205 +pole dan BTS </t>
  </si>
  <si>
    <t>01 Jan 2020 s/d 31 Des 2024</t>
  </si>
  <si>
    <t xml:space="preserve">Harga Sewa / masa sewa </t>
  </si>
  <si>
    <t>Harga sewa / tahun</t>
  </si>
  <si>
    <t>Operator Joint:</t>
  </si>
  <si>
    <t>Tsel : 30 Mar 20 s/d 29 Mar 25                          Rp. 332.100.000</t>
  </si>
  <si>
    <t xml:space="preserve">Tsel : 30 Mar 20 s/d 29 Mar 25   </t>
  </si>
  <si>
    <t> XL  : 04  Agst 21 s/d 03 Agst 26                         Rp. 150.000.000</t>
  </si>
  <si>
    <t xml:space="preserve">XL  : 04  Agst 21 s/d 03 Agst 26   </t>
  </si>
  <si>
    <t>08 November 2013 s/d d 07 November 2023</t>
  </si>
  <si>
    <t>07 November 2023 s/d d 08 November 2028</t>
  </si>
  <si>
    <t>Kenaikan/Penurunan Harga</t>
  </si>
  <si>
    <t>Noted:</t>
  </si>
  <si>
    <t xml:space="preserve"> Termin pembayaran 100% dimuka </t>
  </si>
  <si>
    <t>Mengalami kenaikan 53,84%</t>
  </si>
  <si>
    <t>DAS BV 31Des24</t>
  </si>
  <si>
    <t>XL</t>
  </si>
  <si>
    <t>SITE RS Eka Hospital Pekanbaru</t>
  </si>
  <si>
    <t>Rev Tsel</t>
  </si>
  <si>
    <t>Rev XL</t>
  </si>
  <si>
    <t>01 Jan 2025 s/d 31 Des 2029</t>
  </si>
  <si>
    <t>Listrik Tsel</t>
  </si>
  <si>
    <t>OM Tsel</t>
  </si>
  <si>
    <t>OM XL</t>
  </si>
  <si>
    <t>Worse &gt;&gt; Jika Sewa BM diperpanjang 5 tahun dan Operator mengikuti periode BM, maka:</t>
  </si>
  <si>
    <t>Worse &gt;&gt; Jika Sewa BM diperpanjang 5 tahun dan Operator sesuai periodenya Exist, maka:</t>
  </si>
  <si>
    <t>Total Capex BV 31Des24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</si>
</sst>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2" formatCode="_-&quot;Rp&quot;* #,##0_-;\-&quot;Rp&quot;* #,##0_-;_-&quot;Rp&quot;* &quot;-&quot;_-;_-@_-"/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[$-C09]dd\-mmm\-yy;@"/>
    <numFmt numFmtId="171" formatCode="#,###&quot;/thn&quot;"/>
    <numFmt numFmtId="172" formatCode="#,###&quot;/pole&quot;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6"/>
      <color rgb="FF000000"/>
      <name val="Calibri"/>
      <family val="2"/>
    </font>
    <font>
      <sz val="10"/>
      <color theme="1"/>
      <name val="Times New Roman"/>
      <family val="1"/>
    </font>
    <font>
      <b/>
      <sz val="12"/>
      <color rgb="FF000000"/>
      <name val="Calibri"/>
      <family val="2"/>
    </font>
    <font>
      <b/>
      <i/>
      <sz val="11"/>
      <color rgb="FF000000"/>
      <name val="Calibri"/>
      <family val="2"/>
    </font>
    <font>
      <b/>
      <i/>
      <sz val="14"/>
      <color rgb="FF000000"/>
      <name val="Calibri"/>
      <family val="2"/>
    </font>
    <font>
      <sz val="11"/>
      <color rgb="FF000000"/>
      <name val="Calibri"/>
      <family val="2"/>
    </font>
    <font>
      <sz val="12"/>
      <color rgb="FF1F3864"/>
      <name val="Calibri"/>
      <family val="2"/>
      <scheme val="minor"/>
    </font>
    <font>
      <b/>
      <sz val="11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4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79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41" fontId="0" fillId="0" borderId="0" xfId="4" applyFont="1" applyBorder="1"/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41" fontId="0" fillId="0" borderId="0" xfId="4" applyFont="1" applyFill="1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center"/>
      <protection locked="0"/>
    </xf>
    <xf numFmtId="0" fontId="3" fillId="0" borderId="0" xfId="3" applyAlignment="1">
      <alignment horizontal="left" indent="1"/>
    </xf>
    <xf numFmtId="9" fontId="0" fillId="0" borderId="0" xfId="4" applyNumberFormat="1" applyFont="1" applyBorder="1"/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165" fontId="3" fillId="0" borderId="0" xfId="2" applyFont="1"/>
    <xf numFmtId="0" fontId="0" fillId="0" borderId="8" xfId="4" quotePrefix="1" applyNumberFormat="1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11" fillId="0" borderId="13" xfId="3" applyNumberFormat="1" applyFont="1" applyBorder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0" fillId="0" borderId="15" xfId="4" applyFont="1" applyBorder="1" applyAlignment="1">
      <alignment vertical="center"/>
    </xf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19" fillId="0" borderId="0" xfId="8"/>
    <xf numFmtId="0" fontId="19" fillId="0" borderId="24" xfId="8" applyBorder="1"/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170" fontId="19" fillId="0" borderId="24" xfId="8" applyNumberFormat="1" applyBorder="1" applyAlignment="1">
      <alignment horizontal="center"/>
    </xf>
    <xf numFmtId="170" fontId="19" fillId="0" borderId="0" xfId="8" applyNumberFormat="1"/>
    <xf numFmtId="0" fontId="2" fillId="0" borderId="0" xfId="10" applyFont="1" applyAlignment="1">
      <alignment horizontal="center"/>
    </xf>
    <xf numFmtId="165" fontId="19" fillId="0" borderId="0" xfId="2" applyFont="1" applyBorder="1"/>
    <xf numFmtId="171" fontId="19" fillId="0" borderId="0" xfId="11" applyNumberFormat="1" applyFont="1"/>
    <xf numFmtId="165" fontId="19" fillId="0" borderId="0" xfId="8" applyNumberFormat="1"/>
    <xf numFmtId="172" fontId="19" fillId="0" borderId="0" xfId="12" applyNumberFormat="1" applyFont="1"/>
    <xf numFmtId="41" fontId="19" fillId="0" borderId="15" xfId="11" applyFont="1" applyBorder="1"/>
    <xf numFmtId="38" fontId="23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38" fontId="23" fillId="0" borderId="0" xfId="4" applyNumberFormat="1" applyFont="1" applyFill="1"/>
    <xf numFmtId="170" fontId="19" fillId="0" borderId="0" xfId="8" applyNumberFormat="1" applyBorder="1" applyAlignment="1">
      <alignment horizontal="center"/>
    </xf>
    <xf numFmtId="0" fontId="25" fillId="0" borderId="0" xfId="0" applyFont="1" applyAlignment="1">
      <alignment vertical="center" wrapText="1"/>
    </xf>
    <xf numFmtId="0" fontId="25" fillId="0" borderId="0" xfId="0" applyFont="1"/>
    <xf numFmtId="0" fontId="26" fillId="0" borderId="0" xfId="0" applyFont="1" applyAlignment="1">
      <alignment vertical="center"/>
    </xf>
    <xf numFmtId="0" fontId="29" fillId="0" borderId="31" xfId="0" applyFont="1" applyBorder="1" applyAlignment="1">
      <alignment horizontal="center" vertical="center"/>
    </xf>
    <xf numFmtId="0" fontId="29" fillId="0" borderId="12" xfId="0" applyFont="1" applyBorder="1" applyAlignment="1">
      <alignment vertical="center"/>
    </xf>
    <xf numFmtId="0" fontId="29" fillId="0" borderId="9" xfId="0" applyFont="1" applyBorder="1" applyAlignment="1">
      <alignment horizontal="center" vertical="center"/>
    </xf>
    <xf numFmtId="0" fontId="29" fillId="0" borderId="8" xfId="0" applyFont="1" applyBorder="1" applyAlignment="1">
      <alignment vertical="center"/>
    </xf>
    <xf numFmtId="0" fontId="29" fillId="0" borderId="6" xfId="0" applyFont="1" applyBorder="1" applyAlignment="1">
      <alignment vertical="center"/>
    </xf>
    <xf numFmtId="0" fontId="30" fillId="0" borderId="34" xfId="0" applyFont="1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167" fontId="0" fillId="0" borderId="0" xfId="0" applyNumberFormat="1"/>
    <xf numFmtId="165" fontId="3" fillId="0" borderId="0" xfId="3" applyNumberFormat="1"/>
    <xf numFmtId="165" fontId="19" fillId="0" borderId="0" xfId="2" applyFont="1"/>
    <xf numFmtId="42" fontId="0" fillId="0" borderId="0" xfId="0" applyNumberFormat="1"/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3" fillId="0" borderId="0" xfId="3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26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7" fillId="6" borderId="30" xfId="0" applyFont="1" applyFill="1" applyBorder="1" applyAlignment="1">
      <alignment horizontal="center" vertical="center"/>
    </xf>
    <xf numFmtId="0" fontId="27" fillId="6" borderId="31" xfId="0" applyFont="1" applyFill="1" applyBorder="1" applyAlignment="1">
      <alignment horizontal="center" vertical="center"/>
    </xf>
    <xf numFmtId="0" fontId="28" fillId="6" borderId="30" xfId="0" applyFont="1" applyFill="1" applyBorder="1" applyAlignment="1">
      <alignment horizontal="center" vertical="center"/>
    </xf>
    <xf numFmtId="0" fontId="28" fillId="6" borderId="32" xfId="0" applyFont="1" applyFill="1" applyBorder="1" applyAlignment="1">
      <alignment horizontal="center" vertical="center"/>
    </xf>
    <xf numFmtId="0" fontId="28" fillId="6" borderId="4" xfId="0" applyFont="1" applyFill="1" applyBorder="1" applyAlignment="1">
      <alignment horizontal="center" vertical="center"/>
    </xf>
    <xf numFmtId="0" fontId="28" fillId="6" borderId="5" xfId="0" applyFont="1" applyFill="1" applyBorder="1" applyAlignment="1">
      <alignment horizontal="center" vertical="center"/>
    </xf>
    <xf numFmtId="0" fontId="28" fillId="6" borderId="7" xfId="0" applyFont="1" applyFill="1" applyBorder="1" applyAlignment="1">
      <alignment horizontal="center" vertical="center"/>
    </xf>
    <xf numFmtId="0" fontId="28" fillId="6" borderId="0" xfId="0" applyFont="1" applyFill="1" applyBorder="1" applyAlignment="1">
      <alignment horizontal="center" vertical="center"/>
    </xf>
    <xf numFmtId="0" fontId="28" fillId="6" borderId="6" xfId="0" applyFont="1" applyFill="1" applyBorder="1" applyAlignment="1">
      <alignment horizontal="center" vertical="center"/>
    </xf>
    <xf numFmtId="0" fontId="28" fillId="6" borderId="8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left" vertical="center"/>
    </xf>
    <xf numFmtId="0" fontId="29" fillId="0" borderId="2" xfId="0" applyFont="1" applyBorder="1" applyAlignment="1">
      <alignment horizontal="left" vertical="center"/>
    </xf>
    <xf numFmtId="0" fontId="29" fillId="0" borderId="3" xfId="0" applyFont="1" applyBorder="1" applyAlignment="1">
      <alignment horizontal="left" vertical="center"/>
    </xf>
    <xf numFmtId="0" fontId="29" fillId="0" borderId="1" xfId="0" applyFont="1" applyBorder="1" applyAlignment="1">
      <alignment vertical="center"/>
    </xf>
    <xf numFmtId="0" fontId="29" fillId="0" borderId="2" xfId="0" applyFont="1" applyBorder="1" applyAlignment="1">
      <alignment vertical="center"/>
    </xf>
    <xf numFmtId="0" fontId="29" fillId="0" borderId="35" xfId="0" applyFont="1" applyBorder="1" applyAlignment="1">
      <alignment vertical="center"/>
    </xf>
    <xf numFmtId="0" fontId="29" fillId="0" borderId="36" xfId="0" applyFont="1" applyBorder="1" applyAlignment="1">
      <alignment vertical="center"/>
    </xf>
    <xf numFmtId="42" fontId="29" fillId="0" borderId="1" xfId="11" applyNumberFormat="1" applyFont="1" applyBorder="1" applyAlignment="1">
      <alignment vertical="center"/>
    </xf>
    <xf numFmtId="42" fontId="29" fillId="0" borderId="2" xfId="11" applyNumberFormat="1" applyFont="1" applyBorder="1" applyAlignment="1">
      <alignment vertical="center"/>
    </xf>
    <xf numFmtId="42" fontId="29" fillId="0" borderId="1" xfId="0" applyNumberFormat="1" applyFont="1" applyBorder="1" applyAlignment="1">
      <alignment horizontal="center" vertical="center"/>
    </xf>
    <xf numFmtId="42" fontId="29" fillId="0" borderId="3" xfId="0" applyNumberFormat="1" applyFont="1" applyBorder="1" applyAlignment="1">
      <alignment horizontal="center" vertical="center"/>
    </xf>
    <xf numFmtId="42" fontId="29" fillId="0" borderId="4" xfId="0" applyNumberFormat="1" applyFont="1" applyBorder="1" applyAlignment="1">
      <alignment vertical="center"/>
    </xf>
    <xf numFmtId="42" fontId="29" fillId="0" borderId="5" xfId="0" applyNumberFormat="1" applyFont="1" applyBorder="1" applyAlignment="1">
      <alignment vertical="center"/>
    </xf>
    <xf numFmtId="0" fontId="29" fillId="0" borderId="3" xfId="0" applyFont="1" applyBorder="1" applyAlignment="1">
      <alignment horizontal="center" vertical="center"/>
    </xf>
    <xf numFmtId="0" fontId="29" fillId="0" borderId="33" xfId="0" applyFont="1" applyBorder="1" applyAlignment="1">
      <alignment vertical="center"/>
    </xf>
    <xf numFmtId="0" fontId="29" fillId="0" borderId="10" xfId="0" applyFont="1" applyBorder="1" applyAlignment="1">
      <alignment vertical="center"/>
    </xf>
    <xf numFmtId="0" fontId="29" fillId="0" borderId="12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9" fillId="0" borderId="30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30" xfId="0" applyFont="1" applyBorder="1" applyAlignment="1">
      <alignment vertical="center"/>
    </xf>
    <xf numFmtId="0" fontId="29" fillId="0" borderId="9" xfId="0" applyFont="1" applyBorder="1" applyAlignment="1">
      <alignment vertical="center"/>
    </xf>
    <xf numFmtId="0" fontId="29" fillId="0" borderId="7" xfId="0" applyFont="1" applyBorder="1" applyAlignment="1">
      <alignment vertical="center"/>
    </xf>
    <xf numFmtId="0" fontId="29" fillId="0" borderId="1" xfId="0" applyFont="1" applyBorder="1" applyAlignment="1">
      <alignment vertical="center" wrapText="1"/>
    </xf>
    <xf numFmtId="0" fontId="29" fillId="0" borderId="3" xfId="0" applyFont="1" applyBorder="1" applyAlignment="1">
      <alignment vertical="center" wrapText="1"/>
    </xf>
    <xf numFmtId="0" fontId="29" fillId="0" borderId="10" xfId="0" applyFont="1" applyBorder="1" applyAlignment="1">
      <alignment vertical="center" wrapText="1"/>
    </xf>
    <xf numFmtId="0" fontId="29" fillId="0" borderId="12" xfId="0" applyFont="1" applyBorder="1" applyAlignment="1">
      <alignment vertical="center" wrapText="1"/>
    </xf>
    <xf numFmtId="0" fontId="29" fillId="0" borderId="4" xfId="0" applyFont="1" applyBorder="1" applyAlignment="1">
      <alignment vertical="center" wrapText="1"/>
    </xf>
    <xf numFmtId="0" fontId="29" fillId="0" borderId="6" xfId="0" applyFont="1" applyBorder="1" applyAlignment="1">
      <alignment vertical="center" wrapText="1"/>
    </xf>
    <xf numFmtId="0" fontId="29" fillId="0" borderId="1" xfId="0" applyFont="1" applyBorder="1" applyAlignment="1">
      <alignment horizontal="left" vertical="center" wrapText="1"/>
    </xf>
    <xf numFmtId="0" fontId="29" fillId="0" borderId="3" xfId="0" applyFont="1" applyBorder="1" applyAlignment="1">
      <alignment horizontal="left" vertical="center" wrapText="1"/>
    </xf>
    <xf numFmtId="0" fontId="19" fillId="0" borderId="24" xfId="8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9" fontId="25" fillId="0" borderId="0" xfId="13" applyFont="1" applyAlignment="1">
      <alignment vertical="center" wrapText="1"/>
    </xf>
  </cellXfs>
  <cellStyles count="14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5 2" xfId="5" xr:uid="{7DB35855-DF1D-41FD-8D1D-57F8E5731502}"/>
    <cellStyle name="Currency [0] 2 2" xfId="9" xr:uid="{31FE3FCA-9591-4575-ADF9-2469AC4B017F}"/>
    <cellStyle name="Normal" xfId="0" builtinId="0"/>
    <cellStyle name="Normal 2 2 2 2 3" xfId="6" xr:uid="{DE498679-5550-451A-81BA-8B6F40AD0748}"/>
    <cellStyle name="Normal 3" xfId="3" xr:uid="{80C6D651-5E36-4AE1-B2AF-24F7035690A9}"/>
    <cellStyle name="Normal 7" xfId="8" xr:uid="{8336AFE8-187C-4DC7-9E05-5CF89FA2A319}"/>
    <cellStyle name="Normal 7 3" xfId="10" xr:uid="{E3956C3F-B4CE-4040-AFD0-AC78C0F19FE7}"/>
    <cellStyle name="Percent" xfId="13" builtinId="5"/>
    <cellStyle name="Percent 3" xfId="7" xr:uid="{54F020B5-68BB-4710-814E-90969CA1DF9C}"/>
  </cellStyles>
  <dxfs count="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2130" y="5435712"/>
          <a:ext cx="8987970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13876" y="6717322"/>
          <a:ext cx="9203826" cy="174695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BUDGET/IRR/IBC/IBC%20Confirm/IRR%20Seasons%20City/PnL%20Apt.%20Seasons%20City%2029Jan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PARAMETER"/>
      <sheetName val="Book Value"/>
      <sheetName val="Analisa"/>
      <sheetName val="Summary B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 codeName="Sheet1">
    <pageSetUpPr fitToPage="1"/>
  </sheetPr>
  <dimension ref="B1:R35"/>
  <sheetViews>
    <sheetView showGridLines="0" zoomScale="70" zoomScaleNormal="70" workbookViewId="0">
      <selection activeCell="M3" sqref="M3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16.25" customHeight="1" x14ac:dyDescent="0.55000000000000004">
      <c r="B2" s="1" t="s">
        <v>0</v>
      </c>
      <c r="C2" s="2" t="s">
        <v>183</v>
      </c>
      <c r="M2" s="3"/>
      <c r="N2" s="4" t="str">
        <f>IRR!L1</f>
        <v>RS EKA HOSPITAL PEKANBARU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45645</v>
      </c>
    </row>
    <row r="4" spans="2:14" ht="18.5" x14ac:dyDescent="0.45">
      <c r="C4" s="5" t="s">
        <v>4</v>
      </c>
      <c r="D4" s="2" t="s">
        <v>5</v>
      </c>
    </row>
    <row r="5" spans="2:14" ht="0.9" customHeight="1" thickBot="1" x14ac:dyDescent="0.4">
      <c r="C5" s="2"/>
    </row>
    <row r="6" spans="2:14" s="7" customFormat="1" ht="19" thickBot="1" x14ac:dyDescent="0.5">
      <c r="B6" s="213" t="s">
        <v>6</v>
      </c>
      <c r="C6" s="214"/>
      <c r="D6" s="215"/>
      <c r="E6" s="213" t="s">
        <v>7</v>
      </c>
      <c r="F6" s="214"/>
      <c r="G6" s="214"/>
      <c r="H6" s="214"/>
      <c r="I6" s="214"/>
      <c r="J6" s="213" t="s">
        <v>8</v>
      </c>
      <c r="K6" s="214"/>
      <c r="L6" s="214"/>
      <c r="M6" s="214"/>
      <c r="N6" s="215"/>
    </row>
    <row r="7" spans="2:14" x14ac:dyDescent="0.35">
      <c r="B7" s="216" t="s">
        <v>9</v>
      </c>
      <c r="C7" s="217"/>
      <c r="D7" s="8" t="s">
        <v>184</v>
      </c>
      <c r="E7" s="218" t="s">
        <v>10</v>
      </c>
      <c r="F7" s="218"/>
      <c r="G7" s="218"/>
      <c r="H7" s="218"/>
      <c r="I7" s="218"/>
      <c r="J7" s="9"/>
      <c r="K7" s="217" t="s">
        <v>11</v>
      </c>
      <c r="L7" s="217"/>
      <c r="M7" s="10">
        <v>1619714072.9000001</v>
      </c>
      <c r="N7" s="8"/>
    </row>
    <row r="8" spans="2:14" x14ac:dyDescent="0.35">
      <c r="B8" s="211" t="s">
        <v>12</v>
      </c>
      <c r="C8" s="212"/>
      <c r="D8" s="11" t="s">
        <v>185</v>
      </c>
      <c r="E8" s="204" t="s">
        <v>13</v>
      </c>
      <c r="F8" s="204"/>
      <c r="G8" s="204"/>
      <c r="H8" s="12">
        <v>205</v>
      </c>
      <c r="J8" s="13"/>
      <c r="K8" s="204" t="s">
        <v>14</v>
      </c>
      <c r="L8" s="204"/>
      <c r="M8" s="25">
        <f>M7/H9</f>
        <v>7901044.2580487812</v>
      </c>
      <c r="N8" s="14"/>
    </row>
    <row r="9" spans="2:14" x14ac:dyDescent="0.35">
      <c r="B9" s="211"/>
      <c r="C9" s="212"/>
      <c r="D9" s="14"/>
      <c r="E9" s="204" t="s">
        <v>15</v>
      </c>
      <c r="F9" s="204"/>
      <c r="G9" s="204"/>
      <c r="H9" s="12">
        <v>205</v>
      </c>
      <c r="J9" s="13"/>
      <c r="K9" s="204" t="s">
        <v>16</v>
      </c>
      <c r="L9" s="204"/>
      <c r="M9" s="15">
        <v>5</v>
      </c>
      <c r="N9" s="14"/>
    </row>
    <row r="10" spans="2:14" x14ac:dyDescent="0.35">
      <c r="B10" s="16" t="s">
        <v>17</v>
      </c>
      <c r="C10" s="17"/>
      <c r="D10" s="14" t="s">
        <v>185</v>
      </c>
      <c r="E10" s="204" t="s">
        <v>18</v>
      </c>
      <c r="F10" s="204"/>
      <c r="G10" s="204"/>
      <c r="H10" s="18">
        <v>0</v>
      </c>
      <c r="J10" s="13"/>
      <c r="K10" s="19" t="s">
        <v>19</v>
      </c>
      <c r="L10" s="19"/>
      <c r="M10" s="20">
        <f>[2]IRR!F3</f>
        <v>0.1</v>
      </c>
      <c r="N10" s="14"/>
    </row>
    <row r="11" spans="2:14" x14ac:dyDescent="0.35">
      <c r="B11" s="21" t="s">
        <v>20</v>
      </c>
      <c r="C11" s="19"/>
      <c r="D11" s="14" t="s">
        <v>186</v>
      </c>
      <c r="E11" s="205" t="s">
        <v>21</v>
      </c>
      <c r="F11" s="205"/>
      <c r="G11" s="205"/>
      <c r="H11" s="205"/>
      <c r="I11" s="205"/>
      <c r="J11" s="22"/>
      <c r="K11" s="204" t="s">
        <v>22</v>
      </c>
      <c r="L11" s="204"/>
      <c r="M11" s="10">
        <f>IRR!L18</f>
        <v>2244450000</v>
      </c>
      <c r="N11" s="14"/>
    </row>
    <row r="12" spans="2:14" x14ac:dyDescent="0.35">
      <c r="B12" s="21" t="s">
        <v>23</v>
      </c>
      <c r="C12" s="19"/>
      <c r="D12" s="14" t="s">
        <v>24</v>
      </c>
      <c r="E12" s="203" t="s">
        <v>25</v>
      </c>
      <c r="F12" s="203"/>
      <c r="G12" s="203"/>
      <c r="H12" s="23">
        <v>0</v>
      </c>
      <c r="J12" s="13"/>
      <c r="K12" s="204" t="s">
        <v>221</v>
      </c>
      <c r="L12" s="204"/>
      <c r="M12" s="10">
        <f>IRR!G9</f>
        <v>55629625.895833313</v>
      </c>
      <c r="N12" s="14"/>
    </row>
    <row r="13" spans="2:14" x14ac:dyDescent="0.35">
      <c r="B13" s="21" t="s">
        <v>26</v>
      </c>
      <c r="C13" s="19"/>
      <c r="D13" s="24"/>
      <c r="E13" s="203" t="s">
        <v>27</v>
      </c>
      <c r="F13" s="203"/>
      <c r="G13" s="203"/>
      <c r="H13" s="23">
        <v>0</v>
      </c>
      <c r="J13" s="13"/>
      <c r="K13" s="204" t="s">
        <v>28</v>
      </c>
      <c r="L13" s="204"/>
      <c r="M13" s="10">
        <f>IRR!L21</f>
        <v>812500000</v>
      </c>
      <c r="N13" s="14"/>
    </row>
    <row r="14" spans="2:14" x14ac:dyDescent="0.35">
      <c r="B14" s="21" t="s">
        <v>29</v>
      </c>
      <c r="C14" s="19"/>
      <c r="D14" s="24"/>
      <c r="E14" s="203" t="s">
        <v>30</v>
      </c>
      <c r="F14" s="203"/>
      <c r="G14" s="203"/>
      <c r="H14" s="23">
        <v>0</v>
      </c>
      <c r="J14" s="13"/>
      <c r="K14" s="204" t="s">
        <v>31</v>
      </c>
      <c r="L14" s="204"/>
      <c r="M14" s="25">
        <f>IRR!L22+IRR!L23+IRR!L24</f>
        <v>500922500</v>
      </c>
      <c r="N14" s="14"/>
    </row>
    <row r="15" spans="2:14" ht="16" thickBot="1" x14ac:dyDescent="0.4">
      <c r="B15" s="21" t="s">
        <v>32</v>
      </c>
      <c r="C15" s="19"/>
      <c r="D15" s="26"/>
      <c r="E15" s="27"/>
      <c r="F15" s="27"/>
      <c r="G15" s="27"/>
      <c r="H15" s="23"/>
      <c r="J15" s="13"/>
      <c r="K15" s="19"/>
      <c r="L15" s="19"/>
      <c r="N15" s="14"/>
    </row>
    <row r="16" spans="2:14" x14ac:dyDescent="0.35">
      <c r="B16" s="13"/>
      <c r="D16" s="14"/>
      <c r="E16" s="205" t="s">
        <v>33</v>
      </c>
      <c r="F16" s="205"/>
      <c r="G16" s="205"/>
      <c r="H16" s="205"/>
      <c r="I16" s="205"/>
      <c r="J16" s="28"/>
      <c r="K16" s="206" t="s">
        <v>34</v>
      </c>
      <c r="L16" s="207"/>
      <c r="M16" s="29">
        <f>IRR!F39</f>
        <v>0.49939523257211849</v>
      </c>
      <c r="N16" s="14"/>
    </row>
    <row r="17" spans="2:18" x14ac:dyDescent="0.35">
      <c r="B17" s="13"/>
      <c r="D17" s="14"/>
      <c r="J17" s="30"/>
      <c r="K17" s="208" t="s">
        <v>35</v>
      </c>
      <c r="L17" s="209"/>
      <c r="M17" s="31">
        <f>IRR!F40</f>
        <v>506110524.06961471</v>
      </c>
      <c r="N17" s="14"/>
    </row>
    <row r="18" spans="2:18" x14ac:dyDescent="0.35">
      <c r="B18" s="13"/>
      <c r="D18" s="14"/>
      <c r="J18" s="30"/>
      <c r="K18" s="208" t="s">
        <v>36</v>
      </c>
      <c r="L18" s="209"/>
      <c r="M18" s="32">
        <f>IRR!F41</f>
        <v>0.41481320590790616</v>
      </c>
      <c r="N18" s="14"/>
      <c r="R18" s="1" t="s">
        <v>37</v>
      </c>
    </row>
    <row r="19" spans="2:18" ht="16" thickBot="1" x14ac:dyDescent="0.4">
      <c r="B19" s="13"/>
      <c r="D19" s="14"/>
      <c r="J19" s="30"/>
      <c r="K19" s="199" t="s">
        <v>38</v>
      </c>
      <c r="L19" s="200"/>
      <c r="M19" s="33">
        <f>IRR!F42</f>
        <v>2.5255760646875398</v>
      </c>
      <c r="N19" s="14"/>
      <c r="Q19" s="1" t="s">
        <v>37</v>
      </c>
    </row>
    <row r="20" spans="2:18" ht="16" thickBot="1" x14ac:dyDescent="0.4">
      <c r="B20" s="34"/>
      <c r="C20" s="35"/>
      <c r="D20" s="36"/>
      <c r="E20" s="35"/>
      <c r="F20" s="35" t="s">
        <v>37</v>
      </c>
      <c r="G20" s="35"/>
      <c r="H20" s="35"/>
      <c r="I20" s="35"/>
      <c r="J20" s="13"/>
      <c r="K20" s="37"/>
      <c r="L20" s="19"/>
      <c r="M20" s="19"/>
      <c r="N20" s="14"/>
    </row>
    <row r="21" spans="2:18" x14ac:dyDescent="0.35">
      <c r="B21" s="38" t="s">
        <v>39</v>
      </c>
      <c r="C21" s="39"/>
      <c r="D21" s="39"/>
      <c r="E21" s="39"/>
      <c r="F21" s="39"/>
      <c r="G21" s="39"/>
      <c r="H21" s="39"/>
      <c r="I21" s="39"/>
      <c r="J21" s="39"/>
      <c r="L21" s="210" t="s">
        <v>40</v>
      </c>
      <c r="M21" s="210"/>
      <c r="N21" s="8"/>
    </row>
    <row r="22" spans="2:18" x14ac:dyDescent="0.35">
      <c r="B22" s="13" t="s">
        <v>41</v>
      </c>
      <c r="D22" s="1" t="s">
        <v>42</v>
      </c>
      <c r="L22" s="201" t="s">
        <v>43</v>
      </c>
      <c r="M22" s="202"/>
      <c r="N22" s="14"/>
    </row>
    <row r="23" spans="2:18" x14ac:dyDescent="0.35">
      <c r="B23" s="13"/>
      <c r="D23" s="1" t="s">
        <v>42</v>
      </c>
      <c r="N23" s="14"/>
    </row>
    <row r="24" spans="2:18" x14ac:dyDescent="0.35">
      <c r="B24" s="13"/>
      <c r="D24" s="1" t="s">
        <v>42</v>
      </c>
      <c r="N24" s="14"/>
    </row>
    <row r="25" spans="2:18" x14ac:dyDescent="0.35">
      <c r="B25" s="13"/>
      <c r="N25" s="14"/>
    </row>
    <row r="26" spans="2:18" ht="16" thickBot="1" x14ac:dyDescent="0.4">
      <c r="B26" s="34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6"/>
    </row>
    <row r="28" spans="2:18" x14ac:dyDescent="0.35">
      <c r="B28" s="2" t="s">
        <v>44</v>
      </c>
    </row>
    <row r="29" spans="2:18" x14ac:dyDescent="0.35"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</row>
    <row r="30" spans="2:18" x14ac:dyDescent="0.35"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</row>
    <row r="31" spans="2:18" x14ac:dyDescent="0.35"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</row>
    <row r="32" spans="2:18" x14ac:dyDescent="0.35"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</row>
    <row r="33" spans="2:15" x14ac:dyDescent="0.35"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</row>
    <row r="34" spans="2:15" x14ac:dyDescent="0.35"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</row>
    <row r="35" spans="2:15" x14ac:dyDescent="0.35"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1:I11"/>
    <mergeCell ref="K11:L11"/>
    <mergeCell ref="E12:G12"/>
    <mergeCell ref="K12:L12"/>
    <mergeCell ref="K19:L19"/>
    <mergeCell ref="L22:M22"/>
    <mergeCell ref="E14:G14"/>
    <mergeCell ref="K14:L14"/>
    <mergeCell ref="E16:I16"/>
    <mergeCell ref="K16:L16"/>
    <mergeCell ref="K17:L17"/>
    <mergeCell ref="K18:L18"/>
    <mergeCell ref="L21:M21"/>
  </mergeCells>
  <pageMargins left="0.7" right="0.7" top="0.75" bottom="0.75" header="0.3" footer="0.3"/>
  <pageSetup paperSize="9" scale="94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 codeName="Sheet2"/>
  <dimension ref="B1:T53"/>
  <sheetViews>
    <sheetView showGridLines="0" tabSelected="1" topLeftCell="A26" zoomScale="86" zoomScaleNormal="86" workbookViewId="0">
      <selection activeCell="M44" sqref="M44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8.81640625" style="1" customWidth="1"/>
    <col min="7" max="7" width="19.54296875" style="41" customWidth="1"/>
    <col min="8" max="8" width="19.90625" style="1" customWidth="1"/>
    <col min="9" max="10" width="17.36328125" style="1" bestFit="1" customWidth="1"/>
    <col min="11" max="11" width="17.81640625" style="1" bestFit="1" customWidth="1"/>
    <col min="12" max="12" width="19.1796875" style="1" bestFit="1" customWidth="1"/>
    <col min="13" max="13" width="17.6328125" style="1" customWidth="1"/>
    <col min="14" max="17" width="16.6328125" style="1" bestFit="1" customWidth="1"/>
    <col min="18" max="18" width="17.36328125" style="1" bestFit="1" customWidth="1"/>
    <col min="19" max="19" width="13" style="1" bestFit="1" customWidth="1"/>
    <col min="20" max="16384" width="11.81640625" style="1"/>
  </cols>
  <sheetData>
    <row r="1" spans="2:20" ht="23.5" x14ac:dyDescent="0.55000000000000004">
      <c r="B1" s="1" t="s">
        <v>45</v>
      </c>
      <c r="C1" s="1" t="s">
        <v>183</v>
      </c>
      <c r="L1" s="4" t="s">
        <v>182</v>
      </c>
    </row>
    <row r="2" spans="2:20" x14ac:dyDescent="0.35">
      <c r="B2" s="42" t="s">
        <v>46</v>
      </c>
      <c r="H2" s="178" t="s">
        <v>47</v>
      </c>
      <c r="I2" s="179" t="s">
        <v>48</v>
      </c>
    </row>
    <row r="3" spans="2:20" x14ac:dyDescent="0.35">
      <c r="C3" s="1" t="s">
        <v>49</v>
      </c>
      <c r="E3" s="44">
        <v>0.02</v>
      </c>
      <c r="H3" s="180" t="s">
        <v>177</v>
      </c>
      <c r="I3" s="45">
        <v>-0.1</v>
      </c>
      <c r="M3" s="46"/>
      <c r="N3" s="46"/>
    </row>
    <row r="4" spans="2:20" x14ac:dyDescent="0.35">
      <c r="C4" s="1" t="s">
        <v>50</v>
      </c>
      <c r="E4" s="44">
        <v>0.1</v>
      </c>
      <c r="H4" s="180" t="s">
        <v>178</v>
      </c>
      <c r="I4" s="45"/>
      <c r="M4" s="46"/>
      <c r="N4" s="46"/>
    </row>
    <row r="5" spans="2:20" x14ac:dyDescent="0.35">
      <c r="C5" s="1" t="s">
        <v>51</v>
      </c>
      <c r="E5" s="44">
        <v>0.05</v>
      </c>
      <c r="F5" s="41" t="s">
        <v>52</v>
      </c>
      <c r="H5" s="180" t="s">
        <v>180</v>
      </c>
      <c r="I5" s="1" t="s">
        <v>181</v>
      </c>
      <c r="N5" s="47"/>
      <c r="O5" s="47"/>
      <c r="P5" s="47"/>
      <c r="Q5" s="47"/>
    </row>
    <row r="6" spans="2:20" x14ac:dyDescent="0.35">
      <c r="C6" s="1" t="s">
        <v>53</v>
      </c>
      <c r="E6" s="48">
        <v>0</v>
      </c>
      <c r="F6" s="41" t="s">
        <v>52</v>
      </c>
      <c r="H6" s="180" t="s">
        <v>179</v>
      </c>
      <c r="I6" s="1" t="s">
        <v>181</v>
      </c>
    </row>
    <row r="7" spans="2:20" ht="3" customHeight="1" x14ac:dyDescent="0.35">
      <c r="F7" s="44"/>
    </row>
    <row r="8" spans="2:20" ht="14.4" customHeight="1" x14ac:dyDescent="0.35">
      <c r="B8" s="2"/>
      <c r="G8" s="43" t="s">
        <v>54</v>
      </c>
      <c r="H8" s="43" t="s">
        <v>55</v>
      </c>
      <c r="I8" s="43" t="s">
        <v>56</v>
      </c>
      <c r="J8" s="43" t="s">
        <v>57</v>
      </c>
      <c r="K8" s="43" t="s">
        <v>58</v>
      </c>
      <c r="M8" s="49"/>
      <c r="R8" s="49"/>
      <c r="S8" s="49"/>
      <c r="T8" s="49"/>
    </row>
    <row r="9" spans="2:20" s="51" customFormat="1" ht="16" thickBot="1" x14ac:dyDescent="0.4">
      <c r="B9" s="50" t="s">
        <v>59</v>
      </c>
      <c r="E9" s="51" t="s">
        <v>210</v>
      </c>
      <c r="F9" s="52"/>
      <c r="G9" s="53">
        <v>55629625.895833313</v>
      </c>
      <c r="H9" s="53">
        <v>0</v>
      </c>
      <c r="I9" s="53">
        <v>0</v>
      </c>
      <c r="J9" s="53">
        <v>0</v>
      </c>
      <c r="K9" s="53"/>
      <c r="L9" s="52"/>
      <c r="M9" s="52"/>
      <c r="N9" s="1"/>
      <c r="O9" s="1"/>
      <c r="P9" s="1"/>
      <c r="Q9" s="1"/>
      <c r="R9" s="52"/>
      <c r="S9" s="52"/>
      <c r="T9" s="52"/>
    </row>
    <row r="10" spans="2:20" s="51" customFormat="1" ht="16" thickTop="1" x14ac:dyDescent="0.35">
      <c r="B10" s="50"/>
      <c r="E10" s="51" t="s">
        <v>60</v>
      </c>
      <c r="F10" s="52"/>
      <c r="G10" s="52"/>
      <c r="H10" s="52"/>
      <c r="I10" s="52"/>
      <c r="J10" s="52"/>
      <c r="K10" s="52"/>
      <c r="L10" s="52"/>
      <c r="M10" s="52"/>
      <c r="N10" s="1"/>
      <c r="O10" s="1"/>
      <c r="P10" s="1"/>
      <c r="Q10" s="1"/>
      <c r="R10" s="52"/>
      <c r="S10" s="52"/>
      <c r="T10" s="52"/>
    </row>
    <row r="11" spans="2:20" x14ac:dyDescent="0.35">
      <c r="F11" s="54"/>
      <c r="G11" s="55">
        <v>2025</v>
      </c>
      <c r="H11" s="55">
        <f>G11+1</f>
        <v>2026</v>
      </c>
      <c r="I11" s="55">
        <f t="shared" ref="I11:K11" si="0">H11+1</f>
        <v>2027</v>
      </c>
      <c r="J11" s="55">
        <f t="shared" si="0"/>
        <v>2028</v>
      </c>
      <c r="K11" s="55">
        <f t="shared" si="0"/>
        <v>2029</v>
      </c>
      <c r="L11" s="55"/>
    </row>
    <row r="12" spans="2:20" ht="16" thickBot="1" x14ac:dyDescent="0.4">
      <c r="B12" s="56" t="s">
        <v>61</v>
      </c>
      <c r="C12" s="35"/>
      <c r="D12" s="35"/>
      <c r="E12" s="35"/>
      <c r="F12" s="57" t="s">
        <v>176</v>
      </c>
      <c r="G12" s="57" t="s">
        <v>62</v>
      </c>
      <c r="H12" s="58" t="s">
        <v>63</v>
      </c>
      <c r="I12" s="57" t="s">
        <v>64</v>
      </c>
      <c r="J12" s="58" t="s">
        <v>65</v>
      </c>
      <c r="K12" s="57" t="s">
        <v>66</v>
      </c>
      <c r="L12" s="59" t="s">
        <v>67</v>
      </c>
      <c r="M12" s="47"/>
      <c r="N12" s="60"/>
      <c r="O12" s="60"/>
      <c r="P12" s="60"/>
      <c r="Q12" s="60"/>
      <c r="R12" s="47"/>
    </row>
    <row r="13" spans="2:20" x14ac:dyDescent="0.35">
      <c r="B13" s="1" t="s">
        <v>68</v>
      </c>
      <c r="G13" s="55">
        <v>12</v>
      </c>
      <c r="H13" s="55">
        <v>12</v>
      </c>
      <c r="I13" s="55">
        <v>12</v>
      </c>
      <c r="J13" s="55">
        <v>12</v>
      </c>
      <c r="K13" s="55">
        <v>12</v>
      </c>
      <c r="L13" s="61"/>
      <c r="N13" s="46"/>
      <c r="O13" s="46"/>
      <c r="P13" s="46"/>
      <c r="Q13" s="46"/>
    </row>
    <row r="14" spans="2:20" ht="5.4" customHeight="1" x14ac:dyDescent="0.35">
      <c r="L14" s="61"/>
      <c r="N14" s="62"/>
      <c r="O14" s="62"/>
      <c r="P14" s="62"/>
      <c r="Q14" s="62"/>
    </row>
    <row r="15" spans="2:20" x14ac:dyDescent="0.35">
      <c r="B15" s="2" t="s">
        <v>69</v>
      </c>
      <c r="E15" s="63"/>
      <c r="G15" s="64"/>
      <c r="H15" s="65"/>
      <c r="I15" s="66"/>
      <c r="J15" s="66"/>
      <c r="K15" s="66"/>
      <c r="L15" s="61"/>
      <c r="N15" s="60"/>
      <c r="O15" s="60"/>
      <c r="P15" s="60"/>
      <c r="Q15" s="60"/>
    </row>
    <row r="16" spans="2:20" x14ac:dyDescent="0.35">
      <c r="B16" s="2"/>
      <c r="C16" s="1" t="s">
        <v>70</v>
      </c>
      <c r="E16" s="63"/>
      <c r="G16" s="65">
        <f>332100000*90%</f>
        <v>298890000</v>
      </c>
      <c r="H16" s="65">
        <f>G16</f>
        <v>298890000</v>
      </c>
      <c r="I16" s="65">
        <f t="shared" ref="I16:K16" si="1">H16</f>
        <v>298890000</v>
      </c>
      <c r="J16" s="65">
        <f t="shared" si="1"/>
        <v>298890000</v>
      </c>
      <c r="K16" s="65">
        <f t="shared" si="1"/>
        <v>298890000</v>
      </c>
      <c r="L16" s="67">
        <f>SUM(G16:K17)</f>
        <v>2244450000</v>
      </c>
      <c r="N16" s="60"/>
      <c r="O16" s="60"/>
      <c r="P16" s="60"/>
      <c r="Q16" s="60"/>
    </row>
    <row r="17" spans="2:19" x14ac:dyDescent="0.35">
      <c r="B17" s="2"/>
      <c r="C17" s="1" t="s">
        <v>211</v>
      </c>
      <c r="E17" s="63"/>
      <c r="G17" s="65">
        <v>150000000</v>
      </c>
      <c r="H17" s="65">
        <f t="shared" ref="H17:K17" si="2">G17</f>
        <v>150000000</v>
      </c>
      <c r="I17" s="65">
        <f t="shared" si="2"/>
        <v>150000000</v>
      </c>
      <c r="J17" s="65">
        <f t="shared" si="2"/>
        <v>150000000</v>
      </c>
      <c r="K17" s="65">
        <f t="shared" si="2"/>
        <v>150000000</v>
      </c>
      <c r="L17" s="67">
        <f>SUM(G17:K18)</f>
        <v>2994450000</v>
      </c>
      <c r="N17" s="60"/>
      <c r="O17" s="60"/>
      <c r="P17" s="60"/>
      <c r="Q17" s="60"/>
    </row>
    <row r="18" spans="2:19" x14ac:dyDescent="0.35">
      <c r="B18" s="70" t="s">
        <v>71</v>
      </c>
      <c r="C18" s="70"/>
      <c r="D18" s="70"/>
      <c r="E18" s="219"/>
      <c r="F18" s="220"/>
      <c r="G18" s="71">
        <f>SUM(G16:G17)</f>
        <v>448890000</v>
      </c>
      <c r="H18" s="71">
        <f>SUM(H16:H17)</f>
        <v>448890000</v>
      </c>
      <c r="I18" s="71">
        <f>SUM(I16:I17)</f>
        <v>448890000</v>
      </c>
      <c r="J18" s="71">
        <f>SUM(J16:J17)</f>
        <v>448890000</v>
      </c>
      <c r="K18" s="71">
        <f>SUM(K16:K17)</f>
        <v>448890000</v>
      </c>
      <c r="L18" s="72">
        <f>SUM(G18:K18)</f>
        <v>2244450000</v>
      </c>
      <c r="M18" s="60"/>
      <c r="N18" s="73"/>
      <c r="O18" s="73"/>
      <c r="P18" s="73"/>
      <c r="Q18" s="73"/>
      <c r="R18" s="60"/>
      <c r="S18" s="46"/>
    </row>
    <row r="19" spans="2:19" x14ac:dyDescent="0.35">
      <c r="L19" s="61"/>
      <c r="M19" s="46"/>
      <c r="N19" s="73"/>
      <c r="O19" s="73"/>
      <c r="P19" s="73"/>
      <c r="Q19" s="73"/>
      <c r="R19" s="46"/>
      <c r="S19" s="46"/>
    </row>
    <row r="20" spans="2:19" x14ac:dyDescent="0.35">
      <c r="B20" s="2" t="s">
        <v>72</v>
      </c>
      <c r="E20" s="63"/>
      <c r="F20" s="63"/>
      <c r="G20" s="64"/>
      <c r="H20" s="63"/>
      <c r="I20" s="66"/>
      <c r="J20" s="66"/>
      <c r="K20" s="66"/>
      <c r="L20" s="74"/>
      <c r="M20" s="62"/>
      <c r="N20" s="75"/>
      <c r="O20" s="75"/>
      <c r="P20" s="75"/>
      <c r="Q20" s="75"/>
      <c r="R20" s="46"/>
      <c r="S20" s="46"/>
    </row>
    <row r="21" spans="2:19" x14ac:dyDescent="0.35">
      <c r="C21" s="1" t="s">
        <v>73</v>
      </c>
      <c r="E21" s="76"/>
      <c r="G21" s="77">
        <v>812500000</v>
      </c>
      <c r="H21" s="77"/>
      <c r="I21" s="77"/>
      <c r="J21" s="77"/>
      <c r="K21" s="77"/>
      <c r="L21" s="78">
        <f>SUM(G21:K21)</f>
        <v>812500000</v>
      </c>
      <c r="M21" s="60" t="s">
        <v>37</v>
      </c>
      <c r="N21" s="60"/>
      <c r="O21" s="60"/>
      <c r="P21" s="60"/>
      <c r="Q21" s="60"/>
      <c r="R21" s="79"/>
      <c r="S21" s="46"/>
    </row>
    <row r="22" spans="2:19" x14ac:dyDescent="0.35">
      <c r="C22" s="1" t="s">
        <v>74</v>
      </c>
      <c r="F22" s="80"/>
      <c r="G22" s="25">
        <v>36000000</v>
      </c>
      <c r="H22" s="196">
        <f>G22</f>
        <v>36000000</v>
      </c>
      <c r="I22" s="196">
        <f t="shared" ref="I22:K22" si="3">H22</f>
        <v>36000000</v>
      </c>
      <c r="J22" s="196">
        <f t="shared" si="3"/>
        <v>36000000</v>
      </c>
      <c r="K22" s="196">
        <f t="shared" si="3"/>
        <v>36000000</v>
      </c>
      <c r="L22" s="78">
        <f>SUM(G22:K22)</f>
        <v>180000000</v>
      </c>
      <c r="M22" s="60"/>
      <c r="N22" s="81"/>
      <c r="O22" s="81"/>
      <c r="P22" s="81"/>
      <c r="Q22" s="81"/>
      <c r="R22" s="79"/>
      <c r="S22" s="46"/>
    </row>
    <row r="23" spans="2:19" x14ac:dyDescent="0.35">
      <c r="C23" s="1" t="s">
        <v>75</v>
      </c>
      <c r="G23" s="82">
        <f>Parameter!L60</f>
        <v>41740000</v>
      </c>
      <c r="H23" s="82">
        <f>G23</f>
        <v>41740000</v>
      </c>
      <c r="I23" s="82">
        <f t="shared" ref="I23:K23" si="4">H23</f>
        <v>41740000</v>
      </c>
      <c r="J23" s="82">
        <f t="shared" si="4"/>
        <v>41740000</v>
      </c>
      <c r="K23" s="82">
        <f t="shared" si="4"/>
        <v>41740000</v>
      </c>
      <c r="L23" s="78">
        <f>SUM(G23:K23)</f>
        <v>208700000</v>
      </c>
      <c r="M23" s="60"/>
      <c r="N23" s="81"/>
      <c r="O23" s="81"/>
      <c r="P23" s="81"/>
      <c r="Q23" s="81"/>
      <c r="R23" s="79"/>
      <c r="S23" s="46"/>
    </row>
    <row r="24" spans="2:19" x14ac:dyDescent="0.35">
      <c r="B24" s="83"/>
      <c r="C24" s="83" t="s">
        <v>51</v>
      </c>
      <c r="D24" s="83"/>
      <c r="E24" s="83"/>
      <c r="F24" s="83"/>
      <c r="G24" s="84">
        <f>G18*$E$5</f>
        <v>22444500</v>
      </c>
      <c r="H24" s="84">
        <f>H18*$E$5</f>
        <v>22444500</v>
      </c>
      <c r="I24" s="84">
        <f>I18*$E$5</f>
        <v>22444500</v>
      </c>
      <c r="J24" s="84">
        <f>J18*$E$5</f>
        <v>22444500</v>
      </c>
      <c r="K24" s="84">
        <f>K18*$E$5</f>
        <v>22444500</v>
      </c>
      <c r="L24" s="78">
        <f>SUM(G24:K24)</f>
        <v>112222500</v>
      </c>
      <c r="M24" s="69"/>
      <c r="N24" s="81"/>
      <c r="O24" s="81"/>
      <c r="P24" s="81"/>
      <c r="Q24" s="81"/>
      <c r="R24" s="79"/>
      <c r="S24" s="46"/>
    </row>
    <row r="25" spans="2:19" s="2" customFormat="1" x14ac:dyDescent="0.35">
      <c r="B25" s="70" t="s">
        <v>76</v>
      </c>
      <c r="C25" s="70"/>
      <c r="D25" s="70"/>
      <c r="E25" s="70"/>
      <c r="F25" s="70"/>
      <c r="G25" s="71">
        <f>SUM(G21:G24)</f>
        <v>912684500</v>
      </c>
      <c r="H25" s="71">
        <f>SUM(H21:H24)</f>
        <v>100184500</v>
      </c>
      <c r="I25" s="71">
        <f t="shared" ref="I25:K25" si="5">SUM(I21:I24)</f>
        <v>100184500</v>
      </c>
      <c r="J25" s="71">
        <f t="shared" si="5"/>
        <v>100184500</v>
      </c>
      <c r="K25" s="71">
        <f t="shared" si="5"/>
        <v>100184500</v>
      </c>
      <c r="L25" s="85">
        <f>SUM(L21:L24)</f>
        <v>1313422500</v>
      </c>
      <c r="M25" s="73"/>
      <c r="N25" s="86"/>
      <c r="O25" s="86"/>
      <c r="P25" s="86"/>
      <c r="Q25" s="86"/>
      <c r="R25" s="73"/>
      <c r="S25" s="87"/>
    </row>
    <row r="26" spans="2:19" s="2" customFormat="1" x14ac:dyDescent="0.35">
      <c r="B26" s="2" t="s">
        <v>77</v>
      </c>
      <c r="G26" s="177">
        <f>G18-G25</f>
        <v>-463794500</v>
      </c>
      <c r="H26" s="88">
        <f>H18-H25</f>
        <v>348705500</v>
      </c>
      <c r="I26" s="88">
        <f t="shared" ref="I26:K26" si="6">I18-I25</f>
        <v>348705500</v>
      </c>
      <c r="J26" s="88">
        <f t="shared" si="6"/>
        <v>348705500</v>
      </c>
      <c r="K26" s="88">
        <f t="shared" si="6"/>
        <v>348705500</v>
      </c>
      <c r="L26" s="89">
        <f>L18-L25</f>
        <v>931027500</v>
      </c>
      <c r="M26" s="73"/>
      <c r="N26" s="81"/>
      <c r="O26" s="81"/>
      <c r="P26" s="81"/>
      <c r="Q26" s="81"/>
      <c r="R26" s="73"/>
      <c r="S26" s="87"/>
    </row>
    <row r="27" spans="2:19" s="2" customFormat="1" x14ac:dyDescent="0.35">
      <c r="B27" s="90" t="s">
        <v>78</v>
      </c>
      <c r="C27" s="91"/>
      <c r="D27" s="91"/>
      <c r="E27" s="91"/>
      <c r="F27" s="91"/>
      <c r="G27" s="92">
        <v>0</v>
      </c>
      <c r="H27" s="92">
        <f>H26/H18</f>
        <v>0.776817260353316</v>
      </c>
      <c r="I27" s="92">
        <f t="shared" ref="I27:K27" si="7">I26/I18</f>
        <v>0.776817260353316</v>
      </c>
      <c r="J27" s="92">
        <f t="shared" si="7"/>
        <v>0.776817260353316</v>
      </c>
      <c r="K27" s="92">
        <f t="shared" si="7"/>
        <v>0.776817260353316</v>
      </c>
      <c r="L27" s="93">
        <f>L26/L18</f>
        <v>0.41481320590790616</v>
      </c>
      <c r="M27" s="75"/>
      <c r="N27" s="46"/>
      <c r="O27" s="46"/>
      <c r="P27" s="46"/>
      <c r="Q27" s="46"/>
      <c r="R27" s="75"/>
      <c r="S27" s="87"/>
    </row>
    <row r="28" spans="2:19" x14ac:dyDescent="0.35">
      <c r="B28" s="83" t="s">
        <v>79</v>
      </c>
      <c r="C28" s="83"/>
      <c r="D28" s="83"/>
      <c r="E28" s="83"/>
      <c r="F28" s="83"/>
      <c r="G28" s="94">
        <f>G50</f>
        <v>11125925.179166663</v>
      </c>
      <c r="H28" s="94">
        <f>H50</f>
        <v>11125925.179166663</v>
      </c>
      <c r="I28" s="94">
        <f>I50</f>
        <v>11125925.179166663</v>
      </c>
      <c r="J28" s="94">
        <f>J50</f>
        <v>11125925.179166663</v>
      </c>
      <c r="K28" s="94">
        <f>K50</f>
        <v>11125925.179166663</v>
      </c>
      <c r="L28" s="95">
        <f>SUM(G28:K28)</f>
        <v>55629625.895833313</v>
      </c>
      <c r="M28" s="60"/>
      <c r="N28" s="96"/>
      <c r="O28" s="96"/>
      <c r="P28" s="96"/>
      <c r="Q28" s="96"/>
      <c r="R28" s="60"/>
      <c r="S28" s="46"/>
    </row>
    <row r="29" spans="2:19" x14ac:dyDescent="0.35">
      <c r="B29" s="1" t="s">
        <v>80</v>
      </c>
      <c r="G29" s="97">
        <f t="shared" ref="G29:L29" si="8">G26-G28</f>
        <v>-474920425.17916667</v>
      </c>
      <c r="H29" s="97">
        <f t="shared" si="8"/>
        <v>337579574.82083333</v>
      </c>
      <c r="I29" s="97">
        <f t="shared" si="8"/>
        <v>337579574.82083333</v>
      </c>
      <c r="J29" s="97">
        <f t="shared" si="8"/>
        <v>337579574.82083333</v>
      </c>
      <c r="K29" s="97">
        <f t="shared" si="8"/>
        <v>337579574.82083333</v>
      </c>
      <c r="L29" s="98">
        <f t="shared" si="8"/>
        <v>875397874.10416675</v>
      </c>
      <c r="M29" s="81"/>
      <c r="N29" s="96"/>
      <c r="O29" s="96"/>
      <c r="P29" s="96"/>
      <c r="Q29" s="96"/>
      <c r="R29" s="81"/>
      <c r="S29" s="46"/>
    </row>
    <row r="30" spans="2:19" x14ac:dyDescent="0.35">
      <c r="B30" s="1" t="s">
        <v>81</v>
      </c>
      <c r="G30" s="99">
        <f>Parameter!M19</f>
        <v>1619223.7400000002</v>
      </c>
      <c r="H30" s="99">
        <f>Parameter!N19</f>
        <v>606689.30000000005</v>
      </c>
      <c r="I30" s="99">
        <f>Parameter!O19</f>
        <v>75316.560000000012</v>
      </c>
      <c r="J30" s="99">
        <f>Parameter!P19</f>
        <v>25105.520000000008</v>
      </c>
      <c r="K30" s="99">
        <f>Parameter!Q19</f>
        <v>0</v>
      </c>
      <c r="L30" s="100">
        <f>SUM(G30:K30)</f>
        <v>2326335.12</v>
      </c>
      <c r="M30" s="81"/>
      <c r="N30" s="96"/>
      <c r="O30" s="96"/>
      <c r="P30" s="96"/>
      <c r="Q30" s="96"/>
      <c r="R30" s="81"/>
      <c r="S30" s="46"/>
    </row>
    <row r="31" spans="2:19" x14ac:dyDescent="0.35">
      <c r="B31" s="1" t="s">
        <v>82</v>
      </c>
      <c r="G31" s="181">
        <f t="shared" ref="G31:K31" si="9">G29-G30</f>
        <v>-476539648.91916668</v>
      </c>
      <c r="H31" s="99">
        <f t="shared" si="9"/>
        <v>336972885.52083331</v>
      </c>
      <c r="I31" s="99">
        <f t="shared" si="9"/>
        <v>337504258.26083332</v>
      </c>
      <c r="J31" s="99">
        <f t="shared" si="9"/>
        <v>337554469.30083334</v>
      </c>
      <c r="K31" s="99">
        <f t="shared" si="9"/>
        <v>337579574.82083333</v>
      </c>
      <c r="L31" s="100">
        <f>SUM(G31:K31)</f>
        <v>873071538.98416662</v>
      </c>
      <c r="M31" s="81"/>
      <c r="N31" s="101"/>
      <c r="O31" s="101"/>
      <c r="P31" s="101"/>
      <c r="Q31" s="101"/>
      <c r="R31" s="81"/>
      <c r="S31" s="46"/>
    </row>
    <row r="32" spans="2:19" x14ac:dyDescent="0.35">
      <c r="B32" s="83" t="s">
        <v>83</v>
      </c>
      <c r="C32" s="83"/>
      <c r="D32" s="83"/>
      <c r="E32" s="83"/>
      <c r="F32" s="83"/>
      <c r="G32" s="102">
        <f>IF(G31&lt;0,0,G31*$E$3)</f>
        <v>0</v>
      </c>
      <c r="H32" s="102">
        <f>IF(H31&lt;0,0,H31*$E$3)</f>
        <v>6739457.7104166662</v>
      </c>
      <c r="I32" s="102">
        <f>IF(I31&lt;0,0,I31*$E$3)</f>
        <v>6750085.1652166666</v>
      </c>
      <c r="J32" s="102">
        <f>IF(J31&lt;0,0,J31*$E$3)</f>
        <v>6751089.3860166669</v>
      </c>
      <c r="K32" s="102">
        <f>IF(K31&lt;0,0,K31*$E$3)</f>
        <v>6751591.4964166665</v>
      </c>
      <c r="L32" s="103">
        <f>SUM(G32:K32)</f>
        <v>26992223.758066665</v>
      </c>
      <c r="M32" s="86"/>
      <c r="R32" s="96"/>
      <c r="S32" s="46"/>
    </row>
    <row r="33" spans="2:19" ht="16" thickBot="1" x14ac:dyDescent="0.4">
      <c r="B33" s="104" t="s">
        <v>84</v>
      </c>
      <c r="C33" s="104"/>
      <c r="D33" s="104"/>
      <c r="E33" s="104"/>
      <c r="F33" s="104"/>
      <c r="G33" s="105">
        <f>G31-G32</f>
        <v>-476539648.91916668</v>
      </c>
      <c r="H33" s="105">
        <f t="shared" ref="H33:K33" si="10">H31-H32</f>
        <v>330233427.81041664</v>
      </c>
      <c r="I33" s="105">
        <f t="shared" si="10"/>
        <v>330754173.09561664</v>
      </c>
      <c r="J33" s="105">
        <f t="shared" si="10"/>
        <v>330803379.91481668</v>
      </c>
      <c r="K33" s="105">
        <f t="shared" si="10"/>
        <v>330827983.32441664</v>
      </c>
      <c r="L33" s="106">
        <f>L31-L32</f>
        <v>846079315.22609997</v>
      </c>
      <c r="M33" s="81"/>
      <c r="R33" s="81"/>
      <c r="S33" s="46"/>
    </row>
    <row r="34" spans="2:19" x14ac:dyDescent="0.35">
      <c r="L34" s="61"/>
      <c r="M34" s="46"/>
      <c r="R34" s="46"/>
      <c r="S34" s="46"/>
    </row>
    <row r="35" spans="2:19" x14ac:dyDescent="0.35">
      <c r="B35" s="83" t="s">
        <v>85</v>
      </c>
      <c r="C35" s="83"/>
      <c r="D35" s="83"/>
      <c r="E35" s="83"/>
      <c r="F35" s="107">
        <f t="shared" ref="F35:K35" si="11">-G9+-G10</f>
        <v>-55629625.895833313</v>
      </c>
      <c r="G35" s="107">
        <f t="shared" si="11"/>
        <v>0</v>
      </c>
      <c r="H35" s="107">
        <f t="shared" si="11"/>
        <v>0</v>
      </c>
      <c r="I35" s="107">
        <f t="shared" si="11"/>
        <v>0</v>
      </c>
      <c r="J35" s="107">
        <f t="shared" si="11"/>
        <v>0</v>
      </c>
      <c r="K35" s="107">
        <f t="shared" si="11"/>
        <v>0</v>
      </c>
      <c r="L35" s="108"/>
      <c r="M35" s="96"/>
      <c r="R35" s="96"/>
      <c r="S35" s="46"/>
    </row>
    <row r="36" spans="2:19" x14ac:dyDescent="0.35">
      <c r="B36" s="1" t="s">
        <v>86</v>
      </c>
      <c r="F36" s="109">
        <f>F35</f>
        <v>-55629625.895833313</v>
      </c>
      <c r="G36" s="109">
        <f>G35+G33+G28</f>
        <v>-465413723.74000001</v>
      </c>
      <c r="H36" s="109">
        <f t="shared" ref="H36:J36" si="12">H35+H33+H28</f>
        <v>341359352.98958331</v>
      </c>
      <c r="I36" s="109">
        <f t="shared" si="12"/>
        <v>341880098.27478331</v>
      </c>
      <c r="J36" s="109">
        <f t="shared" si="12"/>
        <v>341929305.09398335</v>
      </c>
      <c r="K36" s="109">
        <f>K35+K33+K28</f>
        <v>341953908.50358331</v>
      </c>
      <c r="L36" s="110">
        <f>SUM(F36:K36)</f>
        <v>846079315.22609997</v>
      </c>
      <c r="M36" s="96"/>
      <c r="N36" s="43"/>
      <c r="O36" s="55"/>
      <c r="P36" s="43"/>
      <c r="Q36" s="55"/>
      <c r="R36" s="96"/>
      <c r="S36" s="46"/>
    </row>
    <row r="37" spans="2:19" x14ac:dyDescent="0.35">
      <c r="B37" s="1" t="s">
        <v>87</v>
      </c>
      <c r="F37" s="109">
        <f>F36</f>
        <v>-55629625.895833313</v>
      </c>
      <c r="G37" s="109">
        <f>F37+G36</f>
        <v>-521043349.63583332</v>
      </c>
      <c r="H37" s="109">
        <f t="shared" ref="H37:K37" si="13">G37+H36</f>
        <v>-179683996.64625001</v>
      </c>
      <c r="I37" s="109">
        <f t="shared" si="13"/>
        <v>162196101.6285333</v>
      </c>
      <c r="J37" s="109">
        <f t="shared" si="13"/>
        <v>504125406.72251666</v>
      </c>
      <c r="K37" s="109">
        <f t="shared" si="13"/>
        <v>846079315.22609997</v>
      </c>
      <c r="L37" s="110"/>
      <c r="M37" s="96"/>
      <c r="N37" s="111"/>
      <c r="O37" s="111"/>
      <c r="P37" s="111"/>
      <c r="Q37" s="111"/>
      <c r="R37" s="96"/>
      <c r="S37" s="46"/>
    </row>
    <row r="38" spans="2:19" x14ac:dyDescent="0.35">
      <c r="B38" s="1" t="s">
        <v>88</v>
      </c>
      <c r="F38" s="109"/>
      <c r="G38" s="101">
        <f>IF(AND(F37&lt;0,G37&gt;0),G43-(G37/G36),0)</f>
        <v>0</v>
      </c>
      <c r="H38" s="101">
        <f t="shared" ref="H38:K38" si="14">IF(AND(G37&lt;0,H37&gt;0),H43-(H37/H36),0)</f>
        <v>0</v>
      </c>
      <c r="I38" s="101">
        <f t="shared" si="14"/>
        <v>2.5255760646875398</v>
      </c>
      <c r="J38" s="101">
        <f t="shared" si="14"/>
        <v>0</v>
      </c>
      <c r="K38" s="101">
        <f t="shared" si="14"/>
        <v>0</v>
      </c>
      <c r="L38" s="112"/>
      <c r="M38" s="101"/>
      <c r="N38" s="113"/>
      <c r="O38" s="113"/>
      <c r="P38" s="113"/>
      <c r="Q38" s="113"/>
      <c r="R38" s="101"/>
    </row>
    <row r="39" spans="2:19" x14ac:dyDescent="0.35">
      <c r="B39" s="114" t="s">
        <v>34</v>
      </c>
      <c r="C39" s="115"/>
      <c r="D39" s="115"/>
      <c r="E39" s="115"/>
      <c r="F39" s="116">
        <f>IRR(F36:K36)</f>
        <v>0.49939523257211849</v>
      </c>
      <c r="N39" s="113"/>
      <c r="O39" s="113"/>
      <c r="P39" s="113"/>
      <c r="Q39" s="113"/>
    </row>
    <row r="40" spans="2:19" x14ac:dyDescent="0.35">
      <c r="B40" s="117" t="s">
        <v>35</v>
      </c>
      <c r="C40" s="50"/>
      <c r="D40" s="50"/>
      <c r="E40" s="50"/>
      <c r="F40" s="118">
        <f>NPV(E4,G36:K36)+F36</f>
        <v>506110524.06961471</v>
      </c>
      <c r="H40" s="119"/>
      <c r="I40" s="120"/>
      <c r="N40" s="113"/>
      <c r="O40" s="113"/>
      <c r="P40" s="113"/>
      <c r="Q40" s="113"/>
    </row>
    <row r="41" spans="2:19" x14ac:dyDescent="0.35">
      <c r="B41" s="117" t="s">
        <v>36</v>
      </c>
      <c r="C41" s="50"/>
      <c r="D41" s="50"/>
      <c r="E41" s="50"/>
      <c r="F41" s="121">
        <f>L27</f>
        <v>0.41481320590790616</v>
      </c>
      <c r="H41" s="68"/>
      <c r="N41" s="113"/>
      <c r="O41" s="113"/>
      <c r="P41" s="113"/>
      <c r="Q41" s="113"/>
    </row>
    <row r="42" spans="2:19" x14ac:dyDescent="0.35">
      <c r="B42" s="122" t="s">
        <v>89</v>
      </c>
      <c r="C42" s="123"/>
      <c r="D42" s="123"/>
      <c r="E42" s="123"/>
      <c r="F42" s="124">
        <f>SUM(F38:K38)</f>
        <v>2.5255760646875398</v>
      </c>
      <c r="N42" s="113"/>
      <c r="O42" s="113"/>
      <c r="P42" s="113"/>
      <c r="Q42" s="113"/>
    </row>
    <row r="43" spans="2:19" ht="9.65" customHeight="1" x14ac:dyDescent="0.35">
      <c r="G43" s="55">
        <v>1</v>
      </c>
      <c r="H43" s="43">
        <v>2</v>
      </c>
      <c r="I43" s="55">
        <v>3</v>
      </c>
      <c r="J43" s="43">
        <v>4</v>
      </c>
      <c r="K43" s="55">
        <v>5</v>
      </c>
      <c r="L43" s="43"/>
      <c r="M43" s="55"/>
      <c r="N43" s="125"/>
      <c r="O43" s="125"/>
      <c r="P43" s="125"/>
      <c r="Q43" s="125"/>
    </row>
    <row r="44" spans="2:19" x14ac:dyDescent="0.35">
      <c r="B44" s="126" t="s">
        <v>90</v>
      </c>
      <c r="E44" s="111" t="s">
        <v>91</v>
      </c>
      <c r="G44" s="111" t="str">
        <f>G12</f>
        <v>Year 1</v>
      </c>
      <c r="H44" s="111" t="str">
        <f>H12</f>
        <v>Year 2</v>
      </c>
      <c r="I44" s="111" t="str">
        <f>I12</f>
        <v>Year 3</v>
      </c>
      <c r="J44" s="111" t="str">
        <f>J12</f>
        <v>Year 4</v>
      </c>
      <c r="K44" s="111" t="str">
        <f>K12</f>
        <v>Year 5</v>
      </c>
      <c r="L44" s="111"/>
      <c r="M44" s="111"/>
      <c r="R44" s="111"/>
    </row>
    <row r="45" spans="2:19" x14ac:dyDescent="0.35">
      <c r="D45" s="1" t="s">
        <v>62</v>
      </c>
      <c r="E45" s="1">
        <v>5</v>
      </c>
      <c r="G45" s="127">
        <f>SUM(G9:G10)/$E45</f>
        <v>11125925.179166663</v>
      </c>
      <c r="H45" s="113">
        <f>G45</f>
        <v>11125925.179166663</v>
      </c>
      <c r="I45" s="113">
        <f t="shared" ref="I45:K46" si="15">H45</f>
        <v>11125925.179166663</v>
      </c>
      <c r="J45" s="113">
        <f t="shared" si="15"/>
        <v>11125925.179166663</v>
      </c>
      <c r="K45" s="113">
        <f t="shared" si="15"/>
        <v>11125925.179166663</v>
      </c>
      <c r="L45" s="125">
        <f>SUM(G45:K45)</f>
        <v>55629625.895833313</v>
      </c>
      <c r="M45" s="113"/>
      <c r="R45" s="128"/>
    </row>
    <row r="46" spans="2:19" hidden="1" x14ac:dyDescent="0.35">
      <c r="D46" s="1" t="s">
        <v>64</v>
      </c>
      <c r="E46" s="1">
        <v>4</v>
      </c>
      <c r="H46" s="127">
        <f>I$10/$E46</f>
        <v>0</v>
      </c>
      <c r="J46" s="113">
        <f>H46</f>
        <v>0</v>
      </c>
      <c r="K46" s="113">
        <f t="shared" si="15"/>
        <v>0</v>
      </c>
      <c r="L46" s="113"/>
      <c r="M46" s="113"/>
      <c r="R46" s="128"/>
    </row>
    <row r="47" spans="2:19" hidden="1" x14ac:dyDescent="0.35">
      <c r="D47" s="1" t="s">
        <v>65</v>
      </c>
      <c r="E47" s="1">
        <v>3</v>
      </c>
      <c r="I47" s="127">
        <f>J$9/$E47</f>
        <v>0</v>
      </c>
      <c r="K47" s="113">
        <f>I47</f>
        <v>0</v>
      </c>
      <c r="L47" s="113"/>
      <c r="M47" s="113"/>
      <c r="R47" s="128"/>
    </row>
    <row r="48" spans="2:19" hidden="1" x14ac:dyDescent="0.35">
      <c r="D48" s="1" t="s">
        <v>66</v>
      </c>
      <c r="E48" s="1">
        <v>2</v>
      </c>
      <c r="J48" s="127"/>
      <c r="L48" s="113"/>
      <c r="M48" s="113"/>
      <c r="R48" s="128"/>
    </row>
    <row r="49" spans="2:18" hidden="1" x14ac:dyDescent="0.35">
      <c r="D49" s="1" t="s">
        <v>92</v>
      </c>
      <c r="E49" s="1">
        <v>1</v>
      </c>
      <c r="K49" s="127"/>
      <c r="L49" s="113"/>
      <c r="M49" s="113"/>
      <c r="R49" s="128"/>
    </row>
    <row r="50" spans="2:18" ht="16" thickBot="1" x14ac:dyDescent="0.4">
      <c r="B50" s="129" t="s">
        <v>93</v>
      </c>
      <c r="C50" s="130"/>
      <c r="D50" s="130"/>
      <c r="E50" s="130"/>
      <c r="F50" s="130"/>
      <c r="G50" s="131">
        <f>SUM(G45:G48)</f>
        <v>11125925.179166663</v>
      </c>
      <c r="H50" s="131">
        <f>SUM(H45:H48)</f>
        <v>11125925.179166663</v>
      </c>
      <c r="I50" s="131">
        <f>SUM(I45:I48)</f>
        <v>11125925.179166663</v>
      </c>
      <c r="J50" s="131">
        <f>SUM(J45:J48)</f>
        <v>11125925.179166663</v>
      </c>
      <c r="K50" s="131">
        <f>SUM(K45:K48)</f>
        <v>11125925.179166663</v>
      </c>
      <c r="L50" s="125">
        <f>SUM(G50:K50)</f>
        <v>55629625.895833313</v>
      </c>
      <c r="M50" s="125"/>
      <c r="R50" s="125"/>
    </row>
    <row r="51" spans="2:18" ht="16" thickTop="1" x14ac:dyDescent="0.35">
      <c r="R51" s="120"/>
    </row>
    <row r="53" spans="2:18" x14ac:dyDescent="0.35">
      <c r="F53" s="1" t="s">
        <v>37</v>
      </c>
    </row>
  </sheetData>
  <mergeCells count="1">
    <mergeCell ref="E18:F18"/>
  </mergeCells>
  <phoneticPr fontId="22" type="noConversion"/>
  <pageMargins left="0.93" right="0.25" top="0.37" bottom="0.16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B52A1-6C83-4276-9797-44A1DD12711F}">
  <dimension ref="A2:H27"/>
  <sheetViews>
    <sheetView topLeftCell="A7" workbookViewId="0">
      <selection activeCell="H13" sqref="H13"/>
    </sheetView>
  </sheetViews>
  <sheetFormatPr defaultRowHeight="14.5" x14ac:dyDescent="0.35"/>
  <cols>
    <col min="1" max="1" width="5.36328125" customWidth="1"/>
    <col min="2" max="2" width="26.453125" customWidth="1"/>
    <col min="4" max="4" width="41.54296875" customWidth="1"/>
    <col min="6" max="6" width="45.453125" customWidth="1"/>
    <col min="8" max="8" width="14.453125" bestFit="1" customWidth="1"/>
  </cols>
  <sheetData>
    <row r="2" spans="1:8" ht="15" customHeight="1" x14ac:dyDescent="0.35">
      <c r="A2" s="222" t="s">
        <v>94</v>
      </c>
      <c r="B2" s="222"/>
      <c r="C2" s="222"/>
      <c r="D2" s="222"/>
      <c r="E2" s="222"/>
      <c r="F2" s="222"/>
      <c r="G2" s="183"/>
    </row>
    <row r="3" spans="1:8" x14ac:dyDescent="0.35">
      <c r="A3" s="184"/>
      <c r="B3" s="184"/>
      <c r="C3" s="184"/>
      <c r="D3" s="184"/>
      <c r="E3" s="184"/>
      <c r="F3" s="184"/>
      <c r="G3" s="183"/>
    </row>
    <row r="4" spans="1:8" ht="15.5" x14ac:dyDescent="0.35">
      <c r="A4" s="221" t="s">
        <v>187</v>
      </c>
      <c r="B4" s="221"/>
      <c r="C4" s="185" t="s">
        <v>188</v>
      </c>
      <c r="D4" s="184"/>
      <c r="E4" s="184"/>
      <c r="F4" s="184"/>
      <c r="G4" s="183"/>
    </row>
    <row r="5" spans="1:8" ht="15.5" x14ac:dyDescent="0.35">
      <c r="A5" s="221" t="s">
        <v>189</v>
      </c>
      <c r="B5" s="221"/>
      <c r="C5" s="185" t="s">
        <v>190</v>
      </c>
      <c r="D5" s="184"/>
      <c r="E5" s="184"/>
      <c r="F5" s="184"/>
      <c r="G5" s="183"/>
    </row>
    <row r="6" spans="1:8" ht="15.5" x14ac:dyDescent="0.35">
      <c r="A6" s="221" t="s">
        <v>191</v>
      </c>
      <c r="B6" s="221"/>
      <c r="C6" s="221" t="s">
        <v>192</v>
      </c>
      <c r="D6" s="221"/>
      <c r="E6" s="221"/>
      <c r="F6" s="184"/>
      <c r="G6" s="183"/>
    </row>
    <row r="7" spans="1:8" ht="15.5" x14ac:dyDescent="0.35">
      <c r="A7" s="221" t="s">
        <v>193</v>
      </c>
      <c r="B7" s="221"/>
      <c r="C7" s="185" t="s">
        <v>194</v>
      </c>
      <c r="D7" s="184"/>
      <c r="E7" s="184"/>
      <c r="F7" s="184"/>
      <c r="G7" s="183"/>
    </row>
    <row r="8" spans="1:8" ht="15" thickBot="1" x14ac:dyDescent="0.4">
      <c r="A8" s="184"/>
      <c r="B8" s="184"/>
      <c r="C8" s="184"/>
      <c r="D8" s="184"/>
      <c r="E8" s="184"/>
      <c r="F8" s="184"/>
      <c r="G8" s="183"/>
    </row>
    <row r="9" spans="1:8" ht="15" customHeight="1" x14ac:dyDescent="0.35">
      <c r="A9" s="223" t="s">
        <v>95</v>
      </c>
      <c r="B9" s="225" t="s">
        <v>96</v>
      </c>
      <c r="C9" s="227" t="s">
        <v>97</v>
      </c>
      <c r="D9" s="228"/>
      <c r="E9" s="227" t="s">
        <v>24</v>
      </c>
      <c r="F9" s="231"/>
      <c r="G9" s="183"/>
    </row>
    <row r="10" spans="1:8" ht="15.75" customHeight="1" thickBot="1" x14ac:dyDescent="0.4">
      <c r="A10" s="224"/>
      <c r="B10" s="226"/>
      <c r="C10" s="229"/>
      <c r="D10" s="230"/>
      <c r="E10" s="229"/>
      <c r="F10" s="232"/>
      <c r="G10" s="183"/>
    </row>
    <row r="11" spans="1:8" ht="15" thickBot="1" x14ac:dyDescent="0.4">
      <c r="A11" s="186">
        <v>1</v>
      </c>
      <c r="B11" s="187" t="s">
        <v>98</v>
      </c>
      <c r="C11" s="233" t="s">
        <v>195</v>
      </c>
      <c r="D11" s="234"/>
      <c r="E11" s="233" t="s">
        <v>195</v>
      </c>
      <c r="F11" s="235"/>
      <c r="G11" s="183"/>
    </row>
    <row r="12" spans="1:8" ht="15" thickBot="1" x14ac:dyDescent="0.4">
      <c r="A12" s="186">
        <v>2</v>
      </c>
      <c r="B12" s="187" t="s">
        <v>99</v>
      </c>
      <c r="C12" s="236" t="s">
        <v>196</v>
      </c>
      <c r="D12" s="237"/>
      <c r="E12" s="238" t="s">
        <v>215</v>
      </c>
      <c r="F12" s="239"/>
      <c r="G12" s="183"/>
    </row>
    <row r="13" spans="1:8" ht="15" thickBot="1" x14ac:dyDescent="0.4">
      <c r="A13" s="188"/>
      <c r="B13" s="189" t="s">
        <v>197</v>
      </c>
      <c r="C13" s="240">
        <v>650000000</v>
      </c>
      <c r="D13" s="241"/>
      <c r="E13" s="242">
        <v>812500000</v>
      </c>
      <c r="F13" s="243"/>
      <c r="G13" s="278">
        <f>(E13-C13)/C13</f>
        <v>0.25</v>
      </c>
      <c r="H13" s="198"/>
    </row>
    <row r="14" spans="1:8" ht="15" thickBot="1" x14ac:dyDescent="0.4">
      <c r="A14" s="188"/>
      <c r="B14" s="190" t="s">
        <v>198</v>
      </c>
      <c r="C14" s="244">
        <f>C13/5</f>
        <v>130000000</v>
      </c>
      <c r="D14" s="245"/>
      <c r="E14" s="242">
        <f>E13/5</f>
        <v>162500000</v>
      </c>
      <c r="F14" s="246"/>
      <c r="G14" s="183"/>
    </row>
    <row r="15" spans="1:8" ht="21.75" customHeight="1" thickBot="1" x14ac:dyDescent="0.4">
      <c r="A15" s="253">
        <v>3</v>
      </c>
      <c r="B15" s="255" t="s">
        <v>199</v>
      </c>
      <c r="C15" s="258" t="s">
        <v>200</v>
      </c>
      <c r="D15" s="259"/>
      <c r="E15" s="260" t="s">
        <v>201</v>
      </c>
      <c r="F15" s="261"/>
      <c r="G15" s="183"/>
    </row>
    <row r="16" spans="1:8" ht="18.75" customHeight="1" thickBot="1" x14ac:dyDescent="0.4">
      <c r="A16" s="254"/>
      <c r="B16" s="256"/>
      <c r="C16" s="262" t="s">
        <v>202</v>
      </c>
      <c r="D16" s="263"/>
      <c r="E16" s="262" t="s">
        <v>203</v>
      </c>
      <c r="F16" s="263"/>
      <c r="G16" s="183"/>
    </row>
    <row r="17" spans="1:7" ht="23.25" customHeight="1" thickBot="1" x14ac:dyDescent="0.4">
      <c r="A17" s="254"/>
      <c r="B17" s="257"/>
      <c r="C17" s="264"/>
      <c r="D17" s="265"/>
      <c r="E17" s="264"/>
      <c r="F17" s="265"/>
      <c r="G17" s="183"/>
    </row>
    <row r="18" spans="1:7" ht="15" hidden="1" thickBot="1" x14ac:dyDescent="0.4">
      <c r="A18" s="186">
        <v>4</v>
      </c>
      <c r="B18" s="187" t="s">
        <v>99</v>
      </c>
      <c r="C18" s="236" t="s">
        <v>204</v>
      </c>
      <c r="D18" s="247"/>
      <c r="E18" s="248" t="s">
        <v>205</v>
      </c>
      <c r="F18" s="249"/>
      <c r="G18" s="183"/>
    </row>
    <row r="19" spans="1:7" ht="16" thickBot="1" x14ac:dyDescent="0.4">
      <c r="A19" s="191">
        <v>4</v>
      </c>
      <c r="B19" s="192" t="s">
        <v>206</v>
      </c>
      <c r="C19" s="250" t="s">
        <v>209</v>
      </c>
      <c r="D19" s="251"/>
      <c r="E19" s="251"/>
      <c r="F19" s="252"/>
    </row>
    <row r="20" spans="1:7" ht="15.5" x14ac:dyDescent="0.35">
      <c r="A20" s="193"/>
      <c r="B20" s="194"/>
      <c r="C20" s="134"/>
      <c r="D20" s="134"/>
      <c r="E20" s="134"/>
      <c r="F20" s="134"/>
    </row>
    <row r="21" spans="1:7" ht="15.5" x14ac:dyDescent="0.35">
      <c r="A21" s="193"/>
      <c r="B21" s="194" t="s">
        <v>207</v>
      </c>
      <c r="C21" s="134"/>
      <c r="D21" s="134"/>
      <c r="E21" s="134"/>
      <c r="F21" s="134"/>
    </row>
    <row r="22" spans="1:7" x14ac:dyDescent="0.35">
      <c r="B22" t="s">
        <v>208</v>
      </c>
    </row>
    <row r="24" spans="1:7" x14ac:dyDescent="0.35">
      <c r="F24" s="198">
        <f>C13*25%</f>
        <v>162500000</v>
      </c>
    </row>
    <row r="25" spans="1:7" x14ac:dyDescent="0.35">
      <c r="F25" s="198">
        <f>C13+F24</f>
        <v>812500000</v>
      </c>
    </row>
    <row r="27" spans="1:7" x14ac:dyDescent="0.35">
      <c r="F27" s="198">
        <f>C14*25%</f>
        <v>32500000</v>
      </c>
    </row>
  </sheetData>
  <mergeCells count="29">
    <mergeCell ref="C18:D18"/>
    <mergeCell ref="E18:F18"/>
    <mergeCell ref="C19:F19"/>
    <mergeCell ref="A15:A17"/>
    <mergeCell ref="B15:B17"/>
    <mergeCell ref="C15:D15"/>
    <mergeCell ref="E15:F15"/>
    <mergeCell ref="C16:D16"/>
    <mergeCell ref="E16:F16"/>
    <mergeCell ref="C17:D17"/>
    <mergeCell ref="E17:F17"/>
    <mergeCell ref="C12:D12"/>
    <mergeCell ref="E12:F12"/>
    <mergeCell ref="C13:D13"/>
    <mergeCell ref="E13:F13"/>
    <mergeCell ref="C14:D14"/>
    <mergeCell ref="E14:F14"/>
    <mergeCell ref="A9:A10"/>
    <mergeCell ref="B9:B10"/>
    <mergeCell ref="C9:D10"/>
    <mergeCell ref="E9:F10"/>
    <mergeCell ref="C11:D11"/>
    <mergeCell ref="E11:F11"/>
    <mergeCell ref="A7:B7"/>
    <mergeCell ref="A2:F2"/>
    <mergeCell ref="A4:B4"/>
    <mergeCell ref="A5:B5"/>
    <mergeCell ref="A6:B6"/>
    <mergeCell ref="C6:E6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8E21E-26F4-41E7-8B2F-5D18453D3713}">
  <sheetPr codeName="Sheet4"/>
  <dimension ref="A2:M29"/>
  <sheetViews>
    <sheetView workbookViewId="0">
      <selection activeCell="H7" sqref="H7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4.36328125" bestFit="1" customWidth="1"/>
    <col min="9" max="9" width="10.1796875" bestFit="1" customWidth="1"/>
  </cols>
  <sheetData>
    <row r="2" spans="1:13" x14ac:dyDescent="0.35">
      <c r="A2" s="266" t="s">
        <v>212</v>
      </c>
      <c r="B2" s="266"/>
      <c r="C2" s="266"/>
      <c r="D2" s="266"/>
      <c r="E2" s="266"/>
      <c r="F2" s="266"/>
      <c r="G2" s="132"/>
      <c r="H2" s="132"/>
      <c r="I2" s="132"/>
      <c r="J2" s="132"/>
      <c r="K2" s="132"/>
      <c r="L2" s="132"/>
      <c r="M2" s="132"/>
    </row>
    <row r="3" spans="1:13" x14ac:dyDescent="0.35">
      <c r="A3" s="167" t="s">
        <v>168</v>
      </c>
      <c r="B3" s="167" t="s">
        <v>169</v>
      </c>
      <c r="C3" s="167" t="s">
        <v>170</v>
      </c>
      <c r="D3" s="168"/>
      <c r="G3" s="132"/>
      <c r="H3" s="132"/>
      <c r="I3" s="132"/>
      <c r="J3" s="132"/>
      <c r="K3" s="132"/>
      <c r="L3" s="132"/>
      <c r="M3" s="132"/>
    </row>
    <row r="4" spans="1:13" x14ac:dyDescent="0.35">
      <c r="A4" s="133" t="s">
        <v>213</v>
      </c>
      <c r="B4" s="169">
        <v>43920</v>
      </c>
      <c r="C4" s="169">
        <v>45745</v>
      </c>
      <c r="D4" s="170"/>
      <c r="E4" s="171"/>
      <c r="F4" s="171"/>
      <c r="G4" s="132"/>
      <c r="H4" s="132"/>
      <c r="I4" s="132"/>
      <c r="J4" s="132"/>
      <c r="K4" s="132"/>
      <c r="L4" s="132"/>
      <c r="M4" s="132"/>
    </row>
    <row r="5" spans="1:13" x14ac:dyDescent="0.35">
      <c r="A5" s="133" t="s">
        <v>214</v>
      </c>
      <c r="B5" s="169">
        <v>44412</v>
      </c>
      <c r="C5" s="169">
        <v>46237</v>
      </c>
      <c r="D5" s="170"/>
      <c r="E5" s="171"/>
      <c r="F5" s="171"/>
      <c r="G5" s="132"/>
      <c r="H5" s="132"/>
      <c r="I5" s="132"/>
      <c r="J5" s="132"/>
      <c r="K5" s="132"/>
      <c r="L5" s="132"/>
      <c r="M5" s="132"/>
    </row>
    <row r="6" spans="1:13" x14ac:dyDescent="0.35">
      <c r="A6" s="133" t="s">
        <v>171</v>
      </c>
      <c r="B6" s="169">
        <v>45658</v>
      </c>
      <c r="C6" s="169">
        <v>47483</v>
      </c>
      <c r="D6" s="170"/>
      <c r="G6" s="132"/>
      <c r="H6" s="132"/>
      <c r="I6" s="132"/>
      <c r="J6" s="132"/>
      <c r="K6" s="132"/>
      <c r="L6" s="132"/>
      <c r="M6" s="132"/>
    </row>
    <row r="7" spans="1:13" x14ac:dyDescent="0.35">
      <c r="A7" s="132"/>
      <c r="G7" s="132"/>
      <c r="H7" s="132"/>
      <c r="I7" s="132"/>
      <c r="J7" s="132"/>
      <c r="K7" s="132"/>
      <c r="L7" s="132"/>
      <c r="M7" s="132"/>
    </row>
    <row r="8" spans="1:13" x14ac:dyDescent="0.35">
      <c r="A8" s="132"/>
      <c r="B8" s="167" t="s">
        <v>169</v>
      </c>
      <c r="C8" s="167" t="s">
        <v>170</v>
      </c>
      <c r="D8" s="167" t="s">
        <v>172</v>
      </c>
      <c r="E8" s="170"/>
      <c r="F8" s="170"/>
      <c r="G8" s="132"/>
      <c r="H8" s="132"/>
      <c r="I8" s="132"/>
      <c r="J8" s="132"/>
      <c r="K8" s="132"/>
      <c r="L8" s="132"/>
      <c r="M8" s="132"/>
    </row>
    <row r="9" spans="1:13" x14ac:dyDescent="0.35">
      <c r="A9" s="132" t="s">
        <v>220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</row>
    <row r="10" spans="1:13" x14ac:dyDescent="0.35">
      <c r="A10" s="132" t="s">
        <v>213</v>
      </c>
      <c r="B10" s="182">
        <v>45658</v>
      </c>
      <c r="C10" s="182">
        <v>45745</v>
      </c>
      <c r="D10" s="172">
        <f t="shared" ref="D10:D15" si="0">C10-B10</f>
        <v>87</v>
      </c>
      <c r="E10" s="173">
        <v>332100000</v>
      </c>
      <c r="F10" s="174">
        <f>E10/365*D10</f>
        <v>79158082.19178082</v>
      </c>
      <c r="G10" s="132"/>
      <c r="H10" s="132"/>
      <c r="I10" s="132"/>
      <c r="J10" s="132"/>
      <c r="K10" s="132"/>
      <c r="L10" s="132"/>
      <c r="M10" s="132"/>
    </row>
    <row r="11" spans="1:13" x14ac:dyDescent="0.35">
      <c r="A11" s="132" t="s">
        <v>214</v>
      </c>
      <c r="B11" s="182">
        <v>45658</v>
      </c>
      <c r="C11" s="182">
        <v>46237</v>
      </c>
      <c r="D11" s="172">
        <f t="shared" si="0"/>
        <v>579</v>
      </c>
      <c r="E11" s="173">
        <v>150000000</v>
      </c>
      <c r="F11" s="174">
        <f t="shared" ref="F11" si="1">E11/365*D11</f>
        <v>237945205.47945207</v>
      </c>
      <c r="G11" s="132"/>
      <c r="H11" s="132"/>
      <c r="I11" s="132"/>
      <c r="J11" s="132"/>
      <c r="K11" s="132"/>
      <c r="L11" s="132"/>
      <c r="M11" s="132"/>
    </row>
    <row r="12" spans="1:13" x14ac:dyDescent="0.35">
      <c r="A12" s="132" t="s">
        <v>173</v>
      </c>
      <c r="B12" s="182">
        <v>45658</v>
      </c>
      <c r="C12" s="182">
        <v>47483</v>
      </c>
      <c r="D12" s="172">
        <f t="shared" si="0"/>
        <v>1825</v>
      </c>
      <c r="E12" s="173">
        <v>200000000</v>
      </c>
      <c r="F12" s="174">
        <f>-E12/365*D12</f>
        <v>-1000000000</v>
      </c>
      <c r="G12" s="132"/>
      <c r="H12" s="132"/>
      <c r="I12" s="197"/>
      <c r="J12" s="132"/>
      <c r="K12" s="132"/>
      <c r="L12" s="132"/>
      <c r="M12" s="132"/>
    </row>
    <row r="13" spans="1:13" x14ac:dyDescent="0.35">
      <c r="A13" s="132" t="s">
        <v>216</v>
      </c>
      <c r="B13" s="182">
        <v>45658</v>
      </c>
      <c r="C13" s="182">
        <v>45745</v>
      </c>
      <c r="D13" s="172">
        <f t="shared" si="0"/>
        <v>87</v>
      </c>
      <c r="E13" s="173">
        <v>36000000</v>
      </c>
      <c r="F13" s="174">
        <f>-E13/365*D13</f>
        <v>-8580821.9178082198</v>
      </c>
      <c r="G13" s="132"/>
      <c r="H13" s="132"/>
      <c r="I13" s="197"/>
      <c r="J13" s="132"/>
      <c r="K13" s="132"/>
      <c r="L13" s="132"/>
      <c r="M13" s="132"/>
    </row>
    <row r="14" spans="1:13" x14ac:dyDescent="0.35">
      <c r="A14" s="132" t="s">
        <v>217</v>
      </c>
      <c r="B14" s="182">
        <v>45658</v>
      </c>
      <c r="C14" s="182">
        <v>45745</v>
      </c>
      <c r="D14" s="172">
        <f t="shared" si="0"/>
        <v>87</v>
      </c>
      <c r="E14" s="173">
        <v>20870000</v>
      </c>
      <c r="F14" s="174">
        <f>-E14/365*D14</f>
        <v>-4974493.1506849313</v>
      </c>
      <c r="G14" s="132"/>
      <c r="H14" s="132"/>
      <c r="I14" s="197"/>
      <c r="J14" s="132"/>
      <c r="K14" s="132"/>
      <c r="L14" s="132"/>
      <c r="M14" s="132"/>
    </row>
    <row r="15" spans="1:13" x14ac:dyDescent="0.35">
      <c r="A15" s="132" t="s">
        <v>218</v>
      </c>
      <c r="B15" s="182">
        <v>45658</v>
      </c>
      <c r="C15" s="182">
        <v>46237</v>
      </c>
      <c r="D15" s="172">
        <f t="shared" si="0"/>
        <v>579</v>
      </c>
      <c r="E15" s="173">
        <v>20870000</v>
      </c>
      <c r="F15" s="174">
        <f>-E15/365*D15</f>
        <v>-33106109.589041095</v>
      </c>
      <c r="G15" s="132"/>
      <c r="H15" s="132"/>
      <c r="I15" s="132"/>
      <c r="J15" s="132"/>
      <c r="K15" s="132"/>
      <c r="L15" s="132"/>
      <c r="M15" s="132"/>
    </row>
    <row r="16" spans="1:13" x14ac:dyDescent="0.35">
      <c r="A16" s="132" t="s">
        <v>174</v>
      </c>
      <c r="B16" s="132"/>
      <c r="C16" s="132"/>
      <c r="D16" s="132"/>
      <c r="E16" s="175">
        <v>100000000</v>
      </c>
      <c r="F16" s="176"/>
      <c r="G16" s="132"/>
      <c r="H16" s="132"/>
      <c r="I16" s="132"/>
      <c r="J16" s="132"/>
      <c r="K16" s="132"/>
      <c r="L16" s="132"/>
      <c r="M16" s="132"/>
    </row>
    <row r="17" spans="1:13" x14ac:dyDescent="0.35">
      <c r="A17" s="132" t="s">
        <v>175</v>
      </c>
      <c r="B17" s="132"/>
      <c r="C17" s="132"/>
      <c r="D17" s="132"/>
      <c r="E17" s="132"/>
      <c r="F17" s="174">
        <f>SUM(F10:F16)</f>
        <v>-729558136.9863013</v>
      </c>
      <c r="G17" s="132"/>
      <c r="H17" s="132"/>
      <c r="I17" s="132"/>
      <c r="J17" s="132"/>
      <c r="K17" s="132"/>
      <c r="L17" s="132"/>
      <c r="M17" s="132"/>
    </row>
    <row r="20" spans="1:13" x14ac:dyDescent="0.35">
      <c r="A20" s="132" t="s">
        <v>219</v>
      </c>
      <c r="B20" s="132"/>
      <c r="C20" s="132"/>
      <c r="D20" s="132"/>
      <c r="E20" s="132"/>
      <c r="F20" s="132"/>
    </row>
    <row r="21" spans="1:13" x14ac:dyDescent="0.35">
      <c r="A21" s="132" t="s">
        <v>213</v>
      </c>
      <c r="B21" s="182">
        <v>45658</v>
      </c>
      <c r="C21" s="169">
        <v>45745</v>
      </c>
      <c r="D21" s="172">
        <f t="shared" ref="D21:D27" si="2">C21-B21</f>
        <v>87</v>
      </c>
      <c r="E21" s="173">
        <v>332100000</v>
      </c>
      <c r="F21" s="174">
        <f>E21/365*D21</f>
        <v>79158082.19178082</v>
      </c>
    </row>
    <row r="22" spans="1:13" x14ac:dyDescent="0.35">
      <c r="A22" s="132"/>
      <c r="B22" s="182">
        <v>45746</v>
      </c>
      <c r="C22" s="169">
        <v>47483</v>
      </c>
      <c r="D22" s="172">
        <f t="shared" si="2"/>
        <v>1737</v>
      </c>
      <c r="E22" s="173">
        <f>E21*90%</f>
        <v>298890000</v>
      </c>
      <c r="F22" s="174">
        <f>E22/365*D22</f>
        <v>1422388849.3150685</v>
      </c>
    </row>
    <row r="23" spans="1:13" x14ac:dyDescent="0.35">
      <c r="A23" s="132" t="s">
        <v>214</v>
      </c>
      <c r="B23" s="182">
        <v>45658</v>
      </c>
      <c r="C23" s="169">
        <v>47483</v>
      </c>
      <c r="D23" s="172">
        <f t="shared" si="2"/>
        <v>1825</v>
      </c>
      <c r="E23" s="173">
        <v>150000000</v>
      </c>
      <c r="F23" s="174">
        <f t="shared" ref="F23" si="3">E23/365*D23</f>
        <v>750000000</v>
      </c>
    </row>
    <row r="24" spans="1:13" x14ac:dyDescent="0.35">
      <c r="A24" s="132" t="s">
        <v>173</v>
      </c>
      <c r="B24" s="169">
        <v>45658</v>
      </c>
      <c r="C24" s="169">
        <v>47483</v>
      </c>
      <c r="D24" s="172">
        <f t="shared" si="2"/>
        <v>1825</v>
      </c>
      <c r="E24" s="173">
        <v>200000000</v>
      </c>
      <c r="F24" s="174">
        <f>-E24/365*D24</f>
        <v>-1000000000</v>
      </c>
    </row>
    <row r="25" spans="1:13" x14ac:dyDescent="0.35">
      <c r="A25" s="132" t="s">
        <v>216</v>
      </c>
      <c r="B25" s="182">
        <v>45658</v>
      </c>
      <c r="C25" s="182">
        <v>47483</v>
      </c>
      <c r="D25" s="172">
        <f t="shared" si="2"/>
        <v>1825</v>
      </c>
      <c r="E25" s="173">
        <v>36000000</v>
      </c>
      <c r="F25" s="174">
        <f>-E25/365*D25</f>
        <v>-180000000</v>
      </c>
    </row>
    <row r="26" spans="1:13" x14ac:dyDescent="0.35">
      <c r="A26" s="132" t="s">
        <v>217</v>
      </c>
      <c r="B26" s="182">
        <v>45658</v>
      </c>
      <c r="C26" s="169">
        <v>47483</v>
      </c>
      <c r="D26" s="172">
        <f t="shared" si="2"/>
        <v>1825</v>
      </c>
      <c r="E26" s="173">
        <v>20870000</v>
      </c>
      <c r="F26" s="174">
        <f>-E26/365*D26</f>
        <v>-104350000</v>
      </c>
    </row>
    <row r="27" spans="1:13" x14ac:dyDescent="0.35">
      <c r="A27" s="132" t="s">
        <v>218</v>
      </c>
      <c r="B27" s="182">
        <v>45658</v>
      </c>
      <c r="C27" s="169">
        <v>47483</v>
      </c>
      <c r="D27" s="172">
        <f t="shared" si="2"/>
        <v>1825</v>
      </c>
      <c r="E27" s="173">
        <v>20870000</v>
      </c>
      <c r="F27" s="174">
        <f>-E27/365*D27</f>
        <v>-104350000</v>
      </c>
    </row>
    <row r="28" spans="1:13" x14ac:dyDescent="0.35">
      <c r="A28" s="132" t="s">
        <v>174</v>
      </c>
      <c r="B28" s="132"/>
      <c r="C28" s="132"/>
      <c r="D28" s="132"/>
      <c r="E28" s="175">
        <v>100000000</v>
      </c>
      <c r="F28" s="176"/>
    </row>
    <row r="29" spans="1:13" x14ac:dyDescent="0.35">
      <c r="A29" s="132" t="s">
        <v>175</v>
      </c>
      <c r="B29" s="132"/>
      <c r="C29" s="132"/>
      <c r="D29" s="132"/>
      <c r="E29" s="132"/>
      <c r="F29" s="174">
        <f>SUM(F21:F28)</f>
        <v>862846931.50684929</v>
      </c>
    </row>
  </sheetData>
  <mergeCells count="1">
    <mergeCell ref="A2:F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sheetPr codeName="Sheet5"/>
  <dimension ref="A1:T86"/>
  <sheetViews>
    <sheetView workbookViewId="0">
      <selection activeCell="C23" sqref="C23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4531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1.36328125" bestFit="1" customWidth="1"/>
  </cols>
  <sheetData>
    <row r="1" spans="1:20" x14ac:dyDescent="0.35">
      <c r="A1" s="134" t="s">
        <v>100</v>
      </c>
    </row>
    <row r="2" spans="1:20" x14ac:dyDescent="0.35">
      <c r="A2" s="135" t="s">
        <v>101</v>
      </c>
      <c r="B2" s="136">
        <v>5</v>
      </c>
      <c r="C2" s="137">
        <v>2015</v>
      </c>
      <c r="D2" s="137">
        <f>C2+1</f>
        <v>2016</v>
      </c>
      <c r="E2" s="137">
        <f t="shared" ref="E2:M2" si="0">D2+1</f>
        <v>2017</v>
      </c>
      <c r="F2" s="137">
        <f t="shared" si="0"/>
        <v>2018</v>
      </c>
      <c r="G2" s="137">
        <f t="shared" si="0"/>
        <v>2019</v>
      </c>
      <c r="H2" s="137">
        <f t="shared" si="0"/>
        <v>2020</v>
      </c>
      <c r="I2" s="137">
        <f t="shared" si="0"/>
        <v>2021</v>
      </c>
      <c r="J2" s="137">
        <f t="shared" si="0"/>
        <v>2022</v>
      </c>
      <c r="K2" s="137">
        <f t="shared" si="0"/>
        <v>2023</v>
      </c>
      <c r="L2" s="137">
        <f t="shared" si="0"/>
        <v>2024</v>
      </c>
      <c r="M2" s="137">
        <f t="shared" si="0"/>
        <v>2025</v>
      </c>
      <c r="N2" s="137">
        <f t="shared" ref="N2" si="1">M2+1</f>
        <v>2026</v>
      </c>
      <c r="O2" s="137">
        <f t="shared" ref="O2" si="2">N2+1</f>
        <v>2027</v>
      </c>
      <c r="P2" s="137">
        <f t="shared" ref="P2" si="3">O2+1</f>
        <v>2028</v>
      </c>
    </row>
    <row r="3" spans="1:20" x14ac:dyDescent="0.35">
      <c r="A3" s="138">
        <v>2015</v>
      </c>
      <c r="B3" t="s">
        <v>102</v>
      </c>
      <c r="C3" s="139">
        <v>1619714072.9000001</v>
      </c>
      <c r="D3" s="140">
        <f>C3-C4</f>
        <v>1295771258.3200002</v>
      </c>
      <c r="E3" s="140">
        <f>D3-C4</f>
        <v>971828443.74000013</v>
      </c>
      <c r="F3" s="140">
        <f>E3-C4</f>
        <v>647885629.16000009</v>
      </c>
      <c r="G3" s="140">
        <f>F3-C4</f>
        <v>323942814.58000004</v>
      </c>
      <c r="H3" s="140">
        <f>G3-C4</f>
        <v>0</v>
      </c>
      <c r="I3" s="140">
        <f>H3-$E$4</f>
        <v>0</v>
      </c>
      <c r="J3" s="140">
        <f>I3-$E$4</f>
        <v>0</v>
      </c>
      <c r="K3" s="140"/>
      <c r="P3" s="140"/>
      <c r="Q3">
        <v>2013</v>
      </c>
      <c r="R3" s="139">
        <v>1726670811.6800001</v>
      </c>
      <c r="S3" s="140"/>
    </row>
    <row r="4" spans="1:20" x14ac:dyDescent="0.35">
      <c r="A4" s="141"/>
      <c r="B4" t="s">
        <v>103</v>
      </c>
      <c r="C4" s="139">
        <f>C3/B2</f>
        <v>323942814.58000004</v>
      </c>
      <c r="D4" s="139"/>
      <c r="E4" s="139"/>
      <c r="Q4">
        <v>2014</v>
      </c>
      <c r="R4" s="139">
        <v>422342499</v>
      </c>
    </row>
    <row r="5" spans="1:20" x14ac:dyDescent="0.35">
      <c r="A5" s="141"/>
      <c r="B5" t="s">
        <v>104</v>
      </c>
      <c r="C5" s="139">
        <f>(($C$3*IRR!$E$4*6)/12)</f>
        <v>80985703.645000011</v>
      </c>
      <c r="D5" s="140">
        <f>AVERAGE(C3:D3)*IRR!$E$4</f>
        <v>145774266.56100002</v>
      </c>
      <c r="E5" s="140">
        <f>AVERAGE(D3:E3)*IRR!$E$4</f>
        <v>113379985.10300003</v>
      </c>
      <c r="F5" s="140">
        <f>AVERAGE(E3:F3)*IRR!$E$4</f>
        <v>80985703.645000011</v>
      </c>
      <c r="G5" s="140">
        <f>AVERAGE(F3:G3)*IRR!$E$4</f>
        <v>48591422.187000006</v>
      </c>
      <c r="H5" s="140">
        <f>AVERAGE(G3:H3)*IRR!$E$4</f>
        <v>16197140.729000002</v>
      </c>
      <c r="I5" s="140">
        <f>AVERAGE($H$3:$I$3)*[3]IRR!$G$4</f>
        <v>0</v>
      </c>
      <c r="J5" s="140">
        <f>AVERAGE($I$3:$J$3)*[3]IRR!$G$4</f>
        <v>0</v>
      </c>
      <c r="K5" s="140"/>
      <c r="P5" s="140"/>
      <c r="Q5">
        <v>2016</v>
      </c>
      <c r="R5" s="139">
        <v>10773000</v>
      </c>
      <c r="S5" s="140"/>
      <c r="T5" s="140"/>
    </row>
    <row r="6" spans="1:20" x14ac:dyDescent="0.35">
      <c r="A6" s="138">
        <v>2016</v>
      </c>
      <c r="B6" t="s">
        <v>102</v>
      </c>
      <c r="C6" s="139"/>
      <c r="D6" s="140">
        <v>38092400</v>
      </c>
      <c r="E6" s="140">
        <f>D6-D7</f>
        <v>30473920</v>
      </c>
      <c r="F6" s="140">
        <f>E6-D7</f>
        <v>22855440</v>
      </c>
      <c r="G6" s="140">
        <f>F6-D7</f>
        <v>15236960</v>
      </c>
      <c r="H6" s="140">
        <f>G6-D7</f>
        <v>7618480</v>
      </c>
      <c r="I6" s="140"/>
      <c r="J6" s="140"/>
      <c r="K6" s="140"/>
      <c r="Q6">
        <v>2017</v>
      </c>
      <c r="R6" s="139">
        <v>102210600</v>
      </c>
    </row>
    <row r="7" spans="1:20" x14ac:dyDescent="0.35">
      <c r="A7" s="141"/>
      <c r="B7" t="s">
        <v>103</v>
      </c>
      <c r="C7" s="139"/>
      <c r="D7" s="140">
        <f>D6/B2</f>
        <v>7618480</v>
      </c>
      <c r="E7" s="140"/>
      <c r="F7" s="140"/>
      <c r="G7" s="140"/>
      <c r="H7" s="140"/>
      <c r="I7" s="140"/>
      <c r="J7" s="140"/>
      <c r="K7" s="140"/>
    </row>
    <row r="8" spans="1:20" x14ac:dyDescent="0.35">
      <c r="A8" s="141"/>
      <c r="B8" t="s">
        <v>104</v>
      </c>
      <c r="C8" s="139"/>
      <c r="D8" s="139">
        <f>((D6*IRR!E4*6)/12)</f>
        <v>1904620</v>
      </c>
      <c r="E8" s="140">
        <f>AVERAGE(D6:E6)*IRR!$E$4</f>
        <v>3428316</v>
      </c>
      <c r="F8" s="140">
        <f>AVERAGE(E6:F6)*IRR!$E$4</f>
        <v>2666468</v>
      </c>
      <c r="G8" s="140">
        <f>AVERAGE(F6:G6)*IRR!$E$4</f>
        <v>1904620</v>
      </c>
      <c r="H8" s="140">
        <f>AVERAGE(G6:H6)*IRR!$E$4</f>
        <v>1142772</v>
      </c>
      <c r="I8" s="140">
        <f>AVERAGE(H6:I6)*IRR!$E$4</f>
        <v>761848</v>
      </c>
      <c r="J8" s="140"/>
      <c r="K8" s="140"/>
    </row>
    <row r="9" spans="1:20" x14ac:dyDescent="0.35">
      <c r="A9" s="138">
        <v>2018</v>
      </c>
      <c r="B9" t="s">
        <v>102</v>
      </c>
      <c r="C9" s="139"/>
      <c r="D9" s="140"/>
      <c r="F9" s="140">
        <v>117423416</v>
      </c>
      <c r="G9" s="140">
        <f>F9-F10</f>
        <v>93938732.799999997</v>
      </c>
      <c r="H9" s="140">
        <f>G9-F10</f>
        <v>70454049.599999994</v>
      </c>
      <c r="I9" s="140">
        <f>H9-F10</f>
        <v>46969366.399999991</v>
      </c>
      <c r="J9" s="140">
        <f>I9-F10</f>
        <v>23484683.199999992</v>
      </c>
      <c r="K9" s="140">
        <f>J9-F10</f>
        <v>0</v>
      </c>
    </row>
    <row r="10" spans="1:20" x14ac:dyDescent="0.35">
      <c r="A10" s="141"/>
      <c r="B10" t="s">
        <v>103</v>
      </c>
      <c r="C10" s="139"/>
      <c r="D10" s="140"/>
      <c r="F10" s="140">
        <f>F9/B2</f>
        <v>23484683.199999999</v>
      </c>
      <c r="G10" s="140"/>
      <c r="H10" s="140"/>
      <c r="I10" s="140"/>
      <c r="J10" s="140"/>
      <c r="K10" s="140"/>
    </row>
    <row r="11" spans="1:20" x14ac:dyDescent="0.35">
      <c r="A11" s="141"/>
      <c r="B11" t="s">
        <v>104</v>
      </c>
      <c r="C11" s="139"/>
      <c r="D11" s="140"/>
      <c r="F11" s="139">
        <f>((F9*[4]IRR!$F$3)*6)/12</f>
        <v>5871170.8000000007</v>
      </c>
      <c r="G11" s="140">
        <f>AVERAGE(F9:G9)*IRR!$E$4</f>
        <v>10568107.440000001</v>
      </c>
      <c r="H11" s="140">
        <f>AVERAGE(G9:H9)*IRR!$E$4</f>
        <v>8219639.1199999992</v>
      </c>
      <c r="I11" s="140">
        <f>AVERAGE(H9:I9)*IRR!$E$4</f>
        <v>5871170.7999999998</v>
      </c>
      <c r="J11" s="140">
        <f>AVERAGE(I9:J9)*IRR!$E$4</f>
        <v>3522702.4799999991</v>
      </c>
      <c r="K11" s="140">
        <f>AVERAGE(J9:K9)*IRR!$E$4</f>
        <v>1174234.1599999997</v>
      </c>
    </row>
    <row r="12" spans="1:20" x14ac:dyDescent="0.35">
      <c r="A12" s="138">
        <v>2021</v>
      </c>
      <c r="B12" t="s">
        <v>102</v>
      </c>
      <c r="C12" s="139"/>
      <c r="D12" s="140"/>
      <c r="E12" s="140"/>
      <c r="F12" s="140"/>
      <c r="I12" s="140">
        <v>48116170</v>
      </c>
      <c r="J12" s="140">
        <f>I12-I13</f>
        <v>38492936</v>
      </c>
      <c r="K12" s="140">
        <f>J12-I13</f>
        <v>28869702</v>
      </c>
      <c r="L12" s="140">
        <f>K12-I13</f>
        <v>19246468</v>
      </c>
      <c r="M12" s="140">
        <f>L12-I13</f>
        <v>9623234</v>
      </c>
      <c r="N12" s="140">
        <f>M12-I13</f>
        <v>0</v>
      </c>
    </row>
    <row r="13" spans="1:20" x14ac:dyDescent="0.35">
      <c r="B13" t="s">
        <v>103</v>
      </c>
      <c r="C13" s="139"/>
      <c r="D13" s="140"/>
      <c r="E13" s="140"/>
      <c r="F13" s="140"/>
      <c r="I13" s="140">
        <f>I12/B2</f>
        <v>9623234</v>
      </c>
      <c r="J13" s="140"/>
      <c r="K13" s="140"/>
      <c r="L13" s="140"/>
      <c r="M13" s="140"/>
      <c r="N13" s="140"/>
    </row>
    <row r="14" spans="1:20" x14ac:dyDescent="0.35">
      <c r="B14" t="s">
        <v>104</v>
      </c>
      <c r="C14" s="139"/>
      <c r="D14" s="140"/>
      <c r="E14" s="139"/>
      <c r="F14" s="140"/>
      <c r="I14" s="139">
        <f>((I12*IRR!E4*6)/12)</f>
        <v>2405808.5</v>
      </c>
      <c r="J14" s="140">
        <f>AVERAGE(I12:J12)*IRR!$E$4</f>
        <v>4330455.3</v>
      </c>
      <c r="K14" s="140">
        <f>AVERAGE(J12:K12)*IRR!$E$4</f>
        <v>3368131.9000000004</v>
      </c>
      <c r="L14" s="140">
        <f>AVERAGE(K12:L12)*IRR!$E$4</f>
        <v>2405808.5</v>
      </c>
      <c r="M14" s="140">
        <f>AVERAGE(L12:M12)*IRR!$E$4</f>
        <v>1443485.1</v>
      </c>
      <c r="N14" s="140">
        <f>AVERAGE(M12:N12)*IRR!$E$4</f>
        <v>481161.7</v>
      </c>
    </row>
    <row r="15" spans="1:20" x14ac:dyDescent="0.35">
      <c r="A15" s="138">
        <v>2023</v>
      </c>
      <c r="B15" t="s">
        <v>102</v>
      </c>
      <c r="C15" s="139"/>
      <c r="D15" s="140"/>
      <c r="E15" s="140"/>
      <c r="F15" s="140"/>
      <c r="K15" s="140">
        <v>2510552</v>
      </c>
      <c r="L15" s="140">
        <f>K15-K16</f>
        <v>2008441.6</v>
      </c>
      <c r="M15" s="140">
        <f>L15-K16</f>
        <v>1506331.2000000002</v>
      </c>
      <c r="N15" s="140">
        <f>M15-K16</f>
        <v>1004220.8000000002</v>
      </c>
      <c r="O15" s="140">
        <f>N15-K16</f>
        <v>502110.40000000014</v>
      </c>
      <c r="P15" s="140">
        <f>O15-K16</f>
        <v>0</v>
      </c>
    </row>
    <row r="16" spans="1:20" x14ac:dyDescent="0.35">
      <c r="B16" t="s">
        <v>103</v>
      </c>
      <c r="C16" s="139"/>
      <c r="D16" s="140"/>
      <c r="E16" s="140"/>
      <c r="F16" s="140"/>
      <c r="K16" s="140">
        <f>K15/B2</f>
        <v>502110.4</v>
      </c>
      <c r="L16" s="140"/>
      <c r="M16" s="140"/>
      <c r="N16" s="140"/>
      <c r="O16" s="140"/>
      <c r="P16" s="140"/>
    </row>
    <row r="17" spans="1:16" x14ac:dyDescent="0.35">
      <c r="B17" t="s">
        <v>104</v>
      </c>
      <c r="C17" s="139"/>
      <c r="D17" s="140"/>
      <c r="E17" s="139"/>
      <c r="F17" s="140"/>
      <c r="K17" s="139">
        <f>((K15*IRR!E4*6)/12)</f>
        <v>125527.60000000002</v>
      </c>
      <c r="L17" s="140">
        <f>AVERAGE(K15:L15)*IRR!$E$4</f>
        <v>225949.68</v>
      </c>
      <c r="M17" s="140">
        <f>AVERAGE(L15:M15)*IRR!$E$4</f>
        <v>175738.64</v>
      </c>
      <c r="N17" s="140">
        <f>AVERAGE(M15:N15)*IRR!$E$4</f>
        <v>125527.60000000003</v>
      </c>
      <c r="O17" s="140">
        <f>AVERAGE(N15:O15)*IRR!$E$4</f>
        <v>75316.560000000012</v>
      </c>
      <c r="P17" s="140">
        <f>AVERAGE(O15:P15)*IRR!$E$4</f>
        <v>25105.520000000008</v>
      </c>
    </row>
    <row r="18" spans="1:16" x14ac:dyDescent="0.35">
      <c r="C18" s="139"/>
      <c r="D18" s="140"/>
      <c r="E18" s="140"/>
      <c r="F18" s="140"/>
      <c r="G18" s="140"/>
      <c r="H18" s="140"/>
      <c r="I18" s="140"/>
      <c r="J18" s="140"/>
      <c r="K18" s="140"/>
    </row>
    <row r="19" spans="1:16" x14ac:dyDescent="0.35">
      <c r="A19" s="135"/>
      <c r="B19" s="142" t="s">
        <v>105</v>
      </c>
      <c r="C19" s="143">
        <f>C17+C14+C11+C8+C5</f>
        <v>80985703.645000011</v>
      </c>
      <c r="D19" s="143">
        <f t="shared" ref="D19:P19" si="4">D17+D14+D11+D8+D5</f>
        <v>147678886.56100002</v>
      </c>
      <c r="E19" s="143">
        <f t="shared" si="4"/>
        <v>116808301.10300003</v>
      </c>
      <c r="F19" s="143">
        <f t="shared" si="4"/>
        <v>89523342.445000008</v>
      </c>
      <c r="G19" s="143">
        <f t="shared" si="4"/>
        <v>61064149.627000004</v>
      </c>
      <c r="H19" s="143">
        <f t="shared" si="4"/>
        <v>25559551.848999999</v>
      </c>
      <c r="I19" s="143">
        <f t="shared" si="4"/>
        <v>9038827.3000000007</v>
      </c>
      <c r="J19" s="143">
        <f t="shared" si="4"/>
        <v>7853157.7799999993</v>
      </c>
      <c r="K19" s="143">
        <f t="shared" si="4"/>
        <v>4667893.66</v>
      </c>
      <c r="L19" s="143">
        <f t="shared" si="4"/>
        <v>2631758.1800000002</v>
      </c>
      <c r="M19" s="143">
        <f t="shared" si="4"/>
        <v>1619223.7400000002</v>
      </c>
      <c r="N19" s="143">
        <f t="shared" si="4"/>
        <v>606689.30000000005</v>
      </c>
      <c r="O19" s="143">
        <f t="shared" si="4"/>
        <v>75316.560000000012</v>
      </c>
      <c r="P19" s="143">
        <f t="shared" si="4"/>
        <v>25105.520000000008</v>
      </c>
    </row>
    <row r="20" spans="1:16" x14ac:dyDescent="0.35">
      <c r="B20" s="139"/>
      <c r="C20" s="140"/>
      <c r="D20" s="140"/>
      <c r="E20" s="140"/>
      <c r="F20" s="140"/>
      <c r="G20" s="140"/>
      <c r="H20" s="140"/>
      <c r="I20" s="140"/>
      <c r="J20" s="140"/>
      <c r="K20" s="140"/>
    </row>
    <row r="21" spans="1:16" x14ac:dyDescent="0.35">
      <c r="A21" s="144"/>
      <c r="B21" s="144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</row>
    <row r="22" spans="1:16" x14ac:dyDescent="0.35">
      <c r="A22" s="134" t="s">
        <v>106</v>
      </c>
    </row>
    <row r="23" spans="1:16" x14ac:dyDescent="0.35">
      <c r="A23" t="s">
        <v>107</v>
      </c>
      <c r="B23" t="s">
        <v>108</v>
      </c>
      <c r="C23" s="145">
        <v>50000000</v>
      </c>
    </row>
    <row r="24" spans="1:16" x14ac:dyDescent="0.35">
      <c r="A24" t="s">
        <v>109</v>
      </c>
      <c r="B24" t="s">
        <v>108</v>
      </c>
      <c r="C24" s="145">
        <v>20000000</v>
      </c>
    </row>
    <row r="25" spans="1:16" x14ac:dyDescent="0.35">
      <c r="A25" t="s">
        <v>110</v>
      </c>
      <c r="B25" s="146" t="s">
        <v>111</v>
      </c>
      <c r="C25" s="145"/>
    </row>
    <row r="26" spans="1:16" x14ac:dyDescent="0.35">
      <c r="A26" t="s">
        <v>112</v>
      </c>
      <c r="B26" s="146" t="s">
        <v>111</v>
      </c>
      <c r="C26" s="145"/>
    </row>
    <row r="28" spans="1:16" x14ac:dyDescent="0.35">
      <c r="A28" s="147" t="s">
        <v>51</v>
      </c>
      <c r="B28" s="143">
        <f>C23</f>
        <v>50000000</v>
      </c>
      <c r="C28" s="148">
        <f>B28+C29</f>
        <v>51000000</v>
      </c>
      <c r="D28" s="148">
        <f>C28+D30</f>
        <v>52020000</v>
      </c>
      <c r="E28" s="148">
        <f t="shared" ref="E28:K28" si="5">D28+E30</f>
        <v>53060400</v>
      </c>
      <c r="F28" s="148">
        <f t="shared" si="5"/>
        <v>54121608</v>
      </c>
      <c r="G28" s="148">
        <f t="shared" si="5"/>
        <v>55204040.159999996</v>
      </c>
      <c r="H28" s="148">
        <f t="shared" si="5"/>
        <v>56308120.963199995</v>
      </c>
      <c r="I28" s="148">
        <f t="shared" si="5"/>
        <v>57434283.382463992</v>
      </c>
      <c r="J28" s="148">
        <f t="shared" si="5"/>
        <v>58582969.050113268</v>
      </c>
      <c r="K28" s="148">
        <f t="shared" si="5"/>
        <v>59754628.43111553</v>
      </c>
    </row>
    <row r="29" spans="1:16" x14ac:dyDescent="0.35">
      <c r="A29" s="149">
        <v>0.02</v>
      </c>
      <c r="B29" s="147"/>
      <c r="C29" s="148">
        <f>C30</f>
        <v>1000000</v>
      </c>
      <c r="D29" s="148">
        <f>C29+D30</f>
        <v>2020000</v>
      </c>
      <c r="E29" s="148">
        <f t="shared" ref="E29:K29" si="6">D29+E30</f>
        <v>3060400</v>
      </c>
      <c r="F29" s="148">
        <f t="shared" si="6"/>
        <v>4121608</v>
      </c>
      <c r="G29" s="148">
        <f t="shared" si="6"/>
        <v>5204040.16</v>
      </c>
      <c r="H29" s="148">
        <f t="shared" si="6"/>
        <v>6308120.9632000001</v>
      </c>
      <c r="I29" s="148">
        <f t="shared" si="6"/>
        <v>7434283.382464</v>
      </c>
      <c r="J29" s="148">
        <f t="shared" si="6"/>
        <v>8582969.0501132794</v>
      </c>
      <c r="K29" s="148">
        <f t="shared" si="6"/>
        <v>9754628.4311155453</v>
      </c>
    </row>
    <row r="30" spans="1:16" x14ac:dyDescent="0.35">
      <c r="A30" s="147"/>
      <c r="B30" s="147"/>
      <c r="C30" s="148">
        <f t="shared" ref="C30:K30" si="7">B28*$A$29</f>
        <v>1000000</v>
      </c>
      <c r="D30" s="148">
        <f t="shared" si="7"/>
        <v>1020000</v>
      </c>
      <c r="E30" s="148">
        <f t="shared" si="7"/>
        <v>1040400</v>
      </c>
      <c r="F30" s="148">
        <f t="shared" si="7"/>
        <v>1061208</v>
      </c>
      <c r="G30" s="148">
        <f t="shared" si="7"/>
        <v>1082432.1599999999</v>
      </c>
      <c r="H30" s="148">
        <f t="shared" si="7"/>
        <v>1104080.8032</v>
      </c>
      <c r="I30" s="148">
        <f t="shared" si="7"/>
        <v>1126162.4192639999</v>
      </c>
      <c r="J30" s="148">
        <f t="shared" si="7"/>
        <v>1148685.6676492798</v>
      </c>
      <c r="K30" s="148">
        <f t="shared" si="7"/>
        <v>1171659.3810022655</v>
      </c>
    </row>
    <row r="31" spans="1:16" x14ac:dyDescent="0.35">
      <c r="C31" s="140"/>
      <c r="D31" s="140"/>
      <c r="E31" s="140"/>
      <c r="F31" s="140"/>
      <c r="G31" s="140"/>
      <c r="H31" s="140"/>
      <c r="I31" s="140"/>
      <c r="J31" s="140"/>
      <c r="K31" s="140"/>
    </row>
    <row r="32" spans="1:16" x14ac:dyDescent="0.35">
      <c r="A32" s="144"/>
      <c r="B32" s="144"/>
      <c r="C32" s="150"/>
      <c r="D32" s="150"/>
      <c r="E32" s="150"/>
      <c r="F32" s="150"/>
      <c r="G32" s="150"/>
      <c r="H32" s="150"/>
      <c r="I32" s="150"/>
      <c r="J32" s="150"/>
      <c r="K32" s="150"/>
      <c r="L32" s="144"/>
      <c r="M32" s="144"/>
      <c r="N32" s="144"/>
      <c r="O32" s="144"/>
    </row>
    <row r="33" spans="1:11" x14ac:dyDescent="0.35">
      <c r="A33" s="134" t="s">
        <v>113</v>
      </c>
      <c r="C33" s="140"/>
      <c r="D33" s="140"/>
      <c r="E33" s="140"/>
      <c r="F33" s="140"/>
      <c r="G33" s="140"/>
      <c r="H33" s="140"/>
      <c r="I33" s="140"/>
      <c r="J33" s="140"/>
      <c r="K33" s="140"/>
    </row>
    <row r="34" spans="1:11" x14ac:dyDescent="0.35">
      <c r="A34" t="s">
        <v>114</v>
      </c>
      <c r="C34" s="140"/>
      <c r="D34" s="140"/>
      <c r="E34" s="140"/>
      <c r="F34" s="140"/>
      <c r="G34" s="140"/>
      <c r="H34" s="140"/>
      <c r="I34" s="140"/>
      <c r="J34" s="140"/>
      <c r="K34" s="140"/>
    </row>
    <row r="35" spans="1:11" x14ac:dyDescent="0.35">
      <c r="A35" t="s">
        <v>115</v>
      </c>
      <c r="C35" s="140"/>
      <c r="D35" s="140"/>
      <c r="E35" s="140"/>
      <c r="F35" s="140"/>
      <c r="G35" s="140"/>
      <c r="H35" s="140"/>
      <c r="I35" s="140"/>
      <c r="J35" s="140"/>
      <c r="K35" s="140"/>
    </row>
    <row r="36" spans="1:11" x14ac:dyDescent="0.35">
      <c r="A36" t="s">
        <v>116</v>
      </c>
      <c r="C36" s="140"/>
      <c r="D36" s="140"/>
      <c r="E36" s="140"/>
      <c r="F36" s="140"/>
      <c r="G36" s="140"/>
      <c r="H36" s="140"/>
      <c r="I36" s="140"/>
      <c r="J36" s="140"/>
      <c r="K36" s="140"/>
    </row>
    <row r="37" spans="1:11" x14ac:dyDescent="0.35">
      <c r="A37" t="s">
        <v>117</v>
      </c>
      <c r="C37" s="140"/>
      <c r="D37" s="140"/>
      <c r="E37" s="140"/>
      <c r="F37" s="140"/>
      <c r="G37" s="140"/>
      <c r="H37" s="140"/>
      <c r="I37" s="140"/>
      <c r="J37" s="140"/>
      <c r="K37" s="140"/>
    </row>
    <row r="38" spans="1:11" x14ac:dyDescent="0.35">
      <c r="A38" s="151" t="s">
        <v>118</v>
      </c>
      <c r="B38" s="152"/>
      <c r="C38" s="153"/>
      <c r="D38" s="140"/>
      <c r="E38" s="140"/>
      <c r="F38" s="140"/>
      <c r="G38" s="140"/>
      <c r="H38" s="140"/>
      <c r="I38" s="140"/>
      <c r="J38" s="140"/>
      <c r="K38" s="140"/>
    </row>
    <row r="39" spans="1:11" x14ac:dyDescent="0.35">
      <c r="C39" s="140"/>
      <c r="D39" s="140"/>
      <c r="E39" s="140"/>
      <c r="F39" s="140"/>
      <c r="G39" s="140"/>
      <c r="H39" s="140"/>
      <c r="I39" s="140"/>
      <c r="J39" s="140"/>
      <c r="K39" s="140"/>
    </row>
    <row r="40" spans="1:11" x14ac:dyDescent="0.35">
      <c r="A40" s="154" t="s">
        <v>119</v>
      </c>
      <c r="B40" s="137" t="s">
        <v>120</v>
      </c>
      <c r="D40" s="154" t="s">
        <v>121</v>
      </c>
      <c r="E40" s="137" t="s">
        <v>122</v>
      </c>
      <c r="G40" s="272" t="s">
        <v>117</v>
      </c>
      <c r="H40" s="273"/>
      <c r="J40" s="137" t="s">
        <v>123</v>
      </c>
      <c r="K40" s="137" t="s">
        <v>124</v>
      </c>
    </row>
    <row r="41" spans="1:11" x14ac:dyDescent="0.35">
      <c r="A41" t="s">
        <v>125</v>
      </c>
      <c r="B41" s="139">
        <v>16800000</v>
      </c>
      <c r="D41" t="s">
        <v>126</v>
      </c>
      <c r="E41" s="139">
        <v>7000000</v>
      </c>
      <c r="G41" t="s">
        <v>127</v>
      </c>
      <c r="H41" s="139">
        <v>10000000</v>
      </c>
      <c r="J41" t="s">
        <v>125</v>
      </c>
      <c r="K41" s="139">
        <v>4000000</v>
      </c>
    </row>
    <row r="42" spans="1:11" x14ac:dyDescent="0.35">
      <c r="A42" t="s">
        <v>128</v>
      </c>
      <c r="B42" s="139"/>
      <c r="G42" t="s">
        <v>129</v>
      </c>
      <c r="H42" s="139">
        <v>12000000</v>
      </c>
      <c r="J42" t="s">
        <v>128</v>
      </c>
      <c r="K42" s="139">
        <v>3000000</v>
      </c>
    </row>
    <row r="43" spans="1:11" x14ac:dyDescent="0.35">
      <c r="A43" t="s">
        <v>130</v>
      </c>
      <c r="B43" s="139">
        <v>15600000</v>
      </c>
      <c r="G43" t="s">
        <v>131</v>
      </c>
      <c r="H43" s="139">
        <v>14000000</v>
      </c>
      <c r="J43" t="s">
        <v>130</v>
      </c>
      <c r="K43" s="139">
        <v>2500000</v>
      </c>
    </row>
    <row r="44" spans="1:11" x14ac:dyDescent="0.35">
      <c r="A44" t="s">
        <v>132</v>
      </c>
      <c r="B44" s="139">
        <v>15000000</v>
      </c>
      <c r="G44" t="s">
        <v>133</v>
      </c>
      <c r="H44" s="139">
        <v>14000000</v>
      </c>
      <c r="J44" t="s">
        <v>132</v>
      </c>
      <c r="K44" s="139">
        <v>2000000</v>
      </c>
    </row>
    <row r="45" spans="1:11" x14ac:dyDescent="0.35">
      <c r="A45" t="s">
        <v>134</v>
      </c>
      <c r="B45" s="139">
        <v>15000000</v>
      </c>
      <c r="G45" t="s">
        <v>125</v>
      </c>
      <c r="H45" s="139">
        <v>17000000</v>
      </c>
      <c r="J45" t="s">
        <v>134</v>
      </c>
      <c r="K45" s="139">
        <v>1850000</v>
      </c>
    </row>
    <row r="46" spans="1:11" x14ac:dyDescent="0.35">
      <c r="A46" t="s">
        <v>135</v>
      </c>
      <c r="B46" s="139">
        <v>12000000</v>
      </c>
      <c r="G46" t="s">
        <v>136</v>
      </c>
      <c r="H46" s="139">
        <v>14000000</v>
      </c>
      <c r="J46" t="s">
        <v>135</v>
      </c>
      <c r="K46" s="139">
        <v>1200000</v>
      </c>
    </row>
    <row r="47" spans="1:11" x14ac:dyDescent="0.35">
      <c r="A47" t="s">
        <v>136</v>
      </c>
      <c r="B47" s="139">
        <v>16800000</v>
      </c>
      <c r="J47" t="s">
        <v>136</v>
      </c>
      <c r="K47" s="139">
        <v>2000000</v>
      </c>
    </row>
    <row r="48" spans="1:11" x14ac:dyDescent="0.35">
      <c r="A48" t="s">
        <v>137</v>
      </c>
      <c r="B48" s="139">
        <v>15720000</v>
      </c>
      <c r="J48" t="s">
        <v>137</v>
      </c>
      <c r="K48" s="139">
        <v>3500000</v>
      </c>
    </row>
    <row r="49" spans="1:15" x14ac:dyDescent="0.35">
      <c r="A49" t="s">
        <v>138</v>
      </c>
      <c r="J49" t="s">
        <v>138</v>
      </c>
      <c r="K49" s="139">
        <v>2800000</v>
      </c>
    </row>
    <row r="50" spans="1:15" x14ac:dyDescent="0.35">
      <c r="A50" t="s">
        <v>139</v>
      </c>
      <c r="B50">
        <v>0</v>
      </c>
    </row>
    <row r="52" spans="1:15" x14ac:dyDescent="0.35">
      <c r="C52" s="140"/>
      <c r="D52" s="140"/>
      <c r="E52" s="140"/>
      <c r="F52" s="140"/>
      <c r="G52" s="140"/>
      <c r="H52" s="140"/>
      <c r="I52" s="140"/>
      <c r="J52" s="140"/>
      <c r="K52" s="140"/>
    </row>
    <row r="53" spans="1:15" ht="14.4" customHeight="1" x14ac:dyDescent="0.35">
      <c r="A53" s="274" t="s">
        <v>116</v>
      </c>
      <c r="B53" s="276" t="s">
        <v>96</v>
      </c>
      <c r="C53" s="276" t="s">
        <v>140</v>
      </c>
      <c r="D53" s="277" t="s">
        <v>141</v>
      </c>
      <c r="E53" s="155" t="s">
        <v>142</v>
      </c>
      <c r="F53" s="155" t="s">
        <v>143</v>
      </c>
      <c r="G53" s="155" t="s">
        <v>144</v>
      </c>
      <c r="H53" s="156" t="s">
        <v>145</v>
      </c>
      <c r="I53" s="267" t="s">
        <v>146</v>
      </c>
      <c r="J53" s="267" t="s">
        <v>147</v>
      </c>
    </row>
    <row r="54" spans="1:15" x14ac:dyDescent="0.35">
      <c r="A54" s="275"/>
      <c r="B54" s="276"/>
      <c r="C54" s="276"/>
      <c r="D54" s="277"/>
      <c r="E54" s="157">
        <v>1</v>
      </c>
      <c r="F54" s="158">
        <v>1</v>
      </c>
      <c r="G54" s="158">
        <v>1</v>
      </c>
      <c r="H54" s="159">
        <v>205</v>
      </c>
      <c r="I54" s="268"/>
      <c r="J54" s="268"/>
    </row>
    <row r="55" spans="1:15" x14ac:dyDescent="0.35">
      <c r="A55" s="269" t="s">
        <v>148</v>
      </c>
      <c r="B55" s="147" t="s">
        <v>123</v>
      </c>
      <c r="C55" s="160">
        <f>K48</f>
        <v>3500000</v>
      </c>
      <c r="D55" s="147" t="s">
        <v>142</v>
      </c>
      <c r="E55" s="137">
        <f>E54</f>
        <v>1</v>
      </c>
      <c r="F55" s="137"/>
      <c r="G55" s="137"/>
      <c r="H55" s="161"/>
      <c r="I55" s="162">
        <f>E55*C55</f>
        <v>3500000</v>
      </c>
    </row>
    <row r="56" spans="1:15" x14ac:dyDescent="0.35">
      <c r="A56" s="270"/>
      <c r="B56" s="147" t="s">
        <v>149</v>
      </c>
      <c r="C56" s="163">
        <v>600000</v>
      </c>
      <c r="D56" s="147" t="s">
        <v>142</v>
      </c>
      <c r="E56" s="137">
        <f>E54</f>
        <v>1</v>
      </c>
      <c r="F56" s="137"/>
      <c r="G56" s="137"/>
      <c r="H56" s="161">
        <f>IF($H$54&lt;=120,2,IF($H$54&gt;220,4,3))</f>
        <v>3</v>
      </c>
      <c r="I56" s="163">
        <f>C56*E56</f>
        <v>600000</v>
      </c>
    </row>
    <row r="57" spans="1:15" x14ac:dyDescent="0.35">
      <c r="A57" s="271"/>
      <c r="B57" s="147" t="s">
        <v>148</v>
      </c>
      <c r="C57" s="163">
        <v>200000</v>
      </c>
      <c r="D57" s="147" t="s">
        <v>150</v>
      </c>
      <c r="E57" s="137"/>
      <c r="F57" s="137">
        <f>F54</f>
        <v>1</v>
      </c>
      <c r="G57" s="137"/>
      <c r="H57" s="161"/>
      <c r="I57" s="163">
        <f>F57*C57</f>
        <v>200000</v>
      </c>
    </row>
    <row r="58" spans="1:15" x14ac:dyDescent="0.35">
      <c r="A58" s="147" t="s">
        <v>151</v>
      </c>
      <c r="B58" s="147" t="s">
        <v>151</v>
      </c>
      <c r="C58" s="163">
        <v>450000</v>
      </c>
      <c r="D58" s="147" t="s">
        <v>144</v>
      </c>
      <c r="E58" s="137">
        <f>E54</f>
        <v>1</v>
      </c>
      <c r="F58" s="137"/>
      <c r="G58" s="137">
        <f>G54</f>
        <v>1</v>
      </c>
      <c r="H58" s="161">
        <f>IF($H$54&lt;=120,2,IF($H$54&gt;220,4,3))</f>
        <v>3</v>
      </c>
      <c r="I58" s="163">
        <f>G58*C58*H58</f>
        <v>1350000</v>
      </c>
    </row>
    <row r="59" spans="1:15" x14ac:dyDescent="0.35">
      <c r="A59" s="147" t="s">
        <v>152</v>
      </c>
      <c r="B59" s="147" t="s">
        <v>152</v>
      </c>
      <c r="C59" s="163">
        <v>120000</v>
      </c>
      <c r="D59" s="147" t="s">
        <v>142</v>
      </c>
      <c r="E59" s="137">
        <f>E54</f>
        <v>1</v>
      </c>
      <c r="F59" s="137"/>
      <c r="G59" s="137"/>
      <c r="H59" s="161">
        <f>IF($H$54&lt;=120,2,IF($H$54&gt;220,4,3))</f>
        <v>3</v>
      </c>
      <c r="I59" s="163">
        <f>H59*C59*E59</f>
        <v>360000</v>
      </c>
    </row>
    <row r="60" spans="1:15" x14ac:dyDescent="0.35">
      <c r="I60" s="164">
        <f>SUM(I55:I59)</f>
        <v>6010000</v>
      </c>
      <c r="J60" s="165">
        <f>I60*2</f>
        <v>12020000</v>
      </c>
      <c r="K60" t="s">
        <v>153</v>
      </c>
      <c r="L60" s="195">
        <f>J60+(E41*2)+B48</f>
        <v>41740000</v>
      </c>
    </row>
    <row r="61" spans="1:15" x14ac:dyDescent="0.35">
      <c r="J61" s="164">
        <f>I60*4</f>
        <v>24040000</v>
      </c>
      <c r="K61" t="s">
        <v>154</v>
      </c>
    </row>
    <row r="62" spans="1:15" x14ac:dyDescent="0.35">
      <c r="K62" s="140"/>
    </row>
    <row r="64" spans="1:15" x14ac:dyDescent="0.35">
      <c r="A64" s="144"/>
      <c r="B64" s="144"/>
      <c r="C64" s="150"/>
      <c r="D64" s="150"/>
      <c r="E64" s="150"/>
      <c r="F64" s="150"/>
      <c r="G64" s="150"/>
      <c r="H64" s="150"/>
      <c r="I64" s="150"/>
      <c r="J64" s="150"/>
      <c r="K64" s="150"/>
      <c r="L64" s="144"/>
      <c r="M64" s="144"/>
      <c r="N64" s="144"/>
      <c r="O64" s="144"/>
    </row>
    <row r="65" spans="1:15" x14ac:dyDescent="0.35">
      <c r="A65" s="134" t="s">
        <v>155</v>
      </c>
    </row>
    <row r="67" spans="1:15" x14ac:dyDescent="0.35">
      <c r="A67" s="147" t="s">
        <v>155</v>
      </c>
      <c r="B67" s="140"/>
    </row>
    <row r="68" spans="1:15" x14ac:dyDescent="0.35">
      <c r="A68" t="s">
        <v>156</v>
      </c>
    </row>
    <row r="69" spans="1:15" x14ac:dyDescent="0.35">
      <c r="A69" t="s">
        <v>157</v>
      </c>
      <c r="B69" s="139">
        <v>36000000</v>
      </c>
    </row>
    <row r="70" spans="1:15" x14ac:dyDescent="0.35">
      <c r="A70" t="s">
        <v>158</v>
      </c>
      <c r="B70" s="139">
        <v>42000000</v>
      </c>
    </row>
    <row r="71" spans="1:15" x14ac:dyDescent="0.35">
      <c r="A71" t="s">
        <v>159</v>
      </c>
      <c r="B71" s="139">
        <v>48000000</v>
      </c>
    </row>
    <row r="73" spans="1:15" x14ac:dyDescent="0.35">
      <c r="A73" t="s">
        <v>160</v>
      </c>
    </row>
    <row r="74" spans="1:15" x14ac:dyDescent="0.35">
      <c r="A74" t="s">
        <v>161</v>
      </c>
      <c r="B74" s="139">
        <v>75000000</v>
      </c>
    </row>
    <row r="75" spans="1:15" x14ac:dyDescent="0.35">
      <c r="A75" t="s">
        <v>159</v>
      </c>
      <c r="B75" s="139">
        <v>95000000</v>
      </c>
    </row>
    <row r="77" spans="1:15" x14ac:dyDescent="0.35">
      <c r="A77" s="144"/>
      <c r="B77" s="144"/>
      <c r="C77" s="150"/>
      <c r="D77" s="150"/>
      <c r="E77" s="150"/>
      <c r="F77" s="150"/>
      <c r="G77" s="150"/>
      <c r="H77" s="150"/>
      <c r="I77" s="150"/>
      <c r="J77" s="150"/>
      <c r="K77" s="150"/>
      <c r="L77" s="144"/>
      <c r="M77" s="144"/>
      <c r="N77" s="144"/>
      <c r="O77" s="144"/>
    </row>
    <row r="78" spans="1:15" x14ac:dyDescent="0.35">
      <c r="A78" s="134" t="s">
        <v>162</v>
      </c>
    </row>
    <row r="80" spans="1:15" x14ac:dyDescent="0.35">
      <c r="A80" t="s">
        <v>163</v>
      </c>
      <c r="C80" s="166">
        <v>150000000</v>
      </c>
    </row>
    <row r="81" spans="1:15" x14ac:dyDescent="0.35">
      <c r="A81" t="s">
        <v>164</v>
      </c>
      <c r="C81" s="166">
        <v>200000000</v>
      </c>
    </row>
    <row r="82" spans="1:15" x14ac:dyDescent="0.35">
      <c r="A82" t="s">
        <v>165</v>
      </c>
      <c r="C82" s="166">
        <v>85000000</v>
      </c>
    </row>
    <row r="83" spans="1:15" x14ac:dyDescent="0.35">
      <c r="A83" t="s">
        <v>166</v>
      </c>
      <c r="C83" s="166">
        <v>150000000</v>
      </c>
    </row>
    <row r="84" spans="1:15" x14ac:dyDescent="0.35">
      <c r="A84" t="s">
        <v>167</v>
      </c>
      <c r="C84" s="166">
        <v>50000000</v>
      </c>
    </row>
    <row r="86" spans="1:15" x14ac:dyDescent="0.35">
      <c r="A86" s="144"/>
      <c r="B86" s="144"/>
      <c r="C86" s="150"/>
      <c r="D86" s="150"/>
      <c r="E86" s="150"/>
      <c r="F86" s="150"/>
      <c r="G86" s="150"/>
      <c r="H86" s="150"/>
      <c r="I86" s="150"/>
      <c r="J86" s="150"/>
      <c r="K86" s="150"/>
      <c r="L86" s="144"/>
      <c r="M86" s="144"/>
      <c r="N86" s="144"/>
      <c r="O86" s="144"/>
    </row>
  </sheetData>
  <mergeCells count="8">
    <mergeCell ref="J53:J54"/>
    <mergeCell ref="A55:A57"/>
    <mergeCell ref="G40:H40"/>
    <mergeCell ref="A53:A54"/>
    <mergeCell ref="B53:B54"/>
    <mergeCell ref="C53:C54"/>
    <mergeCell ref="D53:D54"/>
    <mergeCell ref="I53:I54"/>
  </mergeCells>
  <conditionalFormatting sqref="B20:K20 C9:D11 C18:K18 P5 R5:S5 C19:P19 C5:K8 F9:K11">
    <cfRule type="cellIs" dxfId="5" priority="6" operator="lessThan">
      <formula>0</formula>
    </cfRule>
  </conditionalFormatting>
  <conditionalFormatting sqref="T5">
    <cfRule type="cellIs" dxfId="4" priority="5" operator="lessThan">
      <formula>0</formula>
    </cfRule>
  </conditionalFormatting>
  <conditionalFormatting sqref="C12:F14">
    <cfRule type="cellIs" dxfId="3" priority="4" operator="lessThan">
      <formula>0</formula>
    </cfRule>
  </conditionalFormatting>
  <conditionalFormatting sqref="I12:N14">
    <cfRule type="cellIs" dxfId="2" priority="3" operator="lessThan">
      <formula>0</formula>
    </cfRule>
  </conditionalFormatting>
  <conditionalFormatting sqref="C15:F17">
    <cfRule type="cellIs" dxfId="1" priority="2" operator="lessThan">
      <formula>0</formula>
    </cfRule>
  </conditionalFormatting>
  <conditionalFormatting sqref="K15:P17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Summary</vt:lpstr>
      <vt:lpstr>IRR</vt:lpstr>
      <vt:lpstr>SummaryBR</vt:lpstr>
      <vt:lpstr>Analisa</vt:lpstr>
      <vt:lpstr>Parameter</vt:lpstr>
      <vt:lpstr>IRR!Print_Area</vt:lpstr>
      <vt:lpstr>Summary!Print_Area</vt:lpstr>
      <vt:lpstr>SummaryBR!Print_Area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dcterms:created xsi:type="dcterms:W3CDTF">2024-01-30T02:49:52Z</dcterms:created>
  <dcterms:modified xsi:type="dcterms:W3CDTF">2025-01-03T02:52:28Z</dcterms:modified>
</cp:coreProperties>
</file>