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Alila Seminyak\"/>
    </mc:Choice>
  </mc:AlternateContent>
  <xr:revisionPtr revIDLastSave="0" documentId="8_{DCE07A16-C9B0-4FA9-84EE-65F96EDFCE70}" xr6:coauthVersionLast="36" xr6:coauthVersionMax="36" xr10:uidLastSave="{00000000-0000-0000-0000-000000000000}"/>
  <bookViews>
    <workbookView xWindow="0" yWindow="0" windowWidth="19200" windowHeight="7550" tabRatio="919" xr2:uid="{00000000-000D-0000-FFFF-FFFF00000000}"/>
  </bookViews>
  <sheets>
    <sheet name="Summary" sheetId="11" r:id="rId1"/>
    <sheet name="IRR" sheetId="12" r:id="rId2"/>
    <sheet name="PARAMETER" sheetId="13" r:id="rId3"/>
    <sheet name="Summary BR" sheetId="8" r:id="rId4"/>
    <sheet name="Analisa" sheetId="9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4">#REF!</definedName>
    <definedName name="jk" localSheetId="1">#REF!</definedName>
    <definedName name="jk" localSheetId="2">#REF!</definedName>
    <definedName name="jk" localSheetId="0">#REF!</definedName>
    <definedName name="jk" localSheetId="3">#REF!</definedName>
    <definedName name="j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>#REF!</definedName>
    <definedName name="PHUAWEISERVICE1">#REF!</definedName>
    <definedName name="PHUAWEISW1">#REF!</definedName>
    <definedName name="PLOCALOUTSOURCING1">#REF!</definedName>
    <definedName name="PLOCALSERVICE1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4">Analisa!$A$2:$F$17</definedName>
    <definedName name="_xlnm.Print_Area" localSheetId="1">IRR!$B$1:$R$58</definedName>
    <definedName name="_xlnm.Print_Area" localSheetId="2">#REF!</definedName>
    <definedName name="_xlnm.Print_Area" localSheetId="0">Summary!$B$1:$N$31</definedName>
    <definedName name="_xlnm.Print_Area" localSheetId="3">'Summary BR'!#REF!</definedName>
    <definedName name="_xlnm.Print_Area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>#REF!</definedName>
    <definedName name="QF_SYS_CALC_DECIMAL">[64]Parameters!$D$23</definedName>
    <definedName name="QF_SYS_CURRENCY1">#REF!</definedName>
    <definedName name="QF_SYS_DESTINATION1">#REF!</definedName>
    <definedName name="QF_SYS_EXCHANGE1">[64]Parameters!$D$35</definedName>
    <definedName name="QF_SYS_LISTPRICECURRENCY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>[11]Overview!$D$28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>[11]Overview!$H$28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>#REF!</definedName>
    <definedName name="YearHours">'[4]Financial Input'!$B$68</definedName>
    <definedName name="years_contract">[74]Kerlink!$D$5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2" l="1"/>
  <c r="J18" i="12"/>
  <c r="H22" i="12"/>
  <c r="M6" i="11" l="1"/>
  <c r="M12" i="11"/>
  <c r="H25" i="12"/>
  <c r="D12" i="9"/>
  <c r="L40" i="13"/>
  <c r="I31" i="12"/>
  <c r="H31" i="12"/>
  <c r="C24" i="13"/>
  <c r="D24" i="13"/>
  <c r="E24" i="13"/>
  <c r="F24" i="13"/>
  <c r="G24" i="13"/>
  <c r="H24" i="13"/>
  <c r="I24" i="13"/>
  <c r="J24" i="13"/>
  <c r="K24" i="13"/>
  <c r="L24" i="13"/>
  <c r="M24" i="13"/>
  <c r="B24" i="13"/>
  <c r="J21" i="13"/>
  <c r="I21" i="13"/>
  <c r="H21" i="13"/>
  <c r="K18" i="13"/>
  <c r="L18" i="13" s="1"/>
  <c r="M18" i="13" s="1"/>
  <c r="J18" i="13"/>
  <c r="I18" i="13"/>
  <c r="H20" i="13"/>
  <c r="G17" i="13"/>
  <c r="F12" i="13"/>
  <c r="G10" i="13" s="1"/>
  <c r="F13" i="13"/>
  <c r="G16" i="13"/>
  <c r="H14" i="13"/>
  <c r="I14" i="13" s="1"/>
  <c r="J14" i="13" s="1"/>
  <c r="K14" i="13" s="1"/>
  <c r="L14" i="13" s="1"/>
  <c r="D9" i="13"/>
  <c r="D8" i="13"/>
  <c r="E6" i="13" s="1"/>
  <c r="B5" i="13"/>
  <c r="F5" i="13"/>
  <c r="G5" i="13"/>
  <c r="B4" i="13"/>
  <c r="C2" i="13" s="1"/>
  <c r="D5" i="13" s="1"/>
  <c r="C1" i="13"/>
  <c r="D1" i="13" s="1"/>
  <c r="E1" i="13" s="1"/>
  <c r="F1" i="13" s="1"/>
  <c r="G1" i="13" s="1"/>
  <c r="H1" i="13" s="1"/>
  <c r="I1" i="13" s="1"/>
  <c r="J1" i="13" s="1"/>
  <c r="K1" i="13" s="1"/>
  <c r="L1" i="13" s="1"/>
  <c r="M1" i="13" s="1"/>
  <c r="N1" i="13" s="1"/>
  <c r="O1" i="13" s="1"/>
  <c r="P1" i="13" s="1"/>
  <c r="Q1" i="13" s="1"/>
  <c r="R1" i="13" s="1"/>
  <c r="S1" i="13" s="1"/>
  <c r="T1" i="13" s="1"/>
  <c r="U1" i="13" s="1"/>
  <c r="V1" i="13" s="1"/>
  <c r="H47" i="12"/>
  <c r="F6" i="13" l="1"/>
  <c r="F9" i="13" s="1"/>
  <c r="E9" i="13"/>
  <c r="G13" i="13"/>
  <c r="H10" i="13"/>
  <c r="C5" i="13"/>
  <c r="H17" i="13"/>
  <c r="E5" i="13"/>
  <c r="I17" i="13"/>
  <c r="K21" i="13" l="1"/>
  <c r="I10" i="13"/>
  <c r="H13" i="13"/>
  <c r="G6" i="13"/>
  <c r="G9" i="13"/>
  <c r="J17" i="13"/>
  <c r="L21" i="13" l="1"/>
  <c r="H9" i="13"/>
  <c r="H6" i="13"/>
  <c r="J10" i="13"/>
  <c r="J13" i="13"/>
  <c r="I13" i="13"/>
  <c r="L17" i="13"/>
  <c r="K17" i="13"/>
  <c r="M21" i="13" l="1"/>
  <c r="K10" i="13"/>
  <c r="K13" i="13" s="1"/>
  <c r="I6" i="13"/>
  <c r="I9" i="13"/>
  <c r="F7" i="12" l="1"/>
  <c r="C66" i="13"/>
  <c r="D57" i="13"/>
  <c r="I39" i="13"/>
  <c r="J39" i="13" s="1"/>
  <c r="F39" i="13"/>
  <c r="I38" i="13"/>
  <c r="H38" i="13"/>
  <c r="F38" i="13"/>
  <c r="G37" i="13"/>
  <c r="J37" i="13" s="1"/>
  <c r="I36" i="13"/>
  <c r="F36" i="13"/>
  <c r="J36" i="13" s="1"/>
  <c r="F35" i="13"/>
  <c r="J35" i="13" s="1"/>
  <c r="C28" i="13"/>
  <c r="C27" i="13" s="1"/>
  <c r="R56" i="12"/>
  <c r="P55" i="12"/>
  <c r="R55" i="12" s="1"/>
  <c r="O54" i="12"/>
  <c r="P54" i="12" s="1"/>
  <c r="R54" i="12" s="1"/>
  <c r="N53" i="12"/>
  <c r="M52" i="12"/>
  <c r="N52" i="12" s="1"/>
  <c r="L51" i="12"/>
  <c r="H46" i="12"/>
  <c r="Q36" i="12"/>
  <c r="P36" i="12"/>
  <c r="O36" i="12"/>
  <c r="N36" i="12"/>
  <c r="M36" i="12"/>
  <c r="L36" i="12"/>
  <c r="H36" i="12"/>
  <c r="M31" i="12"/>
  <c r="Q25" i="12"/>
  <c r="P25" i="12"/>
  <c r="O25" i="12"/>
  <c r="N25" i="12"/>
  <c r="M25" i="12"/>
  <c r="Q23" i="12"/>
  <c r="P23" i="12"/>
  <c r="O23" i="12"/>
  <c r="N23" i="12"/>
  <c r="M23" i="12"/>
  <c r="I23" i="12"/>
  <c r="O22" i="12"/>
  <c r="P22" i="12" s="1"/>
  <c r="Q22" i="12" s="1"/>
  <c r="N22" i="12"/>
  <c r="M22" i="12"/>
  <c r="H20" i="12"/>
  <c r="G20" i="12"/>
  <c r="G25" i="12" s="1"/>
  <c r="I19" i="12"/>
  <c r="J19" i="12" s="1"/>
  <c r="K19" i="12" s="1"/>
  <c r="L19" i="12" s="1"/>
  <c r="Q18" i="12"/>
  <c r="P18" i="12"/>
  <c r="O18" i="12"/>
  <c r="N18" i="12"/>
  <c r="M18" i="12"/>
  <c r="I14" i="12"/>
  <c r="J14" i="12" s="1"/>
  <c r="K13" i="12"/>
  <c r="K50" i="12" s="1"/>
  <c r="J13" i="12"/>
  <c r="J49" i="12" s="1"/>
  <c r="I13" i="12"/>
  <c r="I48" i="12" s="1"/>
  <c r="G36" i="12"/>
  <c r="N19" i="12"/>
  <c r="R1" i="12"/>
  <c r="M8" i="11"/>
  <c r="J38" i="13" l="1"/>
  <c r="J40" i="13" s="1"/>
  <c r="K40" i="13" s="1"/>
  <c r="K36" i="12"/>
  <c r="I20" i="12"/>
  <c r="I25" i="12" s="1"/>
  <c r="M19" i="12"/>
  <c r="M20" i="12" s="1"/>
  <c r="Q19" i="12"/>
  <c r="Q26" i="12" s="1"/>
  <c r="P19" i="12"/>
  <c r="P20" i="12" s="1"/>
  <c r="I46" i="12"/>
  <c r="O19" i="12"/>
  <c r="O26" i="12" s="1"/>
  <c r="R31" i="12"/>
  <c r="Q20" i="12"/>
  <c r="D2" i="13"/>
  <c r="C26" i="13"/>
  <c r="G26" i="12"/>
  <c r="G27" i="12" s="1"/>
  <c r="G30" i="12" s="1"/>
  <c r="G32" i="12" s="1"/>
  <c r="O52" i="12"/>
  <c r="P52" i="12" s="1"/>
  <c r="J48" i="12"/>
  <c r="K48" i="12" s="1"/>
  <c r="L48" i="12" s="1"/>
  <c r="M48" i="12" s="1"/>
  <c r="N48" i="12" s="1"/>
  <c r="O48" i="12" s="1"/>
  <c r="P48" i="12" s="1"/>
  <c r="Q48" i="12" s="1"/>
  <c r="L50" i="12"/>
  <c r="M50" i="12" s="1"/>
  <c r="N50" i="12" s="1"/>
  <c r="O50" i="12" s="1"/>
  <c r="P50" i="12" s="1"/>
  <c r="Q50" i="12" s="1"/>
  <c r="K14" i="12"/>
  <c r="J46" i="12"/>
  <c r="N26" i="12"/>
  <c r="N20" i="12"/>
  <c r="K49" i="12"/>
  <c r="L49" i="12" s="1"/>
  <c r="M49" i="12" s="1"/>
  <c r="N49" i="12" s="1"/>
  <c r="O49" i="12" s="1"/>
  <c r="P49" i="12" s="1"/>
  <c r="Q49" i="12" s="1"/>
  <c r="R12" i="12"/>
  <c r="I36" i="12"/>
  <c r="M51" i="12"/>
  <c r="N51" i="12" s="1"/>
  <c r="O51" i="12" s="1"/>
  <c r="P51" i="12" s="1"/>
  <c r="J36" i="12"/>
  <c r="R13" i="12"/>
  <c r="J23" i="12"/>
  <c r="K23" i="12" s="1"/>
  <c r="L23" i="12" s="1"/>
  <c r="O53" i="12"/>
  <c r="P53" i="12" s="1"/>
  <c r="H24" i="12" l="1"/>
  <c r="Q27" i="12"/>
  <c r="R19" i="12"/>
  <c r="P26" i="12"/>
  <c r="R36" i="12"/>
  <c r="R53" i="12"/>
  <c r="K18" i="12"/>
  <c r="L18" i="12" s="1"/>
  <c r="J20" i="12"/>
  <c r="J25" i="12" s="1"/>
  <c r="R23" i="12"/>
  <c r="R49" i="12"/>
  <c r="E2" i="13"/>
  <c r="D28" i="13"/>
  <c r="D27" i="13" s="1"/>
  <c r="R52" i="12"/>
  <c r="G33" i="12"/>
  <c r="G34" i="12" s="1"/>
  <c r="G37" i="12" s="1"/>
  <c r="O20" i="12"/>
  <c r="O27" i="12" s="1"/>
  <c r="L14" i="12"/>
  <c r="K46" i="12"/>
  <c r="R51" i="12"/>
  <c r="Q28" i="12"/>
  <c r="I47" i="12"/>
  <c r="H57" i="12"/>
  <c r="H29" i="12" s="1"/>
  <c r="R50" i="12"/>
  <c r="R48" i="12"/>
  <c r="K20" i="12"/>
  <c r="L20" i="12"/>
  <c r="P27" i="12"/>
  <c r="R18" i="12"/>
  <c r="N27" i="12"/>
  <c r="D26" i="13" l="1"/>
  <c r="I24" i="12"/>
  <c r="H26" i="12"/>
  <c r="H27" i="12" s="1"/>
  <c r="H28" i="12" s="1"/>
  <c r="E28" i="13"/>
  <c r="E26" i="13" s="1"/>
  <c r="F2" i="13"/>
  <c r="G38" i="12"/>
  <c r="K25" i="12"/>
  <c r="F25" i="12"/>
  <c r="M26" i="12"/>
  <c r="M27" i="12" s="1"/>
  <c r="N28" i="12"/>
  <c r="L25" i="12"/>
  <c r="R20" i="12"/>
  <c r="R22" i="12"/>
  <c r="J47" i="12"/>
  <c r="I57" i="12"/>
  <c r="I29" i="12" s="1"/>
  <c r="M14" i="12"/>
  <c r="L46" i="12"/>
  <c r="P28" i="12"/>
  <c r="O28" i="12"/>
  <c r="E27" i="13" l="1"/>
  <c r="H30" i="12"/>
  <c r="H32" i="12" s="1"/>
  <c r="H33" i="12" s="1"/>
  <c r="H34" i="12" s="1"/>
  <c r="H37" i="12" s="1"/>
  <c r="J24" i="12"/>
  <c r="I26" i="12"/>
  <c r="I27" i="12" s="1"/>
  <c r="I28" i="12" s="1"/>
  <c r="M13" i="11"/>
  <c r="M10" i="11"/>
  <c r="G2" i="13"/>
  <c r="F28" i="13"/>
  <c r="F27" i="13" s="1"/>
  <c r="M28" i="12"/>
  <c r="R25" i="12"/>
  <c r="N14" i="12"/>
  <c r="M46" i="12"/>
  <c r="G39" i="12"/>
  <c r="S20" i="12"/>
  <c r="K47" i="12"/>
  <c r="J57" i="12"/>
  <c r="J29" i="12" s="1"/>
  <c r="H38" i="12" l="1"/>
  <c r="H39" i="12" s="1"/>
  <c r="M17" i="13"/>
  <c r="L13" i="13"/>
  <c r="N21" i="13"/>
  <c r="H5" i="13"/>
  <c r="J9" i="13"/>
  <c r="K24" i="12"/>
  <c r="J26" i="12"/>
  <c r="J27" i="12" s="1"/>
  <c r="J28" i="12" s="1"/>
  <c r="I30" i="12"/>
  <c r="I32" i="12" s="1"/>
  <c r="I33" i="12" s="1"/>
  <c r="I34" i="12" s="1"/>
  <c r="I37" i="12" s="1"/>
  <c r="F26" i="13"/>
  <c r="O14" i="12"/>
  <c r="N46" i="12"/>
  <c r="L47" i="12"/>
  <c r="K57" i="12"/>
  <c r="K29" i="12" s="1"/>
  <c r="J30" i="12" l="1"/>
  <c r="J32" i="12" s="1"/>
  <c r="J33" i="12" s="1"/>
  <c r="J34" i="12" s="1"/>
  <c r="J37" i="12" s="1"/>
  <c r="L24" i="12"/>
  <c r="K26" i="12"/>
  <c r="G28" i="13"/>
  <c r="G27" i="13" s="1"/>
  <c r="L57" i="12"/>
  <c r="L29" i="12" s="1"/>
  <c r="P14" i="12"/>
  <c r="O46" i="12"/>
  <c r="I38" i="12"/>
  <c r="K27" i="12" l="1"/>
  <c r="G26" i="13"/>
  <c r="L26" i="12"/>
  <c r="L27" i="12" s="1"/>
  <c r="L28" i="12" s="1"/>
  <c r="R24" i="12"/>
  <c r="H28" i="13"/>
  <c r="H26" i="13" s="1"/>
  <c r="H27" i="13"/>
  <c r="Q14" i="12"/>
  <c r="Q46" i="12" s="1"/>
  <c r="P46" i="12"/>
  <c r="M57" i="12"/>
  <c r="M29" i="12" s="1"/>
  <c r="M30" i="12" s="1"/>
  <c r="M32" i="12" s="1"/>
  <c r="N47" i="12"/>
  <c r="J38" i="12"/>
  <c r="I39" i="12"/>
  <c r="K28" i="12" l="1"/>
  <c r="K30" i="12"/>
  <c r="K32" i="12" s="1"/>
  <c r="K33" i="12" s="1"/>
  <c r="K34" i="12" s="1"/>
  <c r="K37" i="12" s="1"/>
  <c r="R26" i="12"/>
  <c r="R27" i="12" s="1"/>
  <c r="R28" i="12" s="1"/>
  <c r="F43" i="12" s="1"/>
  <c r="M17" i="11" s="1"/>
  <c r="M14" i="11"/>
  <c r="L30" i="12"/>
  <c r="L32" i="12" s="1"/>
  <c r="L33" i="12" s="1"/>
  <c r="L34" i="12" s="1"/>
  <c r="L37" i="12" s="1"/>
  <c r="I28" i="13"/>
  <c r="I26" i="13" s="1"/>
  <c r="N57" i="12"/>
  <c r="N29" i="12" s="1"/>
  <c r="N30" i="12" s="1"/>
  <c r="N32" i="12" s="1"/>
  <c r="O47" i="12"/>
  <c r="M33" i="12"/>
  <c r="M34" i="12" s="1"/>
  <c r="M37" i="12" s="1"/>
  <c r="J39" i="12"/>
  <c r="S26" i="12" l="1"/>
  <c r="K38" i="12"/>
  <c r="K39" i="12" s="1"/>
  <c r="F42" i="12"/>
  <c r="F41" i="12"/>
  <c r="S27" i="12"/>
  <c r="I27" i="13"/>
  <c r="J28" i="13"/>
  <c r="J26" i="13" s="1"/>
  <c r="N33" i="12"/>
  <c r="N34" i="12" s="1"/>
  <c r="N37" i="12" s="1"/>
  <c r="O57" i="12"/>
  <c r="O29" i="12" s="1"/>
  <c r="O30" i="12" s="1"/>
  <c r="O32" i="12" s="1"/>
  <c r="P47" i="12"/>
  <c r="L38" i="12" l="1"/>
  <c r="L39" i="12" s="1"/>
  <c r="J27" i="13"/>
  <c r="K28" i="13"/>
  <c r="K27" i="13" s="1"/>
  <c r="P57" i="12"/>
  <c r="P29" i="12" s="1"/>
  <c r="P30" i="12" s="1"/>
  <c r="P32" i="12" s="1"/>
  <c r="Q47" i="12"/>
  <c r="Q57" i="12" s="1"/>
  <c r="Q29" i="12" s="1"/>
  <c r="R29" i="12" s="1"/>
  <c r="R47" i="12"/>
  <c r="R57" i="12" s="1"/>
  <c r="O33" i="12"/>
  <c r="O34" i="12" s="1"/>
  <c r="O37" i="12" s="1"/>
  <c r="M38" i="12" l="1"/>
  <c r="M39" i="12" s="1"/>
  <c r="K26" i="13"/>
  <c r="Q30" i="12"/>
  <c r="Q32" i="12" s="1"/>
  <c r="R30" i="12"/>
  <c r="S30" i="12" s="1"/>
  <c r="P33" i="12"/>
  <c r="P34" i="12" s="1"/>
  <c r="P37" i="12" s="1"/>
  <c r="N38" i="12" l="1"/>
  <c r="N39" i="12" s="1"/>
  <c r="Q33" i="12"/>
  <c r="R33" i="12" s="1"/>
  <c r="R32" i="12"/>
  <c r="O38" i="12" l="1"/>
  <c r="O39" i="12" s="1"/>
  <c r="R34" i="12"/>
  <c r="S32" i="12"/>
  <c r="Q34" i="12"/>
  <c r="Q37" i="12" s="1"/>
  <c r="P38" i="12" l="1"/>
  <c r="Q38" i="12" s="1"/>
  <c r="Q39" i="12" s="1"/>
  <c r="F44" i="12" s="1"/>
  <c r="M18" i="11" s="1"/>
  <c r="M15" i="11"/>
  <c r="M16" i="11"/>
  <c r="R37" i="12"/>
  <c r="S34" i="12"/>
  <c r="B14" i="9" l="1"/>
  <c r="D14" i="9" s="1"/>
  <c r="F14" i="9" s="1"/>
  <c r="B13" i="9"/>
  <c r="D13" i="9" s="1"/>
  <c r="F13" i="9" s="1"/>
  <c r="B12" i="9"/>
  <c r="B11" i="9"/>
  <c r="D11" i="9" s="1"/>
  <c r="F11" i="9" s="1"/>
  <c r="B10" i="9"/>
  <c r="D12" i="8"/>
  <c r="C12" i="8"/>
  <c r="D10" i="9" l="1"/>
  <c r="F10" i="9" s="1"/>
  <c r="F12" i="9"/>
  <c r="F16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34" authorId="0" shapeId="0" xr:uid="{1655C2EA-6FAB-4B18-88A7-5CC686E1319A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<sst xmlns="http://schemas.openxmlformats.org/spreadsheetml/2006/main" count="281" uniqueCount="216">
  <si>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</si>
  <si>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</si>
  <si>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</si>
  <si>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</si>
  <si>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</si>
  <si>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</si>
  <si>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</si>
  <si>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</si>
  <si>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</si>
  <si>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</si>
  <si>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</si>
  <si>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</si>
  <si>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</si>
  <si>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</si>
  <si>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</si>
  <si>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</si>
  <si>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</si>
  <si>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</si>
  <si>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</si>
  <si>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</si>
  <si>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</si>
  <si>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</si>
  <si>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</si>
  <si>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</si>
  <si>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</si>
  <si>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</si>
  <si>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</si>
  <si>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</si>
  <si>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</si>
  <si>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</si>
  <si>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</si>
  <si>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</si>
  <si>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</si>
  <si>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</si>
  <si>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</si>
  <si>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</si>
  <si>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</si>
  <si>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</si>
  <si>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</si>
  <si>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</si>
  <si>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</si>
  <si>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</si>
  <si>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</si>
  <si>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</si>
  <si>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</si>
  <si>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</si>
  <si>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</si>
  <si>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</si>
  <si>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</si>
  <si>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</si>
  <si>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</si>
  <si>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</si>
  <si>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</si>
  <si>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</si>
  <si>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</si>
  <si>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</si>
  <si>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</si>
  <si>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</si>
  <si>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</si>
  <si>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</si>
  <si>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</si>
  <si>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</si>
  <si>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</si>
  <si>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</si>
  <si>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</si>
  <si>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</si>
  <si>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</si>
  <si>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</si>
  <si>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</si>
  <si>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</si>
  <si>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</si>
  <si>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</si>
  <si>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</si>
  <si>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</si>
  <si>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</si>
  <si>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</si>
  <si>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</si>
  <si>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</si>
  <si>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</si>
  <si>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Revenue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</si>
  <si>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</si>
  <si>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</si>
  <si>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</si>
  <si>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</si>
  <si>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</si>
  <si>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</si>
  <si>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</si>
  <si>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</si>
  <si>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</si>
  <si>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</si>
  <si>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</si>
  <si>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</si>
  <si>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</si>
  <si>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</si>
  <si>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</si>
  <si>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</si>
  <si>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</si>
  <si>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</si>
  <si>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</si>
  <si>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</si>
  <si>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</si>
  <si>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</si>
  <si>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</si>
  <si>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</si>
  <si>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</si>
  <si>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</si>
  <si>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</si>
  <si>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</si>
  <si>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</si>
  <si>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</si>
  <si>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</si>
  <si>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</si>
  <si>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</si>
  <si>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</si>
  <si>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</si>
  <si>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</si>
  <si>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</si>
  <si>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</si>
  <si>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</si>
  <si>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</si>
  <si>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</si>
  <si>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</si>
  <si>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</si>
  <si>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Renewal</t>
  </si>
  <si>
    <t>Lease to BM</t>
  </si>
  <si>
    <t>Total COGS Rent</t>
  </si>
  <si>
    <t>Total COGS Other</t>
  </si>
  <si>
    <t>XL</t>
  </si>
  <si>
    <t>Hotel Alila Seminyak</t>
  </si>
  <si>
    <t>SUMMARY REVIEW</t>
  </si>
  <si>
    <t xml:space="preserve">Nama Site                          </t>
  </si>
  <si>
    <t>: Hotel Alila Seminyak</t>
  </si>
  <si>
    <t xml:space="preserve">Nama Pemilik      </t>
  </si>
  <si>
    <t>: PT. Anaamaya Resort Seminyak</t>
  </si>
  <si>
    <t xml:space="preserve">Alamat Pemilik      </t>
  </si>
  <si>
    <t>: Gd. BEI Tower 1 lt.2 Suite 22</t>
  </si>
  <si>
    <t xml:space="preserve">Telp                                            </t>
  </si>
  <si>
    <t>: 021-5151535</t>
  </si>
  <si>
    <t xml:space="preserve">Obyek Sewa            </t>
  </si>
  <si>
    <t>:  175 Omni +  12 Unit Pole Antenna + RBS 60  m²</t>
  </si>
  <si>
    <t xml:space="preserve">No. </t>
  </si>
  <si>
    <t>Keterangan</t>
  </si>
  <si>
    <t>Existing</t>
  </si>
  <si>
    <t>Scope Of Lease</t>
  </si>
  <si>
    <t>Obyek Sewa</t>
  </si>
  <si>
    <t>Periode Sewa</t>
  </si>
  <si>
    <t>08 Januari 2021 s/d 07 Januari 2023 (2 tahun)</t>
  </si>
  <si>
    <t>08 Januari 2023 s/d 07 Januari 2024 (1 tahun)</t>
  </si>
  <si>
    <t xml:space="preserve">Harga Sewa </t>
  </si>
  <si>
    <t>Rp. 120.000.000/ 2 Tahun atau Rp.60.000.000/ Tahun</t>
  </si>
  <si>
    <t>Rp.55.000.000/ 1 Tahun</t>
  </si>
  <si>
    <t>Operator Join</t>
  </si>
  <si>
    <t>Smartfren</t>
  </si>
  <si>
    <t>Telkomsel (28 Maret 2021 s/d 27 Maret 2026)</t>
  </si>
  <si>
    <t>XL (09 Febuari 2019 s/d 08 Febuari 2024)</t>
  </si>
  <si>
    <t>Kenaikan/ Penurunan Harga</t>
  </si>
  <si>
    <t xml:space="preserve">Mengalami Penurunan Harga Sebesar 8,3% </t>
  </si>
  <si>
    <t>Site ALILA</t>
  </si>
  <si>
    <t xml:space="preserve">Periode </t>
  </si>
  <si>
    <t>Start</t>
  </si>
  <si>
    <t>End</t>
  </si>
  <si>
    <t>Rev Tsel</t>
  </si>
  <si>
    <t>Rev XL</t>
  </si>
  <si>
    <t>Sewa BM</t>
  </si>
  <si>
    <t>Days</t>
  </si>
  <si>
    <t xml:space="preserve">Rev XL </t>
  </si>
  <si>
    <t xml:space="preserve">Sewa BM </t>
  </si>
  <si>
    <t>Listrik</t>
  </si>
  <si>
    <t>Antisipasi Add Capex and Pole</t>
  </si>
  <si>
    <t>Profit</t>
  </si>
  <si>
    <t>08 Januari 2024 s/d 07 Januari 2025 (1tahun)</t>
  </si>
  <si>
    <t>No.</t>
  </si>
  <si>
    <t>: Operator XL Tetap perpanjang tanpa penurunan nilai</t>
  </si>
  <si>
    <t>Jl. Taman Ganesha Jl. Petitenget No.9, Seminyak, Kec. Kuta Utara, Kabupaten Badung</t>
  </si>
  <si>
    <t>No</t>
  </si>
  <si>
    <t>General Asumption</t>
  </si>
  <si>
    <t>% inc (dec)</t>
  </si>
  <si>
    <t>Rev/month - TSEL</t>
  </si>
  <si>
    <t>Rev/month - XL</t>
  </si>
  <si>
    <t>Increase every year</t>
  </si>
  <si>
    <t>Rev/month - IOH</t>
  </si>
  <si>
    <t>Rev/month - SF</t>
  </si>
  <si>
    <t>Capex per antenna</t>
  </si>
  <si>
    <t>Migrasi per operator</t>
  </si>
  <si>
    <t>Y0</t>
  </si>
  <si>
    <t>Y6</t>
  </si>
  <si>
    <t>Y7</t>
  </si>
  <si>
    <t>Y8</t>
  </si>
  <si>
    <t>Y9</t>
  </si>
  <si>
    <t>Y10</t>
  </si>
  <si>
    <t>CAPEX</t>
  </si>
  <si>
    <t>BTS migrasi</t>
  </si>
  <si>
    <t>Year 0</t>
  </si>
  <si>
    <t>% increase (decrease)</t>
  </si>
  <si>
    <t>Telkomsel</t>
  </si>
  <si>
    <t>Total Revenues</t>
  </si>
  <si>
    <t xml:space="preserve">Maintenance </t>
  </si>
  <si>
    <t>SG&amp;A (inhouse resources)</t>
  </si>
  <si>
    <t xml:space="preserve">Jl. Petitenget No.9, Seminyak, </t>
  </si>
  <si>
    <t>Kuta Utara Badung</t>
  </si>
  <si>
    <t>12 unit pole antena + RBS 60 m2</t>
  </si>
  <si>
    <t>Total Capex DAS</t>
  </si>
  <si>
    <t>Target to Achieve by Commercial:</t>
  </si>
  <si>
    <t>Citra K.</t>
  </si>
  <si>
    <t>0044/IRR/IBC/XII/2024</t>
  </si>
  <si>
    <t>Eksisting</t>
  </si>
  <si>
    <t>08 Januari 2025 s/d 07 Januari 2030 (1tahun)</t>
  </si>
  <si>
    <t>Rp.50.000.000/ 1 Tahun</t>
  </si>
  <si>
    <t>XL (09 Febuari 2024 s/d 08 Febuari 2027)</t>
  </si>
  <si>
    <t>Mengalami penurunan nilai 9,09%</t>
  </si>
  <si>
    <t>Worse &gt;&gt; Jika Sewa BM diperpanjang 5 tahun dan Operator sesuai eksisting , maka:</t>
  </si>
  <si>
    <t>OM Tsel &amp; XL</t>
  </si>
  <si>
    <t>HOTEL ALILA SEMINNYAK</t>
  </si>
  <si>
    <t>2026</t>
  </si>
  <si>
    <t>DAS (BV 31Des2024)</t>
  </si>
  <si>
    <t>Total Capex DAS BV 31DES24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</si>
</sst>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  <numFmt numFmtId="173" formatCode="_(* #,##0.000_);_(* \(#,##0.000\);_(* &quot;-&quot;_);_(@_)"/>
    <numFmt numFmtId="174" formatCode="[$-C09]dd\-mmm\-yy;@"/>
    <numFmt numFmtId="175" formatCode="#,###&quot;/thn&quot;"/>
    <numFmt numFmtId="176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1">
    <xf numFmtId="0" fontId="0" fillId="0" borderId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0" fontId="22" fillId="0" borderId="0"/>
    <xf numFmtId="166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" fillId="0" borderId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28" fillId="0" borderId="0">
      <alignment vertical="center"/>
    </xf>
    <xf numFmtId="170" fontId="27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27" fillId="0" borderId="0"/>
    <xf numFmtId="172" fontId="27" fillId="0" borderId="0"/>
    <xf numFmtId="171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6" fontId="3" fillId="0" borderId="0" applyFont="0" applyFill="0" applyBorder="0" applyAlignment="0" applyProtection="0"/>
    <xf numFmtId="0" fontId="22" fillId="0" borderId="0"/>
    <xf numFmtId="164" fontId="2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2" fillId="0" borderId="0"/>
    <xf numFmtId="0" fontId="2" fillId="0" borderId="0"/>
    <xf numFmtId="0" fontId="2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9" fontId="27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</cellStyleXfs>
  <cellXfs count="253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1" applyNumberFormat="1" applyFont="1"/>
    <xf numFmtId="10" fontId="13" fillId="0" borderId="0" xfId="1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/>
    </xf>
    <xf numFmtId="41" fontId="0" fillId="0" borderId="2" xfId="1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9" fontId="18" fillId="0" borderId="0" xfId="2" applyFont="1" applyAlignment="1">
      <alignment vertical="center"/>
    </xf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0" fillId="3" borderId="0" xfId="1" applyFont="1" applyFill="1" applyBorder="1" applyAlignment="1">
      <alignment vertical="center"/>
    </xf>
    <xf numFmtId="9" fontId="18" fillId="3" borderId="0" xfId="2" applyFont="1" applyFill="1" applyBorder="1" applyAlignment="1">
      <alignment vertical="center"/>
    </xf>
    <xf numFmtId="41" fontId="0" fillId="3" borderId="0" xfId="1" applyFont="1" applyFill="1" applyBorder="1"/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9" fontId="21" fillId="0" borderId="9" xfId="2" applyFont="1" applyBorder="1"/>
    <xf numFmtId="0" fontId="21" fillId="0" borderId="10" xfId="0" applyFont="1" applyBorder="1"/>
    <xf numFmtId="0" fontId="21" fillId="0" borderId="2" xfId="0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41" fontId="0" fillId="0" borderId="0" xfId="1" applyFont="1" applyAlignment="1">
      <alignment vertical="center"/>
    </xf>
    <xf numFmtId="41" fontId="11" fillId="0" borderId="0" xfId="1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1" fillId="0" borderId="0" xfId="0" applyNumberFormat="1" applyFont="1"/>
    <xf numFmtId="0" fontId="21" fillId="0" borderId="0" xfId="0" applyFont="1"/>
    <xf numFmtId="41" fontId="0" fillId="0" borderId="0" xfId="0" applyNumberFormat="1" applyAlignment="1">
      <alignment horizontal="right" vertical="center"/>
    </xf>
    <xf numFmtId="41" fontId="0" fillId="0" borderId="0" xfId="1" applyFont="1"/>
    <xf numFmtId="0" fontId="12" fillId="0" borderId="0" xfId="0" applyFont="1" applyBorder="1"/>
    <xf numFmtId="0" fontId="24" fillId="0" borderId="0" xfId="0" applyFont="1"/>
    <xf numFmtId="0" fontId="0" fillId="0" borderId="18" xfId="1" applyNumberFormat="1" applyFont="1" applyBorder="1" applyAlignment="1">
      <alignment horizontal="left"/>
    </xf>
    <xf numFmtId="9" fontId="12" fillId="0" borderId="19" xfId="1" applyNumberFormat="1" applyFont="1" applyBorder="1"/>
    <xf numFmtId="9" fontId="12" fillId="0" borderId="18" xfId="1" applyNumberFormat="1" applyFont="1" applyBorder="1"/>
    <xf numFmtId="41" fontId="0" fillId="0" borderId="0" xfId="0" quotePrefix="1" applyNumberFormat="1" applyAlignment="1">
      <alignment vertical="center"/>
    </xf>
    <xf numFmtId="0" fontId="12" fillId="0" borderId="16" xfId="0" applyFont="1" applyBorder="1"/>
    <xf numFmtId="0" fontId="12" fillId="0" borderId="16" xfId="0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41" fontId="0" fillId="0" borderId="0" xfId="1" applyFont="1" applyBorder="1"/>
    <xf numFmtId="41" fontId="0" fillId="0" borderId="0" xfId="1" applyFont="1" applyFill="1" applyBorder="1"/>
    <xf numFmtId="9" fontId="0" fillId="0" borderId="0" xfId="1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4" xfId="0" applyFill="1" applyBorder="1"/>
    <xf numFmtId="0" fontId="0" fillId="5" borderId="0" xfId="0" applyFill="1" applyAlignment="1">
      <alignment horizontal="center"/>
    </xf>
    <xf numFmtId="0" fontId="0" fillId="5" borderId="2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24" xfId="0" applyBorder="1"/>
    <xf numFmtId="167" fontId="0" fillId="6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0" applyNumberFormat="1" applyBorder="1"/>
    <xf numFmtId="169" fontId="12" fillId="0" borderId="22" xfId="1" applyNumberFormat="1" applyFont="1" applyBorder="1"/>
    <xf numFmtId="41" fontId="14" fillId="0" borderId="0" xfId="1" applyFont="1" applyAlignment="1">
      <alignment vertical="center"/>
    </xf>
    <xf numFmtId="9" fontId="0" fillId="0" borderId="0" xfId="0" applyNumberFormat="1"/>
    <xf numFmtId="0" fontId="22" fillId="0" borderId="0" xfId="35"/>
    <xf numFmtId="0" fontId="32" fillId="0" borderId="0" xfId="35" applyFont="1" applyAlignment="1">
      <alignment horizontal="center"/>
    </xf>
    <xf numFmtId="0" fontId="33" fillId="0" borderId="0" xfId="35" applyFont="1" applyAlignment="1">
      <alignment horizontal="left" vertical="top"/>
    </xf>
    <xf numFmtId="0" fontId="33" fillId="0" borderId="0" xfId="35" applyFont="1"/>
    <xf numFmtId="0" fontId="22" fillId="0" borderId="24" xfId="35" applyBorder="1" applyAlignment="1">
      <alignment horizontal="center" vertical="center"/>
    </xf>
    <xf numFmtId="0" fontId="22" fillId="0" borderId="24" xfId="35" applyBorder="1"/>
    <xf numFmtId="0" fontId="2" fillId="0" borderId="0" xfId="35" applyFont="1"/>
    <xf numFmtId="0" fontId="2" fillId="0" borderId="24" xfId="35" applyFont="1" applyBorder="1"/>
    <xf numFmtId="0" fontId="22" fillId="0" borderId="24" xfId="35" applyBorder="1" applyAlignment="1">
      <alignment wrapText="1"/>
    </xf>
    <xf numFmtId="164" fontId="0" fillId="0" borderId="24" xfId="36" applyFont="1" applyBorder="1"/>
    <xf numFmtId="165" fontId="22" fillId="0" borderId="0" xfId="37" applyFont="1"/>
    <xf numFmtId="0" fontId="22" fillId="0" borderId="28" xfId="35" applyBorder="1" applyAlignment="1">
      <alignment horizontal="center" vertical="center"/>
    </xf>
    <xf numFmtId="0" fontId="22" fillId="0" borderId="25" xfId="35" applyBorder="1"/>
    <xf numFmtId="0" fontId="22" fillId="0" borderId="25" xfId="35" applyBorder="1" applyAlignment="1">
      <alignment wrapText="1"/>
    </xf>
    <xf numFmtId="173" fontId="22" fillId="0" borderId="0" xfId="37" applyNumberFormat="1" applyFont="1"/>
    <xf numFmtId="41" fontId="22" fillId="0" borderId="0" xfId="38" applyFont="1"/>
    <xf numFmtId="0" fontId="12" fillId="0" borderId="0" xfId="39" applyFont="1"/>
    <xf numFmtId="41" fontId="12" fillId="0" borderId="0" xfId="39" applyNumberFormat="1" applyFont="1"/>
    <xf numFmtId="0" fontId="2" fillId="0" borderId="0" xfId="40"/>
    <xf numFmtId="0" fontId="22" fillId="0" borderId="24" xfId="35" applyBorder="1" applyAlignment="1">
      <alignment horizontal="center"/>
    </xf>
    <xf numFmtId="0" fontId="22" fillId="0" borderId="0" xfId="35" applyAlignment="1">
      <alignment horizontal="center"/>
    </xf>
    <xf numFmtId="174" fontId="22" fillId="0" borderId="24" xfId="35" applyNumberFormat="1" applyBorder="1" applyAlignment="1">
      <alignment horizontal="center"/>
    </xf>
    <xf numFmtId="174" fontId="22" fillId="0" borderId="0" xfId="35" applyNumberFormat="1"/>
    <xf numFmtId="0" fontId="31" fillId="0" borderId="0" xfId="41" applyFont="1" applyAlignment="1">
      <alignment horizontal="center"/>
    </xf>
    <xf numFmtId="0" fontId="22" fillId="7" borderId="0" xfId="35" applyFill="1"/>
    <xf numFmtId="174" fontId="22" fillId="7" borderId="0" xfId="35" applyNumberFormat="1" applyFill="1" applyAlignment="1">
      <alignment horizontal="center"/>
    </xf>
    <xf numFmtId="165" fontId="22" fillId="7" borderId="0" xfId="37" applyFont="1" applyFill="1" applyBorder="1"/>
    <xf numFmtId="175" fontId="22" fillId="7" borderId="0" xfId="38" applyNumberFormat="1" applyFont="1" applyFill="1"/>
    <xf numFmtId="165" fontId="22" fillId="7" borderId="0" xfId="35" applyNumberFormat="1" applyFill="1"/>
    <xf numFmtId="176" fontId="22" fillId="7" borderId="0" xfId="42" applyNumberFormat="1" applyFont="1" applyFill="1"/>
    <xf numFmtId="41" fontId="22" fillId="7" borderId="2" xfId="38" applyFont="1" applyFill="1" applyBorder="1"/>
    <xf numFmtId="0" fontId="12" fillId="0" borderId="12" xfId="0" applyFont="1" applyBorder="1" applyAlignment="1">
      <alignment horizontal="center"/>
    </xf>
    <xf numFmtId="0" fontId="12" fillId="0" borderId="0" xfId="0" applyFont="1" applyAlignment="1">
      <alignment vertical="center"/>
    </xf>
    <xf numFmtId="0" fontId="20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0" fontId="12" fillId="3" borderId="0" xfId="0" applyFont="1" applyFill="1"/>
    <xf numFmtId="41" fontId="37" fillId="0" borderId="0" xfId="0" applyNumberFormat="1" applyFont="1"/>
    <xf numFmtId="41" fontId="15" fillId="0" borderId="0" xfId="0" applyNumberFormat="1" applyFont="1"/>
    <xf numFmtId="41" fontId="38" fillId="0" borderId="0" xfId="0" applyNumberFormat="1" applyFont="1"/>
    <xf numFmtId="0" fontId="12" fillId="0" borderId="25" xfId="0" applyFont="1" applyBorder="1" applyAlignment="1">
      <alignment horizontal="center"/>
    </xf>
    <xf numFmtId="0" fontId="21" fillId="0" borderId="30" xfId="0" applyFont="1" applyBorder="1" applyAlignment="1">
      <alignment horizontal="center"/>
    </xf>
    <xf numFmtId="41" fontId="39" fillId="0" borderId="0" xfId="0" applyNumberFormat="1" applyFont="1"/>
    <xf numFmtId="0" fontId="12" fillId="0" borderId="23" xfId="0" applyFont="1" applyBorder="1"/>
    <xf numFmtId="41" fontId="21" fillId="0" borderId="6" xfId="0" applyNumberFormat="1" applyFont="1" applyBorder="1"/>
    <xf numFmtId="41" fontId="21" fillId="0" borderId="3" xfId="0" applyNumberFormat="1" applyFont="1" applyBorder="1"/>
    <xf numFmtId="41" fontId="21" fillId="0" borderId="31" xfId="0" applyNumberFormat="1" applyFont="1" applyBorder="1"/>
    <xf numFmtId="41" fontId="21" fillId="0" borderId="32" xfId="0" applyNumberFormat="1" applyFont="1" applyBorder="1" applyAlignment="1">
      <alignment vertical="center"/>
    </xf>
    <xf numFmtId="41" fontId="40" fillId="0" borderId="0" xfId="0" applyNumberFormat="1" applyFont="1"/>
    <xf numFmtId="41" fontId="21" fillId="0" borderId="10" xfId="0" applyNumberFormat="1" applyFont="1" applyBorder="1"/>
    <xf numFmtId="41" fontId="21" fillId="0" borderId="2" xfId="0" applyNumberFormat="1" applyFont="1" applyBorder="1"/>
    <xf numFmtId="41" fontId="21" fillId="0" borderId="33" xfId="0" applyNumberFormat="1" applyFont="1" applyBorder="1"/>
    <xf numFmtId="41" fontId="21" fillId="0" borderId="34" xfId="0" applyNumberFormat="1" applyFont="1" applyBorder="1" applyAlignment="1">
      <alignment vertical="center"/>
    </xf>
    <xf numFmtId="0" fontId="21" fillId="0" borderId="35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1" fillId="0" borderId="23" xfId="0" applyFont="1" applyBorder="1"/>
    <xf numFmtId="0" fontId="0" fillId="0" borderId="0" xfId="0" quotePrefix="1"/>
    <xf numFmtId="9" fontId="29" fillId="9" borderId="0" xfId="0" applyNumberFormat="1" applyFont="1" applyFill="1"/>
    <xf numFmtId="0" fontId="41" fillId="0" borderId="0" xfId="0" applyFont="1"/>
    <xf numFmtId="41" fontId="21" fillId="0" borderId="23" xfId="0" applyNumberFormat="1" applyFont="1" applyBorder="1" applyAlignment="1">
      <alignment vertical="center"/>
    </xf>
    <xf numFmtId="41" fontId="0" fillId="3" borderId="0" xfId="0" applyNumberFormat="1" applyFill="1" applyAlignment="1">
      <alignment vertical="center"/>
    </xf>
    <xf numFmtId="41" fontId="0" fillId="3" borderId="0" xfId="0" applyNumberFormat="1" applyFill="1"/>
    <xf numFmtId="41" fontId="21" fillId="0" borderId="36" xfId="0" applyNumberFormat="1" applyFont="1" applyBorder="1" applyAlignment="1">
      <alignment vertical="center"/>
    </xf>
    <xf numFmtId="9" fontId="0" fillId="0" borderId="2" xfId="2" applyFont="1" applyBorder="1"/>
    <xf numFmtId="41" fontId="12" fillId="0" borderId="36" xfId="0" applyNumberFormat="1" applyFont="1" applyBorder="1" applyAlignment="1">
      <alignment vertical="center"/>
    </xf>
    <xf numFmtId="41" fontId="12" fillId="3" borderId="0" xfId="0" applyNumberFormat="1" applyFont="1" applyFill="1" applyAlignment="1">
      <alignment vertical="center"/>
    </xf>
    <xf numFmtId="41" fontId="12" fillId="0" borderId="23" xfId="0" applyNumberFormat="1" applyFont="1" applyBorder="1" applyAlignment="1">
      <alignment vertical="center"/>
    </xf>
    <xf numFmtId="9" fontId="18" fillId="0" borderId="23" xfId="2" applyFont="1" applyFill="1" applyBorder="1" applyAlignment="1">
      <alignment vertical="center"/>
    </xf>
    <xf numFmtId="38" fontId="12" fillId="0" borderId="23" xfId="0" applyNumberFormat="1" applyFont="1" applyBorder="1" applyAlignment="1">
      <alignment vertical="center"/>
    </xf>
    <xf numFmtId="38" fontId="0" fillId="3" borderId="0" xfId="0" applyNumberFormat="1" applyFill="1" applyAlignment="1">
      <alignment vertical="center"/>
    </xf>
    <xf numFmtId="167" fontId="11" fillId="0" borderId="0" xfId="16" applyNumberFormat="1"/>
    <xf numFmtId="38" fontId="0" fillId="3" borderId="0" xfId="0" applyNumberFormat="1" applyFill="1"/>
    <xf numFmtId="38" fontId="0" fillId="2" borderId="5" xfId="0" applyNumberFormat="1" applyFill="1" applyBorder="1" applyAlignment="1">
      <alignment vertical="center"/>
    </xf>
    <xf numFmtId="38" fontId="12" fillId="0" borderId="37" xfId="0" applyNumberFormat="1" applyFont="1" applyBorder="1" applyAlignment="1">
      <alignment vertical="center"/>
    </xf>
    <xf numFmtId="38" fontId="0" fillId="0" borderId="2" xfId="0" applyNumberFormat="1" applyBorder="1"/>
    <xf numFmtId="38" fontId="12" fillId="0" borderId="23" xfId="0" applyNumberFormat="1" applyFont="1" applyBorder="1"/>
    <xf numFmtId="0" fontId="29" fillId="0" borderId="0" xfId="0" applyFont="1"/>
    <xf numFmtId="38" fontId="29" fillId="0" borderId="0" xfId="0" applyNumberFormat="1" applyFont="1"/>
    <xf numFmtId="9" fontId="21" fillId="10" borderId="7" xfId="0" applyNumberFormat="1" applyFont="1" applyFill="1" applyBorder="1"/>
    <xf numFmtId="38" fontId="21" fillId="0" borderId="9" xfId="0" applyNumberFormat="1" applyFont="1" applyBorder="1"/>
    <xf numFmtId="167" fontId="12" fillId="0" borderId="38" xfId="0" applyNumberFormat="1" applyFont="1" applyBorder="1" applyAlignment="1">
      <alignment vertical="center"/>
    </xf>
    <xf numFmtId="167" fontId="12" fillId="0" borderId="0" xfId="0" applyNumberFormat="1" applyFont="1" applyAlignment="1">
      <alignment vertical="center"/>
    </xf>
    <xf numFmtId="0" fontId="12" fillId="0" borderId="35" xfId="0" applyFont="1" applyBorder="1"/>
    <xf numFmtId="41" fontId="29" fillId="0" borderId="0" xfId="0" applyNumberFormat="1" applyFont="1" applyAlignment="1">
      <alignment vertical="center"/>
    </xf>
    <xf numFmtId="41" fontId="29" fillId="0" borderId="0" xfId="0" applyNumberFormat="1" applyFont="1"/>
    <xf numFmtId="0" fontId="23" fillId="0" borderId="0" xfId="0" applyFont="1"/>
    <xf numFmtId="0" fontId="0" fillId="0" borderId="19" xfId="0" applyBorder="1"/>
    <xf numFmtId="167" fontId="0" fillId="0" borderId="0" xfId="45" applyNumberFormat="1" applyFon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18" xfId="0" applyBorder="1"/>
    <xf numFmtId="0" fontId="0" fillId="0" borderId="20" xfId="0" applyBorder="1" applyAlignment="1">
      <alignment horizontal="left" indent="1"/>
    </xf>
    <xf numFmtId="0" fontId="0" fillId="0" borderId="0" xfId="0" applyAlignment="1">
      <alignment horizontal="left" indent="1"/>
    </xf>
    <xf numFmtId="167" fontId="0" fillId="0" borderId="0" xfId="45" applyNumberFormat="1" applyFont="1" applyBorder="1"/>
    <xf numFmtId="0" fontId="0" fillId="0" borderId="0" xfId="0" quotePrefix="1" applyAlignment="1">
      <alignment horizontal="left" indent="1"/>
    </xf>
    <xf numFmtId="0" fontId="12" fillId="0" borderId="23" xfId="0" applyFont="1" applyBorder="1" applyAlignment="1">
      <alignment horizontal="left"/>
    </xf>
    <xf numFmtId="0" fontId="0" fillId="0" borderId="23" xfId="0" applyBorder="1"/>
    <xf numFmtId="38" fontId="12" fillId="0" borderId="18" xfId="1" applyNumberFormat="1" applyFont="1" applyBorder="1"/>
    <xf numFmtId="0" fontId="0" fillId="0" borderId="21" xfId="0" applyBorder="1"/>
    <xf numFmtId="0" fontId="0" fillId="0" borderId="22" xfId="0" applyBorder="1"/>
    <xf numFmtId="0" fontId="0" fillId="0" borderId="17" xfId="0" applyBorder="1"/>
    <xf numFmtId="0" fontId="0" fillId="9" borderId="0" xfId="0" applyFill="1"/>
    <xf numFmtId="0" fontId="0" fillId="0" borderId="0" xfId="0" applyBorder="1" applyAlignment="1">
      <alignment horizontal="left" indent="1"/>
    </xf>
    <xf numFmtId="166" fontId="17" fillId="0" borderId="0" xfId="45" applyFont="1"/>
    <xf numFmtId="166" fontId="42" fillId="0" borderId="23" xfId="45" applyFont="1" applyFill="1" applyBorder="1"/>
    <xf numFmtId="166" fontId="17" fillId="3" borderId="0" xfId="45" applyFont="1" applyFill="1" applyBorder="1"/>
    <xf numFmtId="165" fontId="12" fillId="0" borderId="34" xfId="45" applyNumberFormat="1" applyFont="1" applyFill="1" applyBorder="1"/>
    <xf numFmtId="167" fontId="16" fillId="0" borderId="0" xfId="45" applyNumberFormat="1" applyFont="1"/>
    <xf numFmtId="168" fontId="16" fillId="0" borderId="0" xfId="45" applyNumberFormat="1" applyFont="1"/>
    <xf numFmtId="167" fontId="43" fillId="0" borderId="23" xfId="45" applyNumberFormat="1" applyFont="1" applyFill="1" applyBorder="1"/>
    <xf numFmtId="167" fontId="30" fillId="0" borderId="0" xfId="45" applyNumberFormat="1" applyFont="1"/>
    <xf numFmtId="168" fontId="30" fillId="0" borderId="0" xfId="45" applyNumberFormat="1" applyFont="1"/>
    <xf numFmtId="167" fontId="44" fillId="0" borderId="23" xfId="45" applyNumberFormat="1" applyFont="1" applyFill="1" applyBorder="1"/>
    <xf numFmtId="168" fontId="21" fillId="0" borderId="11" xfId="45" applyNumberFormat="1" applyFont="1" applyBorder="1"/>
    <xf numFmtId="167" fontId="0" fillId="0" borderId="24" xfId="46" applyNumberFormat="1" applyFont="1" applyBorder="1"/>
    <xf numFmtId="167" fontId="0" fillId="7" borderId="24" xfId="46" applyNumberFormat="1" applyFont="1" applyFill="1" applyBorder="1"/>
    <xf numFmtId="0" fontId="0" fillId="0" borderId="0" xfId="0" applyFill="1"/>
    <xf numFmtId="0" fontId="14" fillId="0" borderId="0" xfId="0" applyFont="1" applyFill="1"/>
    <xf numFmtId="0" fontId="0" fillId="0" borderId="19" xfId="0" applyFill="1" applyBorder="1"/>
    <xf numFmtId="0" fontId="0" fillId="0" borderId="18" xfId="0" applyFill="1" applyBorder="1" applyAlignment="1">
      <alignment horizontal="left" vertical="justify"/>
    </xf>
    <xf numFmtId="0" fontId="0" fillId="0" borderId="18" xfId="0" applyFill="1" applyBorder="1"/>
    <xf numFmtId="14" fontId="12" fillId="0" borderId="0" xfId="0" applyNumberFormat="1" applyFont="1" applyFill="1"/>
    <xf numFmtId="41" fontId="21" fillId="0" borderId="0" xfId="0" applyNumberFormat="1" applyFont="1" applyFill="1"/>
    <xf numFmtId="41" fontId="13" fillId="0" borderId="0" xfId="0" applyNumberFormat="1" applyFont="1" applyFill="1"/>
    <xf numFmtId="41" fontId="0" fillId="0" borderId="0" xfId="1" applyFont="1" applyFill="1"/>
    <xf numFmtId="41" fontId="0" fillId="0" borderId="0" xfId="1" applyFont="1" applyFill="1" applyAlignment="1">
      <alignment vertical="center"/>
    </xf>
    <xf numFmtId="0" fontId="12" fillId="9" borderId="0" xfId="0" applyFont="1" applyFill="1" applyBorder="1"/>
    <xf numFmtId="0" fontId="36" fillId="0" borderId="0" xfId="0" applyFont="1" applyFill="1" applyBorder="1" applyAlignment="1">
      <alignment horizontal="right" vertical="top"/>
    </xf>
    <xf numFmtId="0" fontId="11" fillId="0" borderId="0" xfId="16"/>
    <xf numFmtId="0" fontId="22" fillId="0" borderId="24" xfId="35" applyBorder="1" applyAlignment="1">
      <alignment horizontal="center"/>
    </xf>
    <xf numFmtId="10" fontId="22" fillId="0" borderId="0" xfId="2" applyNumberFormat="1" applyFont="1"/>
    <xf numFmtId="41" fontId="0" fillId="9" borderId="0" xfId="0" applyNumberFormat="1" applyFill="1"/>
    <xf numFmtId="0" fontId="0" fillId="0" borderId="0" xfId="0" applyAlignment="1">
      <alignment horizontal="right"/>
    </xf>
    <xf numFmtId="41" fontId="0" fillId="0" borderId="0" xfId="1" quotePrefix="1" applyFont="1" applyFill="1" applyAlignment="1">
      <alignment horizontal="center" vertical="center"/>
    </xf>
    <xf numFmtId="0" fontId="45" fillId="0" borderId="0" xfId="0" applyFont="1" applyAlignment="1">
      <alignment horizontal="right"/>
    </xf>
    <xf numFmtId="0" fontId="23" fillId="0" borderId="1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0" fillId="0" borderId="16" xfId="0" applyBorder="1" applyAlignment="1">
      <alignment horizontal="left" indent="1"/>
    </xf>
    <xf numFmtId="0" fontId="0" fillId="0" borderId="17" xfId="0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0" fillId="0" borderId="0" xfId="0" applyAlignment="1">
      <alignment horizontal="left" indent="1"/>
    </xf>
    <xf numFmtId="167" fontId="0" fillId="0" borderId="0" xfId="45" applyNumberFormat="1" applyFont="1" applyFill="1" applyBorder="1" applyAlignment="1" applyProtection="1">
      <alignment horizontal="center" wrapText="1"/>
      <protection locked="0"/>
    </xf>
    <xf numFmtId="167" fontId="0" fillId="0" borderId="18" xfId="45" applyNumberFormat="1" applyFont="1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20" xfId="0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12" fillId="0" borderId="0" xfId="0" applyFont="1" applyAlignment="1">
      <alignment horizontal="left"/>
    </xf>
    <xf numFmtId="0" fontId="0" fillId="0" borderId="0" xfId="0" quotePrefix="1" applyAlignment="1">
      <alignment horizontal="left" indent="1"/>
    </xf>
    <xf numFmtId="0" fontId="12" fillId="0" borderId="21" xfId="0" applyFont="1" applyBorder="1" applyAlignment="1">
      <alignment horizontal="left" indent="1"/>
    </xf>
    <xf numFmtId="0" fontId="12" fillId="0" borderId="1" xfId="0" applyFont="1" applyBorder="1" applyAlignment="1">
      <alignment horizontal="left" indent="1"/>
    </xf>
    <xf numFmtId="0" fontId="12" fillId="0" borderId="17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16" xfId="0" applyFont="1" applyBorder="1" applyAlignment="1">
      <alignment horizontal="left" indent="1"/>
    </xf>
    <xf numFmtId="0" fontId="12" fillId="0" borderId="17" xfId="0" applyFont="1" applyBorder="1" applyAlignment="1">
      <alignment horizontal="left" indent="1"/>
    </xf>
    <xf numFmtId="0" fontId="12" fillId="0" borderId="20" xfId="0" applyFont="1" applyBorder="1" applyAlignment="1">
      <alignment horizontal="left" indent="1"/>
    </xf>
    <xf numFmtId="0" fontId="12" fillId="0" borderId="0" xfId="0" applyFont="1" applyAlignment="1">
      <alignment horizontal="left" indent="1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5" fillId="8" borderId="6" xfId="35" applyFont="1" applyFill="1" applyBorder="1" applyAlignment="1">
      <alignment horizontal="center" vertical="center"/>
    </xf>
    <xf numFmtId="0" fontId="35" fillId="8" borderId="10" xfId="35" applyFont="1" applyFill="1" applyBorder="1" applyAlignment="1">
      <alignment horizontal="center" vertical="center"/>
    </xf>
    <xf numFmtId="0" fontId="22" fillId="0" borderId="25" xfId="35" applyBorder="1" applyAlignment="1">
      <alignment horizontal="center" wrapText="1"/>
    </xf>
    <xf numFmtId="0" fontId="22" fillId="0" borderId="12" xfId="35" applyBorder="1" applyAlignment="1">
      <alignment horizontal="center" wrapText="1"/>
    </xf>
    <xf numFmtId="0" fontId="22" fillId="0" borderId="29" xfId="35" applyBorder="1" applyAlignment="1">
      <alignment horizontal="center" wrapText="1"/>
    </xf>
    <xf numFmtId="0" fontId="34" fillId="8" borderId="24" xfId="35" applyFont="1" applyFill="1" applyBorder="1" applyAlignment="1">
      <alignment horizontal="center" vertical="center"/>
    </xf>
    <xf numFmtId="0" fontId="35" fillId="8" borderId="26" xfId="35" applyFont="1" applyFill="1" applyBorder="1" applyAlignment="1">
      <alignment horizontal="center" vertical="center"/>
    </xf>
    <xf numFmtId="0" fontId="35" fillId="8" borderId="28" xfId="35" applyFont="1" applyFill="1" applyBorder="1" applyAlignment="1">
      <alignment horizontal="center" vertical="center"/>
    </xf>
    <xf numFmtId="0" fontId="22" fillId="0" borderId="26" xfId="35" applyBorder="1" applyAlignment="1">
      <alignment horizontal="center" vertical="center"/>
    </xf>
    <xf numFmtId="0" fontId="22" fillId="0" borderId="28" xfId="35" applyBorder="1" applyAlignment="1">
      <alignment horizontal="center" vertical="center"/>
    </xf>
    <xf numFmtId="0" fontId="22" fillId="0" borderId="24" xfId="35" applyBorder="1" applyAlignment="1">
      <alignment horizontal="center"/>
    </xf>
  </cellXfs>
  <cellStyles count="51">
    <cellStyle name="=C:\WINNT35\SYSTEM32\COMMAND.COM" xfId="29" xr:uid="{00000000-0005-0000-0000-000000000000}"/>
    <cellStyle name="0,0_x000a__x000a_NA_x000a__x000a_" xfId="30" xr:uid="{00000000-0005-0000-0000-000001000000}"/>
    <cellStyle name="Comma [0]" xfId="1" builtinId="6"/>
    <cellStyle name="Comma [0] 2" xfId="8" xr:uid="{00000000-0005-0000-0000-000004000000}"/>
    <cellStyle name="Comma [0] 3" xfId="25" xr:uid="{00000000-0005-0000-0000-000005000000}"/>
    <cellStyle name="Comma [0] 3 2" xfId="38" xr:uid="{55FB94D1-297E-4286-9F6E-B0A14068725C}"/>
    <cellStyle name="Comma [0] 3 3" xfId="42" xr:uid="{564EC007-AF51-4A34-8E8B-7CEA941BB4BA}"/>
    <cellStyle name="Comma [0] 4" xfId="37" xr:uid="{76AF3A97-ECB3-4301-B187-98E3D58D9C78}"/>
    <cellStyle name="Comma [0] 5" xfId="49" xr:uid="{51F1D565-431A-45EC-8382-4B1DEA3D190B}"/>
    <cellStyle name="Comma 2" xfId="6" xr:uid="{00000000-0005-0000-0000-000006000000}"/>
    <cellStyle name="Comma 2 3" xfId="21" xr:uid="{00000000-0005-0000-0000-000007000000}"/>
    <cellStyle name="Comma 3" xfId="9" xr:uid="{00000000-0005-0000-0000-000008000000}"/>
    <cellStyle name="Comma 3 2" xfId="10" xr:uid="{00000000-0005-0000-0000-000009000000}"/>
    <cellStyle name="Comma 4" xfId="11" xr:uid="{00000000-0005-0000-0000-00000A000000}"/>
    <cellStyle name="Comma 4 3 2 5" xfId="34" xr:uid="{00000000-0005-0000-0000-00000B000000}"/>
    <cellStyle name="Comma 5" xfId="17" xr:uid="{00000000-0005-0000-0000-00000C000000}"/>
    <cellStyle name="Comma 5 2" xfId="18" xr:uid="{00000000-0005-0000-0000-00000D000000}"/>
    <cellStyle name="Comma 5 2 2" xfId="45" xr:uid="{A2B6C197-1B46-494C-A2AC-E67B10E40E1A}"/>
    <cellStyle name="Comma 6" xfId="44" xr:uid="{8CFC9F03-DDE4-4CA3-851A-1FABF78678B7}"/>
    <cellStyle name="Comma 7" xfId="46" xr:uid="{A6C0E058-140E-4E6D-98AC-403BB355DAD5}"/>
    <cellStyle name="Currency [0] 2" xfId="22" xr:uid="{00000000-0005-0000-0000-00000E000000}"/>
    <cellStyle name="Currency [0] 2 2" xfId="36" xr:uid="{5D4355A5-88A0-490E-A6C8-FDC205E742F3}"/>
    <cellStyle name="Currency [0] 3" xfId="27" xr:uid="{00000000-0005-0000-0000-00000F000000}"/>
    <cellStyle name="Currency [0] 4" xfId="32" xr:uid="{00000000-0005-0000-0000-000010000000}"/>
    <cellStyle name="Currency 2" xfId="26" xr:uid="{00000000-0005-0000-0000-000011000000}"/>
    <cellStyle name="Currency 3" xfId="31" xr:uid="{00000000-0005-0000-0000-000012000000}"/>
    <cellStyle name="Normal" xfId="0" builtinId="0"/>
    <cellStyle name="Normal 2" xfId="4" xr:uid="{00000000-0005-0000-0000-000014000000}"/>
    <cellStyle name="Normal 2 2" xfId="5" xr:uid="{00000000-0005-0000-0000-000015000000}"/>
    <cellStyle name="Normal 2 2 2 2 3" xfId="16" xr:uid="{00000000-0005-0000-0000-000016000000}"/>
    <cellStyle name="Normal 2 7" xfId="19" xr:uid="{00000000-0005-0000-0000-000017000000}"/>
    <cellStyle name="Normal 3" xfId="12" xr:uid="{00000000-0005-0000-0000-000018000000}"/>
    <cellStyle name="Normal 3 2" xfId="13" xr:uid="{00000000-0005-0000-0000-000019000000}"/>
    <cellStyle name="Normal 3 3" xfId="20" xr:uid="{00000000-0005-0000-0000-00001A000000}"/>
    <cellStyle name="Normal 3 4" xfId="50" xr:uid="{225AA50B-38FD-4CC6-877C-F97D729B8B19}"/>
    <cellStyle name="Normal 4" xfId="23" xr:uid="{00000000-0005-0000-0000-00001B000000}"/>
    <cellStyle name="Normal 4 2" xfId="39" xr:uid="{A2DD3E1C-F79C-4D88-8794-F4FC9626FE68}"/>
    <cellStyle name="Normal 5" xfId="24" xr:uid="{00000000-0005-0000-0000-00001C000000}"/>
    <cellStyle name="Normal 6" xfId="28" xr:uid="{00000000-0005-0000-0000-00001D000000}"/>
    <cellStyle name="Normal 7" xfId="33" xr:uid="{00000000-0005-0000-0000-00001E000000}"/>
    <cellStyle name="Normal 7 2" xfId="35" xr:uid="{7E6AF0BF-B3B2-44A4-BD82-C10340119A95}"/>
    <cellStyle name="Normal 7 3" xfId="41" xr:uid="{C5A16A8D-E174-4A15-9A15-A62A0A277807}"/>
    <cellStyle name="Normal 8" xfId="40" xr:uid="{93305F16-758C-498B-A9CC-076D924E2B65}"/>
    <cellStyle name="Normal 9" xfId="47" xr:uid="{1D4B5CDE-EB32-445B-B4B4-6DB2620530ED}"/>
    <cellStyle name="Percent" xfId="2" builtinId="5"/>
    <cellStyle name="Percent 2" xfId="7" xr:uid="{00000000-0005-0000-0000-000020000000}"/>
    <cellStyle name="Percent 2 2" xfId="3" xr:uid="{00000000-0005-0000-0000-000021000000}"/>
    <cellStyle name="Percent 2 3" xfId="48" xr:uid="{149EB685-12F3-4A7D-9F99-F1F9C23FCB3B}"/>
    <cellStyle name="Percent 3" xfId="14" xr:uid="{00000000-0005-0000-0000-000022000000}"/>
    <cellStyle name="Percent 3 2" xfId="15" xr:uid="{00000000-0005-0000-0000-000023000000}"/>
    <cellStyle name="Percent 4" xfId="43" xr:uid="{FA4CF25D-5A16-4EF2-BE19-39182156B02F}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16.xml"/><Relationship Id="rId42" Type="http://schemas.openxmlformats.org/officeDocument/2006/relationships/externalLink" Target="externalLinks/externalLink37.xml"/><Relationship Id="rId47" Type="http://schemas.openxmlformats.org/officeDocument/2006/relationships/externalLink" Target="externalLinks/externalLink42.xml"/><Relationship Id="rId63" Type="http://schemas.openxmlformats.org/officeDocument/2006/relationships/externalLink" Target="externalLinks/externalLink58.xml"/><Relationship Id="rId68" Type="http://schemas.openxmlformats.org/officeDocument/2006/relationships/externalLink" Target="externalLinks/externalLink63.xml"/><Relationship Id="rId84" Type="http://schemas.openxmlformats.org/officeDocument/2006/relationships/calcChain" Target="calcChain.xml"/><Relationship Id="rId16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6.xml"/><Relationship Id="rId32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32.xml"/><Relationship Id="rId53" Type="http://schemas.openxmlformats.org/officeDocument/2006/relationships/externalLink" Target="externalLinks/externalLink48.xml"/><Relationship Id="rId58" Type="http://schemas.openxmlformats.org/officeDocument/2006/relationships/externalLink" Target="externalLinks/externalLink53.xml"/><Relationship Id="rId74" Type="http://schemas.openxmlformats.org/officeDocument/2006/relationships/externalLink" Target="externalLinks/externalLink69.xml"/><Relationship Id="rId79" Type="http://schemas.openxmlformats.org/officeDocument/2006/relationships/externalLink" Target="externalLinks/externalLink74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6.xml"/><Relationship Id="rId82" Type="http://schemas.openxmlformats.org/officeDocument/2006/relationships/styles" Target="styles.xml"/><Relationship Id="rId19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22.xml"/><Relationship Id="rId30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38.xml"/><Relationship Id="rId48" Type="http://schemas.openxmlformats.org/officeDocument/2006/relationships/externalLink" Target="externalLinks/externalLink43.xml"/><Relationship Id="rId56" Type="http://schemas.openxmlformats.org/officeDocument/2006/relationships/externalLink" Target="externalLinks/externalLink51.xml"/><Relationship Id="rId64" Type="http://schemas.openxmlformats.org/officeDocument/2006/relationships/externalLink" Target="externalLinks/externalLink59.xml"/><Relationship Id="rId69" Type="http://schemas.openxmlformats.org/officeDocument/2006/relationships/externalLink" Target="externalLinks/externalLink64.xml"/><Relationship Id="rId77" Type="http://schemas.openxmlformats.org/officeDocument/2006/relationships/externalLink" Target="externalLinks/externalLink72.xml"/><Relationship Id="rId8" Type="http://schemas.openxmlformats.org/officeDocument/2006/relationships/externalLink" Target="externalLinks/externalLink3.xml"/><Relationship Id="rId51" Type="http://schemas.openxmlformats.org/officeDocument/2006/relationships/externalLink" Target="externalLinks/externalLink46.xml"/><Relationship Id="rId72" Type="http://schemas.openxmlformats.org/officeDocument/2006/relationships/externalLink" Target="externalLinks/externalLink67.xml"/><Relationship Id="rId80" Type="http://schemas.openxmlformats.org/officeDocument/2006/relationships/externalLink" Target="externalLinks/externalLink7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33.xml"/><Relationship Id="rId46" Type="http://schemas.openxmlformats.org/officeDocument/2006/relationships/externalLink" Target="externalLinks/externalLink41.xml"/><Relationship Id="rId59" Type="http://schemas.openxmlformats.org/officeDocument/2006/relationships/externalLink" Target="externalLinks/externalLink54.xml"/><Relationship Id="rId67" Type="http://schemas.openxmlformats.org/officeDocument/2006/relationships/externalLink" Target="externalLinks/externalLink62.xml"/><Relationship Id="rId20" Type="http://schemas.openxmlformats.org/officeDocument/2006/relationships/externalLink" Target="externalLinks/externalLink15.xml"/><Relationship Id="rId41" Type="http://schemas.openxmlformats.org/officeDocument/2006/relationships/externalLink" Target="externalLinks/externalLink36.xml"/><Relationship Id="rId54" Type="http://schemas.openxmlformats.org/officeDocument/2006/relationships/externalLink" Target="externalLinks/externalLink49.xml"/><Relationship Id="rId62" Type="http://schemas.openxmlformats.org/officeDocument/2006/relationships/externalLink" Target="externalLinks/externalLink57.xml"/><Relationship Id="rId70" Type="http://schemas.openxmlformats.org/officeDocument/2006/relationships/externalLink" Target="externalLinks/externalLink65.xml"/><Relationship Id="rId75" Type="http://schemas.openxmlformats.org/officeDocument/2006/relationships/externalLink" Target="externalLinks/externalLink70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31.xml"/><Relationship Id="rId49" Type="http://schemas.openxmlformats.org/officeDocument/2006/relationships/externalLink" Target="externalLinks/externalLink44.xml"/><Relationship Id="rId57" Type="http://schemas.openxmlformats.org/officeDocument/2006/relationships/externalLink" Target="externalLinks/externalLink52.xml"/><Relationship Id="rId10" Type="http://schemas.openxmlformats.org/officeDocument/2006/relationships/externalLink" Target="externalLinks/externalLink5.xml"/><Relationship Id="rId31" Type="http://schemas.openxmlformats.org/officeDocument/2006/relationships/externalLink" Target="externalLinks/externalLink26.xml"/><Relationship Id="rId44" Type="http://schemas.openxmlformats.org/officeDocument/2006/relationships/externalLink" Target="externalLinks/externalLink39.xml"/><Relationship Id="rId52" Type="http://schemas.openxmlformats.org/officeDocument/2006/relationships/externalLink" Target="externalLinks/externalLink47.xml"/><Relationship Id="rId60" Type="http://schemas.openxmlformats.org/officeDocument/2006/relationships/externalLink" Target="externalLinks/externalLink55.xml"/><Relationship Id="rId65" Type="http://schemas.openxmlformats.org/officeDocument/2006/relationships/externalLink" Target="externalLinks/externalLink60.xml"/><Relationship Id="rId73" Type="http://schemas.openxmlformats.org/officeDocument/2006/relationships/externalLink" Target="externalLinks/externalLink68.xml"/><Relationship Id="rId78" Type="http://schemas.openxmlformats.org/officeDocument/2006/relationships/externalLink" Target="externalLinks/externalLink7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39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29.xml"/><Relationship Id="rId50" Type="http://schemas.openxmlformats.org/officeDocument/2006/relationships/externalLink" Target="externalLinks/externalLink45.xml"/><Relationship Id="rId55" Type="http://schemas.openxmlformats.org/officeDocument/2006/relationships/externalLink" Target="externalLinks/externalLink50.xml"/><Relationship Id="rId76" Type="http://schemas.openxmlformats.org/officeDocument/2006/relationships/externalLink" Target="externalLinks/externalLink71.xml"/><Relationship Id="rId7" Type="http://schemas.openxmlformats.org/officeDocument/2006/relationships/externalLink" Target="externalLinks/externalLink2.xml"/><Relationship Id="rId71" Type="http://schemas.openxmlformats.org/officeDocument/2006/relationships/externalLink" Target="externalLinks/externalLink6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19.xml"/><Relationship Id="rId40" Type="http://schemas.openxmlformats.org/officeDocument/2006/relationships/externalLink" Target="externalLinks/externalLink35.xml"/><Relationship Id="rId45" Type="http://schemas.openxmlformats.org/officeDocument/2006/relationships/externalLink" Target="externalLinks/externalLink40.xml"/><Relationship Id="rId66" Type="http://schemas.openxmlformats.org/officeDocument/2006/relationships/externalLink" Target="externalLinks/externalLink6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C1E8689-851E-4FA1-833A-8D1A65934E20}"/>
            </a:ext>
          </a:extLst>
        </xdr:cNvPr>
        <xdr:cNvCxnSpPr/>
      </xdr:nvCxnSpPr>
      <xdr:spPr>
        <a:xfrm flipV="1">
          <a:off x="8004186" y="47809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7F0C516A-B5BA-435B-B2B4-990791FB5037}"/>
            </a:ext>
          </a:extLst>
        </xdr:cNvPr>
        <xdr:cNvGrpSpPr/>
      </xdr:nvGrpSpPr>
      <xdr:grpSpPr>
        <a:xfrm>
          <a:off x="619479" y="5191791"/>
          <a:ext cx="9260113" cy="164988"/>
          <a:chOff x="570986" y="5042917"/>
          <a:chExt cx="14774690" cy="343744"/>
        </a:xfrm>
      </xdr:grpSpPr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18C19CD8-A346-46CF-AAF2-A00613320FE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C191B1D1-06E6-4ACC-92D6-403E4C56378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1B10395A-D2A3-48E6-8F3E-E9E4C6A4BDF7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78FB3BBD-79C7-49FB-9DED-FE4BB67590F1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FCB69DB1-B43A-404D-AEF5-0405B4F37794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3D26F089-E448-46EC-879E-D8B3272F611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31</xdr:row>
      <xdr:rowOff>104251</xdr:rowOff>
    </xdr:from>
    <xdr:to>
      <xdr:col>13</xdr:col>
      <xdr:colOff>156845</xdr:colOff>
      <xdr:row>32</xdr:row>
      <xdr:rowOff>79374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9455A1F7-3C35-480F-BF31-A32098ED1EFC}"/>
            </a:ext>
          </a:extLst>
        </xdr:cNvPr>
        <xdr:cNvGrpSpPr/>
      </xdr:nvGrpSpPr>
      <xdr:grpSpPr>
        <a:xfrm>
          <a:off x="631225" y="6263751"/>
          <a:ext cx="9452787" cy="172679"/>
          <a:chOff x="722947" y="7327377"/>
          <a:chExt cx="10285884" cy="0"/>
        </a:xfrm>
      </xdr:grpSpPr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56E11F9A-EC7D-4B3A-8F6A-58668EF5447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672649E1-8A40-4A21-88B0-65D4F87C306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8CBEC2C6-D670-4946-94F6-4736127339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98156AD0-D6E9-463F-A773-686B9B35127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F4F9EFA7-3B64-47D9-8A78-175210499C7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Straight Connector 30">
            <a:extLst>
              <a:ext uri="{FF2B5EF4-FFF2-40B4-BE49-F238E27FC236}">
                <a16:creationId xmlns:a16="http://schemas.microsoft.com/office/drawing/2014/main" id="{9D970FF1-11DC-4196-A6D7-0343514B89D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>
        <row r="1">
          <cell r="D1" t="str">
            <v>0030/03/IRR/IBC/XII/2023</v>
          </cell>
        </row>
        <row r="6">
          <cell r="D6" t="str">
            <v>Hotel Alila Seminyak</v>
          </cell>
        </row>
      </sheetData>
      <sheetData sheetId="1">
        <row r="4">
          <cell r="F4">
            <v>0.1</v>
          </cell>
        </row>
      </sheetData>
      <sheetData sheetId="2">
        <row r="5">
          <cell r="B5">
            <v>24918184.670000002</v>
          </cell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9BD87-6E98-4D09-ACDC-307EEF1BAEDB}">
  <sheetPr>
    <pageSetUpPr fitToPage="1"/>
  </sheetPr>
  <dimension ref="B1:R32"/>
  <sheetViews>
    <sheetView showGridLines="0" tabSelected="1" zoomScale="90" zoomScaleNormal="90" workbookViewId="0">
      <selection activeCell="D21" sqref="D21"/>
    </sheetView>
  </sheetViews>
  <sheetFormatPr defaultColWidth="8.6640625" defaultRowHeight="15.5" x14ac:dyDescent="0.35"/>
  <cols>
    <col min="1" max="1" width="4.1640625" customWidth="1"/>
    <col min="2" max="2" width="3" customWidth="1"/>
    <col min="3" max="3" width="16" customWidth="1"/>
    <col min="4" max="4" width="24.1640625" customWidth="1"/>
    <col min="5" max="5" width="4.1640625" customWidth="1"/>
    <col min="6" max="6" width="4.9140625" customWidth="1"/>
    <col min="7" max="7" width="15.33203125" customWidth="1"/>
    <col min="8" max="8" width="8.4140625" customWidth="1"/>
    <col min="9" max="9" width="7.9140625" customWidth="1"/>
    <col min="10" max="10" width="2.08203125" customWidth="1"/>
    <col min="11" max="11" width="5.08203125" customWidth="1"/>
    <col min="12" max="12" width="18.4140625" bestFit="1" customWidth="1"/>
    <col min="13" max="13" width="16.5" customWidth="1"/>
    <col min="14" max="14" width="2.08203125" customWidth="1"/>
    <col min="15" max="15" width="3.6640625" customWidth="1"/>
    <col min="17" max="17" width="14.08203125" bestFit="1" customWidth="1"/>
  </cols>
  <sheetData>
    <row r="1" spans="2:17" ht="21" x14ac:dyDescent="0.5">
      <c r="C1" s="1" t="s">
        <v>171</v>
      </c>
      <c r="D1" t="s">
        <v>204</v>
      </c>
      <c r="M1" s="211" t="s">
        <v>212</v>
      </c>
      <c r="N1" s="209"/>
      <c r="O1" s="209"/>
    </row>
    <row r="2" spans="2:17" ht="18.5" x14ac:dyDescent="0.45">
      <c r="C2" s="163" t="s">
        <v>52</v>
      </c>
      <c r="D2" s="1" t="s">
        <v>81</v>
      </c>
    </row>
    <row r="3" spans="2:17" ht="19" thickBot="1" x14ac:dyDescent="0.5">
      <c r="C3" s="163" t="s">
        <v>53</v>
      </c>
      <c r="D3" s="1" t="s">
        <v>205</v>
      </c>
      <c r="J3" s="163" t="s">
        <v>80</v>
      </c>
      <c r="K3" s="163"/>
      <c r="L3" s="163"/>
      <c r="M3" s="198">
        <v>45653</v>
      </c>
    </row>
    <row r="4" spans="2:17" ht="16" hidden="1" thickBot="1" x14ac:dyDescent="0.4">
      <c r="C4" s="1"/>
    </row>
    <row r="5" spans="2:17" s="54" customFormat="1" ht="19" thickBot="1" x14ac:dyDescent="0.5">
      <c r="B5" s="212" t="s">
        <v>54</v>
      </c>
      <c r="C5" s="213"/>
      <c r="D5" s="214"/>
      <c r="E5" s="213" t="s">
        <v>55</v>
      </c>
      <c r="F5" s="213"/>
      <c r="G5" s="213"/>
      <c r="H5" s="213"/>
      <c r="I5" s="213"/>
      <c r="J5" s="212" t="s">
        <v>56</v>
      </c>
      <c r="K5" s="213"/>
      <c r="L5" s="213"/>
      <c r="M5" s="213"/>
      <c r="N5" s="214"/>
    </row>
    <row r="6" spans="2:17" x14ac:dyDescent="0.35">
      <c r="B6" s="215" t="s">
        <v>57</v>
      </c>
      <c r="C6" s="216"/>
      <c r="D6" s="195" t="s">
        <v>128</v>
      </c>
      <c r="E6" s="217" t="s">
        <v>58</v>
      </c>
      <c r="F6" s="217"/>
      <c r="G6" s="217"/>
      <c r="H6" s="217"/>
      <c r="I6" s="217"/>
      <c r="J6" s="60"/>
      <c r="K6" s="216" t="s">
        <v>59</v>
      </c>
      <c r="L6" s="216"/>
      <c r="M6" s="62">
        <f>M11/H8</f>
        <v>5687218.3564356435</v>
      </c>
      <c r="N6" s="164"/>
      <c r="O6" s="162"/>
    </row>
    <row r="7" spans="2:17" ht="16.75" customHeight="1" x14ac:dyDescent="0.35">
      <c r="B7" s="221" t="s">
        <v>60</v>
      </c>
      <c r="C7" s="222"/>
      <c r="D7" s="196" t="s">
        <v>173</v>
      </c>
      <c r="E7" s="218" t="s">
        <v>61</v>
      </c>
      <c r="F7" s="218"/>
      <c r="G7" s="218"/>
      <c r="H7" s="165">
        <v>175</v>
      </c>
      <c r="J7" s="166"/>
      <c r="K7" s="218" t="s">
        <v>62</v>
      </c>
      <c r="L7" s="218"/>
      <c r="M7" s="63">
        <v>5</v>
      </c>
      <c r="N7" s="167"/>
    </row>
    <row r="8" spans="2:17" x14ac:dyDescent="0.35">
      <c r="B8" s="166"/>
      <c r="C8" s="33"/>
      <c r="D8" s="197" t="s">
        <v>198</v>
      </c>
      <c r="E8" s="218" t="s">
        <v>64</v>
      </c>
      <c r="F8" s="218"/>
      <c r="G8" s="218"/>
      <c r="H8" s="165">
        <v>202</v>
      </c>
      <c r="J8" s="166"/>
      <c r="K8" s="218" t="s">
        <v>77</v>
      </c>
      <c r="L8" s="218"/>
      <c r="M8" s="64">
        <f>'[75]IRR Approved'!$F$4</f>
        <v>0.1</v>
      </c>
      <c r="N8" s="167"/>
    </row>
    <row r="9" spans="2:17" x14ac:dyDescent="0.35">
      <c r="B9" s="166"/>
      <c r="C9" s="33"/>
      <c r="D9" s="197" t="s">
        <v>199</v>
      </c>
      <c r="E9" s="218" t="s">
        <v>66</v>
      </c>
      <c r="F9" s="218"/>
      <c r="G9" s="218"/>
      <c r="H9" s="219" t="s">
        <v>200</v>
      </c>
      <c r="I9" s="220"/>
      <c r="J9" s="166"/>
      <c r="K9" s="218" t="s">
        <v>67</v>
      </c>
      <c r="L9" s="218"/>
      <c r="M9" s="62">
        <v>0</v>
      </c>
      <c r="N9" s="167"/>
    </row>
    <row r="10" spans="2:17" x14ac:dyDescent="0.35">
      <c r="B10" s="221" t="s">
        <v>63</v>
      </c>
      <c r="C10" s="222"/>
      <c r="D10" s="197" t="s">
        <v>103</v>
      </c>
      <c r="H10" s="219"/>
      <c r="I10" s="220"/>
      <c r="J10" s="61"/>
      <c r="K10" s="218" t="s">
        <v>74</v>
      </c>
      <c r="L10" s="218"/>
      <c r="M10" s="62">
        <f>IRR!R20</f>
        <v>1793400000</v>
      </c>
      <c r="N10" s="167"/>
    </row>
    <row r="11" spans="2:17" x14ac:dyDescent="0.35">
      <c r="B11" s="223" t="s">
        <v>65</v>
      </c>
      <c r="C11" s="224"/>
      <c r="D11" s="197" t="s">
        <v>95</v>
      </c>
      <c r="J11" s="166"/>
      <c r="K11" s="218" t="s">
        <v>201</v>
      </c>
      <c r="L11" s="218"/>
      <c r="M11" s="62">
        <v>1148818108</v>
      </c>
      <c r="N11" s="167"/>
      <c r="Q11" s="52"/>
    </row>
    <row r="12" spans="2:17" x14ac:dyDescent="0.35">
      <c r="B12" s="168" t="s">
        <v>68</v>
      </c>
      <c r="C12" s="179"/>
      <c r="D12" s="197" t="s">
        <v>123</v>
      </c>
      <c r="E12" s="225" t="s">
        <v>69</v>
      </c>
      <c r="F12" s="225"/>
      <c r="G12" s="225"/>
      <c r="H12" s="225"/>
      <c r="I12" s="225"/>
      <c r="J12" s="166"/>
      <c r="K12" s="218" t="s">
        <v>215</v>
      </c>
      <c r="L12" s="218"/>
      <c r="M12" s="52">
        <f>IRR!G12</f>
        <v>140813235.375</v>
      </c>
      <c r="N12" s="167"/>
      <c r="Q12" s="12"/>
    </row>
    <row r="13" spans="2:17" x14ac:dyDescent="0.35">
      <c r="B13" s="168" t="s">
        <v>70</v>
      </c>
      <c r="C13" s="179"/>
      <c r="D13" s="55">
        <v>4</v>
      </c>
      <c r="E13" s="226" t="s">
        <v>71</v>
      </c>
      <c r="F13" s="226"/>
      <c r="G13" s="226"/>
      <c r="H13" s="170">
        <v>0</v>
      </c>
      <c r="J13" s="166"/>
      <c r="K13" s="218" t="s">
        <v>125</v>
      </c>
      <c r="L13" s="218"/>
      <c r="M13" s="52">
        <f>IRR!R22</f>
        <v>250000000</v>
      </c>
      <c r="N13" s="167"/>
    </row>
    <row r="14" spans="2:17" ht="16" thickBot="1" x14ac:dyDescent="0.4">
      <c r="B14" s="168" t="s">
        <v>72</v>
      </c>
      <c r="C14" s="179"/>
      <c r="D14" s="55">
        <v>1</v>
      </c>
      <c r="E14" s="226" t="s">
        <v>73</v>
      </c>
      <c r="F14" s="226"/>
      <c r="G14" s="226"/>
      <c r="H14" s="170">
        <v>0</v>
      </c>
      <c r="J14" s="166"/>
      <c r="K14" s="218" t="s">
        <v>126</v>
      </c>
      <c r="L14" s="218"/>
      <c r="M14" s="62">
        <f>IRR!R23+IRR!R24+IRR!R25</f>
        <v>612770000</v>
      </c>
      <c r="N14" s="167"/>
    </row>
    <row r="15" spans="2:17" x14ac:dyDescent="0.35">
      <c r="B15" s="166"/>
      <c r="C15" s="33"/>
      <c r="D15" s="167"/>
      <c r="E15" s="171"/>
      <c r="F15" s="171"/>
      <c r="G15" s="171"/>
      <c r="H15" s="170"/>
      <c r="J15" s="172"/>
      <c r="K15" s="232" t="s">
        <v>25</v>
      </c>
      <c r="L15" s="233"/>
      <c r="M15" s="56">
        <f>IRR!F41</f>
        <v>0.82262398637919931</v>
      </c>
      <c r="N15" s="167"/>
    </row>
    <row r="16" spans="2:17" x14ac:dyDescent="0.35">
      <c r="B16" s="166"/>
      <c r="C16" s="33"/>
      <c r="D16" s="167"/>
      <c r="E16" s="226" t="s">
        <v>75</v>
      </c>
      <c r="F16" s="226"/>
      <c r="G16" s="226"/>
      <c r="H16" s="170">
        <v>0</v>
      </c>
      <c r="J16" s="173"/>
      <c r="K16" s="234" t="s">
        <v>26</v>
      </c>
      <c r="L16" s="235"/>
      <c r="M16" s="174">
        <f>IRR!F42</f>
        <v>519069396.07223177</v>
      </c>
      <c r="N16" s="167"/>
    </row>
    <row r="17" spans="2:18" x14ac:dyDescent="0.35">
      <c r="B17" s="166"/>
      <c r="C17" s="33"/>
      <c r="D17" s="167"/>
      <c r="E17" s="225" t="s">
        <v>76</v>
      </c>
      <c r="F17" s="225"/>
      <c r="G17" s="225"/>
      <c r="H17" s="225"/>
      <c r="I17" s="225"/>
      <c r="J17" s="173"/>
      <c r="K17" s="234" t="s">
        <v>27</v>
      </c>
      <c r="L17" s="235"/>
      <c r="M17" s="57">
        <f>IRR!F43</f>
        <v>0.5189193710270994</v>
      </c>
      <c r="N17" s="167"/>
      <c r="R17" t="s">
        <v>47</v>
      </c>
    </row>
    <row r="18" spans="2:18" ht="16" thickBot="1" x14ac:dyDescent="0.4">
      <c r="B18" s="166"/>
      <c r="C18" s="33"/>
      <c r="D18" s="167"/>
      <c r="J18" s="173"/>
      <c r="K18" s="227" t="s">
        <v>78</v>
      </c>
      <c r="L18" s="228"/>
      <c r="M18" s="75">
        <f>IRR!F44</f>
        <v>1.5843605703378216</v>
      </c>
      <c r="N18" s="167"/>
      <c r="Q18" t="s">
        <v>47</v>
      </c>
    </row>
    <row r="19" spans="2:18" ht="16" thickBot="1" x14ac:dyDescent="0.4">
      <c r="B19" s="175"/>
      <c r="C19" s="6"/>
      <c r="D19" s="176"/>
      <c r="E19" s="6"/>
      <c r="F19" s="6" t="s">
        <v>47</v>
      </c>
      <c r="G19" s="6"/>
      <c r="H19" s="6"/>
      <c r="I19" s="6"/>
      <c r="J19" s="166"/>
      <c r="K19" s="169"/>
      <c r="L19" s="169"/>
      <c r="M19" s="169"/>
      <c r="N19" s="167"/>
    </row>
    <row r="20" spans="2:18" x14ac:dyDescent="0.35">
      <c r="B20" s="59" t="s">
        <v>202</v>
      </c>
      <c r="C20" s="177"/>
      <c r="D20" s="177"/>
      <c r="E20" s="177"/>
      <c r="F20" s="177"/>
      <c r="G20" s="177"/>
      <c r="H20" s="177"/>
      <c r="I20" s="177"/>
      <c r="J20" s="177"/>
      <c r="K20" s="177"/>
      <c r="L20" s="229" t="s">
        <v>82</v>
      </c>
      <c r="M20" s="229"/>
      <c r="N20" s="164"/>
    </row>
    <row r="21" spans="2:18" x14ac:dyDescent="0.35">
      <c r="B21" s="166" t="s">
        <v>79</v>
      </c>
      <c r="D21" s="193" t="s">
        <v>172</v>
      </c>
      <c r="E21" s="193"/>
      <c r="F21" s="193"/>
      <c r="G21" s="193"/>
      <c r="L21" s="230" t="s">
        <v>203</v>
      </c>
      <c r="M21" s="231"/>
      <c r="N21" s="167"/>
    </row>
    <row r="22" spans="2:18" x14ac:dyDescent="0.35">
      <c r="B22" s="166"/>
      <c r="D22" s="193"/>
      <c r="E22" s="193"/>
      <c r="F22" s="193"/>
      <c r="G22" s="193"/>
      <c r="N22" s="167"/>
    </row>
    <row r="23" spans="2:18" x14ac:dyDescent="0.35">
      <c r="B23" s="166"/>
      <c r="D23" s="194"/>
      <c r="E23" s="193"/>
      <c r="F23" s="193"/>
      <c r="G23" s="193"/>
      <c r="N23" s="167"/>
    </row>
    <row r="24" spans="2:18" x14ac:dyDescent="0.35">
      <c r="B24" s="166"/>
      <c r="D24" s="193"/>
      <c r="E24" s="193"/>
      <c r="F24" s="193"/>
      <c r="G24" s="193"/>
      <c r="N24" s="167"/>
    </row>
    <row r="25" spans="2:18" ht="16" thickBot="1" x14ac:dyDescent="0.4">
      <c r="B25" s="175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76"/>
    </row>
    <row r="26" spans="2:18" x14ac:dyDescent="0.35">
      <c r="B26" s="1" t="s">
        <v>83</v>
      </c>
    </row>
    <row r="27" spans="2:18" x14ac:dyDescent="0.35">
      <c r="B27" s="205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</row>
    <row r="28" spans="2:18" x14ac:dyDescent="0.35"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</row>
    <row r="29" spans="2:18" x14ac:dyDescent="0.35">
      <c r="B29" s="205"/>
      <c r="C29" s="205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</row>
    <row r="30" spans="2:18" x14ac:dyDescent="0.35">
      <c r="B30" s="205"/>
      <c r="C30" s="205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</row>
    <row r="31" spans="2:18" x14ac:dyDescent="0.35"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</row>
    <row r="32" spans="2:18" x14ac:dyDescent="0.35">
      <c r="B32" s="205"/>
      <c r="C32" s="205"/>
      <c r="D32" s="205"/>
      <c r="E32" s="205"/>
      <c r="F32" s="205"/>
      <c r="G32" s="205"/>
      <c r="H32" s="205"/>
      <c r="I32" s="205"/>
      <c r="J32" s="205"/>
      <c r="K32" s="205"/>
      <c r="L32" s="205"/>
      <c r="M32" s="205"/>
      <c r="N32" s="205"/>
    </row>
  </sheetData>
  <mergeCells count="32">
    <mergeCell ref="K18:L18"/>
    <mergeCell ref="L20:M20"/>
    <mergeCell ref="L21:M21"/>
    <mergeCell ref="E14:G14"/>
    <mergeCell ref="K14:L14"/>
    <mergeCell ref="K15:L15"/>
    <mergeCell ref="E16:G16"/>
    <mergeCell ref="K16:L16"/>
    <mergeCell ref="E17:I17"/>
    <mergeCell ref="K17:L17"/>
    <mergeCell ref="B11:C11"/>
    <mergeCell ref="K11:L11"/>
    <mergeCell ref="E12:I12"/>
    <mergeCell ref="K12:L12"/>
    <mergeCell ref="E13:G13"/>
    <mergeCell ref="K13:L13"/>
    <mergeCell ref="B7:C7"/>
    <mergeCell ref="E7:G7"/>
    <mergeCell ref="K7:L7"/>
    <mergeCell ref="E8:G8"/>
    <mergeCell ref="K8:L8"/>
    <mergeCell ref="E9:G9"/>
    <mergeCell ref="H9:I10"/>
    <mergeCell ref="K9:L9"/>
    <mergeCell ref="B10:C10"/>
    <mergeCell ref="K10:L10"/>
    <mergeCell ref="B5:D5"/>
    <mergeCell ref="E5:I5"/>
    <mergeCell ref="J5:N5"/>
    <mergeCell ref="B6:C6"/>
    <mergeCell ref="E6:I6"/>
    <mergeCell ref="K6:L6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C1E4A-6D01-4889-9E99-E76874E50031}">
  <sheetPr>
    <pageSetUpPr fitToPage="1"/>
  </sheetPr>
  <dimension ref="B1:Z78"/>
  <sheetViews>
    <sheetView showGridLines="0" topLeftCell="A29" zoomScale="70" zoomScaleNormal="70" workbookViewId="0">
      <selection activeCell="I38" sqref="I3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2" width="13.08203125" bestFit="1" customWidth="1"/>
    <col min="13" max="16" width="12.08203125" hidden="1" customWidth="1"/>
    <col min="17" max="17" width="16" hidden="1" customWidth="1"/>
    <col min="18" max="18" width="16.9140625" style="1" bestFit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" x14ac:dyDescent="0.35">
      <c r="B1" s="1" t="s">
        <v>174</v>
      </c>
      <c r="C1" t="s">
        <v>204</v>
      </c>
      <c r="G1" s="110"/>
      <c r="L1" s="53"/>
      <c r="M1" s="53"/>
      <c r="N1" s="53"/>
      <c r="O1" s="53"/>
      <c r="P1" s="53"/>
      <c r="Q1" s="203"/>
      <c r="R1" s="204" t="str">
        <f>[75]Summary!$D$6</f>
        <v>Hotel Alila Seminyak</v>
      </c>
    </row>
    <row r="2" spans="2:26" x14ac:dyDescent="0.35">
      <c r="B2" s="26" t="s">
        <v>175</v>
      </c>
      <c r="I2" s="111"/>
      <c r="L2" s="112" t="s">
        <v>176</v>
      </c>
    </row>
    <row r="3" spans="2:26" x14ac:dyDescent="0.35">
      <c r="C3" t="s">
        <v>0</v>
      </c>
      <c r="F3" s="4">
        <v>0.02</v>
      </c>
      <c r="I3" s="25"/>
      <c r="J3" t="s">
        <v>177</v>
      </c>
      <c r="K3" s="210" t="s">
        <v>213</v>
      </c>
      <c r="L3" s="113">
        <v>-0.1</v>
      </c>
      <c r="R3" s="114"/>
      <c r="S3" s="3"/>
      <c r="T3" s="3"/>
    </row>
    <row r="4" spans="2:26" x14ac:dyDescent="0.35">
      <c r="C4" t="s">
        <v>39</v>
      </c>
      <c r="F4" s="4">
        <v>0.1</v>
      </c>
      <c r="I4" s="25"/>
      <c r="J4" t="s">
        <v>178</v>
      </c>
      <c r="K4" s="201"/>
      <c r="L4" s="113">
        <v>0</v>
      </c>
      <c r="R4" s="114"/>
      <c r="S4" s="3"/>
      <c r="T4" s="3"/>
    </row>
    <row r="5" spans="2:26" x14ac:dyDescent="0.35">
      <c r="C5" t="s">
        <v>1</v>
      </c>
      <c r="F5" s="4">
        <v>0.05</v>
      </c>
      <c r="G5" s="2" t="s">
        <v>179</v>
      </c>
      <c r="I5" s="25"/>
      <c r="J5" t="s">
        <v>180</v>
      </c>
      <c r="K5" s="202"/>
      <c r="L5" s="113"/>
    </row>
    <row r="6" spans="2:26" x14ac:dyDescent="0.35">
      <c r="C6" t="s">
        <v>3</v>
      </c>
      <c r="F6" s="5">
        <v>0</v>
      </c>
      <c r="G6" s="2" t="s">
        <v>2</v>
      </c>
      <c r="J6" t="s">
        <v>181</v>
      </c>
      <c r="K6" s="201"/>
    </row>
    <row r="7" spans="2:26" x14ac:dyDescent="0.35">
      <c r="C7" t="s">
        <v>182</v>
      </c>
      <c r="F7" s="200">
        <f>Summary!M6</f>
        <v>5687218.3564356435</v>
      </c>
    </row>
    <row r="8" spans="2:26" x14ac:dyDescent="0.35">
      <c r="C8" t="s">
        <v>183</v>
      </c>
      <c r="F8" s="200">
        <v>150000000</v>
      </c>
      <c r="G8" s="115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7"/>
      <c r="V8" s="116"/>
      <c r="W8" s="116"/>
      <c r="X8" s="116"/>
      <c r="Y8" s="116"/>
      <c r="Z8" s="116"/>
    </row>
    <row r="9" spans="2:26" ht="16" thickBot="1" x14ac:dyDescent="0.4">
      <c r="G9" s="115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7"/>
      <c r="V9" s="116"/>
      <c r="W9" s="116"/>
      <c r="X9" s="116"/>
      <c r="Y9" s="116"/>
      <c r="Z9" s="116"/>
    </row>
    <row r="10" spans="2:26" s="1" customFormat="1" x14ac:dyDescent="0.35">
      <c r="G10" s="118" t="s">
        <v>184</v>
      </c>
      <c r="H10" s="109" t="s">
        <v>34</v>
      </c>
      <c r="I10" s="109" t="s">
        <v>35</v>
      </c>
      <c r="J10" s="109" t="s">
        <v>36</v>
      </c>
      <c r="K10" s="109" t="s">
        <v>37</v>
      </c>
      <c r="L10" s="109" t="s">
        <v>38</v>
      </c>
      <c r="M10" s="109" t="s">
        <v>185</v>
      </c>
      <c r="N10" s="109" t="s">
        <v>186</v>
      </c>
      <c r="O10" s="109" t="s">
        <v>187</v>
      </c>
      <c r="P10" s="109" t="s">
        <v>188</v>
      </c>
      <c r="Q10" s="109" t="s">
        <v>189</v>
      </c>
      <c r="R10" s="119" t="s">
        <v>11</v>
      </c>
      <c r="S10" s="116"/>
      <c r="T10" s="116"/>
      <c r="U10" s="120"/>
      <c r="V10" s="116"/>
      <c r="W10" s="116"/>
      <c r="X10" s="116"/>
      <c r="Y10" s="116"/>
      <c r="Z10" s="116"/>
    </row>
    <row r="11" spans="2:26" x14ac:dyDescent="0.35">
      <c r="B11" s="1" t="s">
        <v>190</v>
      </c>
      <c r="G11"/>
      <c r="R11" s="121"/>
      <c r="S11" s="116"/>
      <c r="T11" s="116"/>
      <c r="U11" s="117"/>
      <c r="V11" s="116"/>
      <c r="W11" s="116"/>
      <c r="X11" s="116"/>
      <c r="Y11" s="116"/>
      <c r="Z11" s="116"/>
    </row>
    <row r="12" spans="2:26" s="48" customFormat="1" x14ac:dyDescent="0.35">
      <c r="B12" s="50" t="s">
        <v>45</v>
      </c>
      <c r="E12" s="48" t="s">
        <v>214</v>
      </c>
      <c r="F12" s="199"/>
      <c r="G12" s="122">
        <v>140813235.375</v>
      </c>
      <c r="H12" s="123">
        <v>0</v>
      </c>
      <c r="I12" s="123">
        <v>0</v>
      </c>
      <c r="J12" s="123">
        <v>0</v>
      </c>
      <c r="K12" s="123"/>
      <c r="L12" s="123"/>
      <c r="M12" s="123"/>
      <c r="N12" s="123"/>
      <c r="O12" s="123"/>
      <c r="P12" s="123"/>
      <c r="Q12" s="124"/>
      <c r="R12" s="125">
        <f>SUM(G12:Q12)</f>
        <v>140813235.375</v>
      </c>
      <c r="S12" s="49"/>
      <c r="T12" s="49"/>
      <c r="U12" s="126"/>
      <c r="V12" s="49"/>
      <c r="W12" s="49"/>
      <c r="X12" s="49"/>
      <c r="Y12" s="49"/>
      <c r="Z12" s="49"/>
    </row>
    <row r="13" spans="2:26" s="48" customFormat="1" x14ac:dyDescent="0.35">
      <c r="B13" s="50"/>
      <c r="E13" s="48" t="s">
        <v>191</v>
      </c>
      <c r="F13" s="199"/>
      <c r="G13" s="127"/>
      <c r="H13" s="128"/>
      <c r="I13" s="128">
        <f>$F$8*0</f>
        <v>0</v>
      </c>
      <c r="J13" s="128">
        <f>$F$8*0</f>
        <v>0</v>
      </c>
      <c r="K13" s="128">
        <f>$F$8*0</f>
        <v>0</v>
      </c>
      <c r="L13" s="128"/>
      <c r="M13" s="128"/>
      <c r="N13" s="128"/>
      <c r="O13" s="128"/>
      <c r="P13" s="128"/>
      <c r="Q13" s="129"/>
      <c r="R13" s="130">
        <f>SUM(G13:Q13)</f>
        <v>0</v>
      </c>
      <c r="S13" s="49"/>
      <c r="T13" s="49"/>
      <c r="U13" s="126"/>
      <c r="V13" s="49"/>
      <c r="W13" s="49"/>
      <c r="X13" s="49"/>
      <c r="Y13" s="49"/>
      <c r="Z13" s="49"/>
    </row>
    <row r="14" spans="2:26" ht="16" thickBot="1" x14ac:dyDescent="0.4">
      <c r="B14" s="9" t="s">
        <v>10</v>
      </c>
      <c r="C14" s="6"/>
      <c r="D14" s="6"/>
      <c r="E14" s="6"/>
      <c r="F14" s="6"/>
      <c r="G14" s="7" t="s">
        <v>192</v>
      </c>
      <c r="H14" s="10">
        <v>2025</v>
      </c>
      <c r="I14" s="7">
        <f>H14+1</f>
        <v>2026</v>
      </c>
      <c r="J14" s="7">
        <f t="shared" ref="J14:Q14" si="0">I14+1</f>
        <v>2027</v>
      </c>
      <c r="K14" s="7">
        <f t="shared" si="0"/>
        <v>2028</v>
      </c>
      <c r="L14" s="7">
        <f t="shared" si="0"/>
        <v>2029</v>
      </c>
      <c r="M14" s="7">
        <f t="shared" si="0"/>
        <v>2030</v>
      </c>
      <c r="N14" s="7">
        <f t="shared" si="0"/>
        <v>2031</v>
      </c>
      <c r="O14" s="7">
        <f t="shared" si="0"/>
        <v>2032</v>
      </c>
      <c r="P14" s="7">
        <f t="shared" si="0"/>
        <v>2033</v>
      </c>
      <c r="Q14" s="7">
        <f t="shared" si="0"/>
        <v>2034</v>
      </c>
      <c r="R14" s="131" t="s">
        <v>11</v>
      </c>
      <c r="S14" s="132"/>
      <c r="T14" s="132"/>
      <c r="U14" s="132"/>
      <c r="V14" s="132"/>
      <c r="W14" s="132"/>
      <c r="X14" s="132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8">
        <v>12</v>
      </c>
      <c r="R15" s="133"/>
    </row>
    <row r="16" spans="2:26" x14ac:dyDescent="0.35">
      <c r="B16" s="134" t="s">
        <v>193</v>
      </c>
      <c r="M16" s="135">
        <v>0.1</v>
      </c>
      <c r="R16" s="133"/>
    </row>
    <row r="17" spans="2:25" x14ac:dyDescent="0.35">
      <c r="B17" s="1" t="s">
        <v>4</v>
      </c>
      <c r="E17" s="15"/>
      <c r="G17" s="16"/>
      <c r="H17" s="15"/>
      <c r="I17" s="180"/>
      <c r="J17" s="180"/>
      <c r="K17" s="180"/>
      <c r="L17" s="180"/>
      <c r="M17" s="180"/>
      <c r="N17" s="180"/>
      <c r="O17" s="180"/>
      <c r="P17" s="180"/>
      <c r="Q17" s="180"/>
      <c r="R17" s="133"/>
    </row>
    <row r="18" spans="2:25" x14ac:dyDescent="0.35">
      <c r="C18" t="s">
        <v>194</v>
      </c>
      <c r="E18" s="136"/>
      <c r="G18" s="45"/>
      <c r="H18" s="76">
        <v>222000000</v>
      </c>
      <c r="I18" s="76">
        <f>H18</f>
        <v>222000000</v>
      </c>
      <c r="J18" s="76">
        <f>H18*90%</f>
        <v>199800000</v>
      </c>
      <c r="K18" s="76">
        <f t="shared" ref="J18:L19" si="1">J18</f>
        <v>199800000</v>
      </c>
      <c r="L18" s="76">
        <f t="shared" si="1"/>
        <v>199800000</v>
      </c>
      <c r="M18" s="45">
        <f>$K$3*0</f>
        <v>0</v>
      </c>
      <c r="N18" s="45">
        <f>$K$3*(1-$L$3)*0</f>
        <v>0</v>
      </c>
      <c r="O18" s="45">
        <f>$K$3*(1-$L$3)*0</f>
        <v>0</v>
      </c>
      <c r="P18" s="45">
        <f>$K$3*(1-$L$3)*0</f>
        <v>0</v>
      </c>
      <c r="Q18" s="45">
        <f>$K$3*(1-$L$3)*0</f>
        <v>0</v>
      </c>
      <c r="R18" s="137">
        <f>SUM($G18:Q18)</f>
        <v>1043400000</v>
      </c>
      <c r="S18" s="11"/>
      <c r="T18" s="11"/>
      <c r="U18" s="11"/>
      <c r="V18" s="11"/>
      <c r="W18" s="11"/>
      <c r="X18" s="12"/>
    </row>
    <row r="19" spans="2:25" x14ac:dyDescent="0.35">
      <c r="C19" t="s">
        <v>127</v>
      </c>
      <c r="G19" s="11"/>
      <c r="H19" s="45">
        <v>150000000</v>
      </c>
      <c r="I19" s="76">
        <f>H19</f>
        <v>150000000</v>
      </c>
      <c r="J19" s="76">
        <f t="shared" si="1"/>
        <v>150000000</v>
      </c>
      <c r="K19" s="76">
        <f t="shared" si="1"/>
        <v>150000000</v>
      </c>
      <c r="L19" s="76">
        <f t="shared" si="1"/>
        <v>150000000</v>
      </c>
      <c r="M19" s="45">
        <f>$K$4*0</f>
        <v>0</v>
      </c>
      <c r="N19" s="45">
        <f>$K$4*0</f>
        <v>0</v>
      </c>
      <c r="O19" s="45">
        <f>$K$4*0</f>
        <v>0</v>
      </c>
      <c r="P19" s="45">
        <f>$K$4*(1-$L$4)*0</f>
        <v>0</v>
      </c>
      <c r="Q19" s="45">
        <f>$K$4*(1-$L$4)*0</f>
        <v>0</v>
      </c>
      <c r="R19" s="137">
        <f>SUM($G19:Q19)</f>
        <v>750000000</v>
      </c>
      <c r="S19" s="11"/>
      <c r="T19" s="11"/>
      <c r="U19" s="11"/>
      <c r="V19" s="11"/>
      <c r="W19" s="11"/>
      <c r="X19" s="12"/>
    </row>
    <row r="20" spans="2:25" x14ac:dyDescent="0.35">
      <c r="B20" s="43" t="s">
        <v>195</v>
      </c>
      <c r="C20" s="43"/>
      <c r="D20" s="43"/>
      <c r="E20" s="236"/>
      <c r="F20" s="237"/>
      <c r="G20" s="44">
        <f t="shared" ref="G20:R20" si="2">SUM(G18:G19)</f>
        <v>0</v>
      </c>
      <c r="H20" s="44">
        <f t="shared" si="2"/>
        <v>372000000</v>
      </c>
      <c r="I20" s="44">
        <f t="shared" si="2"/>
        <v>372000000</v>
      </c>
      <c r="J20" s="44">
        <f t="shared" si="2"/>
        <v>349800000</v>
      </c>
      <c r="K20" s="44">
        <f t="shared" si="2"/>
        <v>349800000</v>
      </c>
      <c r="L20" s="44">
        <f t="shared" si="2"/>
        <v>349800000</v>
      </c>
      <c r="M20" s="44">
        <f t="shared" si="2"/>
        <v>0</v>
      </c>
      <c r="N20" s="44">
        <f t="shared" si="2"/>
        <v>0</v>
      </c>
      <c r="O20" s="44">
        <f t="shared" si="2"/>
        <v>0</v>
      </c>
      <c r="P20" s="44">
        <f t="shared" si="2"/>
        <v>0</v>
      </c>
      <c r="Q20" s="44">
        <f t="shared" si="2"/>
        <v>0</v>
      </c>
      <c r="R20" s="140">
        <f t="shared" si="2"/>
        <v>1793400000</v>
      </c>
      <c r="S20" s="138">
        <f>SUM(G20:Q20)-R20</f>
        <v>0</v>
      </c>
      <c r="T20" s="138"/>
      <c r="U20" s="138"/>
      <c r="V20" s="138"/>
      <c r="W20" s="138"/>
      <c r="X20" s="138"/>
      <c r="Y20" s="3"/>
    </row>
    <row r="21" spans="2:25" x14ac:dyDescent="0.35">
      <c r="B21" s="1" t="s">
        <v>13</v>
      </c>
      <c r="E21" s="15"/>
      <c r="F21" s="15"/>
      <c r="G21" s="16"/>
      <c r="H21" s="15"/>
      <c r="I21" s="180"/>
      <c r="J21" s="180"/>
      <c r="K21" s="180"/>
      <c r="L21" s="180"/>
      <c r="M21" s="180"/>
      <c r="N21" s="180"/>
      <c r="O21" s="180"/>
      <c r="P21" s="180"/>
      <c r="Q21" s="180"/>
      <c r="R21" s="181"/>
      <c r="S21" s="182"/>
      <c r="T21" s="182"/>
      <c r="U21" s="182"/>
      <c r="V21" s="182"/>
      <c r="W21" s="182"/>
      <c r="X21" s="3"/>
      <c r="Y21" s="3"/>
    </row>
    <row r="22" spans="2:25" x14ac:dyDescent="0.35">
      <c r="C22" t="s">
        <v>124</v>
      </c>
      <c r="G22" s="11"/>
      <c r="H22" s="11">
        <f>50000000*5</f>
        <v>250000000</v>
      </c>
      <c r="I22" s="11"/>
      <c r="J22" s="11"/>
      <c r="K22" s="11"/>
      <c r="L22" s="11"/>
      <c r="M22" s="11">
        <f>800000000*10%*0</f>
        <v>0</v>
      </c>
      <c r="N22" s="11">
        <f>800000000*30%*0</f>
        <v>0</v>
      </c>
      <c r="O22" s="11">
        <f>800000000*20%*0</f>
        <v>0</v>
      </c>
      <c r="P22" s="11">
        <f t="shared" ref="P22:Q22" si="3">O22</f>
        <v>0</v>
      </c>
      <c r="Q22" s="11">
        <f t="shared" si="3"/>
        <v>0</v>
      </c>
      <c r="R22" s="137">
        <f>SUM($G22:Q22)</f>
        <v>250000000</v>
      </c>
      <c r="S22" s="138"/>
      <c r="T22" s="138"/>
      <c r="U22" s="138"/>
      <c r="V22" s="138"/>
      <c r="W22" s="138"/>
      <c r="X22" s="139"/>
      <c r="Y22" s="3"/>
    </row>
    <row r="23" spans="2:25" x14ac:dyDescent="0.35">
      <c r="C23" t="s">
        <v>14</v>
      </c>
      <c r="G23" s="11"/>
      <c r="H23" s="11">
        <v>65000000</v>
      </c>
      <c r="I23" s="11">
        <f t="shared" ref="I23:L24" si="4">H23</f>
        <v>65000000</v>
      </c>
      <c r="J23" s="11">
        <f t="shared" si="4"/>
        <v>65000000</v>
      </c>
      <c r="K23" s="11">
        <f t="shared" si="4"/>
        <v>65000000</v>
      </c>
      <c r="L23" s="11">
        <f t="shared" si="4"/>
        <v>65000000</v>
      </c>
      <c r="M23" s="11">
        <f>200000000*0.5*0</f>
        <v>0</v>
      </c>
      <c r="N23" s="11">
        <f>200000000*0.5*0</f>
        <v>0</v>
      </c>
      <c r="O23" s="11">
        <f>200000000*0.5*0</f>
        <v>0</v>
      </c>
      <c r="P23" s="11">
        <f>200000000*0.5*0</f>
        <v>0</v>
      </c>
      <c r="Q23" s="11">
        <f>200000000*0.5*0</f>
        <v>0</v>
      </c>
      <c r="R23" s="137">
        <f>SUM($G23:Q23)</f>
        <v>325000000</v>
      </c>
      <c r="S23" s="138"/>
      <c r="T23" s="138"/>
      <c r="U23" s="138"/>
      <c r="V23" s="138"/>
      <c r="W23" s="138"/>
      <c r="X23" s="139"/>
      <c r="Y23" s="3"/>
    </row>
    <row r="24" spans="2:25" x14ac:dyDescent="0.35">
      <c r="C24" t="s">
        <v>196</v>
      </c>
      <c r="G24" s="58"/>
      <c r="H24" s="58">
        <f>PARAMETER!K40+PARAMETER!B47+PARAMETER!B57*2</f>
        <v>39620000</v>
      </c>
      <c r="I24" s="58">
        <f t="shared" si="4"/>
        <v>39620000</v>
      </c>
      <c r="J24" s="58">
        <f t="shared" si="4"/>
        <v>39620000</v>
      </c>
      <c r="K24" s="58">
        <f t="shared" si="4"/>
        <v>39620000</v>
      </c>
      <c r="L24" s="58">
        <f t="shared" si="4"/>
        <v>39620000</v>
      </c>
      <c r="M24" s="58"/>
      <c r="N24" s="58"/>
      <c r="O24" s="58"/>
      <c r="P24" s="58"/>
      <c r="Q24" s="58"/>
      <c r="R24" s="137">
        <f>SUM($G24:Q24)</f>
        <v>198100000</v>
      </c>
      <c r="S24" s="138"/>
      <c r="T24" s="138"/>
      <c r="U24" s="138"/>
      <c r="V24" s="138"/>
      <c r="W24" s="138"/>
      <c r="X24" s="139"/>
      <c r="Y24" s="3"/>
    </row>
    <row r="25" spans="2:25" x14ac:dyDescent="0.35">
      <c r="B25" s="13"/>
      <c r="C25" s="13" t="s">
        <v>197</v>
      </c>
      <c r="D25" s="13"/>
      <c r="E25" s="13"/>
      <c r="F25" s="141">
        <f>H25/K20</f>
        <v>5.3173241852487133E-2</v>
      </c>
      <c r="G25" s="17">
        <f>$F$5*G20</f>
        <v>0</v>
      </c>
      <c r="H25" s="17">
        <f>H20*$F$5</f>
        <v>18600000</v>
      </c>
      <c r="I25" s="17">
        <f>I20*$F$5</f>
        <v>18600000</v>
      </c>
      <c r="J25" s="17">
        <f>J20*$F$5</f>
        <v>17490000</v>
      </c>
      <c r="K25" s="17">
        <f>K20*$F$5</f>
        <v>17490000</v>
      </c>
      <c r="L25" s="17">
        <f>L20*$F$5</f>
        <v>17490000</v>
      </c>
      <c r="M25" s="17">
        <f>[75]PARAMETER!G10*0</f>
        <v>0</v>
      </c>
      <c r="N25" s="17">
        <f>[75]PARAMETER!H10*0</f>
        <v>0</v>
      </c>
      <c r="O25" s="17">
        <f>[75]PARAMETER!I10*0</f>
        <v>0</v>
      </c>
      <c r="P25" s="17">
        <f>[75]PARAMETER!J10*0</f>
        <v>0</v>
      </c>
      <c r="Q25" s="17">
        <f>[75]PARAMETER!K10*0</f>
        <v>0</v>
      </c>
      <c r="R25" s="137">
        <f>SUM($G25:Q25)</f>
        <v>89670000</v>
      </c>
      <c r="S25" s="34"/>
      <c r="T25" s="34"/>
      <c r="U25" s="34"/>
      <c r="V25" s="34"/>
      <c r="W25" s="34"/>
      <c r="X25" s="139"/>
      <c r="Y25" s="3"/>
    </row>
    <row r="26" spans="2:25" s="1" customFormat="1" x14ac:dyDescent="0.35">
      <c r="B26" s="43" t="s">
        <v>15</v>
      </c>
      <c r="C26" s="43"/>
      <c r="D26" s="43"/>
      <c r="E26" s="43"/>
      <c r="F26" s="43"/>
      <c r="G26" s="44">
        <f>SUM(G22:G25)</f>
        <v>0</v>
      </c>
      <c r="H26" s="44">
        <f>SUM(H22:H25)</f>
        <v>373220000</v>
      </c>
      <c r="I26" s="44">
        <f t="shared" ref="I26:Q26" si="5">SUM(I22:I25)</f>
        <v>123220000</v>
      </c>
      <c r="J26" s="44">
        <f t="shared" si="5"/>
        <v>122110000</v>
      </c>
      <c r="K26" s="44">
        <f t="shared" si="5"/>
        <v>122110000</v>
      </c>
      <c r="L26" s="44">
        <f t="shared" si="5"/>
        <v>122110000</v>
      </c>
      <c r="M26" s="44">
        <f t="shared" si="5"/>
        <v>0</v>
      </c>
      <c r="N26" s="44">
        <f t="shared" si="5"/>
        <v>0</v>
      </c>
      <c r="O26" s="44">
        <f t="shared" si="5"/>
        <v>0</v>
      </c>
      <c r="P26" s="44">
        <f t="shared" si="5"/>
        <v>0</v>
      </c>
      <c r="Q26" s="44">
        <f t="shared" si="5"/>
        <v>0</v>
      </c>
      <c r="R26" s="142">
        <f>SUM(R22:R25)</f>
        <v>862770000</v>
      </c>
      <c r="S26" s="138">
        <f>SUM(G26:Q26)-R26</f>
        <v>0</v>
      </c>
      <c r="T26" s="143"/>
      <c r="U26" s="143"/>
      <c r="V26" s="143"/>
      <c r="W26" s="143"/>
      <c r="X26" s="143"/>
      <c r="Y26" s="114"/>
    </row>
    <row r="27" spans="2:25" s="1" customFormat="1" x14ac:dyDescent="0.35">
      <c r="B27" s="1" t="s">
        <v>16</v>
      </c>
      <c r="G27" s="18">
        <f t="shared" ref="G27:R27" si="6">G20-G26</f>
        <v>0</v>
      </c>
      <c r="H27" s="18">
        <f t="shared" si="6"/>
        <v>-1220000</v>
      </c>
      <c r="I27" s="18">
        <f t="shared" si="6"/>
        <v>248780000</v>
      </c>
      <c r="J27" s="18">
        <f t="shared" si="6"/>
        <v>227690000</v>
      </c>
      <c r="K27" s="18">
        <f t="shared" si="6"/>
        <v>227690000</v>
      </c>
      <c r="L27" s="18">
        <f t="shared" si="6"/>
        <v>227690000</v>
      </c>
      <c r="M27" s="18">
        <f t="shared" si="6"/>
        <v>0</v>
      </c>
      <c r="N27" s="18">
        <f t="shared" si="6"/>
        <v>0</v>
      </c>
      <c r="O27" s="18">
        <f t="shared" si="6"/>
        <v>0</v>
      </c>
      <c r="P27" s="18">
        <f t="shared" si="6"/>
        <v>0</v>
      </c>
      <c r="Q27" s="18">
        <f t="shared" si="6"/>
        <v>0</v>
      </c>
      <c r="R27" s="144">
        <f t="shared" si="6"/>
        <v>930630000</v>
      </c>
      <c r="S27" s="138">
        <f>SUM(G27:Q27)-R27</f>
        <v>0</v>
      </c>
      <c r="T27" s="143"/>
      <c r="U27" s="143"/>
      <c r="V27" s="143"/>
      <c r="W27" s="143"/>
      <c r="X27" s="143"/>
      <c r="Y27" s="114"/>
    </row>
    <row r="28" spans="2:25" s="1" customFormat="1" x14ac:dyDescent="0.35">
      <c r="B28" s="19" t="s">
        <v>17</v>
      </c>
      <c r="C28" s="20"/>
      <c r="D28" s="20"/>
      <c r="E28" s="20"/>
      <c r="F28" s="20"/>
      <c r="G28" s="21"/>
      <c r="H28" s="21">
        <f t="shared" ref="H28:R28" si="7">H27/H20</f>
        <v>-3.2795698924731184E-3</v>
      </c>
      <c r="I28" s="21">
        <f t="shared" si="7"/>
        <v>0.66876344086021511</v>
      </c>
      <c r="J28" s="21">
        <f t="shared" si="7"/>
        <v>0.65091480846197824</v>
      </c>
      <c r="K28" s="21">
        <f t="shared" si="7"/>
        <v>0.65091480846197824</v>
      </c>
      <c r="L28" s="21">
        <f t="shared" si="7"/>
        <v>0.65091480846197824</v>
      </c>
      <c r="M28" s="21" t="e">
        <f t="shared" si="7"/>
        <v>#DIV/0!</v>
      </c>
      <c r="N28" s="21" t="e">
        <f t="shared" si="7"/>
        <v>#DIV/0!</v>
      </c>
      <c r="O28" s="21" t="e">
        <f t="shared" si="7"/>
        <v>#DIV/0!</v>
      </c>
      <c r="P28" s="21" t="e">
        <f t="shared" si="7"/>
        <v>#DIV/0!</v>
      </c>
      <c r="Q28" s="21" t="e">
        <f t="shared" si="7"/>
        <v>#DIV/0!</v>
      </c>
      <c r="R28" s="145">
        <f t="shared" si="7"/>
        <v>0.5189193710270994</v>
      </c>
      <c r="S28" s="35"/>
      <c r="T28" s="35"/>
      <c r="U28" s="35"/>
      <c r="V28" s="35"/>
      <c r="W28" s="35"/>
      <c r="X28" s="35"/>
      <c r="Y28" s="114"/>
    </row>
    <row r="29" spans="2:25" x14ac:dyDescent="0.35">
      <c r="B29" s="13" t="s">
        <v>18</v>
      </c>
      <c r="C29" s="13"/>
      <c r="D29" s="13"/>
      <c r="E29" s="13"/>
      <c r="F29" s="13"/>
      <c r="G29" s="14"/>
      <c r="H29" s="14">
        <f>H57</f>
        <v>28162647.074999999</v>
      </c>
      <c r="I29" s="14">
        <f t="shared" ref="I29:L29" si="8">I57</f>
        <v>28162647.074999999</v>
      </c>
      <c r="J29" s="14">
        <f t="shared" si="8"/>
        <v>28162647.074999999</v>
      </c>
      <c r="K29" s="14">
        <f t="shared" si="8"/>
        <v>28162647.074999999</v>
      </c>
      <c r="L29" s="14">
        <f t="shared" si="8"/>
        <v>28162647.074999999</v>
      </c>
      <c r="M29" s="14">
        <f>M57*0</f>
        <v>0</v>
      </c>
      <c r="N29" s="14">
        <f>N57*0</f>
        <v>0</v>
      </c>
      <c r="O29" s="14">
        <f>O57*0</f>
        <v>0</v>
      </c>
      <c r="P29" s="14">
        <f>P57*0</f>
        <v>0</v>
      </c>
      <c r="Q29" s="14">
        <f>Q57*0</f>
        <v>0</v>
      </c>
      <c r="R29" s="130">
        <f>SUM($G29:Q29)</f>
        <v>140813235.375</v>
      </c>
      <c r="S29" s="138"/>
      <c r="T29" s="138"/>
      <c r="U29" s="138"/>
      <c r="V29" s="138"/>
      <c r="W29" s="138"/>
      <c r="X29" s="138"/>
      <c r="Y29" s="3"/>
    </row>
    <row r="30" spans="2:25" x14ac:dyDescent="0.35">
      <c r="B30" t="s">
        <v>19</v>
      </c>
      <c r="G30" s="22">
        <f t="shared" ref="G30:R30" si="9">G27-G29</f>
        <v>0</v>
      </c>
      <c r="H30" s="22">
        <f t="shared" si="9"/>
        <v>-29382647.074999999</v>
      </c>
      <c r="I30" s="22">
        <f t="shared" si="9"/>
        <v>220617352.92500001</v>
      </c>
      <c r="J30" s="22">
        <f t="shared" si="9"/>
        <v>199527352.92500001</v>
      </c>
      <c r="K30" s="22">
        <f t="shared" si="9"/>
        <v>199527352.92500001</v>
      </c>
      <c r="L30" s="22">
        <f t="shared" si="9"/>
        <v>199527352.92500001</v>
      </c>
      <c r="M30" s="22">
        <f t="shared" si="9"/>
        <v>0</v>
      </c>
      <c r="N30" s="22">
        <f t="shared" si="9"/>
        <v>0</v>
      </c>
      <c r="O30" s="22">
        <f t="shared" si="9"/>
        <v>0</v>
      </c>
      <c r="P30" s="22">
        <f t="shared" si="9"/>
        <v>0</v>
      </c>
      <c r="Q30" s="22">
        <f t="shared" si="9"/>
        <v>0</v>
      </c>
      <c r="R30" s="146">
        <f t="shared" si="9"/>
        <v>789816764.625</v>
      </c>
      <c r="S30" s="138">
        <f>SUM(G30:Q30)-R30</f>
        <v>0</v>
      </c>
      <c r="T30" s="147"/>
      <c r="U30" s="147"/>
      <c r="V30" s="147"/>
      <c r="W30" s="147"/>
      <c r="X30" s="147"/>
      <c r="Y30" s="3"/>
    </row>
    <row r="31" spans="2:25" x14ac:dyDescent="0.35">
      <c r="B31" s="13" t="s">
        <v>32</v>
      </c>
      <c r="C31" s="13"/>
      <c r="D31" s="13"/>
      <c r="E31" s="13"/>
      <c r="F31" s="13"/>
      <c r="G31" s="14"/>
      <c r="H31" s="14">
        <f>PARAMETER!L24</f>
        <v>711674.2</v>
      </c>
      <c r="I31" s="14">
        <f>PARAMETER!M24</f>
        <v>94140</v>
      </c>
      <c r="J31" s="14"/>
      <c r="K31" s="14"/>
      <c r="L31" s="14"/>
      <c r="M31" s="14">
        <f>[75]PARAMETER!G$5*0</f>
        <v>0</v>
      </c>
      <c r="N31" s="14"/>
      <c r="O31" s="14"/>
      <c r="P31" s="14"/>
      <c r="Q31" s="14"/>
      <c r="R31" s="130">
        <f>SUM($G31:Q31)</f>
        <v>805814.2</v>
      </c>
      <c r="S31" s="138"/>
      <c r="T31" s="138"/>
      <c r="U31" s="138"/>
      <c r="V31" s="138"/>
      <c r="W31" s="138"/>
      <c r="X31" s="138"/>
      <c r="Y31" s="3"/>
    </row>
    <row r="32" spans="2:25" x14ac:dyDescent="0.35">
      <c r="B32" t="s">
        <v>33</v>
      </c>
      <c r="G32" s="46">
        <f t="shared" ref="G32:Q32" si="10">G30-G31</f>
        <v>0</v>
      </c>
      <c r="H32" s="46">
        <f t="shared" si="10"/>
        <v>-30094321.274999999</v>
      </c>
      <c r="I32" s="46">
        <f t="shared" si="10"/>
        <v>220523212.92500001</v>
      </c>
      <c r="J32" s="46">
        <f t="shared" si="10"/>
        <v>199527352.92500001</v>
      </c>
      <c r="K32" s="46">
        <f t="shared" si="10"/>
        <v>199527352.92500001</v>
      </c>
      <c r="L32" s="46">
        <f t="shared" si="10"/>
        <v>199527352.92500001</v>
      </c>
      <c r="M32" s="46">
        <f t="shared" si="10"/>
        <v>0</v>
      </c>
      <c r="N32" s="46">
        <f t="shared" si="10"/>
        <v>0</v>
      </c>
      <c r="O32" s="46">
        <f t="shared" si="10"/>
        <v>0</v>
      </c>
      <c r="P32" s="46">
        <f t="shared" si="10"/>
        <v>0</v>
      </c>
      <c r="Q32" s="46">
        <f t="shared" si="10"/>
        <v>0</v>
      </c>
      <c r="R32" s="137">
        <f>SUM($G32:Q32)</f>
        <v>789010950.42499995</v>
      </c>
      <c r="S32" s="138">
        <f>SUM(G32:Q32)-R32</f>
        <v>0</v>
      </c>
      <c r="T32" s="147"/>
      <c r="U32" s="147"/>
      <c r="V32" s="147"/>
      <c r="W32" s="147"/>
      <c r="X32" s="147"/>
      <c r="Y32" s="3"/>
    </row>
    <row r="33" spans="2:25" x14ac:dyDescent="0.35">
      <c r="B33" s="13" t="s">
        <v>20</v>
      </c>
      <c r="C33" s="13"/>
      <c r="D33" s="13"/>
      <c r="E33" s="13"/>
      <c r="F33" s="13"/>
      <c r="G33" s="148">
        <f>IF(G32&lt;0,0,G32*$F$3)</f>
        <v>0</v>
      </c>
      <c r="H33" s="148">
        <f t="shared" ref="H33:Q33" si="11">IF(H32&lt;0,0,H32*$F$3)</f>
        <v>0</v>
      </c>
      <c r="I33" s="148">
        <f>IF(I32&lt;0,0,I32*$F$3)</f>
        <v>4410464.2585000005</v>
      </c>
      <c r="J33" s="148">
        <f t="shared" si="11"/>
        <v>3990547.0585000003</v>
      </c>
      <c r="K33" s="148">
        <f t="shared" si="11"/>
        <v>3990547.0585000003</v>
      </c>
      <c r="L33" s="148">
        <f t="shared" si="11"/>
        <v>3990547.0585000003</v>
      </c>
      <c r="M33" s="148">
        <f t="shared" si="11"/>
        <v>0</v>
      </c>
      <c r="N33" s="148">
        <f t="shared" si="11"/>
        <v>0</v>
      </c>
      <c r="O33" s="148">
        <f t="shared" si="11"/>
        <v>0</v>
      </c>
      <c r="P33" s="148">
        <f t="shared" si="11"/>
        <v>0</v>
      </c>
      <c r="Q33" s="148">
        <f t="shared" si="11"/>
        <v>0</v>
      </c>
      <c r="R33" s="137">
        <f>SUM($G33:Q33)</f>
        <v>16382105.434</v>
      </c>
      <c r="S33" s="36"/>
      <c r="T33" s="36"/>
      <c r="U33" s="36"/>
      <c r="V33" s="36"/>
      <c r="W33" s="36"/>
      <c r="X33" s="149"/>
      <c r="Y33" s="3"/>
    </row>
    <row r="34" spans="2:25" ht="16" thickBot="1" x14ac:dyDescent="0.4">
      <c r="B34" s="24" t="s">
        <v>46</v>
      </c>
      <c r="C34" s="24"/>
      <c r="D34" s="24"/>
      <c r="E34" s="24"/>
      <c r="F34" s="24"/>
      <c r="G34" s="150">
        <f>G32-G33</f>
        <v>0</v>
      </c>
      <c r="H34" s="150">
        <f t="shared" ref="H34:Q34" si="12">H32-H33</f>
        <v>-30094321.274999999</v>
      </c>
      <c r="I34" s="150">
        <f t="shared" si="12"/>
        <v>216112748.6665</v>
      </c>
      <c r="J34" s="150">
        <f t="shared" si="12"/>
        <v>195536805.86650002</v>
      </c>
      <c r="K34" s="150">
        <f t="shared" si="12"/>
        <v>195536805.86650002</v>
      </c>
      <c r="L34" s="150">
        <f t="shared" si="12"/>
        <v>195536805.86650002</v>
      </c>
      <c r="M34" s="150">
        <f t="shared" si="12"/>
        <v>0</v>
      </c>
      <c r="N34" s="150">
        <f t="shared" si="12"/>
        <v>0</v>
      </c>
      <c r="O34" s="150">
        <f t="shared" si="12"/>
        <v>0</v>
      </c>
      <c r="P34" s="150">
        <f t="shared" si="12"/>
        <v>0</v>
      </c>
      <c r="Q34" s="150">
        <f t="shared" si="12"/>
        <v>0</v>
      </c>
      <c r="R34" s="151">
        <f>R32-R33</f>
        <v>772628844.99099994</v>
      </c>
      <c r="S34" s="138">
        <f>SUM(G34:Q34)-R34</f>
        <v>0</v>
      </c>
      <c r="T34" s="147"/>
      <c r="U34" s="147"/>
      <c r="V34" s="147"/>
      <c r="W34" s="147"/>
      <c r="X34" s="147"/>
      <c r="Y34" s="3"/>
    </row>
    <row r="35" spans="2:25" x14ac:dyDescent="0.35">
      <c r="R35" s="133"/>
      <c r="S35" s="3"/>
      <c r="T35" s="3"/>
      <c r="U35" s="3"/>
      <c r="V35" s="3"/>
      <c r="W35" s="3"/>
      <c r="X35" s="3"/>
      <c r="Y35" s="3"/>
    </row>
    <row r="36" spans="2:25" x14ac:dyDescent="0.35">
      <c r="B36" s="13" t="s">
        <v>21</v>
      </c>
      <c r="C36" s="13"/>
      <c r="D36" s="13"/>
      <c r="E36" s="13"/>
      <c r="F36" s="152"/>
      <c r="G36" s="152">
        <f>-G12+-G13</f>
        <v>-140813235.375</v>
      </c>
      <c r="H36" s="152">
        <f t="shared" ref="H36:Q36" si="13">-H13</f>
        <v>0</v>
      </c>
      <c r="I36" s="152">
        <f t="shared" si="13"/>
        <v>0</v>
      </c>
      <c r="J36" s="152">
        <f t="shared" si="13"/>
        <v>0</v>
      </c>
      <c r="K36" s="152">
        <f t="shared" si="13"/>
        <v>0</v>
      </c>
      <c r="L36" s="152">
        <f t="shared" si="13"/>
        <v>0</v>
      </c>
      <c r="M36" s="152">
        <f t="shared" si="13"/>
        <v>0</v>
      </c>
      <c r="N36" s="152">
        <f t="shared" si="13"/>
        <v>0</v>
      </c>
      <c r="O36" s="152">
        <f t="shared" si="13"/>
        <v>0</v>
      </c>
      <c r="P36" s="152">
        <f t="shared" si="13"/>
        <v>0</v>
      </c>
      <c r="Q36" s="152">
        <f t="shared" si="13"/>
        <v>0</v>
      </c>
      <c r="R36" s="183">
        <f>SUM($G$36:Q36)</f>
        <v>-140813235.375</v>
      </c>
      <c r="S36" s="149"/>
      <c r="T36" s="149"/>
      <c r="U36" s="149"/>
      <c r="V36" s="149"/>
      <c r="W36" s="149"/>
      <c r="X36" s="149"/>
      <c r="Y36" s="3"/>
    </row>
    <row r="37" spans="2:25" x14ac:dyDescent="0.35">
      <c r="B37" t="s">
        <v>22</v>
      </c>
      <c r="F37" s="23"/>
      <c r="G37" s="23">
        <f t="shared" ref="G37:Q37" si="14">G36+G34+G29</f>
        <v>-140813235.375</v>
      </c>
      <c r="H37" s="23">
        <f t="shared" si="14"/>
        <v>-1931674.1999999993</v>
      </c>
      <c r="I37" s="23">
        <f t="shared" si="14"/>
        <v>244275395.74149999</v>
      </c>
      <c r="J37" s="23">
        <f t="shared" si="14"/>
        <v>223699452.94150001</v>
      </c>
      <c r="K37" s="23">
        <f t="shared" si="14"/>
        <v>223699452.94150001</v>
      </c>
      <c r="L37" s="23">
        <f t="shared" si="14"/>
        <v>223699452.94150001</v>
      </c>
      <c r="M37" s="23">
        <f t="shared" si="14"/>
        <v>0</v>
      </c>
      <c r="N37" s="23">
        <f t="shared" si="14"/>
        <v>0</v>
      </c>
      <c r="O37" s="23">
        <f t="shared" si="14"/>
        <v>0</v>
      </c>
      <c r="P37" s="23">
        <f t="shared" si="14"/>
        <v>0</v>
      </c>
      <c r="Q37" s="23">
        <f t="shared" si="14"/>
        <v>0</v>
      </c>
      <c r="R37" s="153">
        <f>SUM($G$37:Q37)</f>
        <v>772628844.99099994</v>
      </c>
      <c r="S37" s="149"/>
      <c r="T37" s="149"/>
      <c r="U37" s="149"/>
      <c r="V37" s="149"/>
      <c r="W37" s="149"/>
      <c r="X37" s="149"/>
      <c r="Y37" s="3"/>
    </row>
    <row r="38" spans="2:25" x14ac:dyDescent="0.35">
      <c r="B38" t="s">
        <v>23</v>
      </c>
      <c r="F38" s="23"/>
      <c r="G38" s="23">
        <f>F38+G37</f>
        <v>-140813235.375</v>
      </c>
      <c r="H38" s="23">
        <f>G38+H37</f>
        <v>-142744909.57499999</v>
      </c>
      <c r="I38" s="23">
        <f t="shared" ref="I38:Q38" si="15">H38+I37</f>
        <v>101530486.1665</v>
      </c>
      <c r="J38" s="23">
        <f t="shared" si="15"/>
        <v>325229939.10800004</v>
      </c>
      <c r="K38" s="23">
        <f t="shared" si="15"/>
        <v>548929392.04949999</v>
      </c>
      <c r="L38" s="23">
        <f t="shared" si="15"/>
        <v>772628844.99099994</v>
      </c>
      <c r="M38" s="23">
        <f>(L38+M37)*0</f>
        <v>0</v>
      </c>
      <c r="N38" s="23">
        <f t="shared" si="15"/>
        <v>0</v>
      </c>
      <c r="O38" s="23">
        <f t="shared" si="15"/>
        <v>0</v>
      </c>
      <c r="P38" s="23">
        <f t="shared" si="15"/>
        <v>0</v>
      </c>
      <c r="Q38" s="23">
        <f t="shared" si="15"/>
        <v>0</v>
      </c>
      <c r="R38" s="153"/>
      <c r="S38" s="149"/>
      <c r="T38" s="149"/>
      <c r="U38" s="149"/>
      <c r="V38" s="149"/>
      <c r="W38" s="149"/>
      <c r="X38" s="149"/>
      <c r="Y38" s="3"/>
    </row>
    <row r="39" spans="2:25" x14ac:dyDescent="0.35">
      <c r="B39" t="s">
        <v>24</v>
      </c>
      <c r="F39" s="23"/>
      <c r="G39" s="184">
        <f>IF(AND(F38&lt;0,G38&gt;0),H45-(G38/G37),0)</f>
        <v>0</v>
      </c>
      <c r="H39" s="184">
        <f>IF(AND(G38&lt;0,H38&gt;0),H45-(H38/H37),0)</f>
        <v>0</v>
      </c>
      <c r="I39" s="184">
        <f>IF(AND(H38&lt;0,I38&gt;0),I45-(I38/I37),0)</f>
        <v>1.5843605703378216</v>
      </c>
      <c r="J39" s="184">
        <f>IF(AND(I38&lt;0,J38&gt;0),J45-(J38/J37),0)</f>
        <v>0</v>
      </c>
      <c r="K39" s="185">
        <f>IF(AND(J38&lt;0,K38&gt;0),K45-(K38/K37),0)</f>
        <v>0</v>
      </c>
      <c r="L39" s="184">
        <f>IF(AND(K38&lt;0,L38&gt;0),L45-(L38/L37),0)</f>
        <v>0</v>
      </c>
      <c r="M39" s="184">
        <f>IF(AND(L38&lt;0,M38&gt;0),N45-(M38/M37),0)</f>
        <v>0</v>
      </c>
      <c r="N39" s="184">
        <f>IF(AND(M38&lt;0,N38&gt;0),O45-(N38/N37),0)</f>
        <v>0</v>
      </c>
      <c r="O39" s="184">
        <f>IF(AND(N38&lt;0,O38&gt;0),P45-(O38/O37),0)</f>
        <v>0</v>
      </c>
      <c r="P39" s="184"/>
      <c r="Q39" s="184">
        <f>IF(AND(O38&lt;0,Q38&gt;0),R45-(Q38/Q37),0)</f>
        <v>0</v>
      </c>
      <c r="R39" s="186"/>
      <c r="S39" s="184"/>
      <c r="T39" s="184"/>
      <c r="U39" s="184"/>
      <c r="V39" s="184"/>
      <c r="W39" s="184"/>
      <c r="X39" s="184"/>
    </row>
    <row r="40" spans="2:25" s="154" customFormat="1" x14ac:dyDescent="0.35">
      <c r="F40" s="155"/>
      <c r="G40" s="187"/>
      <c r="H40" s="187"/>
      <c r="I40" s="187"/>
      <c r="J40" s="187"/>
      <c r="K40" s="188"/>
      <c r="L40" s="187"/>
      <c r="M40" s="187"/>
      <c r="N40" s="187"/>
      <c r="O40" s="187"/>
      <c r="P40" s="187"/>
      <c r="Q40" s="187"/>
      <c r="R40" s="189"/>
      <c r="S40" s="187"/>
      <c r="T40" s="187"/>
      <c r="U40" s="187"/>
      <c r="V40" s="187"/>
      <c r="W40" s="187"/>
      <c r="X40" s="187"/>
    </row>
    <row r="41" spans="2:25" x14ac:dyDescent="0.35">
      <c r="B41" s="37" t="s">
        <v>25</v>
      </c>
      <c r="C41" s="38"/>
      <c r="D41" s="38"/>
      <c r="E41" s="38"/>
      <c r="F41" s="156">
        <f>IRR(G37:Q37)</f>
        <v>0.82262398637919931</v>
      </c>
      <c r="R41" s="121"/>
    </row>
    <row r="42" spans="2:25" x14ac:dyDescent="0.35">
      <c r="B42" s="39" t="s">
        <v>26</v>
      </c>
      <c r="C42" s="50"/>
      <c r="D42" s="50"/>
      <c r="E42" s="50"/>
      <c r="F42" s="157">
        <f>NPV(F4,H37:Q37)+G37</f>
        <v>519069396.07223177</v>
      </c>
      <c r="H42" s="51"/>
      <c r="I42" s="12"/>
      <c r="R42" s="121"/>
    </row>
    <row r="43" spans="2:25" x14ac:dyDescent="0.35">
      <c r="B43" s="39" t="s">
        <v>27</v>
      </c>
      <c r="C43" s="50"/>
      <c r="D43" s="50"/>
      <c r="E43" s="50"/>
      <c r="F43" s="40">
        <f>R28</f>
        <v>0.5189193710270994</v>
      </c>
      <c r="H43" s="45"/>
      <c r="R43" s="121"/>
    </row>
    <row r="44" spans="2:25" x14ac:dyDescent="0.35">
      <c r="B44" s="41" t="s">
        <v>28</v>
      </c>
      <c r="C44" s="42"/>
      <c r="D44" s="42"/>
      <c r="E44" s="42"/>
      <c r="F44" s="190">
        <f>SUM(G39:Q39)</f>
        <v>1.5843605703378216</v>
      </c>
      <c r="R44" s="121"/>
    </row>
    <row r="45" spans="2:25" x14ac:dyDescent="0.35">
      <c r="G45"/>
      <c r="H45" s="8">
        <v>1</v>
      </c>
      <c r="I45" s="25">
        <v>2</v>
      </c>
      <c r="J45" s="8">
        <v>3</v>
      </c>
      <c r="K45" s="25">
        <v>4</v>
      </c>
      <c r="L45" s="8">
        <v>5</v>
      </c>
      <c r="M45" s="25">
        <v>6</v>
      </c>
      <c r="N45" s="8">
        <v>7</v>
      </c>
      <c r="O45" s="25">
        <v>8</v>
      </c>
      <c r="P45" s="8">
        <v>9</v>
      </c>
      <c r="Q45" s="8">
        <v>10</v>
      </c>
      <c r="R45" s="121"/>
      <c r="S45" s="25"/>
      <c r="T45" s="8"/>
      <c r="U45" s="25"/>
      <c r="V45" s="8"/>
      <c r="W45" s="25"/>
      <c r="X45" s="8"/>
    </row>
    <row r="46" spans="2:25" ht="16" thickBot="1" x14ac:dyDescent="0.4">
      <c r="B46" s="26" t="s">
        <v>29</v>
      </c>
      <c r="E46" s="27" t="s">
        <v>30</v>
      </c>
      <c r="G46"/>
      <c r="H46" s="27">
        <f t="shared" ref="H46:Q46" si="16">H14</f>
        <v>2025</v>
      </c>
      <c r="I46" s="27">
        <f t="shared" si="16"/>
        <v>2026</v>
      </c>
      <c r="J46" s="27">
        <f t="shared" si="16"/>
        <v>2027</v>
      </c>
      <c r="K46" s="27">
        <f t="shared" si="16"/>
        <v>2028</v>
      </c>
      <c r="L46" s="27">
        <f t="shared" si="16"/>
        <v>2029</v>
      </c>
      <c r="M46" s="27">
        <f t="shared" si="16"/>
        <v>2030</v>
      </c>
      <c r="N46" s="27">
        <f t="shared" si="16"/>
        <v>2031</v>
      </c>
      <c r="O46" s="27">
        <f t="shared" si="16"/>
        <v>2032</v>
      </c>
      <c r="P46" s="27">
        <f t="shared" si="16"/>
        <v>2033</v>
      </c>
      <c r="Q46" s="27">
        <f t="shared" si="16"/>
        <v>2034</v>
      </c>
      <c r="R46" s="131" t="s">
        <v>11</v>
      </c>
      <c r="S46" s="27"/>
      <c r="T46" s="27"/>
      <c r="U46" s="27"/>
      <c r="V46" s="27"/>
      <c r="W46" s="27"/>
      <c r="X46" s="27"/>
      <c r="Y46" s="27"/>
    </row>
    <row r="47" spans="2:25" x14ac:dyDescent="0.35">
      <c r="D47" t="s">
        <v>5</v>
      </c>
      <c r="E47">
        <v>5</v>
      </c>
      <c r="G47"/>
      <c r="H47" s="47">
        <f>(G$12+G13)/$E47</f>
        <v>28162647.074999999</v>
      </c>
      <c r="I47" s="28">
        <f>H47</f>
        <v>28162647.074999999</v>
      </c>
      <c r="J47" s="28">
        <f t="shared" ref="J47:Q53" si="17">I47</f>
        <v>28162647.074999999</v>
      </c>
      <c r="K47" s="28">
        <f t="shared" si="17"/>
        <v>28162647.074999999</v>
      </c>
      <c r="L47" s="28">
        <f t="shared" si="17"/>
        <v>28162647.074999999</v>
      </c>
      <c r="M47" s="28"/>
      <c r="N47" s="28">
        <f t="shared" si="17"/>
        <v>0</v>
      </c>
      <c r="O47" s="28">
        <f t="shared" si="17"/>
        <v>0</v>
      </c>
      <c r="P47" s="28">
        <f t="shared" si="17"/>
        <v>0</v>
      </c>
      <c r="Q47" s="28">
        <f t="shared" si="17"/>
        <v>0</v>
      </c>
      <c r="R47" s="137">
        <f>SUM($G47:Q47)</f>
        <v>140813235.375</v>
      </c>
      <c r="S47" s="28"/>
      <c r="T47" s="28"/>
      <c r="U47" s="28"/>
      <c r="V47" s="28"/>
      <c r="W47" s="28"/>
      <c r="X47" s="28"/>
      <c r="Y47" s="29"/>
    </row>
    <row r="48" spans="2:25" hidden="1" x14ac:dyDescent="0.35">
      <c r="D48" t="s">
        <v>6</v>
      </c>
      <c r="E48">
        <v>4</v>
      </c>
      <c r="G48"/>
      <c r="H48" s="2"/>
      <c r="I48" s="47">
        <f>I13/E48</f>
        <v>0</v>
      </c>
      <c r="J48" s="28">
        <f>I48</f>
        <v>0</v>
      </c>
      <c r="K48" s="28">
        <f t="shared" si="17"/>
        <v>0</v>
      </c>
      <c r="L48" s="28">
        <f t="shared" si="17"/>
        <v>0</v>
      </c>
      <c r="M48" s="28">
        <f t="shared" si="17"/>
        <v>0</v>
      </c>
      <c r="N48" s="28">
        <f t="shared" si="17"/>
        <v>0</v>
      </c>
      <c r="O48" s="28">
        <f t="shared" si="17"/>
        <v>0</v>
      </c>
      <c r="P48" s="28">
        <f t="shared" si="17"/>
        <v>0</v>
      </c>
      <c r="Q48" s="28">
        <f t="shared" si="17"/>
        <v>0</v>
      </c>
      <c r="R48" s="137">
        <f>SUM($G48:Q48)</f>
        <v>0</v>
      </c>
      <c r="S48" s="28"/>
      <c r="T48" s="28"/>
      <c r="U48" s="28"/>
      <c r="V48" s="28"/>
      <c r="W48" s="28"/>
      <c r="X48" s="28"/>
      <c r="Y48" s="29"/>
    </row>
    <row r="49" spans="2:25" hidden="1" x14ac:dyDescent="0.35">
      <c r="D49" t="s">
        <v>7</v>
      </c>
      <c r="E49">
        <v>3</v>
      </c>
      <c r="G49"/>
      <c r="H49" s="2"/>
      <c r="J49" s="47">
        <f>J13/$E49</f>
        <v>0</v>
      </c>
      <c r="K49" s="28">
        <f>J49</f>
        <v>0</v>
      </c>
      <c r="L49" s="28">
        <f t="shared" si="17"/>
        <v>0</v>
      </c>
      <c r="M49" s="28">
        <f t="shared" si="17"/>
        <v>0</v>
      </c>
      <c r="N49" s="28">
        <f t="shared" si="17"/>
        <v>0</v>
      </c>
      <c r="O49" s="28">
        <f t="shared" si="17"/>
        <v>0</v>
      </c>
      <c r="P49" s="28">
        <f t="shared" si="17"/>
        <v>0</v>
      </c>
      <c r="Q49" s="28">
        <f t="shared" si="17"/>
        <v>0</v>
      </c>
      <c r="R49" s="137">
        <f>SUM($G49:Q49)</f>
        <v>0</v>
      </c>
      <c r="S49" s="28"/>
      <c r="T49" s="28"/>
      <c r="U49" s="28"/>
      <c r="V49" s="28"/>
      <c r="W49" s="28"/>
      <c r="X49" s="28"/>
      <c r="Y49" s="29"/>
    </row>
    <row r="50" spans="2:25" hidden="1" x14ac:dyDescent="0.35">
      <c r="D50" t="s">
        <v>8</v>
      </c>
      <c r="E50">
        <v>2</v>
      </c>
      <c r="G50"/>
      <c r="H50" s="2"/>
      <c r="K50" s="47">
        <f>K13/$E50</f>
        <v>0</v>
      </c>
      <c r="L50" s="28">
        <f>K50</f>
        <v>0</v>
      </c>
      <c r="M50" s="28">
        <f t="shared" si="17"/>
        <v>0</v>
      </c>
      <c r="N50" s="28">
        <f t="shared" si="17"/>
        <v>0</v>
      </c>
      <c r="O50" s="28">
        <f t="shared" si="17"/>
        <v>0</v>
      </c>
      <c r="P50" s="28">
        <f t="shared" si="17"/>
        <v>0</v>
      </c>
      <c r="Q50" s="28">
        <f t="shared" si="17"/>
        <v>0</v>
      </c>
      <c r="R50" s="137">
        <f>SUM($G50:Q50)</f>
        <v>0</v>
      </c>
      <c r="S50" s="28"/>
      <c r="T50" s="28"/>
      <c r="U50" s="28"/>
      <c r="V50" s="28"/>
      <c r="W50" s="28"/>
      <c r="X50" s="28"/>
      <c r="Y50" s="29"/>
    </row>
    <row r="51" spans="2:25" hidden="1" x14ac:dyDescent="0.35">
      <c r="D51" t="s">
        <v>9</v>
      </c>
      <c r="E51">
        <v>1</v>
      </c>
      <c r="G51"/>
      <c r="H51" s="2"/>
      <c r="L51" s="47">
        <f>K$12/$E51</f>
        <v>0</v>
      </c>
      <c r="M51" s="28">
        <f>L51</f>
        <v>0</v>
      </c>
      <c r="N51" s="28">
        <f t="shared" si="17"/>
        <v>0</v>
      </c>
      <c r="O51" s="28">
        <f t="shared" si="17"/>
        <v>0</v>
      </c>
      <c r="P51" s="28">
        <f t="shared" si="17"/>
        <v>0</v>
      </c>
      <c r="Q51" s="28"/>
      <c r="R51" s="137">
        <f>SUM($G51:Q51)</f>
        <v>0</v>
      </c>
      <c r="S51" s="28"/>
      <c r="T51" s="28"/>
      <c r="U51" s="28"/>
      <c r="V51" s="28"/>
      <c r="W51" s="28"/>
      <c r="X51" s="28"/>
      <c r="Y51" s="29"/>
    </row>
    <row r="52" spans="2:25" hidden="1" x14ac:dyDescent="0.35">
      <c r="D52" t="s">
        <v>40</v>
      </c>
      <c r="E52">
        <v>5</v>
      </c>
      <c r="G52"/>
      <c r="H52" s="2"/>
      <c r="L52" s="28"/>
      <c r="M52" s="47">
        <f>L$12/$E52</f>
        <v>0</v>
      </c>
      <c r="N52" s="28">
        <f>M52</f>
        <v>0</v>
      </c>
      <c r="O52" s="28">
        <f t="shared" si="17"/>
        <v>0</v>
      </c>
      <c r="P52" s="28">
        <f t="shared" si="17"/>
        <v>0</v>
      </c>
      <c r="Q52" s="28"/>
      <c r="R52" s="137">
        <f>SUM($G52:Q52)</f>
        <v>0</v>
      </c>
      <c r="S52" s="28"/>
      <c r="T52" s="28"/>
      <c r="U52" s="28"/>
      <c r="V52" s="28"/>
      <c r="W52" s="28"/>
      <c r="X52" s="28"/>
      <c r="Y52" s="29"/>
    </row>
    <row r="53" spans="2:25" hidden="1" x14ac:dyDescent="0.35">
      <c r="D53" t="s">
        <v>41</v>
      </c>
      <c r="E53">
        <v>4</v>
      </c>
      <c r="G53"/>
      <c r="H53" s="2"/>
      <c r="L53" s="28"/>
      <c r="M53" s="28"/>
      <c r="N53" s="47">
        <f>M$12/$E53</f>
        <v>0</v>
      </c>
      <c r="O53" s="28">
        <f>N53</f>
        <v>0</v>
      </c>
      <c r="P53" s="28">
        <f t="shared" si="17"/>
        <v>0</v>
      </c>
      <c r="Q53" s="28"/>
      <c r="R53" s="137">
        <f>SUM($G53:Q53)</f>
        <v>0</v>
      </c>
      <c r="S53" s="28"/>
      <c r="T53" s="28"/>
      <c r="U53" s="28"/>
      <c r="V53" s="28"/>
      <c r="W53" s="28"/>
      <c r="X53" s="28"/>
      <c r="Y53" s="29"/>
    </row>
    <row r="54" spans="2:25" hidden="1" x14ac:dyDescent="0.35">
      <c r="D54" t="s">
        <v>42</v>
      </c>
      <c r="E54">
        <v>3</v>
      </c>
      <c r="G54"/>
      <c r="H54" s="2"/>
      <c r="L54" s="28"/>
      <c r="M54" s="28"/>
      <c r="N54" s="28"/>
      <c r="O54" s="47">
        <f>N$12/$E54</f>
        <v>0</v>
      </c>
      <c r="P54" s="28">
        <f>O54</f>
        <v>0</v>
      </c>
      <c r="Q54" s="28"/>
      <c r="R54" s="137">
        <f>SUM($G54:Q54)</f>
        <v>0</v>
      </c>
      <c r="S54" s="28"/>
      <c r="T54" s="28"/>
      <c r="U54" s="28"/>
      <c r="V54" s="28"/>
      <c r="W54" s="28"/>
      <c r="X54" s="28"/>
      <c r="Y54" s="29"/>
    </row>
    <row r="55" spans="2:25" hidden="1" x14ac:dyDescent="0.35">
      <c r="D55" t="s">
        <v>43</v>
      </c>
      <c r="E55">
        <v>2</v>
      </c>
      <c r="G55"/>
      <c r="H55" s="2"/>
      <c r="L55" s="28"/>
      <c r="M55" s="28"/>
      <c r="N55" s="28"/>
      <c r="O55" s="28"/>
      <c r="P55" s="47">
        <f>O$12/$E55</f>
        <v>0</v>
      </c>
      <c r="Q55" s="47"/>
      <c r="R55" s="137">
        <f>SUM($G55:Q55)</f>
        <v>0</v>
      </c>
      <c r="S55" s="28"/>
      <c r="T55" s="28"/>
      <c r="U55" s="28"/>
      <c r="V55" s="28"/>
      <c r="W55" s="28"/>
      <c r="X55" s="28"/>
      <c r="Y55" s="29"/>
    </row>
    <row r="56" spans="2:25" hidden="1" x14ac:dyDescent="0.35">
      <c r="D56" t="s">
        <v>44</v>
      </c>
      <c r="E56">
        <v>1</v>
      </c>
      <c r="G56"/>
      <c r="H56" s="2"/>
      <c r="K56" s="28"/>
      <c r="L56" s="28"/>
      <c r="M56" s="28"/>
      <c r="N56" s="28"/>
      <c r="O56" s="28"/>
      <c r="P56" s="28"/>
      <c r="Q56" s="28"/>
      <c r="R56" s="137">
        <f>SUM($G56:Q56)</f>
        <v>0</v>
      </c>
      <c r="S56" s="28"/>
      <c r="T56" s="28"/>
      <c r="U56" s="28"/>
      <c r="V56" s="28"/>
      <c r="W56" s="28"/>
      <c r="X56" s="28"/>
      <c r="Y56" s="29"/>
    </row>
    <row r="57" spans="2:25" ht="16" thickBot="1" x14ac:dyDescent="0.4">
      <c r="B57" s="30" t="s">
        <v>31</v>
      </c>
      <c r="C57" s="31"/>
      <c r="D57" s="31"/>
      <c r="E57" s="31"/>
      <c r="F57" s="31"/>
      <c r="G57" s="31"/>
      <c r="H57" s="32">
        <f>SUM(H47:H56)</f>
        <v>28162647.074999999</v>
      </c>
      <c r="I57" s="32">
        <f t="shared" ref="I57:P57" si="18">SUM(I47:I56)</f>
        <v>28162647.074999999</v>
      </c>
      <c r="J57" s="32">
        <f t="shared" si="18"/>
        <v>28162647.074999999</v>
      </c>
      <c r="K57" s="32">
        <f t="shared" si="18"/>
        <v>28162647.074999999</v>
      </c>
      <c r="L57" s="32">
        <f t="shared" si="18"/>
        <v>28162647.074999999</v>
      </c>
      <c r="M57" s="32">
        <f t="shared" si="18"/>
        <v>0</v>
      </c>
      <c r="N57" s="32">
        <f t="shared" si="18"/>
        <v>0</v>
      </c>
      <c r="O57" s="32">
        <f t="shared" si="18"/>
        <v>0</v>
      </c>
      <c r="P57" s="32">
        <f t="shared" si="18"/>
        <v>0</v>
      </c>
      <c r="Q57" s="32">
        <f>SUM(Q47:Q56)</f>
        <v>0</v>
      </c>
      <c r="R57" s="158">
        <f>SUM(R47:R56)</f>
        <v>140813235.375</v>
      </c>
      <c r="S57" s="159"/>
      <c r="T57" s="159"/>
      <c r="U57" s="159"/>
      <c r="V57" s="159"/>
      <c r="W57" s="159"/>
      <c r="X57" s="159"/>
      <c r="Y57" s="159"/>
    </row>
    <row r="58" spans="2:25" ht="16.5" thickTop="1" thickBot="1" x14ac:dyDescent="0.4">
      <c r="G58"/>
      <c r="H58" s="2"/>
      <c r="M58" s="29"/>
      <c r="N58" s="29"/>
      <c r="O58" s="29"/>
      <c r="P58" s="29"/>
      <c r="Q58" s="29"/>
      <c r="R58" s="160"/>
      <c r="Y58" s="12"/>
    </row>
    <row r="60" spans="2:25" x14ac:dyDescent="0.35">
      <c r="F60" t="s">
        <v>47</v>
      </c>
    </row>
    <row r="69" spans="6:12" x14ac:dyDescent="0.35">
      <c r="G69" s="45"/>
      <c r="H69" s="12"/>
    </row>
    <row r="71" spans="6:12" x14ac:dyDescent="0.35">
      <c r="G71" s="11"/>
    </row>
    <row r="72" spans="6:12" x14ac:dyDescent="0.35">
      <c r="G72" s="11"/>
      <c r="H72" s="12"/>
      <c r="I72" s="12"/>
      <c r="J72" s="12"/>
      <c r="K72" s="12"/>
      <c r="L72" s="12"/>
    </row>
    <row r="73" spans="6:12" x14ac:dyDescent="0.35">
      <c r="F73" s="154"/>
      <c r="G73" s="161"/>
      <c r="H73" s="162"/>
      <c r="I73" s="162"/>
      <c r="J73" s="162"/>
      <c r="K73" s="162"/>
      <c r="L73" s="162"/>
    </row>
    <row r="76" spans="6:12" x14ac:dyDescent="0.35">
      <c r="G76" s="11"/>
      <c r="L76" s="12"/>
    </row>
    <row r="78" spans="6:12" x14ac:dyDescent="0.35">
      <c r="G78" s="45"/>
      <c r="H78" s="45"/>
      <c r="I78" s="45"/>
      <c r="J78" s="45"/>
      <c r="K78" s="45"/>
      <c r="L78" s="45"/>
    </row>
  </sheetData>
  <mergeCells count="1">
    <mergeCell ref="E20:F20"/>
  </mergeCells>
  <printOptions horizontalCentered="1" verticalCentered="1"/>
  <pageMargins left="0" right="0" top="0" bottom="0" header="0.31496062992125984" footer="0.31496062992125984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7140C-A07F-4A5F-A285-AB2E73B10FE8}">
  <dimension ref="A1:V70"/>
  <sheetViews>
    <sheetView topLeftCell="A32" workbookViewId="0">
      <selection activeCell="L40" sqref="L40"/>
    </sheetView>
  </sheetViews>
  <sheetFormatPr defaultRowHeight="15.5" x14ac:dyDescent="0.35"/>
  <cols>
    <col min="1" max="1" width="13.5" bestFit="1" customWidth="1"/>
    <col min="2" max="2" width="15.6640625" bestFit="1" customWidth="1"/>
    <col min="3" max="6" width="13.6640625" bestFit="1" customWidth="1"/>
    <col min="7" max="9" width="12.08203125" bestFit="1" customWidth="1"/>
    <col min="10" max="11" width="13.6640625" bestFit="1" customWidth="1"/>
    <col min="12" max="12" width="11.08203125" bestFit="1" customWidth="1"/>
  </cols>
  <sheetData>
    <row r="1" spans="1:22" s="1" customFormat="1" x14ac:dyDescent="0.35">
      <c r="B1" s="1">
        <v>2015</v>
      </c>
      <c r="C1" s="1">
        <f>B1+1</f>
        <v>2016</v>
      </c>
      <c r="D1" s="1">
        <f t="shared" ref="D1:V1" si="0">C1+1</f>
        <v>2017</v>
      </c>
      <c r="E1" s="1">
        <f t="shared" si="0"/>
        <v>2018</v>
      </c>
      <c r="F1" s="1">
        <f t="shared" si="0"/>
        <v>2019</v>
      </c>
      <c r="G1" s="1">
        <f t="shared" si="0"/>
        <v>2020</v>
      </c>
      <c r="H1" s="1">
        <f t="shared" si="0"/>
        <v>2021</v>
      </c>
      <c r="I1" s="1">
        <f t="shared" si="0"/>
        <v>2022</v>
      </c>
      <c r="J1" s="1">
        <f t="shared" si="0"/>
        <v>2023</v>
      </c>
      <c r="K1" s="1">
        <f t="shared" si="0"/>
        <v>2024</v>
      </c>
      <c r="L1" s="1">
        <f t="shared" si="0"/>
        <v>2025</v>
      </c>
      <c r="M1" s="1">
        <f t="shared" si="0"/>
        <v>2026</v>
      </c>
      <c r="N1" s="1">
        <f t="shared" si="0"/>
        <v>2027</v>
      </c>
      <c r="O1" s="1">
        <f t="shared" si="0"/>
        <v>2028</v>
      </c>
      <c r="P1" s="1">
        <f t="shared" si="0"/>
        <v>2029</v>
      </c>
      <c r="Q1" s="1">
        <f t="shared" si="0"/>
        <v>2030</v>
      </c>
      <c r="R1" s="1">
        <f t="shared" si="0"/>
        <v>2031</v>
      </c>
      <c r="S1" s="1">
        <f t="shared" si="0"/>
        <v>2032</v>
      </c>
      <c r="T1" s="1">
        <f t="shared" si="0"/>
        <v>2033</v>
      </c>
      <c r="U1" s="1">
        <f t="shared" si="0"/>
        <v>2034</v>
      </c>
      <c r="V1" s="1">
        <f t="shared" si="0"/>
        <v>2035</v>
      </c>
    </row>
    <row r="2" spans="1:22" x14ac:dyDescent="0.35">
      <c r="A2" t="s">
        <v>48</v>
      </c>
      <c r="B2" s="52">
        <v>28366000</v>
      </c>
      <c r="C2" s="12">
        <f>$B$2-$B$4</f>
        <v>22692800</v>
      </c>
      <c r="D2" s="12">
        <f>$C$2-$B$4</f>
        <v>17019600</v>
      </c>
      <c r="E2" s="12">
        <f>$D$2-$B$4</f>
        <v>11346400</v>
      </c>
      <c r="F2" s="12">
        <f>$E$2-$B$4</f>
        <v>5673200</v>
      </c>
      <c r="G2" s="12">
        <f>$F$2-$B$4</f>
        <v>0</v>
      </c>
      <c r="H2" s="12"/>
      <c r="I2" s="12"/>
      <c r="J2" s="12"/>
      <c r="K2" s="12"/>
    </row>
    <row r="3" spans="1:22" x14ac:dyDescent="0.35">
      <c r="A3" t="s">
        <v>49</v>
      </c>
      <c r="B3" s="52">
        <v>5</v>
      </c>
    </row>
    <row r="4" spans="1:22" x14ac:dyDescent="0.35">
      <c r="A4" t="s">
        <v>50</v>
      </c>
      <c r="B4" s="52">
        <f>$B$2/$B$3</f>
        <v>5673200</v>
      </c>
      <c r="C4" s="52"/>
      <c r="D4" s="52"/>
    </row>
    <row r="5" spans="1:22" x14ac:dyDescent="0.35">
      <c r="A5" t="s">
        <v>51</v>
      </c>
      <c r="B5" s="52">
        <f>(($B$2*IRR!$F$4*6)/12)</f>
        <v>1418300</v>
      </c>
      <c r="C5" s="12">
        <f>AVERAGE($B$2:$C$2)*IRR!$F$4</f>
        <v>2552940</v>
      </c>
      <c r="D5" s="12">
        <f>AVERAGE($B$2:$C$2)*IRR!$F$4</f>
        <v>2552940</v>
      </c>
      <c r="E5" s="12">
        <f>AVERAGE($B$2:$C$2)*IRR!$F$4</f>
        <v>2552940</v>
      </c>
      <c r="F5" s="12">
        <f>AVERAGE($B$2:$C$2)*IRR!$F$4</f>
        <v>2552940</v>
      </c>
      <c r="G5" s="12">
        <f>AVERAGE($B$2:$C$2)*IRR!$F$4</f>
        <v>2552940</v>
      </c>
      <c r="H5" s="12">
        <f>AVERAGE($G$2:$H$2)*'[75]IRR Approved'!$F$4</f>
        <v>0</v>
      </c>
      <c r="I5" s="12"/>
      <c r="J5" s="12"/>
      <c r="K5" s="12"/>
    </row>
    <row r="6" spans="1:22" x14ac:dyDescent="0.35">
      <c r="A6" t="s">
        <v>48</v>
      </c>
      <c r="D6" s="52">
        <v>1148818108</v>
      </c>
      <c r="E6" s="12">
        <f>D6-$D$8</f>
        <v>919054486.39999998</v>
      </c>
      <c r="F6" s="12">
        <f>E6-$D$8</f>
        <v>689290864.79999995</v>
      </c>
      <c r="G6" s="12">
        <f>F6-$D$8</f>
        <v>459527243.19999993</v>
      </c>
      <c r="H6" s="12">
        <f t="shared" ref="H6:I6" si="1">G6-$D$8</f>
        <v>229763621.59999993</v>
      </c>
      <c r="I6" s="12">
        <f t="shared" si="1"/>
        <v>0</v>
      </c>
      <c r="J6" s="12"/>
      <c r="K6" s="12"/>
      <c r="L6" s="12"/>
      <c r="M6" s="12"/>
    </row>
    <row r="7" spans="1:22" x14ac:dyDescent="0.35">
      <c r="A7" t="s">
        <v>49</v>
      </c>
      <c r="D7" s="52">
        <v>5</v>
      </c>
    </row>
    <row r="8" spans="1:22" x14ac:dyDescent="0.35">
      <c r="A8" t="s">
        <v>50</v>
      </c>
      <c r="D8" s="52">
        <f>D6/D7</f>
        <v>229763621.59999999</v>
      </c>
      <c r="E8" s="52"/>
      <c r="F8" s="52"/>
    </row>
    <row r="9" spans="1:22" x14ac:dyDescent="0.35">
      <c r="A9" t="s">
        <v>51</v>
      </c>
      <c r="D9" s="52">
        <f>((D6*IRR!$F$4*6)/12)</f>
        <v>57440905.400000006</v>
      </c>
      <c r="E9" s="12">
        <f>AVERAGE(D6:E6)*IRR!$F$4</f>
        <v>103393629.72000001</v>
      </c>
      <c r="F9" s="12">
        <f>AVERAGE(E6:F6)*IRR!$F$4</f>
        <v>80417267.559999987</v>
      </c>
      <c r="G9" s="12">
        <f>AVERAGE(F6:G6)*IRR!$F$4</f>
        <v>57440905.400000006</v>
      </c>
      <c r="H9" s="12">
        <f>AVERAGE(G6:H6)*IRR!$F$4</f>
        <v>34464543.239999995</v>
      </c>
      <c r="I9" s="12">
        <f>AVERAGE(H6:I6)*IRR!$F$4</f>
        <v>11488181.079999998</v>
      </c>
      <c r="J9" s="12">
        <f>AVERAGE($G$2:$H$2)*'[75]IRR Approved'!$F$4</f>
        <v>0</v>
      </c>
      <c r="K9" s="12"/>
      <c r="L9" s="12"/>
      <c r="M9" s="12"/>
    </row>
    <row r="10" spans="1:22" x14ac:dyDescent="0.35">
      <c r="A10" t="s">
        <v>48</v>
      </c>
      <c r="B10" s="52"/>
      <c r="C10" s="12"/>
      <c r="D10" s="12"/>
      <c r="E10" s="12"/>
      <c r="F10" s="52">
        <v>1148818108</v>
      </c>
      <c r="G10" s="12">
        <f>F10-$F$12</f>
        <v>919054486.39999998</v>
      </c>
      <c r="H10" s="12">
        <f t="shared" ref="H10:K10" si="2">G10-$F$12</f>
        <v>689290864.79999995</v>
      </c>
      <c r="I10" s="12">
        <f t="shared" si="2"/>
        <v>459527243.19999993</v>
      </c>
      <c r="J10" s="12">
        <f t="shared" si="2"/>
        <v>229763621.59999993</v>
      </c>
      <c r="K10" s="12">
        <f t="shared" si="2"/>
        <v>0</v>
      </c>
      <c r="L10" s="12"/>
    </row>
    <row r="11" spans="1:22" x14ac:dyDescent="0.35">
      <c r="A11" t="s">
        <v>49</v>
      </c>
      <c r="B11" s="52"/>
      <c r="F11" s="52">
        <v>5</v>
      </c>
    </row>
    <row r="12" spans="1:22" x14ac:dyDescent="0.35">
      <c r="A12" t="s">
        <v>50</v>
      </c>
      <c r="B12" s="52"/>
      <c r="C12" s="52"/>
      <c r="D12" s="52"/>
      <c r="F12" s="52">
        <f>F10/F11</f>
        <v>229763621.59999999</v>
      </c>
      <c r="G12" s="52"/>
      <c r="H12" s="52"/>
    </row>
    <row r="13" spans="1:22" x14ac:dyDescent="0.35">
      <c r="A13" t="s">
        <v>51</v>
      </c>
      <c r="B13" s="52"/>
      <c r="C13" s="12"/>
      <c r="D13" s="12"/>
      <c r="E13" s="12"/>
      <c r="F13" s="52">
        <f>((F10*IRR!$F$4*6)/12)</f>
        <v>57440905.400000006</v>
      </c>
      <c r="G13" s="12">
        <f>AVERAGE(F10:G10)*IRR!$F$4</f>
        <v>103393629.72000001</v>
      </c>
      <c r="H13" s="12">
        <f>AVERAGE(G10:H10)*IRR!$F$4</f>
        <v>80417267.559999987</v>
      </c>
      <c r="I13" s="12">
        <f>AVERAGE(H10:I10)*IRR!$F$4</f>
        <v>57440905.400000006</v>
      </c>
      <c r="J13" s="12">
        <f>AVERAGE(I10:J10)*IRR!$F$4</f>
        <v>34464543.239999995</v>
      </c>
      <c r="K13" s="12">
        <f>AVERAGE(J10:K10)*IRR!$F$4</f>
        <v>11488181.079999998</v>
      </c>
      <c r="L13" s="12">
        <f>AVERAGE($G$2:$H$2)*'[75]IRR Approved'!$F$4</f>
        <v>0</v>
      </c>
    </row>
    <row r="14" spans="1:22" x14ac:dyDescent="0.35">
      <c r="A14" t="s">
        <v>48</v>
      </c>
      <c r="B14" s="52"/>
      <c r="C14" s="12"/>
      <c r="D14" s="12"/>
      <c r="E14" s="12"/>
      <c r="F14" s="12"/>
      <c r="G14" s="52">
        <v>42925420</v>
      </c>
      <c r="H14" s="12">
        <f>G14-G16</f>
        <v>34340336</v>
      </c>
      <c r="I14" s="12">
        <f>H14-$G$16</f>
        <v>25755252</v>
      </c>
      <c r="J14" s="12">
        <f t="shared" ref="J14:L14" si="3">I14-$G$16</f>
        <v>17170168</v>
      </c>
      <c r="K14" s="12">
        <f t="shared" si="3"/>
        <v>8585084</v>
      </c>
      <c r="L14" s="12">
        <f t="shared" si="3"/>
        <v>0</v>
      </c>
      <c r="M14" s="12"/>
    </row>
    <row r="15" spans="1:22" x14ac:dyDescent="0.35">
      <c r="A15" t="s">
        <v>49</v>
      </c>
      <c r="B15" s="52"/>
      <c r="G15" s="52">
        <v>5</v>
      </c>
    </row>
    <row r="16" spans="1:22" x14ac:dyDescent="0.35">
      <c r="A16" t="s">
        <v>50</v>
      </c>
      <c r="B16" s="52"/>
      <c r="C16" s="52"/>
      <c r="D16" s="52"/>
      <c r="G16" s="52">
        <f>G14/G15</f>
        <v>8585084</v>
      </c>
      <c r="H16" s="52"/>
      <c r="I16" s="52"/>
    </row>
    <row r="17" spans="1:14" x14ac:dyDescent="0.35">
      <c r="A17" t="s">
        <v>51</v>
      </c>
      <c r="B17" s="52"/>
      <c r="C17" s="12"/>
      <c r="D17" s="12"/>
      <c r="E17" s="12"/>
      <c r="F17" s="12"/>
      <c r="G17" s="52">
        <f>((G14*IRR!$F$4*6)/12)</f>
        <v>2146271</v>
      </c>
      <c r="H17" s="12">
        <f>AVERAGE(G14:H14)*IRR!$F$4</f>
        <v>3863287.8000000003</v>
      </c>
      <c r="I17" s="12">
        <f>AVERAGE(H14:I14)*IRR!$F$4</f>
        <v>3004779.4000000004</v>
      </c>
      <c r="J17" s="12">
        <f>AVERAGE(I14:J14)*IRR!$F$4</f>
        <v>2146271</v>
      </c>
      <c r="K17" s="12">
        <f>AVERAGE(J14:K14)*IRR!$F$4</f>
        <v>1287762.6000000001</v>
      </c>
      <c r="L17" s="12">
        <f>AVERAGE(K14:L14)*IRR!$F$4</f>
        <v>429254.2</v>
      </c>
      <c r="M17" s="12">
        <f>AVERAGE($G$2:$H$2)*'[75]IRR Approved'!$F$4</f>
        <v>0</v>
      </c>
    </row>
    <row r="18" spans="1:14" x14ac:dyDescent="0.35">
      <c r="A18" t="s">
        <v>48</v>
      </c>
      <c r="B18" s="52"/>
      <c r="C18" s="12"/>
      <c r="D18" s="12"/>
      <c r="E18" s="12"/>
      <c r="F18" s="12"/>
      <c r="H18" s="52">
        <v>9414000</v>
      </c>
      <c r="I18" s="12">
        <f>H18-H20</f>
        <v>7531200</v>
      </c>
      <c r="J18" s="12">
        <f>I18-$H$20</f>
        <v>5648400</v>
      </c>
      <c r="K18" s="12">
        <f t="shared" ref="K18:M18" si="4">J18-$H$20</f>
        <v>3765600</v>
      </c>
      <c r="L18" s="12">
        <f t="shared" si="4"/>
        <v>1882800</v>
      </c>
      <c r="M18" s="12">
        <f t="shared" si="4"/>
        <v>0</v>
      </c>
      <c r="N18" s="12"/>
    </row>
    <row r="19" spans="1:14" x14ac:dyDescent="0.35">
      <c r="A19" t="s">
        <v>49</v>
      </c>
      <c r="B19" s="52"/>
      <c r="H19" s="52">
        <v>5</v>
      </c>
    </row>
    <row r="20" spans="1:14" x14ac:dyDescent="0.35">
      <c r="A20" t="s">
        <v>50</v>
      </c>
      <c r="B20" s="52"/>
      <c r="C20" s="52"/>
      <c r="D20" s="52"/>
      <c r="H20" s="52">
        <f>H18/H19</f>
        <v>1882800</v>
      </c>
      <c r="I20" s="52"/>
      <c r="J20" s="52"/>
    </row>
    <row r="21" spans="1:14" x14ac:dyDescent="0.35">
      <c r="A21" t="s">
        <v>51</v>
      </c>
      <c r="B21" s="52"/>
      <c r="C21" s="12"/>
      <c r="D21" s="12"/>
      <c r="E21" s="12"/>
      <c r="F21" s="12"/>
      <c r="H21" s="52">
        <f>((H18*IRR!$F$4*6)/12)</f>
        <v>470700</v>
      </c>
      <c r="I21" s="12">
        <f>AVERAGE(H18:I18)*IRR!$F$4</f>
        <v>847260</v>
      </c>
      <c r="J21" s="12">
        <f>AVERAGE(I18:J18)*IRR!$F$4</f>
        <v>658980</v>
      </c>
      <c r="K21" s="12">
        <f>AVERAGE(J18:K18)*IRR!$F$4</f>
        <v>470700</v>
      </c>
      <c r="L21" s="12">
        <f>AVERAGE(K18:L18)*IRR!$F$4</f>
        <v>282420</v>
      </c>
      <c r="M21" s="12">
        <f>AVERAGE(L18:M18)*IRR!$F$4</f>
        <v>94140</v>
      </c>
      <c r="N21" s="12">
        <f>AVERAGE($G$2:$H$2)*'[75]IRR Approved'!$F$4</f>
        <v>0</v>
      </c>
    </row>
    <row r="24" spans="1:14" s="178" customFormat="1" x14ac:dyDescent="0.35">
      <c r="B24" s="208">
        <f>B21+B17+B13+B9+B5</f>
        <v>1418300</v>
      </c>
      <c r="C24" s="208">
        <f t="shared" ref="C24:M24" si="5">C21+C17+C13+C9+C5</f>
        <v>2552940</v>
      </c>
      <c r="D24" s="208">
        <f t="shared" si="5"/>
        <v>59993845.400000006</v>
      </c>
      <c r="E24" s="208">
        <f t="shared" si="5"/>
        <v>105946569.72000001</v>
      </c>
      <c r="F24" s="208">
        <f t="shared" si="5"/>
        <v>140411112.95999998</v>
      </c>
      <c r="G24" s="208">
        <f t="shared" si="5"/>
        <v>165533746.12</v>
      </c>
      <c r="H24" s="208">
        <f t="shared" si="5"/>
        <v>119215798.59999998</v>
      </c>
      <c r="I24" s="208">
        <f t="shared" si="5"/>
        <v>72781125.879999995</v>
      </c>
      <c r="J24" s="208">
        <f t="shared" si="5"/>
        <v>37269794.239999995</v>
      </c>
      <c r="K24" s="208">
        <f t="shared" si="5"/>
        <v>13246643.679999998</v>
      </c>
      <c r="L24" s="208">
        <f t="shared" si="5"/>
        <v>711674.2</v>
      </c>
      <c r="M24" s="208">
        <f t="shared" si="5"/>
        <v>94140</v>
      </c>
    </row>
    <row r="26" spans="1:14" x14ac:dyDescent="0.35">
      <c r="A26" t="s">
        <v>1</v>
      </c>
      <c r="B26" s="52">
        <v>50000000</v>
      </c>
      <c r="C26" s="12">
        <f>B26+C27</f>
        <v>51000000</v>
      </c>
      <c r="D26" s="12">
        <f>C26+D28</f>
        <v>52020000</v>
      </c>
      <c r="E26" s="12">
        <f t="shared" ref="E26:K26" si="6">D26+E28</f>
        <v>53060400</v>
      </c>
      <c r="F26" s="12">
        <f t="shared" si="6"/>
        <v>54121608</v>
      </c>
      <c r="G26" s="12">
        <f t="shared" si="6"/>
        <v>55204040.159999996</v>
      </c>
      <c r="H26" s="12">
        <f t="shared" si="6"/>
        <v>56308120.963199995</v>
      </c>
      <c r="I26" s="12">
        <f t="shared" si="6"/>
        <v>57434283.382463992</v>
      </c>
      <c r="J26" s="12">
        <f t="shared" si="6"/>
        <v>58582969.050113268</v>
      </c>
      <c r="K26" s="12">
        <f t="shared" si="6"/>
        <v>59754628.43111553</v>
      </c>
    </row>
    <row r="27" spans="1:14" x14ac:dyDescent="0.35">
      <c r="A27" s="77">
        <v>0.02</v>
      </c>
      <c r="C27" s="12">
        <f>C28</f>
        <v>1000000</v>
      </c>
      <c r="D27" s="12">
        <f>C27+D28</f>
        <v>2020000</v>
      </c>
      <c r="E27" s="12">
        <f t="shared" ref="E27:K27" si="7">D27+E28</f>
        <v>3060400</v>
      </c>
      <c r="F27" s="12">
        <f t="shared" si="7"/>
        <v>4121608</v>
      </c>
      <c r="G27" s="12">
        <f t="shared" si="7"/>
        <v>5204040.16</v>
      </c>
      <c r="H27" s="12">
        <f t="shared" si="7"/>
        <v>6308120.9632000001</v>
      </c>
      <c r="I27" s="12">
        <f t="shared" si="7"/>
        <v>7434283.382464</v>
      </c>
      <c r="J27" s="12">
        <f t="shared" si="7"/>
        <v>8582969.0501132794</v>
      </c>
      <c r="K27" s="12">
        <f t="shared" si="7"/>
        <v>9754628.4311155453</v>
      </c>
    </row>
    <row r="28" spans="1:14" x14ac:dyDescent="0.35">
      <c r="C28" s="12">
        <f>B26*$A$27</f>
        <v>1000000</v>
      </c>
      <c r="D28" s="12">
        <f>C26*$A$27</f>
        <v>1020000</v>
      </c>
      <c r="E28" s="12">
        <f t="shared" ref="E28:K28" si="8">D26*$A$27</f>
        <v>1040400</v>
      </c>
      <c r="F28" s="12">
        <f t="shared" si="8"/>
        <v>1061208</v>
      </c>
      <c r="G28" s="12">
        <f t="shared" si="8"/>
        <v>1082432.1599999999</v>
      </c>
      <c r="H28" s="12">
        <f t="shared" si="8"/>
        <v>1104080.8032</v>
      </c>
      <c r="I28" s="12">
        <f t="shared" si="8"/>
        <v>1126162.4192639999</v>
      </c>
      <c r="J28" s="12">
        <f t="shared" si="8"/>
        <v>1148685.6676492798</v>
      </c>
      <c r="K28" s="12">
        <f t="shared" si="8"/>
        <v>1171659.3810022655</v>
      </c>
    </row>
    <row r="29" spans="1:14" x14ac:dyDescent="0.35">
      <c r="F29" s="52"/>
    </row>
    <row r="31" spans="1:14" s="178" customFormat="1" x14ac:dyDescent="0.35"/>
    <row r="33" spans="1:12" x14ac:dyDescent="0.35">
      <c r="F33" s="65" t="s">
        <v>84</v>
      </c>
      <c r="G33" s="65" t="s">
        <v>85</v>
      </c>
      <c r="H33" s="65" t="s">
        <v>86</v>
      </c>
      <c r="I33" s="66" t="s">
        <v>87</v>
      </c>
      <c r="J33" s="238" t="s">
        <v>88</v>
      </c>
      <c r="K33" s="238" t="s">
        <v>89</v>
      </c>
    </row>
    <row r="34" spans="1:12" x14ac:dyDescent="0.35">
      <c r="E34" s="67" t="s">
        <v>90</v>
      </c>
      <c r="F34" s="68">
        <v>1</v>
      </c>
      <c r="G34" s="69">
        <v>1</v>
      </c>
      <c r="H34" s="69">
        <v>1</v>
      </c>
      <c r="I34" s="70">
        <v>175</v>
      </c>
      <c r="J34" s="238"/>
      <c r="K34" s="238"/>
    </row>
    <row r="35" spans="1:12" x14ac:dyDescent="0.35">
      <c r="B35" s="239" t="s">
        <v>91</v>
      </c>
      <c r="C35" s="71" t="s">
        <v>92</v>
      </c>
      <c r="D35" s="72">
        <v>2500000</v>
      </c>
      <c r="E35" s="71" t="s">
        <v>84</v>
      </c>
      <c r="F35" s="65">
        <f>F34</f>
        <v>1</v>
      </c>
      <c r="G35" s="65"/>
      <c r="H35" s="65"/>
      <c r="I35" s="66"/>
      <c r="J35" s="73">
        <f>F35*D35</f>
        <v>2500000</v>
      </c>
    </row>
    <row r="36" spans="1:12" x14ac:dyDescent="0.35">
      <c r="B36" s="240"/>
      <c r="C36" s="71" t="s">
        <v>93</v>
      </c>
      <c r="D36" s="191">
        <v>600000</v>
      </c>
      <c r="E36" s="71" t="s">
        <v>84</v>
      </c>
      <c r="F36" s="65">
        <f>F34</f>
        <v>1</v>
      </c>
      <c r="G36" s="65"/>
      <c r="H36" s="65"/>
      <c r="I36" s="66">
        <f>IF($I$34&lt;=120,2,IF($I$34&gt;220,4,3))</f>
        <v>3</v>
      </c>
      <c r="J36" s="191">
        <f>D36*F36</f>
        <v>600000</v>
      </c>
    </row>
    <row r="37" spans="1:12" x14ac:dyDescent="0.35">
      <c r="B37" s="241"/>
      <c r="C37" s="71" t="s">
        <v>91</v>
      </c>
      <c r="D37" s="191">
        <v>200000</v>
      </c>
      <c r="E37" s="71" t="s">
        <v>94</v>
      </c>
      <c r="F37" s="65"/>
      <c r="G37" s="65">
        <f>G34</f>
        <v>1</v>
      </c>
      <c r="H37" s="65"/>
      <c r="I37" s="66"/>
      <c r="J37" s="191">
        <f>G37*D37</f>
        <v>200000</v>
      </c>
    </row>
    <row r="38" spans="1:12" x14ac:dyDescent="0.35">
      <c r="B38" s="71" t="s">
        <v>95</v>
      </c>
      <c r="C38" s="71" t="s">
        <v>95</v>
      </c>
      <c r="D38" s="191">
        <v>450000</v>
      </c>
      <c r="E38" s="71" t="s">
        <v>86</v>
      </c>
      <c r="F38" s="65">
        <f>F34</f>
        <v>1</v>
      </c>
      <c r="G38" s="65"/>
      <c r="H38" s="65">
        <f>H34</f>
        <v>1</v>
      </c>
      <c r="I38" s="66">
        <f>IF($I$34&lt;=120,2,IF($I$34&gt;220,4,3))</f>
        <v>3</v>
      </c>
      <c r="J38" s="191">
        <f>H38*D38*I38</f>
        <v>1350000</v>
      </c>
    </row>
    <row r="39" spans="1:12" x14ac:dyDescent="0.35">
      <c r="B39" s="71" t="s">
        <v>96</v>
      </c>
      <c r="C39" s="71" t="s">
        <v>96</v>
      </c>
      <c r="D39" s="191">
        <v>120000</v>
      </c>
      <c r="E39" s="71" t="s">
        <v>84</v>
      </c>
      <c r="F39" s="65">
        <f>F34</f>
        <v>1</v>
      </c>
      <c r="G39" s="65"/>
      <c r="H39" s="65"/>
      <c r="I39" s="66">
        <f>IF($I$34&lt;=120,2,IF($I$34&gt;220,4,3))</f>
        <v>3</v>
      </c>
      <c r="J39" s="191">
        <f>I39*D39*F39</f>
        <v>360000</v>
      </c>
    </row>
    <row r="40" spans="1:12" x14ac:dyDescent="0.35">
      <c r="J40" s="74">
        <f>SUM(J35:J39)</f>
        <v>5010000</v>
      </c>
      <c r="K40" s="192">
        <f>J40*2</f>
        <v>10020000</v>
      </c>
      <c r="L40" s="29">
        <f>K40+7000000*2+B47</f>
        <v>39620000</v>
      </c>
    </row>
    <row r="42" spans="1:12" s="178" customFormat="1" x14ac:dyDescent="0.35"/>
    <row r="43" spans="1:12" x14ac:dyDescent="0.35">
      <c r="K43" s="12"/>
    </row>
    <row r="44" spans="1:12" x14ac:dyDescent="0.35">
      <c r="B44" s="65" t="s">
        <v>97</v>
      </c>
      <c r="C44" s="65" t="s">
        <v>92</v>
      </c>
      <c r="E44" s="71" t="s">
        <v>98</v>
      </c>
      <c r="K44" s="29"/>
    </row>
    <row r="45" spans="1:12" x14ac:dyDescent="0.35">
      <c r="A45" t="s">
        <v>99</v>
      </c>
      <c r="B45" s="52">
        <v>16800000</v>
      </c>
      <c r="C45" s="52">
        <v>4000000</v>
      </c>
      <c r="D45" s="12"/>
      <c r="E45" t="s">
        <v>100</v>
      </c>
      <c r="K45" s="12"/>
    </row>
    <row r="46" spans="1:12" x14ac:dyDescent="0.35">
      <c r="A46" t="s">
        <v>101</v>
      </c>
      <c r="B46" s="52"/>
      <c r="C46" s="52">
        <v>3000000</v>
      </c>
      <c r="E46" t="s">
        <v>102</v>
      </c>
      <c r="I46" s="52">
        <v>10000000</v>
      </c>
    </row>
    <row r="47" spans="1:12" x14ac:dyDescent="0.35">
      <c r="A47" t="s">
        <v>103</v>
      </c>
      <c r="B47" s="52">
        <v>15600000</v>
      </c>
      <c r="C47" s="52">
        <v>2500000</v>
      </c>
      <c r="D47" s="12"/>
      <c r="E47" t="s">
        <v>102</v>
      </c>
      <c r="H47" t="s">
        <v>104</v>
      </c>
      <c r="I47" s="52">
        <v>12000000</v>
      </c>
    </row>
    <row r="48" spans="1:12" x14ac:dyDescent="0.35">
      <c r="A48" t="s">
        <v>105</v>
      </c>
      <c r="B48" s="52">
        <v>15000000</v>
      </c>
      <c r="C48" s="52">
        <v>2000000</v>
      </c>
      <c r="D48" s="12"/>
      <c r="E48" t="s">
        <v>102</v>
      </c>
      <c r="H48" t="s">
        <v>106</v>
      </c>
      <c r="I48" s="52">
        <v>14000000</v>
      </c>
    </row>
    <row r="49" spans="1:9" x14ac:dyDescent="0.35">
      <c r="A49" t="s">
        <v>107</v>
      </c>
      <c r="B49" s="52">
        <v>15000000</v>
      </c>
      <c r="C49" s="52">
        <v>1850000</v>
      </c>
      <c r="D49" s="12"/>
      <c r="E49" t="s">
        <v>102</v>
      </c>
      <c r="H49" t="s">
        <v>108</v>
      </c>
      <c r="I49" s="52">
        <v>14000000</v>
      </c>
    </row>
    <row r="50" spans="1:9" x14ac:dyDescent="0.35">
      <c r="A50" t="s">
        <v>109</v>
      </c>
      <c r="B50" s="52">
        <v>12000000</v>
      </c>
      <c r="C50" s="52">
        <v>1200000</v>
      </c>
      <c r="D50" s="12"/>
      <c r="E50" t="s">
        <v>102</v>
      </c>
      <c r="H50" t="s">
        <v>99</v>
      </c>
      <c r="I50" s="52">
        <v>17000000</v>
      </c>
    </row>
    <row r="51" spans="1:9" x14ac:dyDescent="0.35">
      <c r="A51" t="s">
        <v>110</v>
      </c>
      <c r="B51" s="52">
        <v>16800000</v>
      </c>
      <c r="C51" s="52">
        <v>2000000</v>
      </c>
      <c r="D51" s="12"/>
      <c r="E51" t="s">
        <v>102</v>
      </c>
      <c r="H51" t="s">
        <v>110</v>
      </c>
      <c r="I51" s="52">
        <v>14000000</v>
      </c>
    </row>
    <row r="52" spans="1:9" x14ac:dyDescent="0.35">
      <c r="A52" t="s">
        <v>111</v>
      </c>
      <c r="B52" s="52">
        <v>15720000</v>
      </c>
      <c r="C52" s="52">
        <v>3500000</v>
      </c>
      <c r="D52" s="12"/>
    </row>
    <row r="53" spans="1:9" x14ac:dyDescent="0.35">
      <c r="A53" t="s">
        <v>112</v>
      </c>
      <c r="C53" s="52">
        <v>2800000</v>
      </c>
      <c r="D53" s="12"/>
    </row>
    <row r="54" spans="1:9" x14ac:dyDescent="0.35">
      <c r="A54" t="s">
        <v>113</v>
      </c>
      <c r="B54">
        <v>0</v>
      </c>
      <c r="C54" s="52">
        <v>0</v>
      </c>
      <c r="D54" t="s">
        <v>114</v>
      </c>
    </row>
    <row r="56" spans="1:9" x14ac:dyDescent="0.35">
      <c r="B56" s="65" t="s">
        <v>115</v>
      </c>
      <c r="C56" s="65"/>
    </row>
    <row r="57" spans="1:9" x14ac:dyDescent="0.35">
      <c r="B57" s="52">
        <v>7000000</v>
      </c>
      <c r="D57" s="12">
        <f>B57/12</f>
        <v>583333.33333333337</v>
      </c>
    </row>
    <row r="58" spans="1:9" x14ac:dyDescent="0.35">
      <c r="B58" s="52"/>
      <c r="D58" s="12"/>
    </row>
    <row r="60" spans="1:9" s="178" customFormat="1" x14ac:dyDescent="0.35"/>
    <row r="62" spans="1:9" x14ac:dyDescent="0.35">
      <c r="A62" s="71" t="s">
        <v>116</v>
      </c>
      <c r="B62" s="12"/>
    </row>
    <row r="63" spans="1:9" x14ac:dyDescent="0.35">
      <c r="A63" t="s">
        <v>117</v>
      </c>
    </row>
    <row r="64" spans="1:9" x14ac:dyDescent="0.35">
      <c r="A64" t="s">
        <v>118</v>
      </c>
      <c r="B64" s="52">
        <v>36000000</v>
      </c>
    </row>
    <row r="65" spans="1:3" x14ac:dyDescent="0.35">
      <c r="A65" t="s">
        <v>119</v>
      </c>
      <c r="B65" s="52">
        <v>42000000</v>
      </c>
    </row>
    <row r="66" spans="1:3" x14ac:dyDescent="0.35">
      <c r="A66" t="s">
        <v>120</v>
      </c>
      <c r="B66" s="52">
        <v>48000000</v>
      </c>
      <c r="C66" s="12">
        <f>B66/12</f>
        <v>4000000</v>
      </c>
    </row>
    <row r="68" spans="1:3" x14ac:dyDescent="0.35">
      <c r="A68" t="s">
        <v>121</v>
      </c>
    </row>
    <row r="69" spans="1:3" x14ac:dyDescent="0.35">
      <c r="A69" t="s">
        <v>122</v>
      </c>
      <c r="B69" s="52">
        <v>75000000</v>
      </c>
    </row>
    <row r="70" spans="1:3" x14ac:dyDescent="0.35">
      <c r="A70" t="s">
        <v>120</v>
      </c>
      <c r="B70" s="52">
        <v>95000000</v>
      </c>
    </row>
  </sheetData>
  <mergeCells count="3">
    <mergeCell ref="J33:J34"/>
    <mergeCell ref="K33:K34"/>
    <mergeCell ref="B35:B37"/>
  </mergeCells>
  <conditionalFormatting sqref="B17:F17">
    <cfRule type="cellIs" dxfId="7" priority="8" operator="lessThan">
      <formula>0</formula>
    </cfRule>
  </conditionalFormatting>
  <conditionalFormatting sqref="B5:K5">
    <cfRule type="cellIs" dxfId="6" priority="7" operator="lessThan">
      <formula>0</formula>
    </cfRule>
  </conditionalFormatting>
  <conditionalFormatting sqref="D9:M9">
    <cfRule type="cellIs" dxfId="5" priority="6" operator="lessThan">
      <formula>0</formula>
    </cfRule>
  </conditionalFormatting>
  <conditionalFormatting sqref="B13:E13">
    <cfRule type="cellIs" dxfId="4" priority="5" operator="lessThan">
      <formula>0</formula>
    </cfRule>
  </conditionalFormatting>
  <conditionalFormatting sqref="F13:L13">
    <cfRule type="cellIs" dxfId="3" priority="4" operator="lessThan">
      <formula>0</formula>
    </cfRule>
  </conditionalFormatting>
  <conditionalFormatting sqref="G17:M17">
    <cfRule type="cellIs" dxfId="2" priority="3" operator="lessThan">
      <formula>0</formula>
    </cfRule>
  </conditionalFormatting>
  <conditionalFormatting sqref="B21:F21">
    <cfRule type="cellIs" dxfId="1" priority="2" operator="lessThan">
      <formula>0</formula>
    </cfRule>
  </conditionalFormatting>
  <conditionalFormatting sqref="H21:N21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E1884-0046-41FD-9DB0-9F05C6F26D8D}">
  <dimension ref="A1:F30"/>
  <sheetViews>
    <sheetView zoomScaleNormal="100" workbookViewId="0">
      <selection activeCell="F3" sqref="F3"/>
    </sheetView>
  </sheetViews>
  <sheetFormatPr defaultColWidth="8.1640625" defaultRowHeight="14.5" x14ac:dyDescent="0.35"/>
  <cols>
    <col min="1" max="1" width="5" style="78" customWidth="1"/>
    <col min="2" max="2" width="26.4140625" style="78" customWidth="1"/>
    <col min="3" max="3" width="50.9140625" style="78" hidden="1" customWidth="1"/>
    <col min="4" max="4" width="57.33203125" style="78" hidden="1" customWidth="1"/>
    <col min="5" max="5" width="36.9140625" style="78" customWidth="1"/>
    <col min="6" max="6" width="36.83203125" style="78" bestFit="1" customWidth="1"/>
    <col min="7" max="16384" width="8.1640625" style="78"/>
  </cols>
  <sheetData>
    <row r="1" spans="1:6" ht="21" x14ac:dyDescent="0.5">
      <c r="E1" s="79" t="s">
        <v>129</v>
      </c>
    </row>
    <row r="3" spans="1:6" x14ac:dyDescent="0.35">
      <c r="A3" s="80" t="s">
        <v>130</v>
      </c>
      <c r="B3" s="80"/>
      <c r="E3" s="81" t="s">
        <v>131</v>
      </c>
    </row>
    <row r="4" spans="1:6" x14ac:dyDescent="0.35">
      <c r="A4" s="80" t="s">
        <v>132</v>
      </c>
      <c r="B4" s="80"/>
      <c r="E4" s="81" t="s">
        <v>133</v>
      </c>
    </row>
    <row r="5" spans="1:6" x14ac:dyDescent="0.35">
      <c r="A5" s="80" t="s">
        <v>134</v>
      </c>
      <c r="B5" s="80"/>
      <c r="E5" s="81" t="s">
        <v>135</v>
      </c>
    </row>
    <row r="6" spans="1:6" x14ac:dyDescent="0.35">
      <c r="A6" s="80" t="s">
        <v>136</v>
      </c>
      <c r="B6" s="80"/>
      <c r="E6" s="81" t="s">
        <v>137</v>
      </c>
    </row>
    <row r="7" spans="1:6" x14ac:dyDescent="0.35">
      <c r="A7" s="80" t="s">
        <v>138</v>
      </c>
      <c r="B7" s="80"/>
      <c r="E7" s="81" t="s">
        <v>139</v>
      </c>
    </row>
    <row r="9" spans="1:6" ht="14.4" customHeight="1" x14ac:dyDescent="0.35">
      <c r="A9" s="247" t="s">
        <v>140</v>
      </c>
      <c r="B9" s="248" t="s">
        <v>141</v>
      </c>
      <c r="C9" s="248" t="s">
        <v>142</v>
      </c>
      <c r="D9" s="248" t="s">
        <v>142</v>
      </c>
      <c r="E9" s="248" t="s">
        <v>205</v>
      </c>
      <c r="F9" s="242" t="s">
        <v>123</v>
      </c>
    </row>
    <row r="10" spans="1:6" ht="15" customHeight="1" x14ac:dyDescent="0.35">
      <c r="A10" s="247"/>
      <c r="B10" s="249"/>
      <c r="C10" s="249"/>
      <c r="D10" s="249"/>
      <c r="E10" s="249"/>
      <c r="F10" s="243"/>
    </row>
    <row r="11" spans="1:6" x14ac:dyDescent="0.35">
      <c r="A11" s="82">
        <v>1</v>
      </c>
      <c r="B11" s="83" t="s">
        <v>143</v>
      </c>
      <c r="C11" s="83" t="s">
        <v>58</v>
      </c>
      <c r="D11" s="83" t="s">
        <v>58</v>
      </c>
      <c r="E11" s="83" t="s">
        <v>58</v>
      </c>
      <c r="F11" s="206" t="s">
        <v>58</v>
      </c>
    </row>
    <row r="12" spans="1:6" x14ac:dyDescent="0.35">
      <c r="A12" s="82">
        <v>2</v>
      </c>
      <c r="B12" s="83" t="s">
        <v>144</v>
      </c>
      <c r="C12" s="84" t="str">
        <f>E7</f>
        <v>:  175 Omni +  12 Unit Pole Antenna + RBS 60  m²</v>
      </c>
      <c r="D12" s="85" t="str">
        <f>E7</f>
        <v>:  175 Omni +  12 Unit Pole Antenna + RBS 60  m²</v>
      </c>
      <c r="E12" s="85" t="s">
        <v>139</v>
      </c>
      <c r="F12" s="85" t="s">
        <v>139</v>
      </c>
    </row>
    <row r="13" spans="1:6" x14ac:dyDescent="0.35">
      <c r="A13" s="82">
        <v>3</v>
      </c>
      <c r="B13" s="83" t="s">
        <v>145</v>
      </c>
      <c r="C13" s="83" t="s">
        <v>146</v>
      </c>
      <c r="D13" s="83" t="s">
        <v>147</v>
      </c>
      <c r="E13" s="83" t="s">
        <v>170</v>
      </c>
      <c r="F13" s="83" t="s">
        <v>206</v>
      </c>
    </row>
    <row r="14" spans="1:6" ht="15.5" x14ac:dyDescent="0.35">
      <c r="A14" s="82">
        <v>4</v>
      </c>
      <c r="B14" s="86" t="s">
        <v>148</v>
      </c>
      <c r="C14" s="87" t="s">
        <v>149</v>
      </c>
      <c r="D14" s="87" t="s">
        <v>150</v>
      </c>
      <c r="E14" s="87" t="s">
        <v>150</v>
      </c>
      <c r="F14" s="87" t="s">
        <v>207</v>
      </c>
    </row>
    <row r="15" spans="1:6" x14ac:dyDescent="0.35">
      <c r="A15" s="250">
        <v>6</v>
      </c>
      <c r="B15" s="83" t="s">
        <v>151</v>
      </c>
      <c r="C15" s="83" t="s">
        <v>152</v>
      </c>
      <c r="D15" s="83" t="s">
        <v>152</v>
      </c>
      <c r="E15" s="83" t="s">
        <v>152</v>
      </c>
      <c r="F15" s="83" t="s">
        <v>152</v>
      </c>
    </row>
    <row r="16" spans="1:6" x14ac:dyDescent="0.35">
      <c r="A16" s="251"/>
      <c r="B16" s="83"/>
      <c r="C16" s="83" t="s">
        <v>153</v>
      </c>
      <c r="D16" s="83" t="s">
        <v>153</v>
      </c>
      <c r="E16" s="83" t="s">
        <v>153</v>
      </c>
      <c r="F16" s="83" t="s">
        <v>153</v>
      </c>
    </row>
    <row r="17" spans="1:6" x14ac:dyDescent="0.35">
      <c r="A17" s="89"/>
      <c r="B17" s="83"/>
      <c r="C17" s="90" t="s">
        <v>154</v>
      </c>
      <c r="D17" s="90" t="s">
        <v>154</v>
      </c>
      <c r="E17" s="83" t="s">
        <v>154</v>
      </c>
      <c r="F17" s="83" t="s">
        <v>208</v>
      </c>
    </row>
    <row r="18" spans="1:6" x14ac:dyDescent="0.35">
      <c r="A18" s="82">
        <v>7</v>
      </c>
      <c r="B18" s="83" t="s">
        <v>155</v>
      </c>
      <c r="C18" s="91" t="s">
        <v>156</v>
      </c>
      <c r="D18" s="244" t="s">
        <v>209</v>
      </c>
      <c r="E18" s="245"/>
      <c r="F18" s="246"/>
    </row>
    <row r="19" spans="1:6" x14ac:dyDescent="0.35">
      <c r="F19" s="88"/>
    </row>
    <row r="20" spans="1:6" x14ac:dyDescent="0.35">
      <c r="F20" s="207"/>
    </row>
    <row r="22" spans="1:6" x14ac:dyDescent="0.35">
      <c r="C22" s="92"/>
    </row>
    <row r="25" spans="1:6" x14ac:dyDescent="0.35">
      <c r="C25" s="93"/>
    </row>
    <row r="26" spans="1:6" ht="15.5" x14ac:dyDescent="0.35">
      <c r="B26" s="94"/>
      <c r="C26" s="95"/>
    </row>
    <row r="27" spans="1:6" ht="15.5" x14ac:dyDescent="0.35">
      <c r="B27" s="94"/>
      <c r="C27" s="94"/>
    </row>
    <row r="28" spans="1:6" ht="15.5" x14ac:dyDescent="0.35">
      <c r="B28" s="94"/>
      <c r="C28" s="94"/>
    </row>
    <row r="29" spans="1:6" ht="15.5" x14ac:dyDescent="0.35">
      <c r="B29" s="94"/>
      <c r="C29" s="94"/>
    </row>
    <row r="30" spans="1:6" ht="15.5" x14ac:dyDescent="0.35">
      <c r="B30" s="94"/>
      <c r="C30" s="94"/>
    </row>
  </sheetData>
  <mergeCells count="8">
    <mergeCell ref="F9:F10"/>
    <mergeCell ref="D18:F18"/>
    <mergeCell ref="A9:A10"/>
    <mergeCell ref="B9:B10"/>
    <mergeCell ref="C9:C10"/>
    <mergeCell ref="D9:D10"/>
    <mergeCell ref="E9:E10"/>
    <mergeCell ref="A15:A16"/>
  </mergeCells>
  <pageMargins left="0.46" right="0.17" top="0.74803149606299213" bottom="0.74803149606299213" header="0.31496062992125984" footer="0.31496062992125984"/>
  <pageSetup paperSize="9" scale="8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69586-6C4C-4531-945D-61193E7BDED6}">
  <dimension ref="A2:M17"/>
  <sheetViews>
    <sheetView workbookViewId="0">
      <selection activeCell="C21" sqref="C21"/>
    </sheetView>
  </sheetViews>
  <sheetFormatPr defaultColWidth="8.83203125" defaultRowHeight="14.5" x14ac:dyDescent="0.35"/>
  <cols>
    <col min="1" max="1" width="24.4140625" style="96" customWidth="1"/>
    <col min="2" max="2" width="11.58203125" style="96" customWidth="1"/>
    <col min="3" max="3" width="12.58203125" style="96" customWidth="1"/>
    <col min="4" max="4" width="8" style="96" customWidth="1"/>
    <col min="5" max="5" width="14.5" style="96" bestFit="1" customWidth="1"/>
    <col min="6" max="6" width="12.9140625" style="96" bestFit="1" customWidth="1"/>
    <col min="7" max="10" width="8.83203125" style="96"/>
    <col min="11" max="11" width="10.08203125" style="96" bestFit="1" customWidth="1"/>
    <col min="12" max="16384" width="8.83203125" style="96"/>
  </cols>
  <sheetData>
    <row r="2" spans="1:13" x14ac:dyDescent="0.35">
      <c r="A2" s="252" t="s">
        <v>157</v>
      </c>
      <c r="B2" s="252"/>
      <c r="C2" s="252"/>
      <c r="D2" s="252"/>
      <c r="E2" s="252"/>
      <c r="F2" s="252"/>
      <c r="G2" s="78"/>
      <c r="H2" s="78"/>
      <c r="I2" s="78"/>
      <c r="J2" s="78"/>
      <c r="K2" s="78"/>
      <c r="L2" s="78"/>
      <c r="M2" s="78"/>
    </row>
    <row r="3" spans="1:13" x14ac:dyDescent="0.35">
      <c r="A3" s="97" t="s">
        <v>158</v>
      </c>
      <c r="B3" s="97" t="s">
        <v>159</v>
      </c>
      <c r="C3" s="97" t="s">
        <v>160</v>
      </c>
      <c r="D3" s="98"/>
      <c r="G3" s="78"/>
      <c r="H3" s="78"/>
      <c r="I3" s="78"/>
      <c r="J3" s="78"/>
      <c r="K3" s="78"/>
      <c r="L3" s="78"/>
      <c r="M3" s="78"/>
    </row>
    <row r="4" spans="1:13" x14ac:dyDescent="0.35">
      <c r="A4" s="83" t="s">
        <v>161</v>
      </c>
      <c r="B4" s="99">
        <v>44283</v>
      </c>
      <c r="C4" s="99">
        <v>46108</v>
      </c>
      <c r="D4" s="100"/>
      <c r="E4" s="100"/>
      <c r="F4" s="100"/>
      <c r="G4" s="100"/>
      <c r="H4" s="78"/>
      <c r="I4" s="78"/>
      <c r="J4" s="78"/>
      <c r="K4" s="78"/>
      <c r="L4" s="78"/>
      <c r="M4" s="78"/>
    </row>
    <row r="5" spans="1:13" x14ac:dyDescent="0.35">
      <c r="A5" s="83" t="s">
        <v>162</v>
      </c>
      <c r="B5" s="99">
        <v>45331</v>
      </c>
      <c r="C5" s="99">
        <v>46426</v>
      </c>
      <c r="D5" s="100"/>
      <c r="E5" s="101"/>
      <c r="F5" s="101"/>
      <c r="G5" s="78"/>
      <c r="H5" s="78"/>
      <c r="I5" s="78"/>
      <c r="J5" s="78"/>
      <c r="K5" s="78"/>
      <c r="L5" s="78"/>
      <c r="M5" s="78"/>
    </row>
    <row r="6" spans="1:13" x14ac:dyDescent="0.35">
      <c r="A6" s="83" t="s">
        <v>163</v>
      </c>
      <c r="B6" s="99">
        <v>45665</v>
      </c>
      <c r="C6" s="99">
        <v>47490</v>
      </c>
      <c r="D6" s="100"/>
      <c r="G6" s="78"/>
      <c r="H6" s="78"/>
      <c r="I6" s="78"/>
      <c r="J6" s="78"/>
      <c r="K6" s="78"/>
      <c r="L6" s="78"/>
      <c r="M6" s="78"/>
    </row>
    <row r="7" spans="1:13" x14ac:dyDescent="0.35">
      <c r="A7" s="78"/>
      <c r="G7" s="78"/>
      <c r="H7" s="78"/>
      <c r="I7" s="78"/>
      <c r="J7" s="78"/>
      <c r="K7" s="78"/>
      <c r="L7" s="78"/>
      <c r="M7" s="78"/>
    </row>
    <row r="8" spans="1:13" x14ac:dyDescent="0.35">
      <c r="A8" s="78"/>
      <c r="B8" s="97" t="s">
        <v>159</v>
      </c>
      <c r="C8" s="97" t="s">
        <v>160</v>
      </c>
      <c r="D8" s="97" t="s">
        <v>164</v>
      </c>
      <c r="E8" s="100"/>
      <c r="F8" s="100"/>
      <c r="G8" s="78"/>
      <c r="H8" s="78"/>
      <c r="I8" s="78"/>
      <c r="J8" s="78"/>
      <c r="K8" s="78"/>
      <c r="L8" s="78"/>
      <c r="M8" s="78"/>
    </row>
    <row r="9" spans="1:13" x14ac:dyDescent="0.35">
      <c r="A9" s="102" t="s">
        <v>210</v>
      </c>
      <c r="B9" s="102"/>
      <c r="C9" s="102"/>
      <c r="D9" s="102"/>
      <c r="E9" s="102"/>
      <c r="F9" s="102"/>
      <c r="G9" s="78"/>
      <c r="H9" s="78"/>
      <c r="I9" s="78"/>
      <c r="J9" s="78"/>
      <c r="K9" s="78"/>
      <c r="L9" s="78"/>
      <c r="M9" s="78"/>
    </row>
    <row r="10" spans="1:13" x14ac:dyDescent="0.35">
      <c r="A10" s="102" t="s">
        <v>165</v>
      </c>
      <c r="B10" s="103">
        <f>B6</f>
        <v>45665</v>
      </c>
      <c r="C10" s="103">
        <v>46426</v>
      </c>
      <c r="D10" s="104">
        <f>C10-B10</f>
        <v>761</v>
      </c>
      <c r="E10" s="105">
        <v>150000000</v>
      </c>
      <c r="F10" s="106">
        <f>E10/365*D10</f>
        <v>312739726.02739727</v>
      </c>
      <c r="G10" s="78"/>
      <c r="H10" s="78"/>
      <c r="I10" s="78"/>
      <c r="J10" s="78"/>
      <c r="K10" s="78"/>
      <c r="L10" s="78"/>
      <c r="M10" s="78"/>
    </row>
    <row r="11" spans="1:13" x14ac:dyDescent="0.35">
      <c r="A11" s="102" t="s">
        <v>161</v>
      </c>
      <c r="B11" s="103">
        <f>B6</f>
        <v>45665</v>
      </c>
      <c r="C11" s="103">
        <v>46108</v>
      </c>
      <c r="D11" s="104">
        <f t="shared" ref="D11:D14" si="0">C11-B11</f>
        <v>443</v>
      </c>
      <c r="E11" s="105">
        <v>222000000</v>
      </c>
      <c r="F11" s="106">
        <f>E11/365*D11</f>
        <v>269441095.89041096</v>
      </c>
      <c r="G11" s="78"/>
      <c r="H11" s="78"/>
      <c r="I11" s="78"/>
      <c r="J11" s="78"/>
      <c r="K11" s="78"/>
      <c r="L11" s="78"/>
      <c r="M11" s="78"/>
    </row>
    <row r="12" spans="1:13" x14ac:dyDescent="0.35">
      <c r="A12" s="102" t="s">
        <v>166</v>
      </c>
      <c r="B12" s="103">
        <f>B6</f>
        <v>45665</v>
      </c>
      <c r="C12" s="103">
        <v>47490</v>
      </c>
      <c r="D12" s="104">
        <f>C12-B12</f>
        <v>1825</v>
      </c>
      <c r="E12" s="105">
        <v>50000000</v>
      </c>
      <c r="F12" s="106">
        <f>-E12/365*D12</f>
        <v>-250000000</v>
      </c>
      <c r="G12" s="78"/>
      <c r="H12" s="78"/>
      <c r="I12" s="78"/>
      <c r="J12" s="78"/>
      <c r="K12" s="78"/>
      <c r="L12" s="78"/>
      <c r="M12" s="78"/>
    </row>
    <row r="13" spans="1:13" x14ac:dyDescent="0.35">
      <c r="A13" s="102" t="s">
        <v>167</v>
      </c>
      <c r="B13" s="103">
        <f>B6</f>
        <v>45665</v>
      </c>
      <c r="C13" s="103">
        <v>46108</v>
      </c>
      <c r="D13" s="104">
        <f t="shared" si="0"/>
        <v>443</v>
      </c>
      <c r="E13" s="105">
        <v>65000000</v>
      </c>
      <c r="F13" s="106">
        <f>-E13/365*D13</f>
        <v>-78890410.958904102</v>
      </c>
      <c r="G13" s="78"/>
      <c r="H13" s="78"/>
      <c r="I13" s="78"/>
      <c r="J13" s="78"/>
      <c r="K13" s="78"/>
      <c r="L13" s="78"/>
      <c r="M13" s="78"/>
    </row>
    <row r="14" spans="1:13" x14ac:dyDescent="0.35">
      <c r="A14" s="102" t="s">
        <v>211</v>
      </c>
      <c r="B14" s="103">
        <f>B6</f>
        <v>45665</v>
      </c>
      <c r="C14" s="103">
        <v>46108</v>
      </c>
      <c r="D14" s="104">
        <f t="shared" si="0"/>
        <v>443</v>
      </c>
      <c r="E14" s="105">
        <v>39620000</v>
      </c>
      <c r="F14" s="106">
        <f>-E14/365*D14</f>
        <v>-48086739.726027399</v>
      </c>
      <c r="G14" s="78"/>
      <c r="H14" s="78"/>
      <c r="I14" s="78"/>
      <c r="J14" s="78"/>
      <c r="K14" s="78"/>
      <c r="L14" s="78"/>
      <c r="M14" s="78"/>
    </row>
    <row r="15" spans="1:13" x14ac:dyDescent="0.35">
      <c r="A15" s="102" t="s">
        <v>168</v>
      </c>
      <c r="B15" s="102"/>
      <c r="C15" s="102"/>
      <c r="D15" s="102"/>
      <c r="E15" s="107">
        <v>100000000</v>
      </c>
      <c r="F15" s="108"/>
      <c r="G15" s="78"/>
      <c r="H15" s="78"/>
      <c r="I15" s="78"/>
      <c r="J15" s="78"/>
      <c r="K15" s="78"/>
      <c r="L15" s="78"/>
      <c r="M15" s="78"/>
    </row>
    <row r="16" spans="1:13" x14ac:dyDescent="0.35">
      <c r="A16" s="102" t="s">
        <v>169</v>
      </c>
      <c r="B16" s="102"/>
      <c r="C16" s="102"/>
      <c r="D16" s="102"/>
      <c r="E16" s="102"/>
      <c r="F16" s="106">
        <f>SUM(F10:F15)</f>
        <v>205203671.23287681</v>
      </c>
      <c r="G16" s="78"/>
      <c r="H16" s="78"/>
      <c r="I16" s="78"/>
      <c r="J16" s="78"/>
      <c r="K16" s="78"/>
      <c r="L16" s="78"/>
      <c r="M16" s="78"/>
    </row>
    <row r="17" spans="1:13" x14ac:dyDescent="0.35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</row>
  </sheetData>
  <mergeCells count="1">
    <mergeCell ref="A2:F2"/>
  </mergeCells>
  <pageMargins left="0.16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PARAMETER</vt:lpstr>
      <vt:lpstr>Summary BR</vt:lpstr>
      <vt:lpstr>Analisa</vt:lpstr>
      <vt:lpstr>Analisa!Print_Area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2024-01-29T02:51:06Z</cp:lastPrinted>
  <dcterms:created xsi:type="dcterms:W3CDTF">2020-06-08T08:40:20Z</dcterms:created>
  <dcterms:modified xsi:type="dcterms:W3CDTF">2025-01-03T03:13:34Z</dcterms:modified>
</cp:coreProperties>
</file>