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V:\2020 strategic planning\PnL\IBC\Hotel Swissbell Batam\"/>
    </mc:Choice>
  </mc:AlternateContent>
  <xr:revisionPtr revIDLastSave="0" documentId="13_ncr:1_{D890A57D-78B3-4966-A667-31E1754CC441}" xr6:coauthVersionLast="36" xr6:coauthVersionMax="47" xr10:uidLastSave="{00000000-0000-0000-0000-000000000000}"/>
  <bookViews>
    <workbookView xWindow="-108" yWindow="-108" windowWidth="23256" windowHeight="12456" xr2:uid="{A4174494-61B9-4994-8303-9C4639E059BD}"/>
  </bookViews>
  <sheets>
    <sheet name="Summary" sheetId="1" r:id="rId1"/>
    <sheet name="IRR" sheetId="2" r:id="rId2"/>
    <sheet name="Parameter" sheetId="4" r:id="rId3"/>
    <sheet name="IRR zest dan swissbell" sheetId="12" r:id="rId4"/>
    <sheet name="IRR zest Menanggung" sheetId="13" r:id="rId5"/>
    <sheet name="Summary Review new (2)" sheetId="11" r:id="rId6"/>
    <sheet name="Analisa" sheetId="14" r:id="rId7"/>
  </sheets>
  <externalReferences>
    <externalReference r:id="rId8"/>
    <externalReference r:id="rId9"/>
    <externalReference r:id="rId10"/>
  </externalReferences>
  <definedNames>
    <definedName name="jk" localSheetId="6">#REF!</definedName>
    <definedName name="jk" localSheetId="1">#REF!</definedName>
    <definedName name="jk" localSheetId="3">#REF!</definedName>
    <definedName name="jk" localSheetId="4">#REF!</definedName>
    <definedName name="jk" localSheetId="0">#REF!</definedName>
    <definedName name="jk" localSheetId="5">#REF!</definedName>
    <definedName name="jk">#REF!</definedName>
    <definedName name="_xlnm.Print_Area" localSheetId="6">Analisa!$A$2:$F$31</definedName>
    <definedName name="_xlnm.Print_Area" localSheetId="1">IRR!$B$1:$Q$53</definedName>
    <definedName name="_xlnm.Print_Area" localSheetId="3">'IRR zest dan swissbell'!$B$1:$Q$54</definedName>
    <definedName name="_xlnm.Print_Area" localSheetId="4">'IRR zest Menanggung'!$A$1:$Q$60</definedName>
    <definedName name="_xlnm.Print_Area" localSheetId="0">Summary!$B$2:$N$34</definedName>
    <definedName name="_xlnm.Print_Area" localSheetId="5">'Summary Review new (2)'!$A$1:$D$17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6" i="1" l="1"/>
  <c r="G27" i="12" l="1"/>
  <c r="D28" i="14"/>
  <c r="D27" i="14"/>
  <c r="D26" i="14"/>
  <c r="F26" i="14" s="1"/>
  <c r="E25" i="14"/>
  <c r="F25" i="14" s="1"/>
  <c r="D25" i="14"/>
  <c r="D24" i="14"/>
  <c r="F24" i="14" s="1"/>
  <c r="D23" i="14"/>
  <c r="F23" i="14" s="1"/>
  <c r="E22" i="14"/>
  <c r="D22" i="14"/>
  <c r="E17" i="14"/>
  <c r="F17" i="14" s="1"/>
  <c r="E16" i="14"/>
  <c r="F16" i="14" s="1"/>
  <c r="E66" i="4"/>
  <c r="D66" i="4"/>
  <c r="E65" i="4"/>
  <c r="J76" i="4"/>
  <c r="L76" i="4"/>
  <c r="E63" i="4"/>
  <c r="D63" i="4"/>
  <c r="E64" i="4"/>
  <c r="D64" i="4"/>
  <c r="D16" i="14"/>
  <c r="D17" i="14"/>
  <c r="D15" i="14"/>
  <c r="F18" i="14" s="1"/>
  <c r="D12" i="14"/>
  <c r="F12" i="14" s="1"/>
  <c r="D13" i="14"/>
  <c r="F13" i="14" s="1"/>
  <c r="D14" i="14"/>
  <c r="E14" i="14"/>
  <c r="E11" i="14"/>
  <c r="D11" i="14"/>
  <c r="F28" i="14" l="1"/>
  <c r="F22" i="14"/>
  <c r="F14" i="14"/>
  <c r="F27" i="14"/>
  <c r="F29" i="14"/>
  <c r="F15" i="14"/>
  <c r="F11" i="14"/>
  <c r="F19" i="14" s="1"/>
  <c r="F30" i="14" l="1"/>
  <c r="D20" i="11" l="1"/>
  <c r="G29" i="13"/>
  <c r="G54" i="13"/>
  <c r="I51" i="13"/>
  <c r="K51" i="13" s="1"/>
  <c r="H50" i="13"/>
  <c r="J50" i="13" s="1"/>
  <c r="K50" i="13" s="1"/>
  <c r="H49" i="13"/>
  <c r="H54" i="13" s="1"/>
  <c r="H32" i="13" s="1"/>
  <c r="G49" i="13"/>
  <c r="K48" i="13"/>
  <c r="J48" i="13"/>
  <c r="I48" i="13"/>
  <c r="H48" i="13"/>
  <c r="G48" i="13"/>
  <c r="F40" i="13"/>
  <c r="F41" i="13" s="1"/>
  <c r="K39" i="13"/>
  <c r="J39" i="13"/>
  <c r="I39" i="13"/>
  <c r="H39" i="13"/>
  <c r="K34" i="13"/>
  <c r="J34" i="13"/>
  <c r="I34" i="13"/>
  <c r="H34" i="13"/>
  <c r="G34" i="13"/>
  <c r="Q34" i="13" s="1"/>
  <c r="G32" i="13"/>
  <c r="H27" i="13"/>
  <c r="G27" i="13"/>
  <c r="Q20" i="13"/>
  <c r="Q19" i="13"/>
  <c r="Q18" i="13"/>
  <c r="G21" i="13"/>
  <c r="H12" i="13"/>
  <c r="I12" i="13" s="1"/>
  <c r="J12" i="13" s="1"/>
  <c r="K12" i="13" s="1"/>
  <c r="L12" i="13" s="1"/>
  <c r="M12" i="13" s="1"/>
  <c r="N12" i="13" s="1"/>
  <c r="O12" i="13" s="1"/>
  <c r="P12" i="13" s="1"/>
  <c r="G11" i="13"/>
  <c r="G39" i="13" s="1"/>
  <c r="Q10" i="13"/>
  <c r="Q11" i="13" s="1"/>
  <c r="Q9" i="13"/>
  <c r="E5" i="13"/>
  <c r="Q1" i="13"/>
  <c r="I51" i="12"/>
  <c r="K51" i="12" s="1"/>
  <c r="H50" i="12"/>
  <c r="J50" i="12" s="1"/>
  <c r="K50" i="12" s="1"/>
  <c r="G49" i="12"/>
  <c r="G54" i="12" s="1"/>
  <c r="G32" i="12" s="1"/>
  <c r="K48" i="12"/>
  <c r="J48" i="12"/>
  <c r="I48" i="12"/>
  <c r="H48" i="12"/>
  <c r="G48" i="12"/>
  <c r="F40" i="12"/>
  <c r="F41" i="12" s="1"/>
  <c r="K39" i="12"/>
  <c r="J39" i="12"/>
  <c r="I39" i="12"/>
  <c r="H39" i="12"/>
  <c r="K34" i="12"/>
  <c r="J34" i="12"/>
  <c r="I34" i="12"/>
  <c r="H34" i="12"/>
  <c r="G34" i="12"/>
  <c r="Q34" i="12" s="1"/>
  <c r="H27" i="12"/>
  <c r="I27" i="12" s="1"/>
  <c r="J27" i="12" s="1"/>
  <c r="K27" i="12" s="1"/>
  <c r="G26" i="12"/>
  <c r="H26" i="12" s="1"/>
  <c r="I26" i="12" s="1"/>
  <c r="J26" i="12" s="1"/>
  <c r="K26" i="12" s="1"/>
  <c r="H24" i="12"/>
  <c r="I24" i="12" s="1"/>
  <c r="G24" i="12"/>
  <c r="Q20" i="12"/>
  <c r="Q19" i="12"/>
  <c r="Q18" i="12"/>
  <c r="G17" i="12"/>
  <c r="G21" i="12" s="1"/>
  <c r="H12" i="12"/>
  <c r="I12" i="12" s="1"/>
  <c r="J12" i="12" s="1"/>
  <c r="K12" i="12" s="1"/>
  <c r="L12" i="12" s="1"/>
  <c r="M12" i="12" s="1"/>
  <c r="N12" i="12" s="1"/>
  <c r="O12" i="12" s="1"/>
  <c r="P12" i="12" s="1"/>
  <c r="G11" i="12"/>
  <c r="G39" i="12" s="1"/>
  <c r="Q10" i="12"/>
  <c r="Q11" i="12" s="1"/>
  <c r="Q9" i="12"/>
  <c r="E5" i="12"/>
  <c r="H24" i="2"/>
  <c r="I24" i="2" s="1"/>
  <c r="J24" i="2" s="1"/>
  <c r="G24" i="2"/>
  <c r="H49" i="12" l="1"/>
  <c r="I49" i="12" s="1"/>
  <c r="I54" i="12" s="1"/>
  <c r="I32" i="12" s="1"/>
  <c r="G30" i="13"/>
  <c r="G33" i="13" s="1"/>
  <c r="G35" i="13" s="1"/>
  <c r="Q27" i="13"/>
  <c r="Q26" i="13"/>
  <c r="I49" i="13"/>
  <c r="I27" i="13"/>
  <c r="J27" i="13" s="1"/>
  <c r="K27" i="13" s="1"/>
  <c r="J24" i="12"/>
  <c r="Q24" i="12" s="1"/>
  <c r="Q27" i="12"/>
  <c r="G29" i="12"/>
  <c r="G30" i="12" s="1"/>
  <c r="G33" i="12" s="1"/>
  <c r="G35" i="12" s="1"/>
  <c r="H17" i="12"/>
  <c r="Q26" i="12"/>
  <c r="Q24" i="2"/>
  <c r="E5" i="2"/>
  <c r="G25" i="2"/>
  <c r="J49" i="12" l="1"/>
  <c r="J54" i="12" s="1"/>
  <c r="H54" i="12"/>
  <c r="H32" i="12" s="1"/>
  <c r="J49" i="13"/>
  <c r="I54" i="13"/>
  <c r="G36" i="13"/>
  <c r="H21" i="13"/>
  <c r="Q24" i="13"/>
  <c r="G36" i="12"/>
  <c r="H21" i="12"/>
  <c r="I17" i="12"/>
  <c r="K49" i="12" l="1"/>
  <c r="H28" i="13"/>
  <c r="J54" i="13"/>
  <c r="J32" i="13" s="1"/>
  <c r="K49" i="13"/>
  <c r="I21" i="13"/>
  <c r="G37" i="13"/>
  <c r="G40" i="13" s="1"/>
  <c r="I32" i="13"/>
  <c r="H28" i="12"/>
  <c r="J17" i="12"/>
  <c r="I21" i="12"/>
  <c r="G37" i="12"/>
  <c r="G40" i="12" s="1"/>
  <c r="J32" i="12"/>
  <c r="G17" i="2"/>
  <c r="K54" i="12" l="1"/>
  <c r="Q49" i="12"/>
  <c r="K54" i="13"/>
  <c r="Q49" i="13"/>
  <c r="G41" i="13"/>
  <c r="I28" i="13"/>
  <c r="I29" i="13" s="1"/>
  <c r="I30" i="13" s="1"/>
  <c r="J21" i="13"/>
  <c r="H29" i="13"/>
  <c r="H30" i="13" s="1"/>
  <c r="G41" i="12"/>
  <c r="H29" i="12"/>
  <c r="H30" i="12" s="1"/>
  <c r="I28" i="12"/>
  <c r="I29" i="12" s="1"/>
  <c r="I30" i="12" s="1"/>
  <c r="K17" i="12"/>
  <c r="J21" i="12"/>
  <c r="H17" i="2"/>
  <c r="K32" i="12" l="1"/>
  <c r="Q32" i="12" s="1"/>
  <c r="Q54" i="12"/>
  <c r="I33" i="13"/>
  <c r="I35" i="13" s="1"/>
  <c r="I31" i="13"/>
  <c r="H33" i="13"/>
  <c r="H35" i="13" s="1"/>
  <c r="H31" i="13"/>
  <c r="G42" i="13"/>
  <c r="K21" i="13"/>
  <c r="Q17" i="13"/>
  <c r="K32" i="13"/>
  <c r="Q32" i="13" s="1"/>
  <c r="Q54" i="13"/>
  <c r="J28" i="13"/>
  <c r="I33" i="12"/>
  <c r="I35" i="12" s="1"/>
  <c r="I31" i="12"/>
  <c r="J28" i="12"/>
  <c r="J29" i="12" s="1"/>
  <c r="J30" i="12" s="1"/>
  <c r="K21" i="12"/>
  <c r="Q17" i="12"/>
  <c r="Q21" i="12"/>
  <c r="H31" i="12"/>
  <c r="H33" i="12"/>
  <c r="H35" i="12" s="1"/>
  <c r="G42" i="12"/>
  <c r="E15" i="11"/>
  <c r="D12" i="11"/>
  <c r="C12" i="11"/>
  <c r="J29" i="13" l="1"/>
  <c r="J30" i="13" s="1"/>
  <c r="K28" i="13"/>
  <c r="K29" i="13" s="1"/>
  <c r="K30" i="13" s="1"/>
  <c r="Q21" i="13"/>
  <c r="H36" i="13"/>
  <c r="I36" i="13"/>
  <c r="I37" i="13" s="1"/>
  <c r="I40" i="13" s="1"/>
  <c r="J31" i="12"/>
  <c r="J33" i="12"/>
  <c r="J35" i="12" s="1"/>
  <c r="H36" i="12"/>
  <c r="H37" i="12" s="1"/>
  <c r="H40" i="12" s="1"/>
  <c r="K28" i="12"/>
  <c r="I36" i="12"/>
  <c r="I37" i="12" s="1"/>
  <c r="I40" i="12" s="1"/>
  <c r="Q10" i="2"/>
  <c r="G48" i="2"/>
  <c r="K33" i="13" l="1"/>
  <c r="K35" i="13" s="1"/>
  <c r="K31" i="13"/>
  <c r="H37" i="13"/>
  <c r="H40" i="13" s="1"/>
  <c r="Q28" i="13"/>
  <c r="Q29" i="13" s="1"/>
  <c r="Q30" i="13" s="1"/>
  <c r="J31" i="13"/>
  <c r="J33" i="13"/>
  <c r="J35" i="13" s="1"/>
  <c r="H41" i="12"/>
  <c r="K29" i="12"/>
  <c r="K30" i="12" s="1"/>
  <c r="Q28" i="12"/>
  <c r="Q29" i="12" s="1"/>
  <c r="Q30" i="12" s="1"/>
  <c r="J36" i="12"/>
  <c r="J37" i="12" s="1"/>
  <c r="J40" i="12" s="1"/>
  <c r="G11" i="2"/>
  <c r="Q33" i="13" l="1"/>
  <c r="Q31" i="13"/>
  <c r="F45" i="13" s="1"/>
  <c r="J36" i="13"/>
  <c r="Q35" i="13"/>
  <c r="H41" i="13"/>
  <c r="K36" i="13"/>
  <c r="K37" i="13" s="1"/>
  <c r="K40" i="13" s="1"/>
  <c r="Q33" i="12"/>
  <c r="Q31" i="12"/>
  <c r="F45" i="12" s="1"/>
  <c r="K33" i="12"/>
  <c r="K35" i="12" s="1"/>
  <c r="K31" i="12"/>
  <c r="I41" i="12"/>
  <c r="I42" i="12" s="1"/>
  <c r="H42" i="12"/>
  <c r="Q18" i="2"/>
  <c r="M8" i="1"/>
  <c r="I41" i="13" l="1"/>
  <c r="I42" i="13" s="1"/>
  <c r="H42" i="13"/>
  <c r="Q36" i="13"/>
  <c r="Q37" i="13" s="1"/>
  <c r="J37" i="13"/>
  <c r="J40" i="13" s="1"/>
  <c r="J41" i="12"/>
  <c r="J42" i="12"/>
  <c r="K36" i="12"/>
  <c r="Q36" i="12" s="1"/>
  <c r="Q35" i="12"/>
  <c r="Q37" i="12" s="1"/>
  <c r="A6" i="4"/>
  <c r="F44" i="13" l="1"/>
  <c r="Q40" i="13"/>
  <c r="F43" i="13"/>
  <c r="J41" i="13"/>
  <c r="J42" i="13"/>
  <c r="K37" i="12"/>
  <c r="K40" i="12" s="1"/>
  <c r="K41" i="12" s="1"/>
  <c r="K42" i="12" s="1"/>
  <c r="F46" i="12" s="1"/>
  <c r="I17" i="2"/>
  <c r="K41" i="13" l="1"/>
  <c r="K42" i="13" s="1"/>
  <c r="F46" i="13" s="1"/>
  <c r="F44" i="12"/>
  <c r="Q40" i="12"/>
  <c r="F43" i="12"/>
  <c r="J17" i="2"/>
  <c r="K17" i="2" s="1"/>
  <c r="Q17" i="2"/>
  <c r="N2" i="1"/>
  <c r="K38" i="2"/>
  <c r="A9" i="4"/>
  <c r="A12" i="4" s="1"/>
  <c r="A15" i="4" s="1"/>
  <c r="A18" i="4" s="1"/>
  <c r="A21" i="4" s="1"/>
  <c r="A24" i="4" s="1"/>
  <c r="A27" i="4" s="1"/>
  <c r="A30" i="4" s="1"/>
  <c r="G38" i="2"/>
  <c r="Q9" i="2"/>
  <c r="Q11" i="2" s="1"/>
  <c r="Q1" i="2" l="1"/>
  <c r="M12" i="1" l="1"/>
  <c r="C70" i="4"/>
  <c r="H69" i="4"/>
  <c r="H74" i="4" s="1"/>
  <c r="L29" i="4"/>
  <c r="L28" i="4"/>
  <c r="M27" i="4" s="1"/>
  <c r="M29" i="4" s="1"/>
  <c r="J26" i="4"/>
  <c r="J25" i="4"/>
  <c r="K24" i="4" s="1"/>
  <c r="I23" i="4"/>
  <c r="I22" i="4"/>
  <c r="J21" i="4" s="1"/>
  <c r="H20" i="4"/>
  <c r="H19" i="4"/>
  <c r="I18" i="4" s="1"/>
  <c r="I20" i="4" s="1"/>
  <c r="G16" i="4"/>
  <c r="H15" i="4" s="1"/>
  <c r="H17" i="4" s="1"/>
  <c r="G17" i="4"/>
  <c r="F13" i="4"/>
  <c r="F14" i="4"/>
  <c r="E11" i="4"/>
  <c r="D8" i="4"/>
  <c r="D7" i="4"/>
  <c r="C5" i="4"/>
  <c r="C34" i="4" s="1"/>
  <c r="H73" i="4" l="1"/>
  <c r="M31" i="4"/>
  <c r="N30" i="4" s="1"/>
  <c r="M32" i="4"/>
  <c r="K26" i="4"/>
  <c r="J23" i="4"/>
  <c r="N27" i="4"/>
  <c r="L24" i="4"/>
  <c r="L26" i="4" s="1"/>
  <c r="K21" i="4"/>
  <c r="J18" i="4"/>
  <c r="I15" i="4"/>
  <c r="O30" i="4" l="1"/>
  <c r="O32" i="4" s="1"/>
  <c r="N32" i="4"/>
  <c r="I17" i="4"/>
  <c r="J20" i="4"/>
  <c r="N29" i="4"/>
  <c r="K23" i="4"/>
  <c r="O27" i="4"/>
  <c r="M24" i="4"/>
  <c r="M26" i="4" s="1"/>
  <c r="L21" i="4"/>
  <c r="K18" i="4"/>
  <c r="J15" i="4"/>
  <c r="P30" i="4" l="1"/>
  <c r="P32" i="4"/>
  <c r="O29" i="4"/>
  <c r="K20" i="4"/>
  <c r="J17" i="4"/>
  <c r="L23" i="4"/>
  <c r="P27" i="4"/>
  <c r="N24" i="4"/>
  <c r="M21" i="4"/>
  <c r="L18" i="4"/>
  <c r="K15" i="4"/>
  <c r="Q30" i="4" l="1"/>
  <c r="Q32" i="4" s="1"/>
  <c r="P29" i="4"/>
  <c r="P34" i="4" s="1"/>
  <c r="K33" i="2" s="1"/>
  <c r="N26" i="4"/>
  <c r="M23" i="4"/>
  <c r="K17" i="4"/>
  <c r="L20" i="4"/>
  <c r="Q27" i="4"/>
  <c r="O24" i="4"/>
  <c r="O26" i="4" s="1"/>
  <c r="O34" i="4" s="1"/>
  <c r="N21" i="4"/>
  <c r="N23" i="4" s="1"/>
  <c r="M18" i="4"/>
  <c r="M20" i="4" s="1"/>
  <c r="L15" i="4"/>
  <c r="L17" i="4" s="1"/>
  <c r="I33" i="2" l="1"/>
  <c r="J33" i="2"/>
  <c r="N34" i="4"/>
  <c r="H33" i="2" s="1"/>
  <c r="L34" i="4"/>
  <c r="M34" i="4"/>
  <c r="G33" i="2" s="1"/>
  <c r="R30" i="4"/>
  <c r="R32" i="4" s="1"/>
  <c r="R34" i="4" s="1"/>
  <c r="Q29" i="4"/>
  <c r="Q34" i="4" s="1"/>
  <c r="H12" i="2" l="1"/>
  <c r="I12" i="2" s="1"/>
  <c r="J12" i="2" s="1"/>
  <c r="K12" i="2" s="1"/>
  <c r="L12" i="2" s="1"/>
  <c r="M12" i="2" s="1"/>
  <c r="N12" i="2" s="1"/>
  <c r="O12" i="2" s="1"/>
  <c r="P12" i="2" s="1"/>
  <c r="E74" i="4"/>
  <c r="I74" i="4" s="1"/>
  <c r="G73" i="4"/>
  <c r="E73" i="4"/>
  <c r="F72" i="4"/>
  <c r="I72" i="4" s="1"/>
  <c r="E71" i="4"/>
  <c r="I71" i="4" s="1"/>
  <c r="E70" i="4"/>
  <c r="B43" i="4"/>
  <c r="C45" i="4" s="1"/>
  <c r="C44" i="4" s="1"/>
  <c r="G12" i="4"/>
  <c r="E10" i="4"/>
  <c r="F9" i="4" s="1"/>
  <c r="E6" i="4"/>
  <c r="C4" i="4"/>
  <c r="D3" i="4" s="1"/>
  <c r="D2" i="4"/>
  <c r="E2" i="4" s="1"/>
  <c r="F2" i="4" s="1"/>
  <c r="I50" i="2"/>
  <c r="K50" i="2" s="1"/>
  <c r="H49" i="2"/>
  <c r="J49" i="2" s="1"/>
  <c r="K49" i="2" s="1"/>
  <c r="K47" i="2"/>
  <c r="J47" i="2"/>
  <c r="I47" i="2"/>
  <c r="H47" i="2"/>
  <c r="G47" i="2"/>
  <c r="J38" i="2"/>
  <c r="I38" i="2"/>
  <c r="H38" i="2"/>
  <c r="H25" i="2"/>
  <c r="M13" i="1"/>
  <c r="K21" i="2"/>
  <c r="Q19" i="2"/>
  <c r="G21" i="2"/>
  <c r="F39" i="2"/>
  <c r="G27" i="2" l="1"/>
  <c r="G2" i="4"/>
  <c r="H2" i="4" s="1"/>
  <c r="I2" i="4" s="1"/>
  <c r="J2" i="4" s="1"/>
  <c r="K2" i="4" s="1"/>
  <c r="L2" i="4" s="1"/>
  <c r="M2" i="4" s="1"/>
  <c r="N2" i="4" s="1"/>
  <c r="O2" i="4" s="1"/>
  <c r="P2" i="4" s="1"/>
  <c r="Q2" i="4" s="1"/>
  <c r="R2" i="4" s="1"/>
  <c r="F11" i="4"/>
  <c r="E8" i="4"/>
  <c r="G14" i="4"/>
  <c r="D5" i="4"/>
  <c r="D34" i="4" s="1"/>
  <c r="I70" i="4"/>
  <c r="I73" i="4"/>
  <c r="I21" i="2"/>
  <c r="I27" i="2" s="1"/>
  <c r="J21" i="2"/>
  <c r="J27" i="2" s="1"/>
  <c r="Q20" i="2"/>
  <c r="H12" i="4"/>
  <c r="H14" i="4" s="1"/>
  <c r="G9" i="4"/>
  <c r="C43" i="4"/>
  <c r="E3" i="4"/>
  <c r="F6" i="4"/>
  <c r="F8" i="4" s="1"/>
  <c r="F40" i="2"/>
  <c r="K27" i="2"/>
  <c r="H21" i="2"/>
  <c r="I25" i="2"/>
  <c r="Q21" i="2" l="1"/>
  <c r="I75" i="4"/>
  <c r="M11" i="1"/>
  <c r="E5" i="4"/>
  <c r="E34" i="4" s="1"/>
  <c r="G11" i="4"/>
  <c r="D45" i="4"/>
  <c r="D44" i="4" s="1"/>
  <c r="F3" i="4"/>
  <c r="H9" i="4"/>
  <c r="H11" i="4" s="1"/>
  <c r="I12" i="4"/>
  <c r="G6" i="4"/>
  <c r="J25" i="2"/>
  <c r="H27" i="2"/>
  <c r="G53" i="2"/>
  <c r="H48" i="2"/>
  <c r="J75" i="4" l="1"/>
  <c r="L77" i="4"/>
  <c r="G31" i="2"/>
  <c r="I14" i="4"/>
  <c r="G8" i="4"/>
  <c r="F5" i="4"/>
  <c r="F34" i="4" s="1"/>
  <c r="D43" i="4"/>
  <c r="H6" i="4"/>
  <c r="I8" i="4" s="1"/>
  <c r="J12" i="4"/>
  <c r="G3" i="4"/>
  <c r="I9" i="4"/>
  <c r="E45" i="4"/>
  <c r="E44" i="4" s="1"/>
  <c r="H53" i="2"/>
  <c r="H31" i="2" s="1"/>
  <c r="I48" i="2"/>
  <c r="J48" i="2" s="1"/>
  <c r="K25" i="2"/>
  <c r="Q25" i="2" s="1"/>
  <c r="Q27" i="2"/>
  <c r="G28" i="2" l="1"/>
  <c r="G29" i="2" s="1"/>
  <c r="G32" i="2" s="1"/>
  <c r="I11" i="4"/>
  <c r="G5" i="4"/>
  <c r="G34" i="4" s="1"/>
  <c r="H8" i="4"/>
  <c r="J14" i="4"/>
  <c r="E43" i="4"/>
  <c r="F45" i="4" s="1"/>
  <c r="J9" i="4"/>
  <c r="J11" i="4" s="1"/>
  <c r="K12" i="4"/>
  <c r="K14" i="4" s="1"/>
  <c r="K34" i="4" s="1"/>
  <c r="H3" i="4"/>
  <c r="H5" i="4" s="1"/>
  <c r="I53" i="2"/>
  <c r="I31" i="2" s="1"/>
  <c r="F43" i="4" l="1"/>
  <c r="F44" i="4"/>
  <c r="H34" i="4"/>
  <c r="H28" i="2"/>
  <c r="H29" i="2" s="1"/>
  <c r="I3" i="4"/>
  <c r="I5" i="4" s="1"/>
  <c r="I34" i="4" s="1"/>
  <c r="G45" i="4"/>
  <c r="G44" i="4" s="1"/>
  <c r="J53" i="2"/>
  <c r="J31" i="2" s="1"/>
  <c r="K48" i="2"/>
  <c r="K53" i="2" l="1"/>
  <c r="K31" i="2" s="1"/>
  <c r="Q31" i="2" s="1"/>
  <c r="Q48" i="2"/>
  <c r="G34" i="2"/>
  <c r="H30" i="2"/>
  <c r="H32" i="2"/>
  <c r="I28" i="2"/>
  <c r="I29" i="2" s="1"/>
  <c r="G43" i="4"/>
  <c r="H45" i="4" s="1"/>
  <c r="J3" i="4"/>
  <c r="J5" i="4" s="1"/>
  <c r="J34" i="4" s="1"/>
  <c r="Q33" i="2" s="1"/>
  <c r="Q53" i="2" l="1"/>
  <c r="H34" i="2"/>
  <c r="H35" i="2" s="1"/>
  <c r="H36" i="2" s="1"/>
  <c r="H39" i="2" s="1"/>
  <c r="G35" i="2"/>
  <c r="I30" i="2"/>
  <c r="I32" i="2"/>
  <c r="I34" i="2" s="1"/>
  <c r="J28" i="2"/>
  <c r="J29" i="2" s="1"/>
  <c r="H44" i="4"/>
  <c r="H43" i="4"/>
  <c r="I45" i="4"/>
  <c r="I44" i="4" s="1"/>
  <c r="K28" i="2" l="1"/>
  <c r="K29" i="2" s="1"/>
  <c r="K32" i="2" s="1"/>
  <c r="K34" i="2" s="1"/>
  <c r="K35" i="2" s="1"/>
  <c r="K36" i="2" s="1"/>
  <c r="K39" i="2" s="1"/>
  <c r="Q26" i="2"/>
  <c r="G36" i="2"/>
  <c r="G39" i="2" s="1"/>
  <c r="G40" i="2" s="1"/>
  <c r="H40" i="2" s="1"/>
  <c r="H41" i="2" s="1"/>
  <c r="M14" i="1"/>
  <c r="K30" i="2"/>
  <c r="J30" i="2"/>
  <c r="J32" i="2"/>
  <c r="J34" i="2" s="1"/>
  <c r="J35" i="2" s="1"/>
  <c r="J36" i="2" s="1"/>
  <c r="J39" i="2" s="1"/>
  <c r="I35" i="2"/>
  <c r="I43" i="4"/>
  <c r="J45" i="4"/>
  <c r="J44" i="4" s="1"/>
  <c r="Q35" i="2" l="1"/>
  <c r="Q34" i="2"/>
  <c r="G41" i="2"/>
  <c r="Q28" i="2"/>
  <c r="Q29" i="2" s="1"/>
  <c r="I36" i="2"/>
  <c r="I39" i="2" s="1"/>
  <c r="F42" i="2" s="1"/>
  <c r="J43" i="4"/>
  <c r="K45" i="4" s="1"/>
  <c r="K44" i="4" s="1"/>
  <c r="Q39" i="2" l="1"/>
  <c r="Q30" i="2"/>
  <c r="F44" i="2" s="1"/>
  <c r="M18" i="1" s="1"/>
  <c r="Q32" i="2"/>
  <c r="Q36" i="2"/>
  <c r="F43" i="2"/>
  <c r="M17" i="1" s="1"/>
  <c r="I40" i="2"/>
  <c r="J40" i="2" s="1"/>
  <c r="K40" i="2" s="1"/>
  <c r="K43" i="4"/>
  <c r="I41" i="2" l="1"/>
  <c r="J41" i="2" l="1"/>
  <c r="K41" i="2"/>
  <c r="F45" i="2" l="1"/>
  <c r="M1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  <author>Subianto Kasmun</author>
  </authors>
  <commentList>
    <comment ref="H69" authorId="0" shapeId="0" xr:uid="{905C1011-DF32-45ED-A0A6-21160096D72B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 dari data Asset</t>
        </r>
      </text>
    </comment>
    <comment ref="C70" authorId="1" shapeId="0" xr:uid="{B63E951E-EF81-42B4-B771-38823E155301}">
      <text>
        <r>
          <rPr>
            <b/>
            <sz val="9"/>
            <color indexed="81"/>
            <rFont val="Tahoma"/>
            <family val="2"/>
          </rPr>
          <t>Subianto Kasmun:</t>
        </r>
        <r>
          <rPr>
            <sz val="9"/>
            <color indexed="81"/>
            <rFont val="Tahoma"/>
            <family val="2"/>
          </rPr>
          <t xml:space="preserve">
Dari List harga Pesawat</t>
        </r>
      </text>
    </comment>
  </commentList>
</comments>
</file>

<file path=xl/sharedStrings.xml><?xml version="1.0" encoding="utf-8"?>
<sst xmlns="http://schemas.openxmlformats.org/spreadsheetml/2006/main" count="465" uniqueCount="239">
  <si>
    <t>No.</t>
  </si>
  <si>
    <t>Product :</t>
  </si>
  <si>
    <t>IBS / DAS</t>
  </si>
  <si>
    <t xml:space="preserve">Tanggal P&amp;L:  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</si>
  <si>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</si>
  <si>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</si>
  <si>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</si>
  <si>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</si>
  <si>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</si>
  <si>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</si>
  <si>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DAS</t>
  </si>
  <si>
    <t>Address</t>
  </si>
  <si>
    <t>Antena PKS BM</t>
  </si>
  <si>
    <t>Capex /antenna</t>
  </si>
  <si>
    <t>Antena Asset</t>
  </si>
  <si>
    <t>Contract Period (thn)</t>
  </si>
  <si>
    <t>Area building</t>
  </si>
  <si>
    <t>Jumlah Pole Makro</t>
  </si>
  <si>
    <t>Interest rate /year</t>
  </si>
  <si>
    <t>Type of building</t>
  </si>
  <si>
    <t>OPENET</t>
  </si>
  <si>
    <t>Total Revenue</t>
  </si>
  <si>
    <t>Status</t>
  </si>
  <si>
    <t>Renewal</t>
  </si>
  <si>
    <t>Cable FO (Core)</t>
  </si>
  <si>
    <t>Total floor</t>
  </si>
  <si>
    <t>Cable FO (meter)</t>
  </si>
  <si>
    <t>Total Opex Sewa</t>
  </si>
  <si>
    <t>No of building tower</t>
  </si>
  <si>
    <t>Drop Wire (meter)</t>
  </si>
  <si>
    <t>Total Opex Other</t>
  </si>
  <si>
    <t>Sitac Tahun</t>
  </si>
  <si>
    <t>OTHERS</t>
  </si>
  <si>
    <t>IRR</t>
  </si>
  <si>
    <t>NPV</t>
  </si>
  <si>
    <t>EBITDA margin</t>
  </si>
  <si>
    <t xml:space="preserve"> </t>
  </si>
  <si>
    <t>Payback (year)</t>
  </si>
  <si>
    <t>Target Achieved by Commercial:</t>
  </si>
  <si>
    <t>Prepared by</t>
  </si>
  <si>
    <t>Revenue</t>
  </si>
  <si>
    <t xml:space="preserve">: </t>
  </si>
  <si>
    <t>Citra Kartika</t>
  </si>
  <si>
    <t>Approved  by</t>
  </si>
  <si>
    <t>General</t>
  </si>
  <si>
    <t>Operator join</t>
  </si>
  <si>
    <t>Rev.Change</t>
  </si>
  <si>
    <t>Tax Rate</t>
  </si>
  <si>
    <t>Interest Rate</t>
  </si>
  <si>
    <t>SG&amp;A</t>
  </si>
  <si>
    <t>from Revenues</t>
  </si>
  <si>
    <t>BHPUSO</t>
  </si>
  <si>
    <t>Y1</t>
  </si>
  <si>
    <t>Y2</t>
  </si>
  <si>
    <t>Y3</t>
  </si>
  <si>
    <t>Y4</t>
  </si>
  <si>
    <t>Y5</t>
  </si>
  <si>
    <t>Total CAPEX</t>
  </si>
  <si>
    <t>IRR Calculation</t>
  </si>
  <si>
    <t>Year 1</t>
  </si>
  <si>
    <t>Year 2</t>
  </si>
  <si>
    <t>Year 3</t>
  </si>
  <si>
    <t>Year 4</t>
  </si>
  <si>
    <t>Year 5</t>
  </si>
  <si>
    <t>Total</t>
  </si>
  <si>
    <t>Months of Service</t>
  </si>
  <si>
    <t>Revenues</t>
  </si>
  <si>
    <t>TSEL</t>
  </si>
  <si>
    <t>Total Revenues (SF)</t>
  </si>
  <si>
    <t>OPEX</t>
  </si>
  <si>
    <t>Lease to BM</t>
  </si>
  <si>
    <t>Electricity</t>
  </si>
  <si>
    <t>Maintenance</t>
  </si>
  <si>
    <t>Total OPEX</t>
  </si>
  <si>
    <t>Total EBITDA</t>
  </si>
  <si>
    <t>Ebitda margin</t>
  </si>
  <si>
    <t>Depreciation Expense</t>
  </si>
  <si>
    <t>Total EBIT</t>
  </si>
  <si>
    <t>Interest Expense</t>
  </si>
  <si>
    <t>EBT</t>
  </si>
  <si>
    <t>Tax Expense</t>
  </si>
  <si>
    <t>Net Income</t>
  </si>
  <si>
    <t>Capex</t>
  </si>
  <si>
    <t>FCFF</t>
  </si>
  <si>
    <t>Accumulated FCF</t>
  </si>
  <si>
    <t>PBP</t>
  </si>
  <si>
    <t>Payback</t>
  </si>
  <si>
    <t>Depreciation Calculation</t>
  </si>
  <si>
    <t>no of Year depreciated</t>
  </si>
  <si>
    <t>Year 6</t>
  </si>
  <si>
    <t>Total Depreciation</t>
  </si>
  <si>
    <t>SUMMARY REVIEW</t>
  </si>
  <si>
    <t xml:space="preserve">No. </t>
  </si>
  <si>
    <t>Keterangan</t>
  </si>
  <si>
    <t>Existing</t>
  </si>
  <si>
    <t>1.</t>
  </si>
  <si>
    <t>Scope Of Lease</t>
  </si>
  <si>
    <t>2.</t>
  </si>
  <si>
    <t>Obyek Sewa</t>
  </si>
  <si>
    <t>3.</t>
  </si>
  <si>
    <t>Periode Sewa</t>
  </si>
  <si>
    <t>Operator Join</t>
  </si>
  <si>
    <t>Kenaikan/ Penurunan Harga</t>
  </si>
  <si>
    <t>PERHITUNGAN INTEREST EXPENSE based CAPEX</t>
  </si>
  <si>
    <t>Capex tahun</t>
  </si>
  <si>
    <t>loan</t>
  </si>
  <si>
    <t>Installment/thn</t>
  </si>
  <si>
    <t>Interest</t>
  </si>
  <si>
    <t>Interest Exp</t>
  </si>
  <si>
    <t>PERHITUNGAN SG&amp;A</t>
  </si>
  <si>
    <t>Untuk IBC</t>
  </si>
  <si>
    <t xml:space="preserve">Start tahun pertama </t>
  </si>
  <si>
    <t>Untuk Opennet</t>
  </si>
  <si>
    <t>Untuk IBC Ext</t>
  </si>
  <si>
    <t>tiap tahun = Rev x 5%</t>
  </si>
  <si>
    <t>Untuk Opennet Ext</t>
  </si>
  <si>
    <t>PERHITUNGAN MAINTENANCE (PM,CM,WT)</t>
  </si>
  <si>
    <t>PM by Vendor</t>
  </si>
  <si>
    <t>CM by Vendor/Inhouse</t>
  </si>
  <si>
    <t>WT by Inhouse</t>
  </si>
  <si>
    <t>WT New by Vendor/Operator</t>
  </si>
  <si>
    <t>MAINTENANCE  = (PM + CM + WT New + WT by Inhouse )</t>
  </si>
  <si>
    <t>PM</t>
  </si>
  <si>
    <t>PM/Year/Site</t>
  </si>
  <si>
    <t>CM</t>
  </si>
  <si>
    <t>CM /Year/Oprt</t>
  </si>
  <si>
    <t>Pesawat</t>
  </si>
  <si>
    <t>Tiket PP</t>
  </si>
  <si>
    <t>Sulut</t>
  </si>
  <si>
    <t>All</t>
  </si>
  <si>
    <t>Jawa/Bali</t>
  </si>
  <si>
    <t>Makasar</t>
  </si>
  <si>
    <t>Pekanbaru</t>
  </si>
  <si>
    <t>Bali</t>
  </si>
  <si>
    <t>Sumut</t>
  </si>
  <si>
    <t>Jatim</t>
  </si>
  <si>
    <t>Sulsel</t>
  </si>
  <si>
    <t>Jateng</t>
  </si>
  <si>
    <t>Jabar</t>
  </si>
  <si>
    <t>Kalimantan</t>
  </si>
  <si>
    <t>Sumatera</t>
  </si>
  <si>
    <t>Palembang</t>
  </si>
  <si>
    <t>Jabodetabek</t>
  </si>
  <si>
    <t>Nilai</t>
  </si>
  <si>
    <t>Diisikan</t>
  </si>
  <si>
    <t>person</t>
  </si>
  <si>
    <t>trip</t>
  </si>
  <si>
    <t>kamar</t>
  </si>
  <si>
    <t>Days by Omni</t>
  </si>
  <si>
    <t>Biaya walktest inhouse/visit</t>
  </si>
  <si>
    <t>Biaya walktest inhouse/thn</t>
  </si>
  <si>
    <t>Transport</t>
  </si>
  <si>
    <t>Bandara</t>
  </si>
  <si>
    <t>Trip</t>
  </si>
  <si>
    <t>Hotel</t>
  </si>
  <si>
    <t>Uang Saku</t>
  </si>
  <si>
    <t>2X Visit</t>
  </si>
  <si>
    <t>4X Visit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</si>
  <si>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</si>
  <si>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</si>
  <si>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</si>
  <si>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</si>
  <si>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</si>
  <si>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</si>
  <si>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</si>
  <si>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CAPEX CME</t>
  </si>
  <si>
    <t>Additional CME BTS indoor  + Pole</t>
  </si>
  <si>
    <t>Additional CME BTS Indoor + 2 Pole</t>
  </si>
  <si>
    <t>Additional CME BTS Outdoor  + 1 Pole</t>
  </si>
  <si>
    <t>Additional CME BTS Outdoor  + 2 Pole</t>
  </si>
  <si>
    <t>Additional CME 1Pole</t>
  </si>
  <si>
    <t>Year 7</t>
  </si>
  <si>
    <t>Year 8</t>
  </si>
  <si>
    <t>Year 9</t>
  </si>
  <si>
    <t>Year 10</t>
  </si>
  <si>
    <t>Year 0</t>
  </si>
  <si>
    <t>Y6</t>
  </si>
  <si>
    <t>Y7</t>
  </si>
  <si>
    <t>Y8</t>
  </si>
  <si>
    <t>Y9</t>
  </si>
  <si>
    <t>Y10</t>
  </si>
  <si>
    <t>Extent</t>
  </si>
  <si>
    <t>No</t>
  </si>
  <si>
    <t>Harga Sewa / Masa Sewa</t>
  </si>
  <si>
    <t>Harga Sewa / Tahun</t>
  </si>
  <si>
    <t xml:space="preserve">Nama Site                          </t>
  </si>
  <si>
    <t xml:space="preserve">Nama Pemilik      </t>
  </si>
  <si>
    <t xml:space="preserve">Alamat Pemilik      </t>
  </si>
  <si>
    <t xml:space="preserve">Telp                                            </t>
  </si>
  <si>
    <t xml:space="preserve">Obyek Sewa            </t>
  </si>
  <si>
    <t>6.</t>
  </si>
  <si>
    <t>XL 2027</t>
  </si>
  <si>
    <t>IOH 2027</t>
  </si>
  <si>
    <t>Tsel 2024</t>
  </si>
  <si>
    <t>0024/IRR/IBC/VIII/2024</t>
  </si>
  <si>
    <t>Total Capex BV 30Apr25</t>
  </si>
  <si>
    <t>BV 30Apr25</t>
  </si>
  <si>
    <t>Swissbell Batam</t>
  </si>
  <si>
    <t>: Hotel Swissbell Batam</t>
  </si>
  <si>
    <t>: PT. Hotel Citra Batam Investama</t>
  </si>
  <si>
    <t>: Harbour Bay Complex, Jl. Duyung Sei Jodoh Batam</t>
  </si>
  <si>
    <t>: 0778-7415888</t>
  </si>
  <si>
    <t>: 65 Omni + 7 Unit Pole Antenna + RBS 40 m²</t>
  </si>
  <si>
    <t>IBC &amp; Outdoor Coverage</t>
  </si>
  <si>
    <t>15 Mei 2019 s/d 14 Mei 2025(6 tahun), setahun grace period</t>
  </si>
  <si>
    <t>15 Mei 2025 s/d 14 Mei 2030(5 tahun)</t>
  </si>
  <si>
    <t>Telkomsel (06 Januari 2019 s/d 05 Januari 2024)</t>
  </si>
  <si>
    <t>Telkomsel (23 Mei 2024 s/d 22 Mei 2029)</t>
  </si>
  <si>
    <t>IOH</t>
  </si>
  <si>
    <t>BV 30Apr25 Swissbell Batam</t>
  </si>
  <si>
    <t>BV 31 May 25 Zest Batam</t>
  </si>
  <si>
    <t>TSELSwissbell Batam</t>
  </si>
  <si>
    <t>XL Zest Batam</t>
  </si>
  <si>
    <t>Lease to BM Swissbell</t>
  </si>
  <si>
    <t>Lease to BM Zest</t>
  </si>
  <si>
    <t>Biaya Akomodasi Operasional WT, PM, Sparepart ditanggung Zest Batam</t>
  </si>
  <si>
    <t>Swissbell dan Zest satu Management, keduanya jika digabung IRR nya 11%</t>
  </si>
  <si>
    <t>0002/IRR/IBC/II/2025</t>
  </si>
  <si>
    <t>Swissbell dan Zest Batam</t>
  </si>
  <si>
    <t>Mengalami kenaikan 41,6%</t>
  </si>
  <si>
    <t xml:space="preserve">Periode </t>
  </si>
  <si>
    <t>Start</t>
  </si>
  <si>
    <t>End</t>
  </si>
  <si>
    <t>Days</t>
  </si>
  <si>
    <t>Antisipasi Add Capex and Pole</t>
  </si>
  <si>
    <t>Profit</t>
  </si>
  <si>
    <t>Rev XL Zest</t>
  </si>
  <si>
    <t>Rev Tsel Swissbell</t>
  </si>
  <si>
    <t>Worse &gt;&gt; Jika Sewa BM diperpanjang 5 tahun danOperator sesuai periodenya , maka:</t>
  </si>
  <si>
    <t>OM XL Zest Batam</t>
  </si>
  <si>
    <t>OM Tsel Swissbell</t>
  </si>
  <si>
    <t>Listrik Tsel Swissbell</t>
  </si>
  <si>
    <t>Sewa BM Swissbell</t>
  </si>
  <si>
    <t>Sewa BM Zest</t>
  </si>
  <si>
    <t>Join SITE Swissbell Batam dan Zest Batam</t>
  </si>
  <si>
    <t>Swissbell</t>
  </si>
  <si>
    <t>Zest</t>
  </si>
  <si>
    <t>Optimist &gt;&gt; Jika Sewa BM diperpanjang 5 tahun danOperator sesuai period BM, maka:</t>
  </si>
  <si>
    <t>Jika Book Value kedua site telah habis maka IRR 34%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</si>
</sst>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-* #,##0.0_-;\-* #,##0.0_-;_-* &quot;-&quot;_-;_-@_-"/>
    <numFmt numFmtId="169" formatCode="_(* #,##0.0_);_(* \(#,##0.0\);_(* &quot;-&quot;??_);_(@_)"/>
    <numFmt numFmtId="170" formatCode="_(&quot;$&quot;* #,##0.00_);_(&quot;$&quot;* \(#,##0.00\);_(&quot;$&quot;* &quot;-&quot;??_);_(@_)"/>
    <numFmt numFmtId="171" formatCode="[$-C09]dd\-mmm\-yy;@"/>
    <numFmt numFmtId="172" formatCode="#,###&quot;/thn&quot;"/>
    <numFmt numFmtId="173" formatCode="#,###&quot;/pole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b/>
      <sz val="12"/>
      <color rgb="FF3366FF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i/>
      <sz val="8"/>
      <color rgb="FF0070C0"/>
      <name val="Calibri"/>
      <family val="2"/>
      <scheme val="minor"/>
    </font>
    <font>
      <i/>
      <sz val="8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2"/>
      <color rgb="FFFF0000"/>
      <name val="Calibri"/>
      <family val="2"/>
      <scheme val="minor"/>
    </font>
    <font>
      <sz val="10"/>
      <name val="Arial"/>
      <family val="2"/>
    </font>
    <font>
      <b/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1">
    <xf numFmtId="0" fontId="0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19" fillId="0" borderId="0"/>
    <xf numFmtId="164" fontId="19" fillId="0" borderId="0" applyFont="0" applyFill="0" applyBorder="0" applyAlignment="0" applyProtection="0"/>
    <xf numFmtId="0" fontId="19" fillId="0" borderId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8" fillId="0" borderId="0"/>
    <xf numFmtId="166" fontId="28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9" fontId="1" fillId="0" borderId="0" applyFont="0" applyFill="0" applyBorder="0" applyAlignment="0" applyProtection="0"/>
  </cellStyleXfs>
  <cellXfs count="254">
    <xf numFmtId="0" fontId="0" fillId="0" borderId="0" xfId="0"/>
    <xf numFmtId="0" fontId="3" fillId="0" borderId="0" xfId="3"/>
    <xf numFmtId="0" fontId="4" fillId="0" borderId="0" xfId="3" applyFont="1"/>
    <xf numFmtId="0" fontId="3" fillId="0" borderId="0" xfId="3" applyAlignment="1">
      <alignment horizontal="right"/>
    </xf>
    <xf numFmtId="0" fontId="5" fillId="0" borderId="0" xfId="3" applyFont="1" applyAlignment="1">
      <alignment horizontal="right"/>
    </xf>
    <xf numFmtId="0" fontId="6" fillId="0" borderId="0" xfId="3" applyFont="1"/>
    <xf numFmtId="14" fontId="6" fillId="0" borderId="0" xfId="3" applyNumberFormat="1" applyFont="1"/>
    <xf numFmtId="0" fontId="7" fillId="0" borderId="0" xfId="3" applyFont="1"/>
    <xf numFmtId="0" fontId="3" fillId="0" borderId="6" xfId="3" applyBorder="1"/>
    <xf numFmtId="0" fontId="4" fillId="0" borderId="4" xfId="3" applyFont="1" applyBorder="1" applyAlignment="1">
      <alignment horizontal="left"/>
    </xf>
    <xf numFmtId="0" fontId="3" fillId="0" borderId="8" xfId="3" applyBorder="1" applyAlignment="1">
      <alignment horizontal="left" vertical="justify" wrapText="1"/>
    </xf>
    <xf numFmtId="167" fontId="0" fillId="0" borderId="0" xfId="5" applyNumberFormat="1" applyFont="1" applyFill="1" applyBorder="1" applyAlignment="1" applyProtection="1">
      <alignment horizontal="right"/>
      <protection locked="0"/>
    </xf>
    <xf numFmtId="0" fontId="3" fillId="0" borderId="7" xfId="3" applyBorder="1"/>
    <xf numFmtId="0" fontId="3" fillId="0" borderId="8" xfId="3" applyBorder="1"/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indent="1"/>
    </xf>
    <xf numFmtId="0" fontId="4" fillId="0" borderId="7" xfId="3" applyFont="1" applyBorder="1" applyAlignment="1">
      <alignment horizontal="left"/>
    </xf>
    <xf numFmtId="167" fontId="0" fillId="0" borderId="0" xfId="5" applyNumberFormat="1" applyFont="1" applyBorder="1"/>
    <xf numFmtId="0" fontId="0" fillId="0" borderId="8" xfId="4" applyNumberFormat="1" applyFont="1" applyBorder="1" applyAlignment="1">
      <alignment horizontal="left"/>
    </xf>
    <xf numFmtId="0" fontId="0" fillId="0" borderId="8" xfId="4" quotePrefix="1" applyNumberFormat="1" applyFont="1" applyBorder="1" applyAlignment="1">
      <alignment horizontal="left"/>
    </xf>
    <xf numFmtId="0" fontId="4" fillId="0" borderId="9" xfId="3" applyFont="1" applyBorder="1" applyAlignment="1">
      <alignment horizontal="left"/>
    </xf>
    <xf numFmtId="0" fontId="3" fillId="0" borderId="9" xfId="3" applyBorder="1"/>
    <xf numFmtId="168" fontId="4" fillId="0" borderId="12" xfId="4" applyNumberFormat="1" applyFont="1" applyBorder="1"/>
    <xf numFmtId="0" fontId="3" fillId="0" borderId="10" xfId="3" applyBorder="1"/>
    <xf numFmtId="0" fontId="3" fillId="0" borderId="11" xfId="3" applyBorder="1"/>
    <xf numFmtId="0" fontId="3" fillId="0" borderId="12" xfId="3" applyBorder="1"/>
    <xf numFmtId="0" fontId="3" fillId="0" borderId="11" xfId="3" applyBorder="1" applyAlignment="1">
      <alignment horizontal="left" indent="1"/>
    </xf>
    <xf numFmtId="0" fontId="4" fillId="0" borderId="4" xfId="3" applyFont="1" applyBorder="1"/>
    <xf numFmtId="0" fontId="3" fillId="0" borderId="5" xfId="3" applyBorder="1"/>
    <xf numFmtId="0" fontId="3" fillId="0" borderId="0" xfId="6"/>
    <xf numFmtId="0" fontId="3" fillId="0" borderId="0" xfId="3" applyAlignment="1">
      <alignment vertical="center"/>
    </xf>
    <xf numFmtId="0" fontId="8" fillId="0" borderId="0" xfId="3" applyFont="1"/>
    <xf numFmtId="0" fontId="3" fillId="0" borderId="0" xfId="3" applyAlignment="1">
      <alignment horizontal="center"/>
    </xf>
    <xf numFmtId="9" fontId="9" fillId="0" borderId="0" xfId="4" applyNumberFormat="1" applyFont="1"/>
    <xf numFmtId="9" fontId="3" fillId="0" borderId="0" xfId="3" applyNumberFormat="1" applyAlignment="1">
      <alignment horizontal="left"/>
    </xf>
    <xf numFmtId="0" fontId="3" fillId="2" borderId="0" xfId="3" applyFill="1"/>
    <xf numFmtId="0" fontId="4" fillId="0" borderId="0" xfId="3" applyFont="1" applyAlignment="1">
      <alignment horizontal="center"/>
    </xf>
    <xf numFmtId="10" fontId="9" fillId="0" borderId="0" xfId="4" applyNumberFormat="1" applyFont="1"/>
    <xf numFmtId="41" fontId="10" fillId="0" borderId="0" xfId="3" applyNumberFormat="1" applyFont="1"/>
    <xf numFmtId="0" fontId="11" fillId="0" borderId="0" xfId="3" applyFont="1"/>
    <xf numFmtId="0" fontId="12" fillId="0" borderId="0" xfId="3" applyFont="1"/>
    <xf numFmtId="41" fontId="11" fillId="0" borderId="0" xfId="3" applyNumberFormat="1" applyFont="1"/>
    <xf numFmtId="41" fontId="9" fillId="0" borderId="0" xfId="3" applyNumberFormat="1" applyFont="1"/>
    <xf numFmtId="0" fontId="3" fillId="0" borderId="0" xfId="3" applyAlignment="1">
      <alignment horizontal="center" vertical="center"/>
    </xf>
    <xf numFmtId="0" fontId="4" fillId="0" borderId="11" xfId="3" applyFont="1" applyBorder="1"/>
    <xf numFmtId="0" fontId="4" fillId="0" borderId="11" xfId="3" applyFont="1" applyBorder="1" applyAlignment="1">
      <alignment horizontal="center" vertical="center"/>
    </xf>
    <xf numFmtId="0" fontId="4" fillId="0" borderId="11" xfId="3" applyFont="1" applyBorder="1" applyAlignment="1">
      <alignment horizontal="center"/>
    </xf>
    <xf numFmtId="0" fontId="11" fillId="3" borderId="11" xfId="3" applyFont="1" applyFill="1" applyBorder="1" applyAlignment="1">
      <alignment horizontal="center"/>
    </xf>
    <xf numFmtId="41" fontId="3" fillId="2" borderId="0" xfId="3" applyNumberFormat="1" applyFill="1" applyAlignment="1">
      <alignment vertical="center"/>
    </xf>
    <xf numFmtId="0" fontId="12" fillId="3" borderId="0" xfId="3" applyFont="1" applyFill="1"/>
    <xf numFmtId="166" fontId="13" fillId="2" borderId="0" xfId="1" applyFont="1" applyFill="1" applyBorder="1"/>
    <xf numFmtId="0" fontId="13" fillId="0" borderId="0" xfId="3" applyFont="1"/>
    <xf numFmtId="0" fontId="13" fillId="0" borderId="0" xfId="3" applyFont="1" applyAlignment="1">
      <alignment vertical="center"/>
    </xf>
    <xf numFmtId="41" fontId="12" fillId="0" borderId="0" xfId="4" applyFont="1" applyAlignment="1">
      <alignment vertical="center"/>
    </xf>
    <xf numFmtId="166" fontId="13" fillId="0" borderId="0" xfId="1" applyFont="1"/>
    <xf numFmtId="41" fontId="12" fillId="3" borderId="0" xfId="3" applyNumberFormat="1" applyFont="1" applyFill="1"/>
    <xf numFmtId="41" fontId="0" fillId="0" borderId="0" xfId="4" applyFont="1" applyAlignment="1">
      <alignment vertical="center"/>
    </xf>
    <xf numFmtId="41" fontId="0" fillId="2" borderId="0" xfId="4" applyFont="1" applyFill="1" applyBorder="1" applyAlignment="1">
      <alignment vertical="center"/>
    </xf>
    <xf numFmtId="0" fontId="4" fillId="0" borderId="14" xfId="3" applyFont="1" applyBorder="1"/>
    <xf numFmtId="41" fontId="4" fillId="0" borderId="14" xfId="3" applyNumberFormat="1" applyFont="1" applyBorder="1" applyAlignment="1">
      <alignment vertical="center"/>
    </xf>
    <xf numFmtId="41" fontId="11" fillId="3" borderId="14" xfId="3" applyNumberFormat="1" applyFont="1" applyFill="1" applyBorder="1" applyAlignment="1">
      <alignment vertical="center"/>
    </xf>
    <xf numFmtId="41" fontId="4" fillId="2" borderId="0" xfId="3" applyNumberFormat="1" applyFont="1" applyFill="1" applyAlignment="1">
      <alignment vertical="center"/>
    </xf>
    <xf numFmtId="166" fontId="14" fillId="3" borderId="0" xfId="1" applyFont="1" applyFill="1"/>
    <xf numFmtId="9" fontId="15" fillId="2" borderId="0" xfId="7" applyFont="1" applyFill="1" applyBorder="1" applyAlignment="1">
      <alignment vertical="center"/>
    </xf>
    <xf numFmtId="9" fontId="3" fillId="0" borderId="0" xfId="3" applyNumberFormat="1"/>
    <xf numFmtId="41" fontId="3" fillId="0" borderId="0" xfId="3" applyNumberFormat="1" applyAlignment="1">
      <alignment vertical="center"/>
    </xf>
    <xf numFmtId="41" fontId="12" fillId="3" borderId="0" xfId="3" applyNumberFormat="1" applyFont="1" applyFill="1" applyAlignment="1">
      <alignment vertical="center"/>
    </xf>
    <xf numFmtId="41" fontId="3" fillId="2" borderId="0" xfId="3" applyNumberFormat="1" applyFill="1"/>
    <xf numFmtId="43" fontId="3" fillId="0" borderId="0" xfId="3" applyNumberFormat="1"/>
    <xf numFmtId="38" fontId="3" fillId="2" borderId="0" xfId="3" applyNumberFormat="1" applyFill="1" applyAlignment="1">
      <alignment vertical="center"/>
    </xf>
    <xf numFmtId="41" fontId="3" fillId="0" borderId="0" xfId="3" quotePrefix="1" applyNumberFormat="1" applyAlignment="1">
      <alignment vertical="center"/>
    </xf>
    <xf numFmtId="0" fontId="3" fillId="0" borderId="15" xfId="3" applyBorder="1"/>
    <xf numFmtId="41" fontId="4" fillId="3" borderId="14" xfId="3" applyNumberFormat="1" applyFont="1" applyFill="1" applyBorder="1" applyAlignment="1">
      <alignment vertical="center"/>
    </xf>
    <xf numFmtId="41" fontId="0" fillId="2" borderId="0" xfId="4" applyFont="1" applyFill="1" applyBorder="1"/>
    <xf numFmtId="0" fontId="4" fillId="2" borderId="0" xfId="3" applyFont="1" applyFill="1"/>
    <xf numFmtId="41" fontId="4" fillId="0" borderId="0" xfId="3" applyNumberFormat="1" applyFont="1" applyAlignment="1">
      <alignment vertical="center"/>
    </xf>
    <xf numFmtId="41" fontId="4" fillId="3" borderId="0" xfId="3" applyNumberFormat="1" applyFont="1" applyFill="1" applyAlignment="1">
      <alignment vertical="center"/>
    </xf>
    <xf numFmtId="0" fontId="15" fillId="0" borderId="0" xfId="3" applyFont="1"/>
    <xf numFmtId="0" fontId="16" fillId="0" borderId="0" xfId="3" applyFont="1"/>
    <xf numFmtId="9" fontId="15" fillId="0" borderId="0" xfId="7" applyFont="1" applyAlignment="1">
      <alignment vertical="center"/>
    </xf>
    <xf numFmtId="9" fontId="15" fillId="3" borderId="0" xfId="7" applyFont="1" applyFill="1" applyAlignment="1">
      <alignment vertical="center"/>
    </xf>
    <xf numFmtId="41" fontId="3" fillId="0" borderId="15" xfId="3" applyNumberFormat="1" applyBorder="1" applyAlignment="1">
      <alignment vertical="center"/>
    </xf>
    <xf numFmtId="41" fontId="12" fillId="3" borderId="15" xfId="3" applyNumberFormat="1" applyFont="1" applyFill="1" applyBorder="1" applyAlignment="1">
      <alignment vertical="center"/>
    </xf>
    <xf numFmtId="38" fontId="3" fillId="2" borderId="0" xfId="3" applyNumberFormat="1" applyFill="1"/>
    <xf numFmtId="38" fontId="12" fillId="0" borderId="0" xfId="3" applyNumberFormat="1" applyFont="1" applyAlignment="1">
      <alignment vertical="center"/>
    </xf>
    <xf numFmtId="38" fontId="3" fillId="3" borderId="0" xfId="3" applyNumberFormat="1" applyFill="1" applyAlignment="1">
      <alignment vertical="center"/>
    </xf>
    <xf numFmtId="41" fontId="3" fillId="0" borderId="0" xfId="4" applyFont="1" applyFill="1"/>
    <xf numFmtId="41" fontId="0" fillId="3" borderId="0" xfId="4" applyFont="1" applyFill="1" applyBorder="1"/>
    <xf numFmtId="167" fontId="17" fillId="0" borderId="0" xfId="1" applyNumberFormat="1" applyFont="1"/>
    <xf numFmtId="167" fontId="3" fillId="0" borderId="0" xfId="6" applyNumberFormat="1"/>
    <xf numFmtId="41" fontId="0" fillId="3" borderId="15" xfId="4" applyFont="1" applyFill="1" applyBorder="1"/>
    <xf numFmtId="0" fontId="3" fillId="4" borderId="16" xfId="3" applyFill="1" applyBorder="1"/>
    <xf numFmtId="38" fontId="3" fillId="4" borderId="16" xfId="3" applyNumberFormat="1" applyFill="1" applyBorder="1" applyAlignment="1">
      <alignment vertical="center"/>
    </xf>
    <xf numFmtId="38" fontId="3" fillId="3" borderId="16" xfId="3" applyNumberFormat="1" applyFill="1" applyBorder="1" applyAlignment="1">
      <alignment vertical="center"/>
    </xf>
    <xf numFmtId="38" fontId="3" fillId="0" borderId="15" xfId="3" applyNumberFormat="1" applyBorder="1"/>
    <xf numFmtId="166" fontId="0" fillId="3" borderId="15" xfId="1" applyFont="1" applyFill="1" applyBorder="1"/>
    <xf numFmtId="38" fontId="3" fillId="0" borderId="0" xfId="3" applyNumberFormat="1"/>
    <xf numFmtId="38" fontId="3" fillId="3" borderId="0" xfId="3" applyNumberFormat="1" applyFill="1"/>
    <xf numFmtId="0" fontId="18" fillId="0" borderId="0" xfId="3" applyFont="1" applyAlignment="1">
      <alignment horizontal="center" vertical="center"/>
    </xf>
    <xf numFmtId="167" fontId="17" fillId="3" borderId="0" xfId="1" applyNumberFormat="1" applyFont="1" applyFill="1"/>
    <xf numFmtId="167" fontId="3" fillId="0" borderId="0" xfId="3" applyNumberFormat="1" applyAlignment="1">
      <alignment vertical="center"/>
    </xf>
    <xf numFmtId="0" fontId="11" fillId="0" borderId="17" xfId="3" applyFont="1" applyBorder="1"/>
    <xf numFmtId="0" fontId="11" fillId="0" borderId="18" xfId="3" applyFont="1" applyBorder="1"/>
    <xf numFmtId="9" fontId="11" fillId="0" borderId="19" xfId="3" applyNumberFormat="1" applyFont="1" applyBorder="1"/>
    <xf numFmtId="0" fontId="11" fillId="0" borderId="20" xfId="3" applyFont="1" applyBorder="1"/>
    <xf numFmtId="41" fontId="11" fillId="0" borderId="21" xfId="3" applyNumberFormat="1" applyFont="1" applyBorder="1"/>
    <xf numFmtId="41" fontId="3" fillId="0" borderId="0" xfId="3" applyNumberFormat="1" applyAlignment="1">
      <alignment horizontal="right" vertical="center"/>
    </xf>
    <xf numFmtId="41" fontId="3" fillId="0" borderId="0" xfId="3" applyNumberFormat="1"/>
    <xf numFmtId="9" fontId="11" fillId="0" borderId="21" xfId="7" applyFont="1" applyBorder="1"/>
    <xf numFmtId="0" fontId="11" fillId="0" borderId="22" xfId="3" applyFont="1" applyBorder="1"/>
    <xf numFmtId="0" fontId="11" fillId="0" borderId="15" xfId="3" applyFont="1" applyBorder="1"/>
    <xf numFmtId="169" fontId="11" fillId="0" borderId="23" xfId="1" applyNumberFormat="1" applyFont="1" applyBorder="1"/>
    <xf numFmtId="167" fontId="4" fillId="0" borderId="0" xfId="3" applyNumberFormat="1" applyFont="1" applyAlignment="1">
      <alignment vertical="center"/>
    </xf>
    <xf numFmtId="0" fontId="18" fillId="0" borderId="0" xfId="3" applyFont="1"/>
    <xf numFmtId="167" fontId="3" fillId="5" borderId="0" xfId="3" applyNumberFormat="1" applyFill="1" applyAlignment="1">
      <alignment vertical="center"/>
    </xf>
    <xf numFmtId="167" fontId="3" fillId="0" borderId="0" xfId="3" applyNumberFormat="1"/>
    <xf numFmtId="0" fontId="4" fillId="0" borderId="13" xfId="3" applyFont="1" applyBorder="1"/>
    <xf numFmtId="0" fontId="3" fillId="0" borderId="13" xfId="3" applyBorder="1"/>
    <xf numFmtId="167" fontId="4" fillId="0" borderId="13" xfId="3" applyNumberFormat="1" applyFont="1" applyBorder="1" applyAlignment="1">
      <alignment vertical="center"/>
    </xf>
    <xf numFmtId="0" fontId="20" fillId="0" borderId="0" xfId="8" applyFont="1" applyAlignment="1">
      <alignment horizontal="center"/>
    </xf>
    <xf numFmtId="0" fontId="21" fillId="0" borderId="0" xfId="8" applyFont="1"/>
    <xf numFmtId="0" fontId="2" fillId="0" borderId="0" xfId="0" applyFont="1"/>
    <xf numFmtId="0" fontId="0" fillId="0" borderId="27" xfId="0" applyBorder="1"/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0" xfId="0" quotePrefix="1" applyAlignment="1">
      <alignment horizontal="right"/>
    </xf>
    <xf numFmtId="41" fontId="0" fillId="0" borderId="0" xfId="4" applyFont="1"/>
    <xf numFmtId="41" fontId="0" fillId="0" borderId="0" xfId="0" applyNumberFormat="1"/>
    <xf numFmtId="0" fontId="0" fillId="0" borderId="0" xfId="0" applyAlignment="1">
      <alignment horizontal="right"/>
    </xf>
    <xf numFmtId="0" fontId="0" fillId="0" borderId="29" xfId="0" applyBorder="1"/>
    <xf numFmtId="41" fontId="0" fillId="0" borderId="24" xfId="4" applyFont="1" applyBorder="1"/>
    <xf numFmtId="0" fontId="0" fillId="7" borderId="0" xfId="0" applyFill="1"/>
    <xf numFmtId="165" fontId="0" fillId="0" borderId="0" xfId="2" applyFont="1" applyFill="1"/>
    <xf numFmtId="0" fontId="0" fillId="0" borderId="0" xfId="0" quotePrefix="1"/>
    <xf numFmtId="0" fontId="0" fillId="0" borderId="24" xfId="0" applyBorder="1"/>
    <xf numFmtId="41" fontId="0" fillId="0" borderId="24" xfId="0" applyNumberFormat="1" applyBorder="1"/>
    <xf numFmtId="9" fontId="0" fillId="0" borderId="24" xfId="0" applyNumberFormat="1" applyBorder="1"/>
    <xf numFmtId="41" fontId="0" fillId="7" borderId="0" xfId="0" applyNumberFormat="1" applyFill="1"/>
    <xf numFmtId="0" fontId="0" fillId="8" borderId="27" xfId="0" applyFill="1" applyBorder="1"/>
    <xf numFmtId="0" fontId="0" fillId="8" borderId="14" xfId="0" applyFill="1" applyBorder="1"/>
    <xf numFmtId="41" fontId="0" fillId="8" borderId="29" xfId="0" applyNumberFormat="1" applyFill="1" applyBorder="1"/>
    <xf numFmtId="0" fontId="0" fillId="8" borderId="24" xfId="0" applyFill="1" applyBorder="1" applyAlignment="1">
      <alignment horizontal="center"/>
    </xf>
    <xf numFmtId="0" fontId="0" fillId="10" borderId="24" xfId="0" applyFill="1" applyBorder="1" applyAlignment="1">
      <alignment horizontal="center"/>
    </xf>
    <xf numFmtId="0" fontId="0" fillId="10" borderId="27" xfId="0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24" xfId="0" applyFill="1" applyBorder="1" applyAlignment="1">
      <alignment horizontal="center"/>
    </xf>
    <xf numFmtId="0" fontId="0" fillId="11" borderId="0" xfId="0" applyFill="1" applyAlignment="1">
      <alignment horizontal="center"/>
    </xf>
    <xf numFmtId="167" fontId="0" fillId="11" borderId="24" xfId="0" applyNumberFormat="1" applyFill="1" applyBorder="1"/>
    <xf numFmtId="0" fontId="0" fillId="0" borderId="27" xfId="0" applyBorder="1" applyAlignment="1">
      <alignment horizontal="center"/>
    </xf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0" borderId="25" xfId="1" applyNumberFormat="1" applyFont="1" applyFill="1" applyBorder="1"/>
    <xf numFmtId="3" fontId="0" fillId="0" borderId="0" xfId="0" applyNumberFormat="1"/>
    <xf numFmtId="41" fontId="0" fillId="0" borderId="0" xfId="4" applyFont="1" applyBorder="1" applyAlignment="1">
      <alignment vertical="center"/>
    </xf>
    <xf numFmtId="167" fontId="4" fillId="0" borderId="0" xfId="3" applyNumberFormat="1" applyFont="1" applyBorder="1" applyAlignment="1">
      <alignment vertical="center"/>
    </xf>
    <xf numFmtId="38" fontId="27" fillId="0" borderId="0" xfId="3" applyNumberFormat="1" applyFont="1" applyAlignment="1">
      <alignment vertical="center"/>
    </xf>
    <xf numFmtId="0" fontId="3" fillId="0" borderId="24" xfId="3" applyBorder="1" applyAlignment="1">
      <alignment horizontal="center"/>
    </xf>
    <xf numFmtId="0" fontId="3" fillId="0" borderId="29" xfId="3" applyBorder="1"/>
    <xf numFmtId="0" fontId="3" fillId="0" borderId="0" xfId="3" applyAlignment="1">
      <alignment horizontal="left"/>
    </xf>
    <xf numFmtId="0" fontId="3" fillId="0" borderId="0" xfId="3" applyAlignment="1">
      <alignment horizontal="left" indent="1"/>
    </xf>
    <xf numFmtId="165" fontId="12" fillId="0" borderId="0" xfId="2" applyFont="1" applyAlignment="1">
      <alignment vertical="center"/>
    </xf>
    <xf numFmtId="167" fontId="0" fillId="0" borderId="0" xfId="0" applyNumberFormat="1"/>
    <xf numFmtId="41" fontId="3" fillId="0" borderId="15" xfId="4" applyFont="1" applyBorder="1" applyAlignment="1">
      <alignment vertical="center"/>
    </xf>
    <xf numFmtId="41" fontId="27" fillId="0" borderId="0" xfId="4" applyFont="1" applyFill="1"/>
    <xf numFmtId="0" fontId="19" fillId="0" borderId="0" xfId="8" applyFont="1"/>
    <xf numFmtId="0" fontId="19" fillId="0" borderId="24" xfId="8" applyFont="1" applyBorder="1" applyAlignment="1">
      <alignment horizontal="center" vertical="center"/>
    </xf>
    <xf numFmtId="0" fontId="19" fillId="0" borderId="24" xfId="8" applyFont="1" applyBorder="1"/>
    <xf numFmtId="0" fontId="19" fillId="0" borderId="24" xfId="8" applyFont="1" applyFill="1" applyBorder="1"/>
    <xf numFmtId="0" fontId="19" fillId="0" borderId="24" xfId="8" applyFont="1" applyFill="1" applyBorder="1" applyAlignment="1">
      <alignment horizontal="center" vertical="center"/>
    </xf>
    <xf numFmtId="0" fontId="4" fillId="0" borderId="0" xfId="17" applyFont="1"/>
    <xf numFmtId="41" fontId="1" fillId="0" borderId="0" xfId="4" applyFont="1" applyBorder="1"/>
    <xf numFmtId="165" fontId="1" fillId="0" borderId="0" xfId="2" applyFont="1"/>
    <xf numFmtId="41" fontId="1" fillId="0" borderId="0" xfId="4" applyFont="1" applyFill="1" applyBorder="1"/>
    <xf numFmtId="9" fontId="1" fillId="0" borderId="0" xfId="4" applyNumberFormat="1" applyFont="1" applyBorder="1"/>
    <xf numFmtId="0" fontId="21" fillId="0" borderId="0" xfId="8" applyFont="1" applyAlignment="1">
      <alignment horizontal="left" vertical="top"/>
    </xf>
    <xf numFmtId="0" fontId="1" fillId="0" borderId="0" xfId="8" applyFont="1"/>
    <xf numFmtId="0" fontId="3" fillId="0" borderId="0" xfId="17" applyFont="1"/>
    <xf numFmtId="0" fontId="27" fillId="0" borderId="0" xfId="3" applyFont="1"/>
    <xf numFmtId="41" fontId="27" fillId="2" borderId="0" xfId="3" applyNumberFormat="1" applyFont="1" applyFill="1" applyAlignment="1">
      <alignment vertical="center"/>
    </xf>
    <xf numFmtId="41" fontId="29" fillId="0" borderId="0" xfId="3" applyNumberFormat="1" applyFont="1"/>
    <xf numFmtId="0" fontId="12" fillId="0" borderId="0" xfId="17" applyFont="1"/>
    <xf numFmtId="41" fontId="11" fillId="0" borderId="18" xfId="3" applyNumberFormat="1" applyFont="1" applyBorder="1"/>
    <xf numFmtId="41" fontId="11" fillId="0" borderId="30" xfId="3" applyNumberFormat="1" applyFont="1" applyBorder="1"/>
    <xf numFmtId="0" fontId="1" fillId="0" borderId="24" xfId="8" applyFont="1" applyBorder="1"/>
    <xf numFmtId="164" fontId="0" fillId="0" borderId="24" xfId="9" applyFont="1" applyBorder="1"/>
    <xf numFmtId="9" fontId="19" fillId="0" borderId="0" xfId="20" applyFont="1"/>
    <xf numFmtId="41" fontId="3" fillId="7" borderId="0" xfId="3" applyNumberFormat="1" applyFill="1" applyAlignment="1">
      <alignment vertical="center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165" fontId="29" fillId="0" borderId="21" xfId="2" applyFont="1" applyBorder="1"/>
    <xf numFmtId="165" fontId="29" fillId="0" borderId="8" xfId="2" applyFont="1" applyBorder="1"/>
    <xf numFmtId="0" fontId="19" fillId="0" borderId="0" xfId="8"/>
    <xf numFmtId="0" fontId="19" fillId="0" borderId="24" xfId="8" applyBorder="1" applyAlignment="1">
      <alignment horizontal="center"/>
    </xf>
    <xf numFmtId="0" fontId="19" fillId="0" borderId="0" xfId="8" applyAlignment="1">
      <alignment horizontal="center"/>
    </xf>
    <xf numFmtId="0" fontId="19" fillId="0" borderId="24" xfId="8" applyBorder="1"/>
    <xf numFmtId="171" fontId="19" fillId="0" borderId="24" xfId="8" applyNumberFormat="1" applyBorder="1" applyAlignment="1">
      <alignment horizontal="center"/>
    </xf>
    <xf numFmtId="171" fontId="19" fillId="0" borderId="0" xfId="8" applyNumberFormat="1"/>
    <xf numFmtId="0" fontId="2" fillId="0" borderId="0" xfId="10" applyFont="1" applyAlignment="1">
      <alignment horizontal="center"/>
    </xf>
    <xf numFmtId="171" fontId="19" fillId="0" borderId="0" xfId="8" applyNumberFormat="1" applyAlignment="1">
      <alignment horizontal="center"/>
    </xf>
    <xf numFmtId="165" fontId="19" fillId="0" borderId="0" xfId="2" applyFont="1" applyBorder="1"/>
    <xf numFmtId="172" fontId="19" fillId="0" borderId="0" xfId="11" applyNumberFormat="1" applyFont="1"/>
    <xf numFmtId="165" fontId="19" fillId="0" borderId="0" xfId="8" applyNumberFormat="1"/>
    <xf numFmtId="173" fontId="19" fillId="0" borderId="0" xfId="12" applyNumberFormat="1" applyFont="1"/>
    <xf numFmtId="165" fontId="19" fillId="0" borderId="15" xfId="8" applyNumberFormat="1" applyBorder="1"/>
    <xf numFmtId="171" fontId="0" fillId="0" borderId="0" xfId="0" applyNumberFormat="1" applyAlignment="1">
      <alignment horizontal="center" vertical="center"/>
    </xf>
    <xf numFmtId="171" fontId="19" fillId="0" borderId="0" xfId="8" applyNumberFormat="1" applyBorder="1" applyAlignment="1">
      <alignment horizontal="center"/>
    </xf>
    <xf numFmtId="0" fontId="6" fillId="0" borderId="1" xfId="3" applyFont="1" applyBorder="1" applyAlignment="1">
      <alignment horizontal="center"/>
    </xf>
    <xf numFmtId="0" fontId="6" fillId="0" borderId="2" xfId="3" applyFont="1" applyBorder="1" applyAlignment="1">
      <alignment horizontal="center"/>
    </xf>
    <xf numFmtId="0" fontId="6" fillId="0" borderId="3" xfId="3" applyFont="1" applyBorder="1" applyAlignment="1">
      <alignment horizontal="center"/>
    </xf>
    <xf numFmtId="0" fontId="3" fillId="0" borderId="4" xfId="3" applyBorder="1" applyAlignment="1">
      <alignment horizontal="left" indent="1"/>
    </xf>
    <xf numFmtId="0" fontId="3" fillId="0" borderId="5" xfId="3" applyBorder="1" applyAlignment="1">
      <alignment horizontal="left" indent="1"/>
    </xf>
    <xf numFmtId="0" fontId="4" fillId="0" borderId="5" xfId="3" applyFont="1" applyBorder="1" applyAlignment="1">
      <alignment horizontal="left"/>
    </xf>
    <xf numFmtId="0" fontId="3" fillId="0" borderId="0" xfId="3" quotePrefix="1" applyAlignment="1">
      <alignment horizontal="left" indent="1"/>
    </xf>
    <xf numFmtId="0" fontId="3" fillId="0" borderId="0" xfId="3" applyAlignment="1">
      <alignment horizontal="left" indent="1"/>
    </xf>
    <xf numFmtId="0" fontId="3" fillId="0" borderId="7" xfId="3" applyBorder="1" applyAlignment="1">
      <alignment horizontal="left" vertical="center" indent="1"/>
    </xf>
    <xf numFmtId="0" fontId="3" fillId="0" borderId="0" xfId="3" applyAlignment="1">
      <alignment horizontal="left" vertical="center" indent="1"/>
    </xf>
    <xf numFmtId="0" fontId="4" fillId="0" borderId="0" xfId="3" applyFont="1" applyAlignment="1">
      <alignment horizontal="left"/>
    </xf>
    <xf numFmtId="167" fontId="0" fillId="0" borderId="0" xfId="5" applyNumberFormat="1" applyFont="1" applyFill="1" applyBorder="1" applyAlignment="1" applyProtection="1">
      <alignment horizontal="left" vertical="top" wrapText="1"/>
      <protection locked="0"/>
    </xf>
    <xf numFmtId="167" fontId="0" fillId="0" borderId="8" xfId="5" applyNumberFormat="1" applyFont="1" applyFill="1" applyBorder="1" applyAlignment="1" applyProtection="1">
      <alignment horizontal="left" vertical="top" wrapText="1"/>
      <protection locked="0"/>
    </xf>
    <xf numFmtId="0" fontId="4" fillId="0" borderId="10" xfId="3" applyFont="1" applyBorder="1" applyAlignment="1">
      <alignment horizontal="left" indent="1"/>
    </xf>
    <xf numFmtId="0" fontId="4" fillId="0" borderId="11" xfId="3" applyFont="1" applyBorder="1" applyAlignment="1">
      <alignment horizontal="left" indent="1"/>
    </xf>
    <xf numFmtId="0" fontId="4" fillId="0" borderId="0" xfId="3" applyFont="1" applyAlignment="1">
      <alignment horizontal="center"/>
    </xf>
    <xf numFmtId="0" fontId="3" fillId="0" borderId="0" xfId="3" applyAlignment="1">
      <alignment horizontal="center"/>
    </xf>
    <xf numFmtId="0" fontId="4" fillId="0" borderId="4" xfId="3" applyFont="1" applyBorder="1" applyAlignment="1">
      <alignment horizontal="left" indent="1"/>
    </xf>
    <xf numFmtId="0" fontId="4" fillId="0" borderId="5" xfId="3" applyFont="1" applyBorder="1" applyAlignment="1">
      <alignment horizontal="left" indent="1"/>
    </xf>
    <xf numFmtId="0" fontId="4" fillId="0" borderId="7" xfId="3" applyFont="1" applyBorder="1" applyAlignment="1">
      <alignment horizontal="left" indent="1"/>
    </xf>
    <xf numFmtId="0" fontId="4" fillId="0" borderId="0" xfId="3" applyFont="1" applyAlignment="1">
      <alignment horizontal="left" indent="1"/>
    </xf>
    <xf numFmtId="0" fontId="4" fillId="0" borderId="5" xfId="3" applyFont="1" applyBorder="1" applyAlignment="1">
      <alignment horizontal="center"/>
    </xf>
    <xf numFmtId="41" fontId="4" fillId="0" borderId="14" xfId="3" applyNumberFormat="1" applyFont="1" applyBorder="1" applyAlignment="1">
      <alignment horizontal="center"/>
    </xf>
    <xf numFmtId="0" fontId="4" fillId="0" borderId="14" xfId="3" applyFont="1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8" borderId="27" xfId="0" applyFill="1" applyBorder="1" applyAlignment="1">
      <alignment horizontal="center"/>
    </xf>
    <xf numFmtId="0" fontId="0" fillId="8" borderId="29" xfId="0" applyFill="1" applyBorder="1" applyAlignment="1">
      <alignment horizontal="center"/>
    </xf>
    <xf numFmtId="0" fontId="0" fillId="8" borderId="25" xfId="0" applyFill="1" applyBorder="1" applyAlignment="1">
      <alignment horizontal="center" vertical="center"/>
    </xf>
    <xf numFmtId="0" fontId="0" fillId="8" borderId="26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9" borderId="24" xfId="0" applyFill="1" applyBorder="1" applyAlignment="1">
      <alignment horizontal="center" vertical="center"/>
    </xf>
    <xf numFmtId="0" fontId="19" fillId="0" borderId="27" xfId="8" applyFont="1" applyBorder="1" applyAlignment="1">
      <alignment horizontal="center" wrapText="1"/>
    </xf>
    <xf numFmtId="0" fontId="19" fillId="0" borderId="29" xfId="8" applyFont="1" applyBorder="1" applyAlignment="1">
      <alignment horizontal="center" wrapText="1"/>
    </xf>
    <xf numFmtId="0" fontId="22" fillId="6" borderId="24" xfId="8" applyFont="1" applyFill="1" applyBorder="1" applyAlignment="1">
      <alignment horizontal="center" vertical="center"/>
    </xf>
    <xf numFmtId="0" fontId="23" fillId="6" borderId="25" xfId="8" applyFont="1" applyFill="1" applyBorder="1" applyAlignment="1">
      <alignment horizontal="center" vertical="center"/>
    </xf>
    <xf numFmtId="0" fontId="23" fillId="6" borderId="26" xfId="8" applyFont="1" applyFill="1" applyBorder="1" applyAlignment="1">
      <alignment horizontal="center" vertical="center"/>
    </xf>
    <xf numFmtId="0" fontId="19" fillId="0" borderId="25" xfId="8" applyFont="1" applyBorder="1" applyAlignment="1">
      <alignment horizontal="center" vertical="center"/>
    </xf>
    <xf numFmtId="0" fontId="19" fillId="0" borderId="26" xfId="8" applyFont="1" applyBorder="1" applyAlignment="1">
      <alignment horizontal="center" vertical="center"/>
    </xf>
    <xf numFmtId="0" fontId="19" fillId="0" borderId="24" xfId="8" applyBorder="1" applyAlignment="1">
      <alignment horizontal="center"/>
    </xf>
    <xf numFmtId="9" fontId="29" fillId="0" borderId="6" xfId="4" applyNumberFormat="1" applyFont="1" applyBorder="1"/>
    <xf numFmtId="9" fontId="29" fillId="0" borderId="8" xfId="4" applyNumberFormat="1" applyFont="1" applyBorder="1"/>
  </cellXfs>
  <cellStyles count="21">
    <cellStyle name="Comma" xfId="1" builtinId="3"/>
    <cellStyle name="Comma [0]" xfId="2" builtinId="6"/>
    <cellStyle name="Comma [0] 3" xfId="12" xr:uid="{326D045E-7605-4BD5-A989-F70F5ABA7D9E}"/>
    <cellStyle name="Comma [0] 3 2" xfId="11" xr:uid="{4F336C94-5811-477E-B09A-3240E97A0BEB}"/>
    <cellStyle name="Comma [0] 4" xfId="4" xr:uid="{46B5E534-04B1-4246-A853-42CBD649CD70}"/>
    <cellStyle name="Comma 2 3" xfId="14" xr:uid="{FDFAA780-32C8-42C8-94DF-F0BAAE9B12D8}"/>
    <cellStyle name="Comma 5 2" xfId="5" xr:uid="{7DB35855-DF1D-41FD-8D1D-57F8E5731502}"/>
    <cellStyle name="Currency [0] 2 2" xfId="9" xr:uid="{31FE3FCA-9591-4575-ADF9-2469AC4B017F}"/>
    <cellStyle name="Currency 2" xfId="15" xr:uid="{2195046E-74DE-4DB5-978A-4F399A011336}"/>
    <cellStyle name="Normal" xfId="0" builtinId="0"/>
    <cellStyle name="Normal 2 2 2 2 3" xfId="6" xr:uid="{DE498679-5550-451A-81BA-8B6F40AD0748}"/>
    <cellStyle name="Normal 2 7" xfId="13" xr:uid="{EB006BD7-BAFA-431B-8D9F-CA10F0629EEE}"/>
    <cellStyle name="Normal 3" xfId="3" xr:uid="{80C6D651-5E36-4AE1-B2AF-24F7035690A9}"/>
    <cellStyle name="Normal 3 2" xfId="18" xr:uid="{FED58831-03E9-4EE4-946F-0CE276DDF50C}"/>
    <cellStyle name="Normal 4" xfId="17" xr:uid="{EF3A0264-2235-47A6-B338-05CEDDF650AF}"/>
    <cellStyle name="Normal 4 2" xfId="19" xr:uid="{B5D3A9AD-CCF3-403A-AFE6-C3683A1ADAD3}"/>
    <cellStyle name="Normal 7" xfId="8" xr:uid="{8336AFE8-187C-4DC7-9E05-5CF89FA2A319}"/>
    <cellStyle name="Normal 7 2" xfId="16" xr:uid="{6301D2BE-D7DC-4D80-A3EA-1C92D765167A}"/>
    <cellStyle name="Normal 7 3" xfId="10" xr:uid="{E3956C3F-B4CE-4040-AFD0-AC78C0F19FE7}"/>
    <cellStyle name="Percent" xfId="20" builtinId="5"/>
    <cellStyle name="Percent 3" xfId="7" xr:uid="{54F020B5-68BB-4710-814E-90969CA1DF9C}"/>
  </cellStyles>
  <dxfs count="1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D78E2A3C-E5E5-4CF3-B67E-0AA1533ADED7}"/>
            </a:ext>
          </a:extLst>
        </xdr:cNvPr>
        <xdr:cNvCxnSpPr/>
      </xdr:nvCxnSpPr>
      <xdr:spPr>
        <a:xfrm flipV="1">
          <a:off x="7539366" y="4879965"/>
          <a:ext cx="158038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76201</xdr:colOff>
      <xdr:row>28</xdr:row>
      <xdr:rowOff>20069</xdr:rowOff>
    </xdr:from>
    <xdr:to>
      <xdr:col>12</xdr:col>
      <xdr:colOff>1208314</xdr:colOff>
      <xdr:row>28</xdr:row>
      <xdr:rowOff>185057</xdr:rowOff>
    </xdr:to>
    <xdr:grpSp>
      <xdr:nvGrpSpPr>
        <xdr:cNvPr id="3" name="Group 2">
          <a:extLst>
            <a:ext uri="{FF2B5EF4-FFF2-40B4-BE49-F238E27FC236}">
              <a16:creationId xmlns:a16="http://schemas.microsoft.com/office/drawing/2014/main" id="{5A035308-0688-4B66-AAA0-7E40ADF2B01F}"/>
            </a:ext>
          </a:extLst>
        </xdr:cNvPr>
        <xdr:cNvGrpSpPr/>
      </xdr:nvGrpSpPr>
      <xdr:grpSpPr>
        <a:xfrm>
          <a:off x="693421" y="5399789"/>
          <a:ext cx="8843553" cy="164988"/>
          <a:chOff x="570986" y="5042917"/>
          <a:chExt cx="14774690" cy="343744"/>
        </a:xfrm>
      </xdr:grpSpPr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7ECCE840-5395-48F6-B907-E83E9E4862B5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 F.H.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20AD39C9-AFEC-41A5-89C1-2A322743268F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Lilis S.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3BD48347-C4BE-4887-AE79-1A86915EE9CB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Cosmas C. W.</a:t>
            </a:r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6488960F-1247-4EA6-90CA-BBDDB79755C6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EF37C040-69FF-4DAA-BFC4-F8BB4A59210D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9" name="TextBox 8">
            <a:extLst>
              <a:ext uri="{FF2B5EF4-FFF2-40B4-BE49-F238E27FC236}">
                <a16:creationId xmlns:a16="http://schemas.microsoft.com/office/drawing/2014/main" id="{EB9810A8-4426-4BCB-9774-409531A5DB7D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H.</a:t>
            </a:r>
          </a:p>
        </xdr:txBody>
      </xdr:sp>
    </xdr:grpSp>
    <xdr:clientData/>
  </xdr:twoCellAnchor>
  <xdr:twoCellAnchor>
    <xdr:from>
      <xdr:col>2</xdr:col>
      <xdr:colOff>87947</xdr:colOff>
      <xdr:row>33</xdr:row>
      <xdr:rowOff>104251</xdr:rowOff>
    </xdr:from>
    <xdr:to>
      <xdr:col>13</xdr:col>
      <xdr:colOff>156845</xdr:colOff>
      <xdr:row>34</xdr:row>
      <xdr:rowOff>79374</xdr:rowOff>
    </xdr:to>
    <xdr:grpSp>
      <xdr:nvGrpSpPr>
        <xdr:cNvPr id="10" name="Group 9">
          <a:extLst>
            <a:ext uri="{FF2B5EF4-FFF2-40B4-BE49-F238E27FC236}">
              <a16:creationId xmlns:a16="http://schemas.microsoft.com/office/drawing/2014/main" id="{2EA86BEC-9667-497F-8D4D-3E4A98AC4968}"/>
            </a:ext>
          </a:extLst>
        </xdr:cNvPr>
        <xdr:cNvGrpSpPr/>
      </xdr:nvGrpSpPr>
      <xdr:grpSpPr>
        <a:xfrm>
          <a:off x="705167" y="6474571"/>
          <a:ext cx="9037638" cy="173243"/>
          <a:chOff x="722947" y="7327377"/>
          <a:chExt cx="10285884" cy="0"/>
        </a:xfrm>
      </xdr:grpSpPr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EA4E7694-9132-4008-8AA2-39182889DC01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5EBF40C4-3664-456E-B4EF-9F61C758259D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7CCCDEAC-291B-4ED7-BE5B-B3C1E0ABC700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28F52CBF-E6DA-4A92-95A0-5E3D55A29831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90EB2F0F-313C-4807-9658-7D0ACCF8DCE0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6" name="Straight Connector 15">
            <a:extLst>
              <a:ext uri="{FF2B5EF4-FFF2-40B4-BE49-F238E27FC236}">
                <a16:creationId xmlns:a16="http://schemas.microsoft.com/office/drawing/2014/main" id="{94082F53-0479-44C5-8F8E-059914ACFC08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LDO%20IBSW\IBS%20-%20IBC%20-%20OPENET\AEON\PNL%20AEON%20Deltamas%20v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BUDGET\IRR\IBC\IBC%20Confirm\IRR%20Swissbell%20Batam\PnL%20Swissbell%20Batam%20dan%20Zest%203Mar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RR (3)"/>
      <sheetName val="IRR (2)"/>
      <sheetName val="Summary"/>
      <sheetName val="IRR"/>
      <sheetName val="PARAMETER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0.1</v>
          </cell>
        </row>
      </sheetData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"/>
      <sheetName val="IRR zest dan swissbell"/>
      <sheetName val="IRR"/>
      <sheetName val="Parameter"/>
      <sheetName val="Summary Review new (2)"/>
    </sheetNames>
    <sheetDataSet>
      <sheetData sheetId="0">
        <row r="7">
          <cell r="D7" t="str">
            <v>Swissbell Batam</v>
          </cell>
        </row>
      </sheetData>
      <sheetData sheetId="1"/>
      <sheetData sheetId="2"/>
      <sheetData sheetId="3">
        <row r="34">
          <cell r="M34">
            <v>13372700.880000005</v>
          </cell>
          <cell r="N34">
            <v>4457566.9600000018</v>
          </cell>
          <cell r="O34">
            <v>0</v>
          </cell>
          <cell r="P34">
            <v>0</v>
          </cell>
        </row>
        <row r="76">
          <cell r="L76">
            <v>54520000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AA8C8-F1BA-4112-82E0-6E7FCDCF6B8C}">
  <sheetPr>
    <pageSetUpPr fitToPage="1"/>
  </sheetPr>
  <dimension ref="B1:R34"/>
  <sheetViews>
    <sheetView showGridLines="0" tabSelected="1" topLeftCell="A4" zoomScaleNormal="100" workbookViewId="0">
      <selection activeCell="C25" sqref="C25"/>
    </sheetView>
  </sheetViews>
  <sheetFormatPr defaultColWidth="9.5546875" defaultRowHeight="15.6" x14ac:dyDescent="0.3"/>
  <cols>
    <col min="1" max="1" width="4.5546875" style="1" customWidth="1"/>
    <col min="2" max="2" width="4.44140625" style="1" customWidth="1"/>
    <col min="3" max="3" width="18.44140625" style="1" customWidth="1"/>
    <col min="4" max="4" width="28.33203125" style="1" customWidth="1"/>
    <col min="5" max="5" width="4.6640625" style="1" customWidth="1"/>
    <col min="6" max="6" width="5.44140625" style="1" customWidth="1"/>
    <col min="7" max="7" width="11.77734375" style="1" customWidth="1"/>
    <col min="8" max="8" width="9.33203125" style="1" customWidth="1"/>
    <col min="9" max="9" width="6" style="1" customWidth="1"/>
    <col min="10" max="10" width="2.33203125" style="1" customWidth="1"/>
    <col min="11" max="11" width="5.6640625" style="1" customWidth="1"/>
    <col min="12" max="12" width="20.44140625" style="1" bestFit="1" customWidth="1"/>
    <col min="13" max="13" width="18.33203125" style="1" customWidth="1"/>
    <col min="14" max="14" width="2.33203125" style="1" customWidth="1"/>
    <col min="15" max="15" width="4" style="1" customWidth="1"/>
    <col min="16" max="16384" width="9.5546875" style="1"/>
  </cols>
  <sheetData>
    <row r="1" spans="2:14" ht="8.4" customHeight="1" x14ac:dyDescent="0.3"/>
    <row r="2" spans="2:14" ht="24" customHeight="1" x14ac:dyDescent="0.45">
      <c r="B2" s="1" t="s">
        <v>0</v>
      </c>
      <c r="C2" s="2" t="s">
        <v>217</v>
      </c>
      <c r="M2" s="3"/>
      <c r="N2" s="4" t="str">
        <f>D7</f>
        <v>Swissbell Batam</v>
      </c>
    </row>
    <row r="3" spans="2:14" ht="18" x14ac:dyDescent="0.35">
      <c r="C3" s="5" t="s">
        <v>1</v>
      </c>
      <c r="D3" s="2" t="s">
        <v>2</v>
      </c>
      <c r="J3" s="5" t="s">
        <v>3</v>
      </c>
      <c r="K3" s="5"/>
      <c r="L3" s="5"/>
      <c r="M3" s="6">
        <v>45742</v>
      </c>
    </row>
    <row r="4" spans="2:14" ht="18" x14ac:dyDescent="0.35">
      <c r="C4" s="5" t="s">
        <v>4</v>
      </c>
      <c r="D4" s="2" t="s">
        <v>181</v>
      </c>
    </row>
    <row r="5" spans="2:14" ht="0.9" customHeight="1" thickBot="1" x14ac:dyDescent="0.35">
      <c r="C5" s="2"/>
    </row>
    <row r="6" spans="2:14" s="7" customFormat="1" ht="18.600000000000001" thickBot="1" x14ac:dyDescent="0.4">
      <c r="B6" s="209" t="s">
        <v>5</v>
      </c>
      <c r="C6" s="210"/>
      <c r="D6" s="211"/>
      <c r="E6" s="209" t="s">
        <v>6</v>
      </c>
      <c r="F6" s="210"/>
      <c r="G6" s="210"/>
      <c r="H6" s="210"/>
      <c r="I6" s="210"/>
      <c r="J6" s="209" t="s">
        <v>7</v>
      </c>
      <c r="K6" s="210"/>
      <c r="L6" s="210"/>
      <c r="M6" s="210"/>
      <c r="N6" s="211"/>
    </row>
    <row r="7" spans="2:14" x14ac:dyDescent="0.3">
      <c r="B7" s="212" t="s">
        <v>8</v>
      </c>
      <c r="C7" s="213"/>
      <c r="D7" s="8" t="s">
        <v>197</v>
      </c>
      <c r="E7" s="214" t="s">
        <v>9</v>
      </c>
      <c r="F7" s="214"/>
      <c r="G7" s="214"/>
      <c r="H7" s="214"/>
      <c r="I7" s="214"/>
      <c r="J7" s="9"/>
      <c r="K7" s="213" t="s">
        <v>10</v>
      </c>
      <c r="L7" s="213"/>
      <c r="M7" s="173">
        <v>3294327481</v>
      </c>
      <c r="N7" s="8"/>
    </row>
    <row r="8" spans="2:14" x14ac:dyDescent="0.3">
      <c r="B8" s="217" t="s">
        <v>11</v>
      </c>
      <c r="C8" s="218"/>
      <c r="D8" s="10"/>
      <c r="E8" s="216" t="s">
        <v>12</v>
      </c>
      <c r="F8" s="216"/>
      <c r="G8" s="216"/>
      <c r="H8" s="11">
        <v>65</v>
      </c>
      <c r="J8" s="12"/>
      <c r="K8" s="216" t="s">
        <v>13</v>
      </c>
      <c r="L8" s="216"/>
      <c r="M8" s="174">
        <f>M7/H9</f>
        <v>45754548.347222224</v>
      </c>
      <c r="N8" s="13"/>
    </row>
    <row r="9" spans="2:14" x14ac:dyDescent="0.3">
      <c r="B9" s="217"/>
      <c r="C9" s="218"/>
      <c r="D9" s="13"/>
      <c r="E9" s="216" t="s">
        <v>14</v>
      </c>
      <c r="F9" s="216"/>
      <c r="G9" s="216"/>
      <c r="H9" s="11">
        <v>72</v>
      </c>
      <c r="J9" s="12"/>
      <c r="K9" s="216" t="s">
        <v>15</v>
      </c>
      <c r="L9" s="216"/>
      <c r="M9" s="175">
        <v>5</v>
      </c>
      <c r="N9" s="13"/>
    </row>
    <row r="10" spans="2:14" x14ac:dyDescent="0.3">
      <c r="B10" s="14" t="s">
        <v>16</v>
      </c>
      <c r="C10" s="15"/>
      <c r="D10" s="13"/>
      <c r="E10" s="216" t="s">
        <v>17</v>
      </c>
      <c r="F10" s="216"/>
      <c r="G10" s="216"/>
      <c r="H10" s="220"/>
      <c r="I10" s="221"/>
      <c r="J10" s="12"/>
      <c r="K10" s="16" t="s">
        <v>18</v>
      </c>
      <c r="L10" s="16"/>
      <c r="M10" s="176">
        <v>0.1</v>
      </c>
      <c r="N10" s="13"/>
    </row>
    <row r="11" spans="2:14" x14ac:dyDescent="0.3">
      <c r="B11" s="17" t="s">
        <v>19</v>
      </c>
      <c r="C11" s="16"/>
      <c r="D11" s="13"/>
      <c r="H11" s="220"/>
      <c r="I11" s="221"/>
      <c r="J11" s="18"/>
      <c r="K11" s="216" t="s">
        <v>21</v>
      </c>
      <c r="L11" s="216"/>
      <c r="M11" s="173">
        <f>IRR!Q21</f>
        <v>997920000</v>
      </c>
      <c r="N11" s="13"/>
    </row>
    <row r="12" spans="2:14" x14ac:dyDescent="0.3">
      <c r="B12" s="17" t="s">
        <v>22</v>
      </c>
      <c r="C12" s="16"/>
      <c r="D12" s="13" t="s">
        <v>23</v>
      </c>
      <c r="E12" s="219" t="s">
        <v>20</v>
      </c>
      <c r="F12" s="219"/>
      <c r="G12" s="219"/>
      <c r="H12" s="219"/>
      <c r="I12" s="219"/>
      <c r="J12" s="12"/>
      <c r="K12" s="216" t="s">
        <v>195</v>
      </c>
      <c r="L12" s="216"/>
      <c r="M12" s="173">
        <f>IRR!G11</f>
        <v>0</v>
      </c>
      <c r="N12" s="13"/>
    </row>
    <row r="13" spans="2:14" x14ac:dyDescent="0.3">
      <c r="B13" s="17" t="s">
        <v>25</v>
      </c>
      <c r="C13" s="16"/>
      <c r="D13" s="20"/>
      <c r="E13" s="215" t="s">
        <v>24</v>
      </c>
      <c r="F13" s="215"/>
      <c r="G13" s="215"/>
      <c r="H13" s="19">
        <v>0</v>
      </c>
      <c r="J13" s="12"/>
      <c r="K13" s="216" t="s">
        <v>27</v>
      </c>
      <c r="L13" s="216"/>
      <c r="M13" s="173">
        <f>IRR!Q24</f>
        <v>850000000</v>
      </c>
      <c r="N13" s="13"/>
    </row>
    <row r="14" spans="2:14" x14ac:dyDescent="0.3">
      <c r="B14" s="17" t="s">
        <v>28</v>
      </c>
      <c r="C14" s="16"/>
      <c r="D14" s="20"/>
      <c r="E14" s="215" t="s">
        <v>26</v>
      </c>
      <c r="F14" s="215"/>
      <c r="G14" s="215"/>
      <c r="H14" s="19">
        <v>0</v>
      </c>
      <c r="J14" s="12"/>
      <c r="K14" s="162" t="s">
        <v>30</v>
      </c>
      <c r="L14" s="162"/>
      <c r="M14" s="174">
        <f>IRR!Q25+IRR!Q26+IRR!Q27</f>
        <v>156000000</v>
      </c>
      <c r="N14" s="13"/>
    </row>
    <row r="15" spans="2:14" ht="16.2" thickBot="1" x14ac:dyDescent="0.35">
      <c r="B15" s="17" t="s">
        <v>31</v>
      </c>
      <c r="C15" s="16"/>
      <c r="D15" s="21"/>
      <c r="E15" s="215" t="s">
        <v>29</v>
      </c>
      <c r="F15" s="215"/>
      <c r="G15" s="215"/>
      <c r="H15" s="19">
        <v>0</v>
      </c>
      <c r="J15" s="12"/>
      <c r="N15" s="13"/>
    </row>
    <row r="16" spans="2:14" x14ac:dyDescent="0.3">
      <c r="B16" s="12"/>
      <c r="D16" s="13"/>
      <c r="E16" s="219" t="s">
        <v>32</v>
      </c>
      <c r="F16" s="219"/>
      <c r="G16" s="219"/>
      <c r="H16" s="219"/>
      <c r="I16" s="219"/>
      <c r="J16" s="22"/>
      <c r="K16" s="226" t="s">
        <v>33</v>
      </c>
      <c r="L16" s="227"/>
      <c r="M16" s="252">
        <f>IRR!F42</f>
        <v>-1.6862533977575089E-2</v>
      </c>
      <c r="N16" s="13"/>
    </row>
    <row r="17" spans="2:18" x14ac:dyDescent="0.3">
      <c r="B17" s="12"/>
      <c r="D17" s="13"/>
      <c r="J17" s="23"/>
      <c r="K17" s="228" t="s">
        <v>34</v>
      </c>
      <c r="L17" s="229"/>
      <c r="M17" s="193">
        <f>IRR!F43</f>
        <v>-62926385.90260233</v>
      </c>
      <c r="N17" s="13"/>
    </row>
    <row r="18" spans="2:18" x14ac:dyDescent="0.3">
      <c r="B18" s="12"/>
      <c r="D18" s="13"/>
      <c r="J18" s="23"/>
      <c r="K18" s="228" t="s">
        <v>35</v>
      </c>
      <c r="L18" s="229"/>
      <c r="M18" s="253">
        <f>IRR!F44</f>
        <v>-8.0968414301747643E-3</v>
      </c>
      <c r="N18" s="13"/>
      <c r="R18" s="1" t="s">
        <v>36</v>
      </c>
    </row>
    <row r="19" spans="2:18" ht="16.2" thickBot="1" x14ac:dyDescent="0.35">
      <c r="B19" s="12"/>
      <c r="D19" s="13"/>
      <c r="J19" s="23"/>
      <c r="K19" s="222" t="s">
        <v>37</v>
      </c>
      <c r="L19" s="223"/>
      <c r="M19" s="24">
        <f>IRR!F45</f>
        <v>0</v>
      </c>
      <c r="N19" s="13"/>
      <c r="Q19" s="1" t="s">
        <v>36</v>
      </c>
    </row>
    <row r="20" spans="2:18" ht="16.2" thickBot="1" x14ac:dyDescent="0.35">
      <c r="B20" s="25"/>
      <c r="C20" s="26"/>
      <c r="D20" s="27"/>
      <c r="E20" s="26"/>
      <c r="F20" s="26" t="s">
        <v>36</v>
      </c>
      <c r="G20" s="26"/>
      <c r="H20" s="26"/>
      <c r="I20" s="26"/>
      <c r="J20" s="12"/>
      <c r="K20" s="28"/>
      <c r="L20" s="16"/>
      <c r="M20" s="16"/>
      <c r="N20" s="13"/>
    </row>
    <row r="21" spans="2:18" x14ac:dyDescent="0.3">
      <c r="B21" s="29" t="s">
        <v>38</v>
      </c>
      <c r="C21" s="30"/>
      <c r="D21" s="30"/>
      <c r="E21" s="30"/>
      <c r="F21" s="30"/>
      <c r="G21" s="30"/>
      <c r="H21" s="30"/>
      <c r="I21" s="30"/>
      <c r="J21" s="30"/>
      <c r="K21" s="230" t="s">
        <v>39</v>
      </c>
      <c r="L21" s="230"/>
      <c r="M21" s="230"/>
      <c r="N21" s="8"/>
    </row>
    <row r="22" spans="2:18" x14ac:dyDescent="0.3">
      <c r="B22" s="12" t="s">
        <v>40</v>
      </c>
      <c r="D22" s="1" t="s">
        <v>41</v>
      </c>
      <c r="L22" s="224" t="s">
        <v>42</v>
      </c>
      <c r="M22" s="225"/>
      <c r="N22" s="13"/>
    </row>
    <row r="23" spans="2:18" x14ac:dyDescent="0.3">
      <c r="B23" s="12"/>
      <c r="C23" s="1" t="s">
        <v>215</v>
      </c>
      <c r="N23" s="13"/>
    </row>
    <row r="24" spans="2:18" x14ac:dyDescent="0.3">
      <c r="B24" s="12"/>
      <c r="C24" s="1" t="s">
        <v>216</v>
      </c>
      <c r="N24" s="13"/>
    </row>
    <row r="25" spans="2:18" x14ac:dyDescent="0.3">
      <c r="B25" s="12"/>
      <c r="C25" s="1" t="s">
        <v>238</v>
      </c>
      <c r="N25" s="13"/>
    </row>
    <row r="26" spans="2:18" ht="16.2" thickBot="1" x14ac:dyDescent="0.35">
      <c r="B26" s="25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7"/>
    </row>
    <row r="27" spans="2:18" ht="6" customHeight="1" x14ac:dyDescent="0.3"/>
    <row r="28" spans="2:18" x14ac:dyDescent="0.3">
      <c r="B28" s="2" t="s">
        <v>43</v>
      </c>
    </row>
    <row r="29" spans="2:18" x14ac:dyDescent="0.3"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</row>
    <row r="30" spans="2:18" x14ac:dyDescent="0.3"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</row>
    <row r="31" spans="2:18" x14ac:dyDescent="0.3"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</row>
    <row r="32" spans="2:18" x14ac:dyDescent="0.3"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</row>
    <row r="33" spans="2:15" x14ac:dyDescent="0.3"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</row>
    <row r="34" spans="2:15" x14ac:dyDescent="0.3"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</row>
  </sheetData>
  <mergeCells count="28">
    <mergeCell ref="K19:L19"/>
    <mergeCell ref="L22:M22"/>
    <mergeCell ref="E14:G14"/>
    <mergeCell ref="E16:I16"/>
    <mergeCell ref="K16:L16"/>
    <mergeCell ref="K17:L17"/>
    <mergeCell ref="K18:L18"/>
    <mergeCell ref="E15:G15"/>
    <mergeCell ref="K21:M21"/>
    <mergeCell ref="E13:G13"/>
    <mergeCell ref="K13:L13"/>
    <mergeCell ref="B8:C8"/>
    <mergeCell ref="E8:G8"/>
    <mergeCell ref="K8:L8"/>
    <mergeCell ref="B9:C9"/>
    <mergeCell ref="E9:G9"/>
    <mergeCell ref="K9:L9"/>
    <mergeCell ref="E10:G10"/>
    <mergeCell ref="E12:I12"/>
    <mergeCell ref="K11:L11"/>
    <mergeCell ref="K12:L12"/>
    <mergeCell ref="H10:I11"/>
    <mergeCell ref="B6:D6"/>
    <mergeCell ref="E6:I6"/>
    <mergeCell ref="J6:N6"/>
    <mergeCell ref="B7:C7"/>
    <mergeCell ref="E7:I7"/>
    <mergeCell ref="K7:L7"/>
  </mergeCells>
  <pageMargins left="0.38" right="0.7" top="0.39" bottom="0.4" header="0.3" footer="0.3"/>
  <pageSetup paperSize="9" scale="9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5696D-ED94-4662-A4EB-CFE6FE5C67A8}">
  <sheetPr>
    <pageSetUpPr fitToPage="1"/>
  </sheetPr>
  <dimension ref="B1:Y59"/>
  <sheetViews>
    <sheetView showGridLines="0" topLeftCell="A9" zoomScale="90" zoomScaleNormal="90" workbookViewId="0">
      <selection activeCell="B1" sqref="B1:Q53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2" customWidth="1"/>
    <col min="8" max="8" width="16.77734375" style="1" customWidth="1"/>
    <col min="9" max="9" width="15.6640625" style="1" customWidth="1"/>
    <col min="10" max="10" width="15.21875" style="1" customWidth="1"/>
    <col min="11" max="11" width="13.6640625" style="1" bestFit="1" customWidth="1"/>
    <col min="12" max="15" width="6.6640625" style="1" hidden="1" customWidth="1"/>
    <col min="16" max="16" width="7.77734375" style="1" hidden="1" customWidth="1"/>
    <col min="17" max="17" width="16.2187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182</v>
      </c>
      <c r="C1" s="1" t="s">
        <v>194</v>
      </c>
      <c r="Q1" s="4" t="str">
        <f>Summary!D7</f>
        <v>Swissbell Batam</v>
      </c>
    </row>
    <row r="2" spans="2:25" x14ac:dyDescent="0.3">
      <c r="B2" s="33" t="s">
        <v>44</v>
      </c>
      <c r="H2" s="159" t="s">
        <v>45</v>
      </c>
      <c r="I2" s="160" t="s">
        <v>46</v>
      </c>
    </row>
    <row r="3" spans="2:25" x14ac:dyDescent="0.3">
      <c r="C3" s="1" t="s">
        <v>47</v>
      </c>
      <c r="E3" s="35">
        <v>0.02</v>
      </c>
      <c r="H3" s="161"/>
      <c r="I3" s="36"/>
      <c r="L3" s="36"/>
      <c r="M3" s="36"/>
      <c r="N3" s="36"/>
      <c r="O3" s="36"/>
      <c r="P3" s="36"/>
      <c r="R3" s="37"/>
      <c r="S3" s="37"/>
    </row>
    <row r="4" spans="2:25" x14ac:dyDescent="0.3">
      <c r="C4" s="1" t="s">
        <v>48</v>
      </c>
      <c r="E4" s="35">
        <v>0.1</v>
      </c>
      <c r="H4" s="161"/>
      <c r="I4" s="36"/>
      <c r="L4" s="36"/>
      <c r="M4" s="36"/>
      <c r="N4" s="36"/>
      <c r="O4" s="36"/>
      <c r="P4" s="36"/>
      <c r="R4" s="37"/>
      <c r="S4" s="37"/>
    </row>
    <row r="5" spans="2:25" x14ac:dyDescent="0.3">
      <c r="C5" s="1" t="s">
        <v>49</v>
      </c>
      <c r="E5" s="35">
        <f>2.5%*0</f>
        <v>0</v>
      </c>
      <c r="F5" s="32" t="s">
        <v>50</v>
      </c>
      <c r="H5" s="161"/>
      <c r="I5" s="36"/>
      <c r="S5" s="37"/>
      <c r="T5" s="38"/>
      <c r="U5" s="38"/>
      <c r="V5" s="38"/>
    </row>
    <row r="6" spans="2:25" x14ac:dyDescent="0.3">
      <c r="C6" s="1" t="s">
        <v>51</v>
      </c>
      <c r="E6" s="39">
        <v>0</v>
      </c>
      <c r="F6" s="32" t="s">
        <v>50</v>
      </c>
      <c r="H6" s="161"/>
      <c r="S6" s="37"/>
    </row>
    <row r="7" spans="2:25" ht="4.2" customHeight="1" x14ac:dyDescent="0.3">
      <c r="F7" s="35"/>
      <c r="S7" s="37"/>
    </row>
    <row r="8" spans="2:25" ht="14.4" customHeight="1" x14ac:dyDescent="0.3">
      <c r="B8" s="41" t="s">
        <v>57</v>
      </c>
      <c r="G8" s="34" t="s">
        <v>52</v>
      </c>
      <c r="H8" s="34" t="s">
        <v>53</v>
      </c>
      <c r="I8" s="34" t="s">
        <v>54</v>
      </c>
      <c r="J8" s="34" t="s">
        <v>55</v>
      </c>
      <c r="K8" s="34" t="s">
        <v>56</v>
      </c>
      <c r="L8" s="34" t="s">
        <v>176</v>
      </c>
      <c r="M8" s="34" t="s">
        <v>177</v>
      </c>
      <c r="N8" s="34" t="s">
        <v>178</v>
      </c>
      <c r="O8" s="34" t="s">
        <v>179</v>
      </c>
      <c r="P8" s="34" t="s">
        <v>180</v>
      </c>
      <c r="R8" s="40"/>
      <c r="W8" s="40"/>
      <c r="X8" s="40"/>
      <c r="Y8" s="40"/>
    </row>
    <row r="9" spans="2:25" s="42" customFormat="1" x14ac:dyDescent="0.3">
      <c r="D9" s="42" t="s">
        <v>196</v>
      </c>
      <c r="F9" s="43"/>
      <c r="G9" s="184">
        <v>0</v>
      </c>
      <c r="H9" s="184">
        <v>0</v>
      </c>
      <c r="I9" s="184">
        <v>0</v>
      </c>
      <c r="J9" s="184">
        <v>0</v>
      </c>
      <c r="K9" s="184"/>
      <c r="L9" s="184"/>
      <c r="M9" s="184"/>
      <c r="N9" s="184"/>
      <c r="O9" s="184"/>
      <c r="P9" s="184"/>
      <c r="Q9" s="184">
        <f>SUM(G9:K9)</f>
        <v>0</v>
      </c>
      <c r="R9" s="182"/>
      <c r="S9" s="1"/>
      <c r="T9" s="1"/>
      <c r="U9" s="1"/>
      <c r="V9" s="1"/>
      <c r="W9" s="43"/>
      <c r="X9" s="43"/>
      <c r="Y9" s="43"/>
    </row>
    <row r="10" spans="2:25" s="42" customFormat="1" ht="16.2" thickBot="1" x14ac:dyDescent="0.35">
      <c r="B10" s="41"/>
      <c r="F10" s="43"/>
      <c r="G10" s="185"/>
      <c r="H10" s="185"/>
      <c r="I10" s="185"/>
      <c r="J10" s="185"/>
      <c r="K10" s="185"/>
      <c r="L10" s="185"/>
      <c r="M10" s="185"/>
      <c r="N10" s="185"/>
      <c r="O10" s="185"/>
      <c r="P10" s="185"/>
      <c r="Q10" s="185">
        <f>G10</f>
        <v>0</v>
      </c>
      <c r="R10" s="182"/>
      <c r="S10" s="1"/>
      <c r="T10" s="1"/>
      <c r="U10" s="1"/>
      <c r="V10" s="1"/>
      <c r="W10" s="43"/>
      <c r="X10" s="43"/>
      <c r="Y10" s="43"/>
    </row>
    <row r="11" spans="2:25" s="42" customFormat="1" ht="16.2" thickTop="1" x14ac:dyDescent="0.3">
      <c r="B11" s="41"/>
      <c r="F11" s="43"/>
      <c r="G11" s="43">
        <f>SUM(G9:G10)</f>
        <v>0</v>
      </c>
      <c r="H11" s="43"/>
      <c r="I11" s="43"/>
      <c r="J11" s="43"/>
      <c r="K11" s="43"/>
      <c r="L11" s="43"/>
      <c r="M11" s="43"/>
      <c r="N11" s="43"/>
      <c r="O11" s="43"/>
      <c r="P11" s="43"/>
      <c r="Q11" s="43">
        <f>Q10+Q9</f>
        <v>0</v>
      </c>
      <c r="R11" s="43"/>
      <c r="S11" s="1"/>
      <c r="T11" s="1"/>
      <c r="U11" s="1"/>
      <c r="V11" s="1"/>
      <c r="W11" s="43"/>
      <c r="X11" s="43"/>
      <c r="Y11" s="43"/>
    </row>
    <row r="12" spans="2:25" x14ac:dyDescent="0.3">
      <c r="F12" s="44"/>
      <c r="G12" s="45">
        <v>2025</v>
      </c>
      <c r="H12" s="45">
        <f>G12+1</f>
        <v>2026</v>
      </c>
      <c r="I12" s="45">
        <f t="shared" ref="I12:P12" si="0">H12+1</f>
        <v>2027</v>
      </c>
      <c r="J12" s="45">
        <f t="shared" si="0"/>
        <v>2028</v>
      </c>
      <c r="K12" s="45">
        <f t="shared" si="0"/>
        <v>2029</v>
      </c>
      <c r="L12" s="45">
        <f t="shared" si="0"/>
        <v>2030</v>
      </c>
      <c r="M12" s="45">
        <f t="shared" si="0"/>
        <v>2031</v>
      </c>
      <c r="N12" s="45">
        <f t="shared" si="0"/>
        <v>2032</v>
      </c>
      <c r="O12" s="45">
        <f t="shared" si="0"/>
        <v>2033</v>
      </c>
      <c r="P12" s="45">
        <f t="shared" si="0"/>
        <v>2034</v>
      </c>
      <c r="Q12" s="45"/>
    </row>
    <row r="13" spans="2:25" ht="16.2" thickBot="1" x14ac:dyDescent="0.35">
      <c r="B13" s="46" t="s">
        <v>58</v>
      </c>
      <c r="C13" s="26"/>
      <c r="D13" s="26"/>
      <c r="E13" s="26"/>
      <c r="F13" s="47" t="s">
        <v>175</v>
      </c>
      <c r="G13" s="47" t="s">
        <v>59</v>
      </c>
      <c r="H13" s="48" t="s">
        <v>60</v>
      </c>
      <c r="I13" s="47" t="s">
        <v>61</v>
      </c>
      <c r="J13" s="48" t="s">
        <v>62</v>
      </c>
      <c r="K13" s="47" t="s">
        <v>63</v>
      </c>
      <c r="L13" s="47" t="s">
        <v>89</v>
      </c>
      <c r="M13" s="47" t="s">
        <v>171</v>
      </c>
      <c r="N13" s="47" t="s">
        <v>172</v>
      </c>
      <c r="O13" s="47" t="s">
        <v>173</v>
      </c>
      <c r="P13" s="47" t="s">
        <v>174</v>
      </c>
      <c r="Q13" s="49" t="s">
        <v>64</v>
      </c>
      <c r="R13" s="38"/>
      <c r="S13" s="50"/>
      <c r="T13" s="50"/>
      <c r="U13" s="50"/>
      <c r="V13" s="50"/>
      <c r="W13" s="38"/>
    </row>
    <row r="14" spans="2:25" x14ac:dyDescent="0.3">
      <c r="B14" s="1" t="s">
        <v>65</v>
      </c>
      <c r="G14" s="45">
        <v>12</v>
      </c>
      <c r="H14" s="45">
        <v>12</v>
      </c>
      <c r="I14" s="45">
        <v>12</v>
      </c>
      <c r="J14" s="45">
        <v>12</v>
      </c>
      <c r="K14" s="45">
        <v>12</v>
      </c>
      <c r="L14" s="45"/>
      <c r="M14" s="45"/>
      <c r="N14" s="45"/>
      <c r="O14" s="45"/>
      <c r="P14" s="45"/>
      <c r="Q14" s="51"/>
      <c r="S14" s="37"/>
      <c r="T14" s="37"/>
      <c r="U14" s="37"/>
      <c r="V14" s="37"/>
    </row>
    <row r="15" spans="2:25" ht="1.8" customHeight="1" x14ac:dyDescent="0.3">
      <c r="Q15" s="51"/>
      <c r="S15" s="52"/>
      <c r="T15" s="52"/>
      <c r="U15" s="52"/>
      <c r="V15" s="52"/>
    </row>
    <row r="16" spans="2:25" x14ac:dyDescent="0.3">
      <c r="B16" s="2" t="s">
        <v>66</v>
      </c>
      <c r="E16" s="53"/>
      <c r="G16" s="54"/>
      <c r="H16" s="55"/>
      <c r="I16" s="56"/>
      <c r="J16" s="56"/>
      <c r="K16" s="56"/>
      <c r="L16" s="56"/>
      <c r="M16" s="56"/>
      <c r="N16" s="56"/>
      <c r="O16" s="56"/>
      <c r="P16" s="56"/>
      <c r="Q16" s="51"/>
      <c r="S16" s="50"/>
      <c r="T16" s="50"/>
      <c r="U16" s="50"/>
      <c r="V16" s="50"/>
    </row>
    <row r="17" spans="2:24" x14ac:dyDescent="0.3">
      <c r="B17" s="2"/>
      <c r="C17" s="1" t="s">
        <v>67</v>
      </c>
      <c r="E17" s="53"/>
      <c r="G17" s="55">
        <f>199584000</f>
        <v>199584000</v>
      </c>
      <c r="H17" s="163">
        <f>G17</f>
        <v>199584000</v>
      </c>
      <c r="I17" s="55">
        <f>H17</f>
        <v>199584000</v>
      </c>
      <c r="J17" s="55">
        <f>I17</f>
        <v>199584000</v>
      </c>
      <c r="K17" s="55">
        <f>J17</f>
        <v>199584000</v>
      </c>
      <c r="L17" s="55"/>
      <c r="M17" s="55"/>
      <c r="N17" s="55"/>
      <c r="O17" s="55"/>
      <c r="P17" s="55"/>
      <c r="Q17" s="57">
        <f>SUM(G17:K17)</f>
        <v>997920000</v>
      </c>
      <c r="R17" s="180"/>
      <c r="S17" s="50"/>
      <c r="T17" s="50"/>
      <c r="U17" s="50"/>
      <c r="V17" s="50"/>
    </row>
    <row r="18" spans="2:24" hidden="1" x14ac:dyDescent="0.3">
      <c r="B18" s="2"/>
      <c r="C18" s="1" t="s">
        <v>208</v>
      </c>
      <c r="E18" s="53"/>
      <c r="G18" s="55"/>
      <c r="H18" s="163"/>
      <c r="I18" s="163"/>
      <c r="J18" s="163"/>
      <c r="K18" s="163"/>
      <c r="L18" s="55"/>
      <c r="M18" s="55"/>
      <c r="N18" s="55"/>
      <c r="O18" s="55"/>
      <c r="P18" s="55"/>
      <c r="Q18" s="57">
        <f>SUM(G18:K18)</f>
        <v>0</v>
      </c>
      <c r="R18" s="180"/>
      <c r="S18" s="50"/>
      <c r="T18" s="50"/>
      <c r="U18" s="50"/>
      <c r="V18" s="50"/>
    </row>
    <row r="19" spans="2:24" hidden="1" x14ac:dyDescent="0.3">
      <c r="B19" s="2"/>
      <c r="E19" s="53"/>
      <c r="G19" s="55"/>
      <c r="H19" s="163"/>
      <c r="I19" s="55"/>
      <c r="J19" s="55"/>
      <c r="K19" s="55"/>
      <c r="L19" s="55"/>
      <c r="M19" s="55"/>
      <c r="N19" s="55"/>
      <c r="O19" s="55"/>
      <c r="P19" s="55"/>
      <c r="Q19" s="57">
        <f t="shared" ref="Q19:Q20" si="1">SUM(G19:K19)</f>
        <v>0</v>
      </c>
      <c r="S19" s="50"/>
      <c r="T19" s="50"/>
      <c r="U19" s="50"/>
      <c r="V19" s="50"/>
    </row>
    <row r="20" spans="2:24" hidden="1" x14ac:dyDescent="0.3">
      <c r="B20" s="2"/>
      <c r="E20" s="53"/>
      <c r="G20" s="55"/>
      <c r="H20" s="163"/>
      <c r="I20" s="55"/>
      <c r="J20" s="55"/>
      <c r="K20" s="55"/>
      <c r="L20" s="58"/>
      <c r="M20" s="58"/>
      <c r="N20" s="58"/>
      <c r="O20" s="58"/>
      <c r="P20" s="58"/>
      <c r="Q20" s="57">
        <f t="shared" si="1"/>
        <v>0</v>
      </c>
      <c r="S20" s="50"/>
      <c r="T20" s="50"/>
      <c r="U20" s="50"/>
      <c r="V20" s="50"/>
    </row>
    <row r="21" spans="2:24" x14ac:dyDescent="0.3">
      <c r="B21" s="60" t="s">
        <v>68</v>
      </c>
      <c r="C21" s="60"/>
      <c r="D21" s="60"/>
      <c r="E21" s="231"/>
      <c r="F21" s="232"/>
      <c r="G21" s="61">
        <f>SUM(G17:G20)</f>
        <v>199584000</v>
      </c>
      <c r="H21" s="61">
        <f>SUM(H17:H20)</f>
        <v>199584000</v>
      </c>
      <c r="I21" s="61">
        <f>SUM(I17:I20)</f>
        <v>199584000</v>
      </c>
      <c r="J21" s="61">
        <f>SUM(J17:J20)</f>
        <v>199584000</v>
      </c>
      <c r="K21" s="61">
        <f>SUM(K17:K20)</f>
        <v>199584000</v>
      </c>
      <c r="L21" s="61"/>
      <c r="M21" s="61"/>
      <c r="N21" s="61"/>
      <c r="O21" s="61"/>
      <c r="P21" s="61"/>
      <c r="Q21" s="62">
        <f>SUM(G21:K21)</f>
        <v>997920000</v>
      </c>
      <c r="R21" s="50"/>
      <c r="S21" s="63"/>
      <c r="T21" s="63"/>
      <c r="U21" s="63"/>
      <c r="V21" s="63"/>
      <c r="W21" s="50"/>
      <c r="X21" s="37"/>
    </row>
    <row r="22" spans="2:24" ht="1.8" customHeight="1" x14ac:dyDescent="0.3">
      <c r="Q22" s="51"/>
      <c r="R22" s="37"/>
      <c r="S22" s="63"/>
      <c r="T22" s="63"/>
      <c r="U22" s="63"/>
      <c r="V22" s="63"/>
      <c r="W22" s="37"/>
      <c r="X22" s="37"/>
    </row>
    <row r="23" spans="2:24" x14ac:dyDescent="0.3">
      <c r="B23" s="2" t="s">
        <v>69</v>
      </c>
      <c r="E23" s="53"/>
      <c r="F23" s="53"/>
      <c r="G23" s="54"/>
      <c r="H23" s="53"/>
      <c r="I23" s="56"/>
      <c r="J23" s="56"/>
      <c r="K23" s="56"/>
      <c r="L23" s="56"/>
      <c r="M23" s="56"/>
      <c r="N23" s="56"/>
      <c r="O23" s="56"/>
      <c r="P23" s="56"/>
      <c r="Q23" s="64"/>
      <c r="R23" s="52"/>
      <c r="S23" s="65"/>
      <c r="T23" s="65"/>
      <c r="U23" s="65"/>
      <c r="V23" s="65"/>
      <c r="W23" s="37"/>
      <c r="X23" s="37"/>
    </row>
    <row r="24" spans="2:24" x14ac:dyDescent="0.3">
      <c r="C24" s="1" t="s">
        <v>70</v>
      </c>
      <c r="E24" s="66"/>
      <c r="G24" s="67">
        <f>170000000*5*40%</f>
        <v>340000000</v>
      </c>
      <c r="H24" s="67">
        <f>170000000*5*20%</f>
        <v>170000000</v>
      </c>
      <c r="I24" s="67">
        <f>H24</f>
        <v>170000000</v>
      </c>
      <c r="J24" s="67">
        <f>I24</f>
        <v>170000000</v>
      </c>
      <c r="K24" s="67"/>
      <c r="L24" s="67"/>
      <c r="M24" s="67"/>
      <c r="N24" s="67"/>
      <c r="O24" s="67"/>
      <c r="P24" s="67"/>
      <c r="Q24" s="68">
        <f>SUM(G24:K24)</f>
        <v>850000000</v>
      </c>
      <c r="R24" s="52"/>
      <c r="S24" s="50"/>
      <c r="T24" s="50"/>
      <c r="U24" s="50"/>
      <c r="V24" s="50"/>
      <c r="W24" s="69"/>
      <c r="X24" s="37"/>
    </row>
    <row r="25" spans="2:24" x14ac:dyDescent="0.3">
      <c r="C25" s="1" t="s">
        <v>71</v>
      </c>
      <c r="F25" s="70"/>
      <c r="G25" s="189">
        <f>(2600000*12)</f>
        <v>31200000</v>
      </c>
      <c r="H25" s="189">
        <f>G25</f>
        <v>31200000</v>
      </c>
      <c r="I25" s="189">
        <f>H25</f>
        <v>31200000</v>
      </c>
      <c r="J25" s="189">
        <f>I25</f>
        <v>31200000</v>
      </c>
      <c r="K25" s="189">
        <f>J25</f>
        <v>31200000</v>
      </c>
      <c r="L25" s="67"/>
      <c r="M25" s="67"/>
      <c r="N25" s="67"/>
      <c r="O25" s="67"/>
      <c r="P25" s="67"/>
      <c r="Q25" s="68">
        <f>SUM(G25:K25)</f>
        <v>156000000</v>
      </c>
      <c r="R25" s="181"/>
      <c r="S25" s="71"/>
      <c r="T25" s="71"/>
      <c r="U25" s="71"/>
      <c r="V25" s="71"/>
      <c r="W25" s="69"/>
      <c r="X25" s="37"/>
    </row>
    <row r="26" spans="2:24" x14ac:dyDescent="0.3">
      <c r="C26" s="1" t="s">
        <v>72</v>
      </c>
      <c r="G26" s="72"/>
      <c r="H26" s="72"/>
      <c r="I26" s="72"/>
      <c r="J26" s="72"/>
      <c r="K26" s="72"/>
      <c r="L26" s="72"/>
      <c r="M26" s="72"/>
      <c r="N26" s="72"/>
      <c r="O26" s="72"/>
      <c r="P26" s="72"/>
      <c r="Q26" s="68">
        <f t="shared" ref="Q26:Q27" si="2">SUM(G26:K26)</f>
        <v>0</v>
      </c>
      <c r="R26" s="50"/>
      <c r="S26" s="71"/>
      <c r="T26" s="71"/>
      <c r="U26" s="71"/>
      <c r="V26" s="71"/>
      <c r="W26" s="69"/>
      <c r="X26" s="37"/>
    </row>
    <row r="27" spans="2:24" x14ac:dyDescent="0.3">
      <c r="B27" s="73"/>
      <c r="C27" s="73" t="s">
        <v>49</v>
      </c>
      <c r="D27" s="73"/>
      <c r="E27" s="73"/>
      <c r="F27" s="73"/>
      <c r="G27" s="165">
        <f>G21*$E$5</f>
        <v>0</v>
      </c>
      <c r="H27" s="165">
        <f>H21*$E$5</f>
        <v>0</v>
      </c>
      <c r="I27" s="165">
        <f>I21*$E$5</f>
        <v>0</v>
      </c>
      <c r="J27" s="165">
        <f>J21*$E$5</f>
        <v>0</v>
      </c>
      <c r="K27" s="165">
        <f>K21*$E$5</f>
        <v>0</v>
      </c>
      <c r="L27" s="156"/>
      <c r="M27" s="156"/>
      <c r="N27" s="156"/>
      <c r="O27" s="156"/>
      <c r="P27" s="156"/>
      <c r="Q27" s="68">
        <f t="shared" si="2"/>
        <v>0</v>
      </c>
      <c r="R27" s="59"/>
      <c r="S27" s="71"/>
      <c r="T27" s="71"/>
      <c r="U27" s="71"/>
      <c r="V27" s="71"/>
      <c r="W27" s="69"/>
      <c r="X27" s="37"/>
    </row>
    <row r="28" spans="2:24" s="2" customFormat="1" x14ac:dyDescent="0.3">
      <c r="B28" s="60" t="s">
        <v>73</v>
      </c>
      <c r="C28" s="60"/>
      <c r="D28" s="60"/>
      <c r="E28" s="60"/>
      <c r="F28" s="60"/>
      <c r="G28" s="61">
        <f>SUM(G24:G27)</f>
        <v>371200000</v>
      </c>
      <c r="H28" s="61">
        <f t="shared" ref="H28:K28" si="3">SUM(H24:H27)</f>
        <v>201200000</v>
      </c>
      <c r="I28" s="61">
        <f t="shared" si="3"/>
        <v>201200000</v>
      </c>
      <c r="J28" s="61">
        <f>SUM(J24:J27)</f>
        <v>201200000</v>
      </c>
      <c r="K28" s="61">
        <f t="shared" si="3"/>
        <v>31200000</v>
      </c>
      <c r="L28" s="61"/>
      <c r="M28" s="61"/>
      <c r="N28" s="61"/>
      <c r="O28" s="61"/>
      <c r="P28" s="61"/>
      <c r="Q28" s="74">
        <f>SUM(Q24:Q27)</f>
        <v>1006000000</v>
      </c>
      <c r="R28" s="63"/>
      <c r="S28" s="75"/>
      <c r="T28" s="75"/>
      <c r="U28" s="75"/>
      <c r="V28" s="75"/>
      <c r="W28" s="63"/>
      <c r="X28" s="76"/>
    </row>
    <row r="29" spans="2:24" s="2" customFormat="1" x14ac:dyDescent="0.3">
      <c r="B29" s="2" t="s">
        <v>74</v>
      </c>
      <c r="G29" s="158">
        <f>G21-G28</f>
        <v>-171616000</v>
      </c>
      <c r="H29" s="77">
        <f>H21-H28</f>
        <v>-1616000</v>
      </c>
      <c r="I29" s="77">
        <f t="shared" ref="I29:K29" si="4">I21-I28</f>
        <v>-1616000</v>
      </c>
      <c r="J29" s="77">
        <f t="shared" si="4"/>
        <v>-1616000</v>
      </c>
      <c r="K29" s="77">
        <f t="shared" si="4"/>
        <v>168384000</v>
      </c>
      <c r="L29" s="77"/>
      <c r="M29" s="77"/>
      <c r="N29" s="77"/>
      <c r="O29" s="77"/>
      <c r="P29" s="77"/>
      <c r="Q29" s="78">
        <f>Q21-Q28</f>
        <v>-8080000</v>
      </c>
      <c r="R29" s="63"/>
      <c r="S29" s="71"/>
      <c r="T29" s="71"/>
      <c r="U29" s="71"/>
      <c r="V29" s="71"/>
      <c r="W29" s="63"/>
      <c r="X29" s="76"/>
    </row>
    <row r="30" spans="2:24" s="2" customFormat="1" x14ac:dyDescent="0.3">
      <c r="B30" s="79" t="s">
        <v>75</v>
      </c>
      <c r="C30" s="80"/>
      <c r="D30" s="80"/>
      <c r="E30" s="80"/>
      <c r="F30" s="80"/>
      <c r="G30" s="81">
        <v>0</v>
      </c>
      <c r="H30" s="81">
        <f>H29/H21</f>
        <v>-8.0968414301747643E-3</v>
      </c>
      <c r="I30" s="81">
        <f t="shared" ref="I30:K30" si="5">I29/I21</f>
        <v>-8.0968414301747643E-3</v>
      </c>
      <c r="J30" s="81">
        <f t="shared" si="5"/>
        <v>-8.0968414301747643E-3</v>
      </c>
      <c r="K30" s="81">
        <f t="shared" si="5"/>
        <v>0.84367484367484369</v>
      </c>
      <c r="L30" s="81"/>
      <c r="M30" s="81"/>
      <c r="N30" s="81"/>
      <c r="O30" s="81"/>
      <c r="P30" s="81"/>
      <c r="Q30" s="82">
        <f>Q29/Q21</f>
        <v>-8.0968414301747643E-3</v>
      </c>
      <c r="R30" s="65"/>
      <c r="S30" s="37"/>
      <c r="T30" s="37"/>
      <c r="U30" s="37"/>
      <c r="V30" s="37"/>
      <c r="W30" s="65"/>
      <c r="X30" s="76"/>
    </row>
    <row r="31" spans="2:24" x14ac:dyDescent="0.3">
      <c r="B31" s="73" t="s">
        <v>76</v>
      </c>
      <c r="C31" s="73"/>
      <c r="D31" s="73"/>
      <c r="E31" s="73"/>
      <c r="F31" s="73"/>
      <c r="G31" s="83">
        <f>G53</f>
        <v>0</v>
      </c>
      <c r="H31" s="83">
        <f>H53</f>
        <v>0</v>
      </c>
      <c r="I31" s="83">
        <f>I53</f>
        <v>0</v>
      </c>
      <c r="J31" s="83">
        <f>J53</f>
        <v>0</v>
      </c>
      <c r="K31" s="83">
        <f>K53</f>
        <v>0</v>
      </c>
      <c r="L31" s="83"/>
      <c r="M31" s="83"/>
      <c r="N31" s="83"/>
      <c r="O31" s="83"/>
      <c r="P31" s="83"/>
      <c r="Q31" s="84">
        <f>SUM(G31:K31)</f>
        <v>0</v>
      </c>
      <c r="R31" s="50"/>
      <c r="S31" s="85"/>
      <c r="T31" s="85"/>
      <c r="U31" s="85"/>
      <c r="V31" s="85"/>
      <c r="W31" s="50"/>
      <c r="X31" s="37"/>
    </row>
    <row r="32" spans="2:24" x14ac:dyDescent="0.3">
      <c r="B32" s="1" t="s">
        <v>77</v>
      </c>
      <c r="G32" s="86">
        <f t="shared" ref="G32:Q32" si="6">G29-G31</f>
        <v>-171616000</v>
      </c>
      <c r="H32" s="86">
        <f t="shared" si="6"/>
        <v>-1616000</v>
      </c>
      <c r="I32" s="86">
        <f t="shared" si="6"/>
        <v>-1616000</v>
      </c>
      <c r="J32" s="86">
        <f t="shared" si="6"/>
        <v>-1616000</v>
      </c>
      <c r="K32" s="86">
        <f t="shared" si="6"/>
        <v>168384000</v>
      </c>
      <c r="L32" s="86"/>
      <c r="M32" s="86"/>
      <c r="N32" s="86"/>
      <c r="O32" s="86"/>
      <c r="P32" s="86"/>
      <c r="Q32" s="87">
        <f t="shared" si="6"/>
        <v>-8080000</v>
      </c>
      <c r="R32" s="71"/>
      <c r="S32" s="85"/>
      <c r="T32" s="85"/>
      <c r="U32" s="85"/>
      <c r="V32" s="85"/>
      <c r="W32" s="71"/>
      <c r="X32" s="37"/>
    </row>
    <row r="33" spans="2:24" x14ac:dyDescent="0.3">
      <c r="B33" s="1" t="s">
        <v>78</v>
      </c>
      <c r="G33" s="88">
        <f>Parameter!M34</f>
        <v>0</v>
      </c>
      <c r="H33" s="88">
        <f>Parameter!N34</f>
        <v>0</v>
      </c>
      <c r="I33" s="88">
        <f>Parameter!O34</f>
        <v>0</v>
      </c>
      <c r="J33" s="88">
        <f>Parameter!O34</f>
        <v>0</v>
      </c>
      <c r="K33" s="88">
        <f>Parameter!P34</f>
        <v>0</v>
      </c>
      <c r="L33" s="88"/>
      <c r="M33" s="88"/>
      <c r="N33" s="88"/>
      <c r="O33" s="88"/>
      <c r="P33" s="88"/>
      <c r="Q33" s="89">
        <f>SUM(G33:K33)</f>
        <v>0</v>
      </c>
      <c r="R33" s="71"/>
      <c r="S33" s="85"/>
      <c r="T33" s="85"/>
      <c r="U33" s="85"/>
      <c r="V33" s="85"/>
      <c r="W33" s="71"/>
      <c r="X33" s="37"/>
    </row>
    <row r="34" spans="2:24" x14ac:dyDescent="0.3">
      <c r="B34" s="1" t="s">
        <v>79</v>
      </c>
      <c r="G34" s="166">
        <f t="shared" ref="G34:K34" si="7">G32-G33</f>
        <v>-171616000</v>
      </c>
      <c r="H34" s="88">
        <f t="shared" si="7"/>
        <v>-1616000</v>
      </c>
      <c r="I34" s="88">
        <f t="shared" si="7"/>
        <v>-1616000</v>
      </c>
      <c r="J34" s="88">
        <f t="shared" si="7"/>
        <v>-1616000</v>
      </c>
      <c r="K34" s="88">
        <f t="shared" si="7"/>
        <v>168384000</v>
      </c>
      <c r="L34" s="88"/>
      <c r="M34" s="88"/>
      <c r="N34" s="88"/>
      <c r="O34" s="88"/>
      <c r="P34" s="88"/>
      <c r="Q34" s="89">
        <f>SUM(G34:K34)</f>
        <v>-8080000</v>
      </c>
      <c r="R34" s="71"/>
      <c r="S34" s="90"/>
      <c r="T34" s="90"/>
      <c r="U34" s="90"/>
      <c r="V34" s="90"/>
      <c r="W34" s="71"/>
      <c r="X34" s="37"/>
    </row>
    <row r="35" spans="2:24" x14ac:dyDescent="0.3">
      <c r="B35" s="73" t="s">
        <v>80</v>
      </c>
      <c r="C35" s="73"/>
      <c r="D35" s="73"/>
      <c r="E35" s="73"/>
      <c r="F35" s="73"/>
      <c r="G35" s="91">
        <f>IF(G34&lt;0,0,G34*$E$3)</f>
        <v>0</v>
      </c>
      <c r="H35" s="91">
        <f>IF(H34&lt;0,0,H34*$E$3)</f>
        <v>0</v>
      </c>
      <c r="I35" s="91">
        <f>IF(I34&lt;0,0,I34*$E$3)</f>
        <v>0</v>
      </c>
      <c r="J35" s="91">
        <f>IF(J34&lt;0,0,J34*$E$3)</f>
        <v>0</v>
      </c>
      <c r="K35" s="91">
        <f>IF(K34&lt;0,0,K34*$E$3)</f>
        <v>3367680</v>
      </c>
      <c r="L35" s="91"/>
      <c r="M35" s="91"/>
      <c r="N35" s="91"/>
      <c r="O35" s="91"/>
      <c r="P35" s="91"/>
      <c r="Q35" s="92">
        <f>SUM(G35:K35)</f>
        <v>3367680</v>
      </c>
      <c r="R35" s="75"/>
      <c r="W35" s="85"/>
      <c r="X35" s="37"/>
    </row>
    <row r="36" spans="2:24" ht="16.2" thickBot="1" x14ac:dyDescent="0.35">
      <c r="B36" s="93" t="s">
        <v>81</v>
      </c>
      <c r="C36" s="93"/>
      <c r="D36" s="93"/>
      <c r="E36" s="93"/>
      <c r="F36" s="93"/>
      <c r="G36" s="94">
        <f>G34-G35</f>
        <v>-171616000</v>
      </c>
      <c r="H36" s="94">
        <f t="shared" ref="H36:J36" si="8">H34-H35</f>
        <v>-1616000</v>
      </c>
      <c r="I36" s="94">
        <f t="shared" si="8"/>
        <v>-1616000</v>
      </c>
      <c r="J36" s="94">
        <f t="shared" si="8"/>
        <v>-1616000</v>
      </c>
      <c r="K36" s="94">
        <f>K34-K35</f>
        <v>165016320</v>
      </c>
      <c r="L36" s="94"/>
      <c r="M36" s="94"/>
      <c r="N36" s="94"/>
      <c r="O36" s="94"/>
      <c r="P36" s="94"/>
      <c r="Q36" s="95">
        <f>Q34-Q35</f>
        <v>-11447680</v>
      </c>
      <c r="R36" s="71"/>
      <c r="W36" s="71"/>
      <c r="X36" s="37"/>
    </row>
    <row r="37" spans="2:24" ht="5.4" customHeight="1" x14ac:dyDescent="0.3">
      <c r="Q37" s="51"/>
      <c r="R37" s="37"/>
      <c r="W37" s="37"/>
      <c r="X37" s="37"/>
    </row>
    <row r="38" spans="2:24" x14ac:dyDescent="0.3">
      <c r="B38" s="73" t="s">
        <v>82</v>
      </c>
      <c r="C38" s="73"/>
      <c r="D38" s="73"/>
      <c r="E38" s="73"/>
      <c r="F38" s="96"/>
      <c r="G38" s="96">
        <f>-G11</f>
        <v>0</v>
      </c>
      <c r="H38" s="96">
        <f>-I9+-I11</f>
        <v>0</v>
      </c>
      <c r="I38" s="96">
        <f>-J9+-J11</f>
        <v>0</v>
      </c>
      <c r="J38" s="96">
        <f>-K9+-K11</f>
        <v>0</v>
      </c>
      <c r="K38" s="96">
        <f>-L9+-L11</f>
        <v>0</v>
      </c>
      <c r="L38" s="96"/>
      <c r="M38" s="96"/>
      <c r="N38" s="96"/>
      <c r="O38" s="96"/>
      <c r="P38" s="96"/>
      <c r="Q38" s="97"/>
      <c r="R38" s="85"/>
      <c r="W38" s="85"/>
      <c r="X38" s="37"/>
    </row>
    <row r="39" spans="2:24" x14ac:dyDescent="0.3">
      <c r="B39" s="1" t="s">
        <v>83</v>
      </c>
      <c r="F39" s="98">
        <f>F38</f>
        <v>0</v>
      </c>
      <c r="G39" s="98">
        <f>G38+G36+G31</f>
        <v>-171616000</v>
      </c>
      <c r="H39" s="98">
        <f t="shared" ref="H39:J39" si="9">H38+H36+H31</f>
        <v>-1616000</v>
      </c>
      <c r="I39" s="98">
        <f t="shared" si="9"/>
        <v>-1616000</v>
      </c>
      <c r="J39" s="98">
        <f t="shared" si="9"/>
        <v>-1616000</v>
      </c>
      <c r="K39" s="98">
        <f>K38+K36+K31</f>
        <v>165016320</v>
      </c>
      <c r="L39" s="98"/>
      <c r="M39" s="98"/>
      <c r="N39" s="98"/>
      <c r="O39" s="98"/>
      <c r="P39" s="98"/>
      <c r="Q39" s="99">
        <f>SUM(F39:K39)</f>
        <v>-11447680</v>
      </c>
      <c r="R39" s="85"/>
      <c r="S39" s="34"/>
      <c r="T39" s="45"/>
      <c r="U39" s="34"/>
      <c r="V39" s="45"/>
      <c r="W39" s="85"/>
      <c r="X39" s="37"/>
    </row>
    <row r="40" spans="2:24" x14ac:dyDescent="0.3">
      <c r="B40" s="1" t="s">
        <v>84</v>
      </c>
      <c r="F40" s="98">
        <f>F39</f>
        <v>0</v>
      </c>
      <c r="G40" s="98">
        <f>F40+G39</f>
        <v>-171616000</v>
      </c>
      <c r="H40" s="98">
        <f t="shared" ref="H40:K40" si="10">G40+H39</f>
        <v>-173232000</v>
      </c>
      <c r="I40" s="98">
        <f t="shared" si="10"/>
        <v>-174848000</v>
      </c>
      <c r="J40" s="98">
        <f t="shared" si="10"/>
        <v>-176464000</v>
      </c>
      <c r="K40" s="98">
        <f t="shared" si="10"/>
        <v>-11447680</v>
      </c>
      <c r="L40" s="98"/>
      <c r="M40" s="98"/>
      <c r="N40" s="98"/>
      <c r="O40" s="98"/>
      <c r="P40" s="98"/>
      <c r="Q40" s="99"/>
      <c r="R40" s="85"/>
      <c r="S40" s="100"/>
      <c r="T40" s="100"/>
      <c r="U40" s="100"/>
      <c r="V40" s="100"/>
      <c r="W40" s="85"/>
      <c r="X40" s="37"/>
    </row>
    <row r="41" spans="2:24" x14ac:dyDescent="0.3">
      <c r="B41" s="1" t="s">
        <v>85</v>
      </c>
      <c r="F41" s="98"/>
      <c r="G41" s="90">
        <f>IF(AND(F40&lt;0,G40&gt;0),G46-(G40/G39),0)</f>
        <v>0</v>
      </c>
      <c r="H41" s="90">
        <f>IF(AND(G40&lt;0,H40&gt;0),H46-(H40/H39),0)</f>
        <v>0</v>
      </c>
      <c r="I41" s="90">
        <f t="shared" ref="I41:K41" si="11">IF(AND(H40&lt;0,I40&gt;0),I46-(I40/I39),0)</f>
        <v>0</v>
      </c>
      <c r="J41" s="90">
        <f t="shared" si="11"/>
        <v>0</v>
      </c>
      <c r="K41" s="90">
        <f t="shared" si="11"/>
        <v>0</v>
      </c>
      <c r="L41" s="90"/>
      <c r="M41" s="90"/>
      <c r="N41" s="90"/>
      <c r="O41" s="90"/>
      <c r="P41" s="90"/>
      <c r="Q41" s="101"/>
      <c r="R41" s="90"/>
      <c r="S41" s="102"/>
      <c r="T41" s="102"/>
      <c r="U41" s="102"/>
      <c r="V41" s="102"/>
      <c r="W41" s="90"/>
    </row>
    <row r="42" spans="2:24" x14ac:dyDescent="0.3">
      <c r="B42" s="103" t="s">
        <v>33</v>
      </c>
      <c r="C42" s="104"/>
      <c r="D42" s="104"/>
      <c r="E42" s="104"/>
      <c r="F42" s="105">
        <f>IRR(G39:K39)</f>
        <v>-1.6862533977575089E-2</v>
      </c>
      <c r="S42" s="102"/>
      <c r="T42" s="102"/>
      <c r="U42" s="102"/>
      <c r="V42" s="102"/>
    </row>
    <row r="43" spans="2:24" x14ac:dyDescent="0.3">
      <c r="B43" s="106" t="s">
        <v>34</v>
      </c>
      <c r="C43" s="41"/>
      <c r="D43" s="41"/>
      <c r="E43" s="41"/>
      <c r="F43" s="107">
        <f>NPV(E4,H39:K39)+G39</f>
        <v>-62926385.90260233</v>
      </c>
      <c r="H43" s="108"/>
      <c r="I43" s="109"/>
      <c r="S43" s="102"/>
      <c r="T43" s="102"/>
      <c r="U43" s="102"/>
      <c r="V43" s="102"/>
    </row>
    <row r="44" spans="2:24" x14ac:dyDescent="0.3">
      <c r="B44" s="106" t="s">
        <v>35</v>
      </c>
      <c r="C44" s="41"/>
      <c r="D44" s="41"/>
      <c r="E44" s="41"/>
      <c r="F44" s="110">
        <f>Q30</f>
        <v>-8.0968414301747643E-3</v>
      </c>
      <c r="H44" s="58"/>
      <c r="S44" s="102"/>
      <c r="T44" s="102"/>
      <c r="U44" s="102"/>
      <c r="V44" s="102"/>
    </row>
    <row r="45" spans="2:24" x14ac:dyDescent="0.3">
      <c r="B45" s="111" t="s">
        <v>86</v>
      </c>
      <c r="C45" s="112"/>
      <c r="D45" s="112"/>
      <c r="E45" s="112"/>
      <c r="F45" s="113">
        <f>SUM(F41:K41)</f>
        <v>0</v>
      </c>
      <c r="S45" s="102"/>
      <c r="T45" s="102"/>
      <c r="U45" s="102"/>
      <c r="V45" s="102"/>
    </row>
    <row r="46" spans="2:24" ht="9.6" customHeight="1" x14ac:dyDescent="0.3">
      <c r="G46" s="45">
        <v>1</v>
      </c>
      <c r="H46" s="34">
        <v>2</v>
      </c>
      <c r="I46" s="45">
        <v>3</v>
      </c>
      <c r="J46" s="34">
        <v>4</v>
      </c>
      <c r="K46" s="45">
        <v>5</v>
      </c>
      <c r="L46" s="45"/>
      <c r="M46" s="45"/>
      <c r="N46" s="45"/>
      <c r="O46" s="45"/>
      <c r="P46" s="45"/>
      <c r="Q46" s="34"/>
      <c r="R46" s="45"/>
      <c r="S46" s="114"/>
      <c r="T46" s="114"/>
      <c r="U46" s="114"/>
      <c r="V46" s="114"/>
    </row>
    <row r="47" spans="2:24" x14ac:dyDescent="0.3">
      <c r="B47" s="115" t="s">
        <v>87</v>
      </c>
      <c r="E47" s="100" t="s">
        <v>88</v>
      </c>
      <c r="G47" s="100" t="str">
        <f>G13</f>
        <v>Year 1</v>
      </c>
      <c r="H47" s="100" t="str">
        <f>H13</f>
        <v>Year 2</v>
      </c>
      <c r="I47" s="100" t="str">
        <f>I13</f>
        <v>Year 3</v>
      </c>
      <c r="J47" s="100" t="str">
        <f>J13</f>
        <v>Year 4</v>
      </c>
      <c r="K47" s="100" t="str">
        <f>K13</f>
        <v>Year 5</v>
      </c>
      <c r="L47" s="100"/>
      <c r="M47" s="100"/>
      <c r="N47" s="100"/>
      <c r="O47" s="100"/>
      <c r="P47" s="100"/>
      <c r="Q47" s="100"/>
      <c r="R47" s="100"/>
      <c r="W47" s="100"/>
    </row>
    <row r="48" spans="2:24" x14ac:dyDescent="0.3">
      <c r="D48" s="1" t="s">
        <v>59</v>
      </c>
      <c r="E48" s="1">
        <v>5</v>
      </c>
      <c r="G48" s="116">
        <f>SUM(G9:G10)/$E48</f>
        <v>0</v>
      </c>
      <c r="H48" s="102">
        <f>G48</f>
        <v>0</v>
      </c>
      <c r="I48" s="102">
        <f t="shared" ref="I48:K49" si="12">H48</f>
        <v>0</v>
      </c>
      <c r="J48" s="102">
        <f>I48</f>
        <v>0</v>
      </c>
      <c r="K48" s="102">
        <f t="shared" si="12"/>
        <v>0</v>
      </c>
      <c r="L48" s="102"/>
      <c r="M48" s="102"/>
      <c r="N48" s="102"/>
      <c r="O48" s="102"/>
      <c r="P48" s="102"/>
      <c r="Q48" s="102">
        <f>SUM(G48:K48)</f>
        <v>0</v>
      </c>
      <c r="R48" s="102"/>
      <c r="W48" s="117"/>
    </row>
    <row r="49" spans="2:23" hidden="1" x14ac:dyDescent="0.3">
      <c r="D49" s="1" t="s">
        <v>61</v>
      </c>
      <c r="E49" s="1">
        <v>4</v>
      </c>
      <c r="H49" s="116">
        <f>I$11/$E49</f>
        <v>0</v>
      </c>
      <c r="J49" s="102">
        <f>H49</f>
        <v>0</v>
      </c>
      <c r="K49" s="102">
        <f t="shared" si="12"/>
        <v>0</v>
      </c>
      <c r="L49" s="102"/>
      <c r="M49" s="102"/>
      <c r="N49" s="102"/>
      <c r="O49" s="102"/>
      <c r="P49" s="102"/>
      <c r="Q49" s="102"/>
      <c r="R49" s="102"/>
      <c r="W49" s="117"/>
    </row>
    <row r="50" spans="2:23" hidden="1" x14ac:dyDescent="0.3">
      <c r="D50" s="1" t="s">
        <v>62</v>
      </c>
      <c r="E50" s="1">
        <v>3</v>
      </c>
      <c r="I50" s="116">
        <f>J$9/$E50</f>
        <v>0</v>
      </c>
      <c r="K50" s="102">
        <f>I50</f>
        <v>0</v>
      </c>
      <c r="L50" s="102"/>
      <c r="M50" s="102"/>
      <c r="N50" s="102"/>
      <c r="O50" s="102"/>
      <c r="P50" s="102"/>
      <c r="Q50" s="102"/>
      <c r="R50" s="102"/>
      <c r="W50" s="117"/>
    </row>
    <row r="51" spans="2:23" hidden="1" x14ac:dyDescent="0.3">
      <c r="D51" s="1" t="s">
        <v>63</v>
      </c>
      <c r="E51" s="1">
        <v>2</v>
      </c>
      <c r="J51" s="116"/>
      <c r="Q51" s="102"/>
      <c r="R51" s="102"/>
      <c r="W51" s="117"/>
    </row>
    <row r="52" spans="2:23" hidden="1" x14ac:dyDescent="0.3">
      <c r="D52" s="1" t="s">
        <v>89</v>
      </c>
      <c r="E52" s="1">
        <v>1</v>
      </c>
      <c r="K52" s="116"/>
      <c r="L52" s="116"/>
      <c r="M52" s="116"/>
      <c r="N52" s="116"/>
      <c r="O52" s="116"/>
      <c r="P52" s="116"/>
      <c r="Q52" s="102"/>
      <c r="R52" s="102"/>
      <c r="W52" s="117"/>
    </row>
    <row r="53" spans="2:23" ht="16.2" thickBot="1" x14ac:dyDescent="0.35">
      <c r="B53" s="118" t="s">
        <v>90</v>
      </c>
      <c r="C53" s="119"/>
      <c r="D53" s="119"/>
      <c r="E53" s="119"/>
      <c r="F53" s="119"/>
      <c r="G53" s="120">
        <f>SUM(G48:G51)</f>
        <v>0</v>
      </c>
      <c r="H53" s="120">
        <f>SUM(H48:H51)</f>
        <v>0</v>
      </c>
      <c r="I53" s="120">
        <f>SUM(I48:I51)</f>
        <v>0</v>
      </c>
      <c r="J53" s="120">
        <f>SUM(J48:J51)</f>
        <v>0</v>
      </c>
      <c r="K53" s="120">
        <f>SUM(K48:K51)</f>
        <v>0</v>
      </c>
      <c r="L53" s="157"/>
      <c r="M53" s="157"/>
      <c r="N53" s="157"/>
      <c r="O53" s="157"/>
      <c r="P53" s="157"/>
      <c r="Q53" s="120">
        <f>SUM(G53:K53)</f>
        <v>0</v>
      </c>
      <c r="R53" s="114"/>
      <c r="W53" s="114"/>
    </row>
    <row r="54" spans="2:23" ht="5.4" customHeight="1" thickTop="1" x14ac:dyDescent="0.3">
      <c r="W54" s="109"/>
    </row>
    <row r="55" spans="2:23" ht="3.6" customHeight="1" x14ac:dyDescent="0.3"/>
    <row r="56" spans="2:23" x14ac:dyDescent="0.3">
      <c r="B56" s="178"/>
      <c r="F56" s="1" t="s">
        <v>36</v>
      </c>
    </row>
    <row r="57" spans="2:23" x14ac:dyDescent="0.3">
      <c r="B57" s="179"/>
    </row>
    <row r="58" spans="2:23" x14ac:dyDescent="0.3">
      <c r="B58" s="183"/>
    </row>
    <row r="59" spans="2:23" x14ac:dyDescent="0.3">
      <c r="B59" s="179"/>
    </row>
  </sheetData>
  <mergeCells count="1">
    <mergeCell ref="E21:F21"/>
  </mergeCells>
  <phoneticPr fontId="26" type="noConversion"/>
  <pageMargins left="0.93" right="0.25" top="0.2" bottom="0.16" header="0.3" footer="0.3"/>
  <pageSetup paperSize="9"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F818B-CE7E-425B-A507-61786B7BFE10}">
  <dimension ref="A1:T101"/>
  <sheetViews>
    <sheetView workbookViewId="0">
      <pane xSplit="2" ySplit="2" topLeftCell="C55" activePane="bottomRight" state="frozen"/>
      <selection pane="topRight" activeCell="C1" sqref="C1"/>
      <selection pane="bottomLeft" activeCell="A3" sqref="A3"/>
      <selection pane="bottomRight" activeCell="E67" sqref="E67"/>
    </sheetView>
  </sheetViews>
  <sheetFormatPr defaultRowHeight="14.4" x14ac:dyDescent="0.3"/>
  <cols>
    <col min="1" max="1" width="18" customWidth="1"/>
    <col min="2" max="2" width="17.6640625" bestFit="1" customWidth="1"/>
    <col min="3" max="4" width="15.21875" bestFit="1" customWidth="1"/>
    <col min="5" max="5" width="16.5546875" customWidth="1"/>
    <col min="6" max="6" width="16.6640625" customWidth="1"/>
    <col min="7" max="7" width="13.77734375" bestFit="1" customWidth="1"/>
    <col min="8" max="8" width="18.5546875" customWidth="1"/>
    <col min="9" max="9" width="17.109375" customWidth="1"/>
    <col min="10" max="11" width="15.21875" bestFit="1" customWidth="1"/>
    <col min="12" max="12" width="13.5546875" bestFit="1" customWidth="1"/>
    <col min="13" max="13" width="15.5546875" bestFit="1" customWidth="1"/>
    <col min="14" max="14" width="13.5546875" bestFit="1" customWidth="1"/>
    <col min="15" max="15" width="15.5546875" bestFit="1" customWidth="1"/>
    <col min="16" max="18" width="13.5546875" bestFit="1" customWidth="1"/>
    <col min="19" max="19" width="14.109375" bestFit="1" customWidth="1"/>
  </cols>
  <sheetData>
    <row r="1" spans="1:20" x14ac:dyDescent="0.3">
      <c r="A1" s="123" t="s">
        <v>103</v>
      </c>
    </row>
    <row r="2" spans="1:20" x14ac:dyDescent="0.3">
      <c r="A2" s="124" t="s">
        <v>104</v>
      </c>
      <c r="B2" s="125">
        <v>5</v>
      </c>
      <c r="C2" s="126">
        <v>2014</v>
      </c>
      <c r="D2" s="126">
        <f>C2+1</f>
        <v>2015</v>
      </c>
      <c r="E2" s="126">
        <f t="shared" ref="E2:M2" si="0">D2+1</f>
        <v>2016</v>
      </c>
      <c r="F2" s="126">
        <f t="shared" si="0"/>
        <v>2017</v>
      </c>
      <c r="G2" s="126">
        <f t="shared" si="0"/>
        <v>2018</v>
      </c>
      <c r="H2" s="126">
        <f t="shared" si="0"/>
        <v>2019</v>
      </c>
      <c r="I2" s="126">
        <f t="shared" si="0"/>
        <v>2020</v>
      </c>
      <c r="J2" s="126">
        <f t="shared" si="0"/>
        <v>2021</v>
      </c>
      <c r="K2" s="126">
        <f t="shared" si="0"/>
        <v>2022</v>
      </c>
      <c r="L2" s="126">
        <f t="shared" si="0"/>
        <v>2023</v>
      </c>
      <c r="M2" s="126">
        <f t="shared" si="0"/>
        <v>2024</v>
      </c>
      <c r="N2" s="126">
        <f t="shared" ref="N2" si="1">M2+1</f>
        <v>2025</v>
      </c>
      <c r="O2" s="126">
        <f t="shared" ref="O2" si="2">N2+1</f>
        <v>2026</v>
      </c>
      <c r="P2" s="126">
        <f t="shared" ref="P2" si="3">O2+1</f>
        <v>2027</v>
      </c>
      <c r="Q2" s="126">
        <f t="shared" ref="Q2:R2" si="4">P2+1</f>
        <v>2028</v>
      </c>
      <c r="R2" s="126">
        <f t="shared" si="4"/>
        <v>2029</v>
      </c>
    </row>
    <row r="3" spans="1:20" x14ac:dyDescent="0.3">
      <c r="A3" s="127">
        <v>2014</v>
      </c>
      <c r="B3" t="s">
        <v>105</v>
      </c>
      <c r="C3" s="128">
        <v>584904475</v>
      </c>
      <c r="D3" s="129">
        <f>C3-C4</f>
        <v>467923580</v>
      </c>
      <c r="E3" s="129">
        <f>D3-C4</f>
        <v>350942685</v>
      </c>
      <c r="F3" s="129">
        <f>E3-C4</f>
        <v>233961790</v>
      </c>
      <c r="G3" s="129">
        <f>F3-C4</f>
        <v>116980895</v>
      </c>
      <c r="H3" s="129">
        <f>G3-C4</f>
        <v>0</v>
      </c>
      <c r="I3" s="129">
        <f>H3-$E$4</f>
        <v>0</v>
      </c>
      <c r="J3" s="129">
        <f>I3-$E$4</f>
        <v>0</v>
      </c>
      <c r="K3" s="129"/>
      <c r="P3" s="129"/>
      <c r="Q3" s="129"/>
      <c r="R3">
        <v>2013</v>
      </c>
      <c r="S3" s="128">
        <v>1726670811.6800001</v>
      </c>
    </row>
    <row r="4" spans="1:20" x14ac:dyDescent="0.3">
      <c r="A4" s="130"/>
      <c r="B4" t="s">
        <v>106</v>
      </c>
      <c r="C4" s="128">
        <f>C3/B2</f>
        <v>116980895</v>
      </c>
      <c r="D4" s="128"/>
      <c r="E4" s="128"/>
      <c r="R4">
        <v>2014</v>
      </c>
      <c r="S4" s="128">
        <v>422342499</v>
      </c>
    </row>
    <row r="5" spans="1:20" x14ac:dyDescent="0.3">
      <c r="A5" s="130"/>
      <c r="B5" t="s">
        <v>107</v>
      </c>
      <c r="C5" s="128">
        <f>(($C$3*IRR!E4*6)/12)</f>
        <v>29245223.75</v>
      </c>
      <c r="D5" s="129">
        <f>AVERAGE(C3:D3)*IRR!E4</f>
        <v>52641402.75</v>
      </c>
      <c r="E5" s="129">
        <f>AVERAGE(D3:E3)*IRR!E4</f>
        <v>40943313.25</v>
      </c>
      <c r="F5" s="129">
        <f>AVERAGE(E3:F3)*IRR!E4</f>
        <v>29245223.75</v>
      </c>
      <c r="G5" s="129">
        <f>AVERAGE(F3:G3)*IRR!E4</f>
        <v>17547134.25</v>
      </c>
      <c r="H5" s="129">
        <f>AVERAGE(G3:H3)*IRR!E4</f>
        <v>5849044.75</v>
      </c>
      <c r="I5" s="129">
        <f>AVERAGE($H$3:$I$3)*[2]IRR!$G$4</f>
        <v>0</v>
      </c>
      <c r="J5" s="129">
        <f>AVERAGE($I$3:$J$3)*[2]IRR!$G$4</f>
        <v>0</v>
      </c>
      <c r="K5" s="129"/>
      <c r="P5" s="129"/>
      <c r="Q5" s="129"/>
      <c r="R5">
        <v>2016</v>
      </c>
      <c r="S5" s="128">
        <v>10773000</v>
      </c>
      <c r="T5" s="129"/>
    </row>
    <row r="6" spans="1:20" x14ac:dyDescent="0.3">
      <c r="A6" s="127">
        <f>A3+1</f>
        <v>2015</v>
      </c>
      <c r="B6" t="s">
        <v>105</v>
      </c>
      <c r="C6" s="128"/>
      <c r="D6" s="129"/>
      <c r="E6" s="129">
        <f>D6-D7</f>
        <v>0</v>
      </c>
      <c r="F6" s="129">
        <f>E6-D7</f>
        <v>0</v>
      </c>
      <c r="G6" s="129">
        <f>F6-D7</f>
        <v>0</v>
      </c>
      <c r="H6" s="129">
        <f>G6-D7</f>
        <v>0</v>
      </c>
      <c r="I6" s="129"/>
      <c r="J6" s="129"/>
      <c r="K6" s="129"/>
      <c r="R6">
        <v>2017</v>
      </c>
      <c r="S6" s="128">
        <v>102210600</v>
      </c>
    </row>
    <row r="7" spans="1:20" x14ac:dyDescent="0.3">
      <c r="A7" s="130"/>
      <c r="B7" t="s">
        <v>106</v>
      </c>
      <c r="C7" s="128"/>
      <c r="D7" s="129">
        <f>D6/B2</f>
        <v>0</v>
      </c>
      <c r="E7" s="129"/>
      <c r="F7" s="129"/>
      <c r="G7" s="129"/>
      <c r="H7" s="129"/>
      <c r="I7" s="129"/>
      <c r="J7" s="129"/>
      <c r="K7" s="129"/>
    </row>
    <row r="8" spans="1:20" x14ac:dyDescent="0.3">
      <c r="A8" s="130"/>
      <c r="B8" t="s">
        <v>107</v>
      </c>
      <c r="C8" s="128"/>
      <c r="D8" s="128">
        <f>((D6*IRR!E4*6)/12)</f>
        <v>0</v>
      </c>
      <c r="E8" s="129">
        <f>AVERAGE(D6:E6)*IRR!E4</f>
        <v>0</v>
      </c>
      <c r="F8" s="129">
        <f>AVERAGE(E6:F6)*IRR!E4</f>
        <v>0</v>
      </c>
      <c r="G8" s="129">
        <f>AVERAGE(F6:G6)*IRR!E4</f>
        <v>0</v>
      </c>
      <c r="H8" s="129">
        <f>AVERAGE(G6:H6)*IRR!E4</f>
        <v>0</v>
      </c>
      <c r="I8" s="129">
        <f>AVERAGE(H6:I6)*IRR!E4</f>
        <v>0</v>
      </c>
      <c r="J8" s="129"/>
      <c r="K8" s="129"/>
    </row>
    <row r="9" spans="1:20" x14ac:dyDescent="0.3">
      <c r="A9" s="127">
        <f>A6+1</f>
        <v>2016</v>
      </c>
      <c r="B9" t="s">
        <v>105</v>
      </c>
      <c r="C9" s="128"/>
      <c r="D9" s="129"/>
      <c r="E9" s="129"/>
      <c r="F9" s="129">
        <f>E9-E10</f>
        <v>0</v>
      </c>
      <c r="G9" s="129">
        <f>F9-E10</f>
        <v>0</v>
      </c>
      <c r="H9" s="129">
        <f>G9-E10</f>
        <v>0</v>
      </c>
      <c r="I9" s="129">
        <f>H9-E10</f>
        <v>0</v>
      </c>
      <c r="J9" s="129">
        <f>I9-E10</f>
        <v>0</v>
      </c>
    </row>
    <row r="10" spans="1:20" x14ac:dyDescent="0.3">
      <c r="A10" s="130"/>
      <c r="B10" t="s">
        <v>106</v>
      </c>
      <c r="C10" s="128"/>
      <c r="D10" s="129"/>
      <c r="E10" s="129">
        <f>E9/B2</f>
        <v>0</v>
      </c>
      <c r="F10" s="129"/>
      <c r="G10" s="129"/>
      <c r="H10" s="129"/>
      <c r="I10" s="129"/>
      <c r="J10" s="129"/>
    </row>
    <row r="11" spans="1:20" x14ac:dyDescent="0.3">
      <c r="A11" s="130"/>
      <c r="B11" t="s">
        <v>107</v>
      </c>
      <c r="C11" s="128"/>
      <c r="D11" s="129"/>
      <c r="E11" s="128">
        <f>((E9*IRR!E4*6)/12)</f>
        <v>0</v>
      </c>
      <c r="F11" s="129">
        <f>AVERAGE(E9:F9)*IRR!$E$4</f>
        <v>0</v>
      </c>
      <c r="G11" s="129">
        <f>AVERAGE(F9:G9)*IRR!$E$4</f>
        <v>0</v>
      </c>
      <c r="H11" s="129">
        <f>AVERAGE(G9:H9)*IRR!$E$4</f>
        <v>0</v>
      </c>
      <c r="I11" s="129">
        <f>AVERAGE(H9:I9)*IRR!$E$4</f>
        <v>0</v>
      </c>
      <c r="J11" s="129">
        <f>AVERAGE(I9:J9)*IRR!$E$4</f>
        <v>0</v>
      </c>
    </row>
    <row r="12" spans="1:20" x14ac:dyDescent="0.3">
      <c r="A12" s="127">
        <f>A9+1</f>
        <v>2017</v>
      </c>
      <c r="B12" t="s">
        <v>105</v>
      </c>
      <c r="C12" s="128"/>
      <c r="D12" s="129"/>
      <c r="E12" s="129"/>
      <c r="F12" s="129"/>
      <c r="G12" s="129">
        <f>F12-F13</f>
        <v>0</v>
      </c>
      <c r="H12" s="129">
        <f>G12-F13</f>
        <v>0</v>
      </c>
      <c r="I12" s="129">
        <f>H12-F13</f>
        <v>0</v>
      </c>
      <c r="J12" s="129">
        <f>I12-F13</f>
        <v>0</v>
      </c>
      <c r="K12" s="129">
        <f>J12-F13</f>
        <v>0</v>
      </c>
    </row>
    <row r="13" spans="1:20" x14ac:dyDescent="0.3">
      <c r="B13" t="s">
        <v>106</v>
      </c>
      <c r="C13" s="128"/>
      <c r="D13" s="129"/>
      <c r="E13" s="129"/>
      <c r="F13" s="129">
        <f>F12/B2</f>
        <v>0</v>
      </c>
      <c r="G13" s="129"/>
      <c r="H13" s="129"/>
      <c r="I13" s="129"/>
      <c r="J13" s="129"/>
      <c r="K13" s="129"/>
    </row>
    <row r="14" spans="1:20" x14ac:dyDescent="0.3">
      <c r="B14" t="s">
        <v>107</v>
      </c>
      <c r="C14" s="128"/>
      <c r="D14" s="129"/>
      <c r="E14" s="128"/>
      <c r="F14" s="128">
        <f>((F12*IRR!E4*6)/12)</f>
        <v>0</v>
      </c>
      <c r="G14" s="129">
        <f>AVERAGE(F12:G12)*IRR!$E$4</f>
        <v>0</v>
      </c>
      <c r="H14" s="129">
        <f>AVERAGE(G12:H12)*IRR!$E$4</f>
        <v>0</v>
      </c>
      <c r="I14" s="129">
        <f>AVERAGE(H12:I12)*IRR!$E$4</f>
        <v>0</v>
      </c>
      <c r="J14" s="129">
        <f>AVERAGE(I12:J12)*IRR!$E$4</f>
        <v>0</v>
      </c>
      <c r="K14" s="129">
        <f>AVERAGE(J12:K12)*IRR!$E$4</f>
        <v>0</v>
      </c>
    </row>
    <row r="15" spans="1:20" x14ac:dyDescent="0.3">
      <c r="A15" s="127">
        <f>A12+1</f>
        <v>2018</v>
      </c>
      <c r="B15" t="s">
        <v>105</v>
      </c>
      <c r="C15" s="128"/>
      <c r="D15" s="129"/>
      <c r="E15" s="129"/>
      <c r="F15" s="129"/>
      <c r="G15" s="129"/>
      <c r="H15" s="129">
        <f>G15-G16</f>
        <v>0</v>
      </c>
      <c r="I15" s="129">
        <f>H15-G16</f>
        <v>0</v>
      </c>
      <c r="J15" s="129">
        <f>I15-G16</f>
        <v>0</v>
      </c>
      <c r="K15" s="129">
        <f>J15-G16</f>
        <v>0</v>
      </c>
      <c r="L15" s="129">
        <f>K15-G16</f>
        <v>0</v>
      </c>
    </row>
    <row r="16" spans="1:20" x14ac:dyDescent="0.3">
      <c r="B16" t="s">
        <v>106</v>
      </c>
      <c r="C16" s="128"/>
      <c r="D16" s="129"/>
      <c r="E16" s="129"/>
      <c r="F16" s="129"/>
      <c r="G16" s="129">
        <f>G15/B2</f>
        <v>0</v>
      </c>
      <c r="H16" s="129"/>
      <c r="I16" s="129"/>
      <c r="J16" s="129"/>
      <c r="K16" s="129"/>
      <c r="L16" s="129"/>
    </row>
    <row r="17" spans="1:18" x14ac:dyDescent="0.3">
      <c r="B17" t="s">
        <v>107</v>
      </c>
      <c r="C17" s="128"/>
      <c r="D17" s="129"/>
      <c r="E17" s="128"/>
      <c r="F17" s="129"/>
      <c r="G17" s="128">
        <f>((G15*IRR!E4*6)/12)</f>
        <v>0</v>
      </c>
      <c r="H17" s="129">
        <f>AVERAGE(G15:H15)*IRR!$E$4</f>
        <v>0</v>
      </c>
      <c r="I17" s="129">
        <f>AVERAGE(H15:I15)*IRR!$E$4</f>
        <v>0</v>
      </c>
      <c r="J17" s="129">
        <f>AVERAGE(I15:J15)*IRR!$E$4</f>
        <v>0</v>
      </c>
      <c r="K17" s="129">
        <f>AVERAGE(J15:K15)*IRR!$E$4</f>
        <v>0</v>
      </c>
      <c r="L17" s="129">
        <f>AVERAGE(K15:L15)*IRR!$E$4</f>
        <v>0</v>
      </c>
    </row>
    <row r="18" spans="1:18" x14ac:dyDescent="0.3">
      <c r="A18" s="127">
        <f>A15+1</f>
        <v>2019</v>
      </c>
      <c r="B18" t="s">
        <v>105</v>
      </c>
      <c r="C18" s="128"/>
      <c r="D18" s="129"/>
      <c r="E18" s="129"/>
      <c r="F18" s="129"/>
      <c r="H18" s="129"/>
      <c r="I18" s="129">
        <f>H18-H19</f>
        <v>0</v>
      </c>
      <c r="J18" s="129">
        <f>I18-H19</f>
        <v>0</v>
      </c>
      <c r="K18" s="129">
        <f>J18-H19</f>
        <v>0</v>
      </c>
      <c r="L18" s="129">
        <f>K18-H19</f>
        <v>0</v>
      </c>
      <c r="M18" s="129">
        <f>L18-H19</f>
        <v>0</v>
      </c>
    </row>
    <row r="19" spans="1:18" x14ac:dyDescent="0.3">
      <c r="B19" t="s">
        <v>106</v>
      </c>
      <c r="C19" s="128"/>
      <c r="D19" s="129"/>
      <c r="E19" s="129"/>
      <c r="F19" s="129"/>
      <c r="H19" s="129">
        <f>H18/B2</f>
        <v>0</v>
      </c>
      <c r="I19" s="129"/>
      <c r="J19" s="129"/>
      <c r="K19" s="129"/>
      <c r="L19" s="129"/>
      <c r="M19" s="129"/>
    </row>
    <row r="20" spans="1:18" x14ac:dyDescent="0.3">
      <c r="B20" t="s">
        <v>107</v>
      </c>
      <c r="C20" s="128"/>
      <c r="D20" s="129"/>
      <c r="E20" s="128"/>
      <c r="F20" s="129"/>
      <c r="H20" s="128">
        <f>((H18*IRR!E4*6)/12)</f>
        <v>0</v>
      </c>
      <c r="I20" s="129">
        <f>AVERAGE(H18:I18)*IRR!$E$4</f>
        <v>0</v>
      </c>
      <c r="J20" s="129">
        <f>AVERAGE(I18:J18)*IRR!$E$4</f>
        <v>0</v>
      </c>
      <c r="K20" s="129">
        <f>AVERAGE(J18:K18)*IRR!$E$4</f>
        <v>0</v>
      </c>
      <c r="L20" s="129">
        <f>AVERAGE(K18:L18)*IRR!$E$4</f>
        <v>0</v>
      </c>
      <c r="M20" s="129">
        <f>AVERAGE(L18:M18)*IRR!$E$4</f>
        <v>0</v>
      </c>
    </row>
    <row r="21" spans="1:18" x14ac:dyDescent="0.3">
      <c r="A21" s="127">
        <f>A18+1</f>
        <v>2020</v>
      </c>
      <c r="B21" t="s">
        <v>105</v>
      </c>
      <c r="C21" s="128"/>
      <c r="D21" s="129"/>
      <c r="E21" s="129"/>
      <c r="F21" s="129"/>
      <c r="I21" s="129"/>
      <c r="J21" s="129">
        <f>I21-I22</f>
        <v>0</v>
      </c>
      <c r="K21" s="129">
        <f>J21-I22</f>
        <v>0</v>
      </c>
      <c r="L21" s="129">
        <f>K21-I22</f>
        <v>0</v>
      </c>
      <c r="M21" s="129">
        <f>L21-I22</f>
        <v>0</v>
      </c>
      <c r="N21" s="129">
        <f>M21-I22</f>
        <v>0</v>
      </c>
    </row>
    <row r="22" spans="1:18" x14ac:dyDescent="0.3">
      <c r="B22" t="s">
        <v>106</v>
      </c>
      <c r="C22" s="128"/>
      <c r="D22" s="129"/>
      <c r="E22" s="129"/>
      <c r="F22" s="129"/>
      <c r="I22" s="129">
        <f>I21/B2</f>
        <v>0</v>
      </c>
      <c r="J22" s="129"/>
      <c r="K22" s="129"/>
      <c r="L22" s="129"/>
      <c r="M22" s="129"/>
      <c r="N22" s="129"/>
    </row>
    <row r="23" spans="1:18" x14ac:dyDescent="0.3">
      <c r="B23" t="s">
        <v>107</v>
      </c>
      <c r="C23" s="128"/>
      <c r="D23" s="129"/>
      <c r="E23" s="128"/>
      <c r="F23" s="129"/>
      <c r="I23" s="128">
        <f>((I21*IRR!E4*6)/12)</f>
        <v>0</v>
      </c>
      <c r="J23" s="129">
        <f>AVERAGE(I21:J21)*IRR!$E$4</f>
        <v>0</v>
      </c>
      <c r="K23" s="129">
        <f>AVERAGE(J21:K21)*IRR!$E$4</f>
        <v>0</v>
      </c>
      <c r="L23" s="129">
        <f>AVERAGE(K21:L21)*IRR!$E$4</f>
        <v>0</v>
      </c>
      <c r="M23" s="129">
        <f>AVERAGE(L21:M21)*IRR!$E$4</f>
        <v>0</v>
      </c>
      <c r="N23" s="129">
        <f>AVERAGE(M21:N21)*IRR!$E$4</f>
        <v>0</v>
      </c>
    </row>
    <row r="24" spans="1:18" x14ac:dyDescent="0.3">
      <c r="A24" s="127">
        <f>A21+1</f>
        <v>2021</v>
      </c>
      <c r="B24" t="s">
        <v>105</v>
      </c>
      <c r="C24" s="128"/>
      <c r="D24" s="129"/>
      <c r="E24" s="129"/>
      <c r="F24" s="129"/>
      <c r="J24" s="129"/>
      <c r="K24" s="129">
        <f>J24-J25</f>
        <v>0</v>
      </c>
      <c r="L24" s="129">
        <f>K24-J25</f>
        <v>0</v>
      </c>
      <c r="M24" s="129">
        <f>L24-J25</f>
        <v>0</v>
      </c>
      <c r="N24" s="129">
        <f>M24-J25</f>
        <v>0</v>
      </c>
      <c r="O24" s="129">
        <f>N24-J25</f>
        <v>0</v>
      </c>
    </row>
    <row r="25" spans="1:18" x14ac:dyDescent="0.3">
      <c r="B25" t="s">
        <v>106</v>
      </c>
      <c r="C25" s="128"/>
      <c r="D25" s="129"/>
      <c r="E25" s="129"/>
      <c r="F25" s="129"/>
      <c r="J25" s="129">
        <f>J24/B2</f>
        <v>0</v>
      </c>
      <c r="K25" s="129"/>
      <c r="L25" s="129"/>
      <c r="M25" s="129"/>
      <c r="N25" s="129"/>
      <c r="O25" s="129"/>
    </row>
    <row r="26" spans="1:18" x14ac:dyDescent="0.3">
      <c r="B26" t="s">
        <v>107</v>
      </c>
      <c r="C26" s="128"/>
      <c r="D26" s="129"/>
      <c r="E26" s="128"/>
      <c r="F26" s="129"/>
      <c r="J26" s="128">
        <f>((J24*IRR!E4*6)/12)</f>
        <v>0</v>
      </c>
      <c r="K26" s="129">
        <f>AVERAGE(J24:K24)*IRR!$E$4</f>
        <v>0</v>
      </c>
      <c r="L26" s="129">
        <f>AVERAGE(K24:L24)*IRR!$E$4</f>
        <v>0</v>
      </c>
      <c r="M26" s="129">
        <f>AVERAGE(L24:M24)*IRR!$E$4</f>
        <v>0</v>
      </c>
      <c r="N26" s="129">
        <f>AVERAGE(M24:N24)*IRR!$E$4</f>
        <v>0</v>
      </c>
      <c r="O26" s="129">
        <f>AVERAGE(N24:O24)*IRR!$E$4</f>
        <v>0</v>
      </c>
    </row>
    <row r="27" spans="1:18" x14ac:dyDescent="0.3">
      <c r="A27" s="127">
        <f>A24+1</f>
        <v>2022</v>
      </c>
      <c r="B27" t="s">
        <v>105</v>
      </c>
      <c r="C27" s="128"/>
      <c r="D27" s="129"/>
      <c r="E27" s="129"/>
      <c r="F27" s="129"/>
      <c r="L27" s="129"/>
      <c r="M27" s="129">
        <f>L27-L28</f>
        <v>0</v>
      </c>
      <c r="N27" s="129">
        <f>M27-L28</f>
        <v>0</v>
      </c>
      <c r="O27" s="129">
        <f>N27-L28</f>
        <v>0</v>
      </c>
      <c r="P27" s="129">
        <f>O27-L28</f>
        <v>0</v>
      </c>
      <c r="Q27" s="129">
        <f>P27-L28</f>
        <v>0</v>
      </c>
    </row>
    <row r="28" spans="1:18" x14ac:dyDescent="0.3">
      <c r="B28" t="s">
        <v>106</v>
      </c>
      <c r="C28" s="128"/>
      <c r="D28" s="129"/>
      <c r="E28" s="129"/>
      <c r="F28" s="129"/>
      <c r="L28" s="129">
        <f>L27/B2</f>
        <v>0</v>
      </c>
      <c r="M28" s="129"/>
      <c r="N28" s="129"/>
      <c r="O28" s="129"/>
      <c r="P28" s="129"/>
      <c r="Q28" s="129"/>
    </row>
    <row r="29" spans="1:18" x14ac:dyDescent="0.3">
      <c r="B29" t="s">
        <v>107</v>
      </c>
      <c r="C29" s="128"/>
      <c r="D29" s="129"/>
      <c r="E29" s="128"/>
      <c r="F29" s="129"/>
      <c r="L29" s="128">
        <f>((L27*IRR!E4*6)/12)</f>
        <v>0</v>
      </c>
      <c r="M29" s="129">
        <f>AVERAGE(L27:M27)*IRR!$E$4</f>
        <v>0</v>
      </c>
      <c r="N29" s="129">
        <f>AVERAGE(M27:N27)*IRR!$E$4</f>
        <v>0</v>
      </c>
      <c r="O29" s="129">
        <f>AVERAGE(N27:O27)*IRR!$E$4</f>
        <v>0</v>
      </c>
      <c r="P29" s="129">
        <f>AVERAGE(O27:P27)*IRR!$E$4</f>
        <v>0</v>
      </c>
      <c r="Q29" s="129">
        <f>AVERAGE(P27:Q27)*IRR!$E$4</f>
        <v>0</v>
      </c>
    </row>
    <row r="30" spans="1:18" x14ac:dyDescent="0.3">
      <c r="A30">
        <f>A27+1</f>
        <v>2023</v>
      </c>
      <c r="B30" t="s">
        <v>105</v>
      </c>
      <c r="C30" s="128"/>
      <c r="D30" s="129"/>
      <c r="E30" s="128"/>
      <c r="F30" s="129"/>
      <c r="L30" s="128"/>
      <c r="M30" s="129"/>
      <c r="N30" s="129">
        <f>M30-M31</f>
        <v>0</v>
      </c>
      <c r="O30" s="129">
        <f>N30-M31</f>
        <v>0</v>
      </c>
      <c r="P30" s="129">
        <f>O30-M31</f>
        <v>0</v>
      </c>
      <c r="Q30" s="129">
        <f>P30-M31</f>
        <v>0</v>
      </c>
      <c r="R30" s="129">
        <f>Q30-M31</f>
        <v>0</v>
      </c>
    </row>
    <row r="31" spans="1:18" x14ac:dyDescent="0.3">
      <c r="B31" t="s">
        <v>106</v>
      </c>
      <c r="C31" s="128"/>
      <c r="D31" s="129"/>
      <c r="E31" s="128"/>
      <c r="F31" s="129"/>
      <c r="L31" s="128"/>
      <c r="M31" s="129">
        <f>M30/B2</f>
        <v>0</v>
      </c>
      <c r="N31" s="129"/>
      <c r="O31" s="129"/>
      <c r="P31" s="129"/>
      <c r="Q31" s="129"/>
    </row>
    <row r="32" spans="1:18" x14ac:dyDescent="0.3">
      <c r="B32" t="s">
        <v>107</v>
      </c>
      <c r="C32" s="128"/>
      <c r="D32" s="129"/>
      <c r="E32" s="128"/>
      <c r="F32" s="129"/>
      <c r="L32" s="128"/>
      <c r="M32" s="128">
        <f>((M30*IRR!E4*6)/12)</f>
        <v>0</v>
      </c>
      <c r="N32" s="129">
        <f>AVERAGE(M30:N30)*IRR!$E$4</f>
        <v>0</v>
      </c>
      <c r="O32" s="129">
        <f>AVERAGE(N30:O30)*IRR!$E$4</f>
        <v>0</v>
      </c>
      <c r="P32" s="129">
        <f>AVERAGE(O30:P30)*IRR!$E$4</f>
        <v>0</v>
      </c>
      <c r="Q32" s="129">
        <f>AVERAGE(P30:Q30)*IRR!$E$4</f>
        <v>0</v>
      </c>
      <c r="R32" s="129">
        <f>AVERAGE(Q30:R30)*IRR!$E$4</f>
        <v>0</v>
      </c>
    </row>
    <row r="33" spans="1:18" x14ac:dyDescent="0.3">
      <c r="C33" s="128"/>
      <c r="D33" s="129"/>
      <c r="E33" s="129"/>
      <c r="F33" s="129"/>
      <c r="G33" s="129"/>
      <c r="H33" s="129"/>
      <c r="I33" s="129"/>
      <c r="J33" s="129"/>
      <c r="K33" s="129"/>
    </row>
    <row r="34" spans="1:18" x14ac:dyDescent="0.3">
      <c r="A34" s="124"/>
      <c r="B34" s="131" t="s">
        <v>108</v>
      </c>
      <c r="C34" s="132">
        <f t="shared" ref="C34:L34" si="5">C5+C8+C11+C14+C17+C20+C23+C26+C29+C32</f>
        <v>29245223.75</v>
      </c>
      <c r="D34" s="132">
        <f t="shared" si="5"/>
        <v>52641402.75</v>
      </c>
      <c r="E34" s="132">
        <f t="shared" si="5"/>
        <v>40943313.25</v>
      </c>
      <c r="F34" s="132">
        <f t="shared" si="5"/>
        <v>29245223.75</v>
      </c>
      <c r="G34" s="132">
        <f t="shared" si="5"/>
        <v>17547134.25</v>
      </c>
      <c r="H34" s="132">
        <f t="shared" si="5"/>
        <v>5849044.75</v>
      </c>
      <c r="I34" s="132">
        <f t="shared" si="5"/>
        <v>0</v>
      </c>
      <c r="J34" s="132">
        <f t="shared" si="5"/>
        <v>0</v>
      </c>
      <c r="K34" s="132">
        <f t="shared" si="5"/>
        <v>0</v>
      </c>
      <c r="L34" s="132">
        <f t="shared" si="5"/>
        <v>0</v>
      </c>
      <c r="M34" s="132">
        <f t="shared" ref="M34:Q34" si="6">M5+M8+M11+M14+M17+M20+M23+M26+M29+M32</f>
        <v>0</v>
      </c>
      <c r="N34" s="132">
        <f t="shared" si="6"/>
        <v>0</v>
      </c>
      <c r="O34" s="132">
        <f t="shared" si="6"/>
        <v>0</v>
      </c>
      <c r="P34" s="132">
        <f t="shared" si="6"/>
        <v>0</v>
      </c>
      <c r="Q34" s="132">
        <f t="shared" si="6"/>
        <v>0</v>
      </c>
      <c r="R34" s="132">
        <f>R5+R8+R11+R14+R17+R20+R23+R26+R29+R32</f>
        <v>2016</v>
      </c>
    </row>
    <row r="35" spans="1:18" x14ac:dyDescent="0.3">
      <c r="B35" s="128"/>
      <c r="C35" s="129"/>
      <c r="D35" s="129"/>
      <c r="E35" s="129"/>
      <c r="F35" s="129"/>
      <c r="G35" s="129"/>
      <c r="H35" s="129"/>
      <c r="I35" s="129"/>
      <c r="J35" s="129"/>
      <c r="K35" s="129"/>
    </row>
    <row r="36" spans="1:18" x14ac:dyDescent="0.3">
      <c r="A36" s="133"/>
      <c r="B36" s="133"/>
      <c r="C36" s="133"/>
      <c r="D36" s="133"/>
      <c r="E36" s="133"/>
      <c r="F36" s="133"/>
      <c r="G36" s="133"/>
      <c r="H36" s="133"/>
      <c r="I36" s="133"/>
      <c r="J36" s="133"/>
      <c r="K36" s="133"/>
      <c r="L36" s="133"/>
      <c r="M36" s="133"/>
      <c r="N36" s="133"/>
      <c r="O36" s="133"/>
    </row>
    <row r="37" spans="1:18" x14ac:dyDescent="0.3">
      <c r="A37" s="123" t="s">
        <v>109</v>
      </c>
    </row>
    <row r="38" spans="1:18" x14ac:dyDescent="0.3">
      <c r="A38" t="s">
        <v>110</v>
      </c>
      <c r="B38" t="s">
        <v>111</v>
      </c>
      <c r="C38" s="134">
        <v>50000000</v>
      </c>
    </row>
    <row r="39" spans="1:18" x14ac:dyDescent="0.3">
      <c r="A39" t="s">
        <v>112</v>
      </c>
      <c r="B39" t="s">
        <v>111</v>
      </c>
      <c r="C39" s="134">
        <v>20000000</v>
      </c>
    </row>
    <row r="40" spans="1:18" x14ac:dyDescent="0.3">
      <c r="A40" t="s">
        <v>113</v>
      </c>
      <c r="B40" s="135" t="s">
        <v>114</v>
      </c>
      <c r="C40" s="134"/>
    </row>
    <row r="41" spans="1:18" x14ac:dyDescent="0.3">
      <c r="A41" t="s">
        <v>115</v>
      </c>
      <c r="B41" s="135" t="s">
        <v>114</v>
      </c>
      <c r="C41" s="134"/>
    </row>
    <row r="43" spans="1:18" x14ac:dyDescent="0.3">
      <c r="A43" s="136" t="s">
        <v>49</v>
      </c>
      <c r="B43" s="132">
        <f>C38</f>
        <v>50000000</v>
      </c>
      <c r="C43" s="137">
        <f>B43+C44</f>
        <v>51000000</v>
      </c>
      <c r="D43" s="137">
        <f>C43+D45</f>
        <v>52020000</v>
      </c>
      <c r="E43" s="137">
        <f t="shared" ref="E43:K43" si="7">D43+E45</f>
        <v>53060400</v>
      </c>
      <c r="F43" s="137">
        <f t="shared" si="7"/>
        <v>54121608</v>
      </c>
      <c r="G43" s="137">
        <f t="shared" si="7"/>
        <v>55204040.159999996</v>
      </c>
      <c r="H43" s="137">
        <f t="shared" si="7"/>
        <v>56308120.963199995</v>
      </c>
      <c r="I43" s="137">
        <f t="shared" si="7"/>
        <v>57434283.382463992</v>
      </c>
      <c r="J43" s="137">
        <f t="shared" si="7"/>
        <v>58582969.050113268</v>
      </c>
      <c r="K43" s="137">
        <f t="shared" si="7"/>
        <v>59754628.43111553</v>
      </c>
    </row>
    <row r="44" spans="1:18" x14ac:dyDescent="0.3">
      <c r="A44" s="138">
        <v>0.02</v>
      </c>
      <c r="B44" s="136"/>
      <c r="C44" s="137">
        <f>C45</f>
        <v>1000000</v>
      </c>
      <c r="D44" s="137">
        <f>C44+D45</f>
        <v>2020000</v>
      </c>
      <c r="E44" s="137">
        <f t="shared" ref="E44:K44" si="8">D44+E45</f>
        <v>3060400</v>
      </c>
      <c r="F44" s="137">
        <f t="shared" si="8"/>
        <v>4121608</v>
      </c>
      <c r="G44" s="137">
        <f t="shared" si="8"/>
        <v>5204040.16</v>
      </c>
      <c r="H44" s="137">
        <f t="shared" si="8"/>
        <v>6308120.9632000001</v>
      </c>
      <c r="I44" s="137">
        <f t="shared" si="8"/>
        <v>7434283.382464</v>
      </c>
      <c r="J44" s="137">
        <f t="shared" si="8"/>
        <v>8582969.0501132794</v>
      </c>
      <c r="K44" s="137">
        <f t="shared" si="8"/>
        <v>9754628.4311155453</v>
      </c>
    </row>
    <row r="45" spans="1:18" x14ac:dyDescent="0.3">
      <c r="A45" s="136"/>
      <c r="B45" s="136"/>
      <c r="C45" s="137">
        <f t="shared" ref="C45:K45" si="9">B43*$A$44</f>
        <v>1000000</v>
      </c>
      <c r="D45" s="137">
        <f t="shared" si="9"/>
        <v>1020000</v>
      </c>
      <c r="E45" s="137">
        <f t="shared" si="9"/>
        <v>1040400</v>
      </c>
      <c r="F45" s="137">
        <f t="shared" si="9"/>
        <v>1061208</v>
      </c>
      <c r="G45" s="137">
        <f t="shared" si="9"/>
        <v>1082432.1599999999</v>
      </c>
      <c r="H45" s="137">
        <f t="shared" si="9"/>
        <v>1104080.8032</v>
      </c>
      <c r="I45" s="137">
        <f t="shared" si="9"/>
        <v>1126162.4192639999</v>
      </c>
      <c r="J45" s="137">
        <f t="shared" si="9"/>
        <v>1148685.6676492798</v>
      </c>
      <c r="K45" s="137">
        <f t="shared" si="9"/>
        <v>1171659.3810022655</v>
      </c>
    </row>
    <row r="46" spans="1:18" x14ac:dyDescent="0.3">
      <c r="C46" s="129"/>
      <c r="D46" s="129"/>
      <c r="E46" s="129"/>
      <c r="F46" s="129"/>
      <c r="G46" s="129"/>
      <c r="H46" s="129"/>
      <c r="I46" s="129"/>
      <c r="J46" s="129"/>
      <c r="K46" s="129"/>
    </row>
    <row r="47" spans="1:18" x14ac:dyDescent="0.3">
      <c r="A47" s="133"/>
      <c r="B47" s="133"/>
      <c r="C47" s="139"/>
      <c r="D47" s="139"/>
      <c r="E47" s="139"/>
      <c r="F47" s="139"/>
      <c r="G47" s="139"/>
      <c r="H47" s="139"/>
      <c r="I47" s="139"/>
      <c r="J47" s="139"/>
      <c r="K47" s="139"/>
      <c r="L47" s="133"/>
      <c r="M47" s="133"/>
      <c r="N47" s="133"/>
      <c r="O47" s="133"/>
    </row>
    <row r="48" spans="1:18" x14ac:dyDescent="0.3">
      <c r="A48" s="123" t="s">
        <v>116</v>
      </c>
      <c r="C48" s="129"/>
      <c r="D48" s="129"/>
      <c r="E48" s="129"/>
      <c r="F48" s="129"/>
      <c r="G48" s="129"/>
      <c r="H48" s="129"/>
      <c r="I48" s="129"/>
      <c r="J48" s="129"/>
      <c r="K48" s="129"/>
    </row>
    <row r="49" spans="1:11" x14ac:dyDescent="0.3">
      <c r="A49" t="s">
        <v>117</v>
      </c>
      <c r="C49" s="129"/>
      <c r="D49" s="129"/>
      <c r="E49" s="129"/>
      <c r="F49" s="129"/>
      <c r="G49" s="129"/>
      <c r="H49" s="129"/>
      <c r="I49" s="129"/>
      <c r="J49" s="129"/>
      <c r="K49" s="129"/>
    </row>
    <row r="50" spans="1:11" x14ac:dyDescent="0.3">
      <c r="A50" t="s">
        <v>118</v>
      </c>
      <c r="C50" s="129"/>
      <c r="D50" s="129"/>
      <c r="E50" s="129"/>
      <c r="F50" s="129"/>
      <c r="G50" s="129"/>
      <c r="H50" s="129"/>
      <c r="I50" s="129"/>
      <c r="J50" s="129"/>
      <c r="K50" s="129"/>
    </row>
    <row r="51" spans="1:11" x14ac:dyDescent="0.3">
      <c r="A51" t="s">
        <v>119</v>
      </c>
      <c r="C51" s="129"/>
      <c r="D51" s="129"/>
      <c r="E51" s="129"/>
      <c r="F51" s="129"/>
      <c r="G51" s="129"/>
      <c r="H51" s="129"/>
      <c r="I51" s="129"/>
      <c r="J51" s="129"/>
      <c r="K51" s="129"/>
    </row>
    <row r="52" spans="1:11" x14ac:dyDescent="0.3">
      <c r="A52" t="s">
        <v>120</v>
      </c>
      <c r="C52" s="129"/>
      <c r="D52" s="129"/>
      <c r="E52" s="129"/>
      <c r="F52" s="129"/>
      <c r="G52" s="129"/>
      <c r="H52" s="129"/>
      <c r="I52" s="129"/>
      <c r="J52" s="129"/>
      <c r="K52" s="129"/>
    </row>
    <row r="53" spans="1:11" x14ac:dyDescent="0.3">
      <c r="A53" s="140" t="s">
        <v>121</v>
      </c>
      <c r="B53" s="141"/>
      <c r="C53" s="142"/>
      <c r="D53" s="129"/>
      <c r="E53" s="129"/>
      <c r="F53" s="129"/>
      <c r="G53" s="129"/>
      <c r="H53" s="129"/>
      <c r="I53" s="129"/>
      <c r="J53" s="129"/>
      <c r="K53" s="129"/>
    </row>
    <row r="54" spans="1:11" x14ac:dyDescent="0.3">
      <c r="C54" s="129"/>
      <c r="D54" s="129"/>
      <c r="E54" s="129"/>
      <c r="F54" s="129"/>
      <c r="G54" s="129"/>
      <c r="H54" s="129"/>
      <c r="I54" s="129"/>
      <c r="J54" s="129"/>
      <c r="K54" s="129"/>
    </row>
    <row r="55" spans="1:11" x14ac:dyDescent="0.3">
      <c r="A55" s="143" t="s">
        <v>122</v>
      </c>
      <c r="B55" s="126" t="s">
        <v>123</v>
      </c>
      <c r="D55" s="143" t="s">
        <v>124</v>
      </c>
      <c r="E55" s="126" t="s">
        <v>125</v>
      </c>
      <c r="G55" s="238" t="s">
        <v>120</v>
      </c>
      <c r="H55" s="239"/>
      <c r="J55" s="126" t="s">
        <v>126</v>
      </c>
      <c r="K55" s="126" t="s">
        <v>127</v>
      </c>
    </row>
    <row r="56" spans="1:11" x14ac:dyDescent="0.3">
      <c r="A56" t="s">
        <v>128</v>
      </c>
      <c r="B56" s="128">
        <v>16800000</v>
      </c>
      <c r="D56" t="s">
        <v>129</v>
      </c>
      <c r="E56" s="128">
        <v>7000000</v>
      </c>
      <c r="G56" t="s">
        <v>130</v>
      </c>
      <c r="H56" s="128">
        <v>10000000</v>
      </c>
      <c r="J56" t="s">
        <v>128</v>
      </c>
      <c r="K56" s="128">
        <v>4000000</v>
      </c>
    </row>
    <row r="57" spans="1:11" x14ac:dyDescent="0.3">
      <c r="A57" t="s">
        <v>131</v>
      </c>
      <c r="B57" s="128"/>
      <c r="G57" t="s">
        <v>132</v>
      </c>
      <c r="H57" s="128">
        <v>12000000</v>
      </c>
      <c r="J57" t="s">
        <v>131</v>
      </c>
      <c r="K57" s="128">
        <v>3000000</v>
      </c>
    </row>
    <row r="58" spans="1:11" x14ac:dyDescent="0.3">
      <c r="A58" t="s">
        <v>133</v>
      </c>
      <c r="B58" s="128">
        <v>15600000</v>
      </c>
      <c r="G58" t="s">
        <v>134</v>
      </c>
      <c r="H58" s="128">
        <v>14000000</v>
      </c>
      <c r="J58" t="s">
        <v>133</v>
      </c>
      <c r="K58" s="128">
        <v>2500000</v>
      </c>
    </row>
    <row r="59" spans="1:11" x14ac:dyDescent="0.3">
      <c r="A59" t="s">
        <v>135</v>
      </c>
      <c r="B59" s="128">
        <v>15000000</v>
      </c>
      <c r="G59" t="s">
        <v>136</v>
      </c>
      <c r="H59" s="128">
        <v>14000000</v>
      </c>
      <c r="J59" t="s">
        <v>135</v>
      </c>
      <c r="K59" s="128">
        <v>2000000</v>
      </c>
    </row>
    <row r="60" spans="1:11" x14ac:dyDescent="0.3">
      <c r="A60" t="s">
        <v>137</v>
      </c>
      <c r="B60" s="128">
        <v>15000000</v>
      </c>
      <c r="G60" t="s">
        <v>128</v>
      </c>
      <c r="H60" s="128">
        <v>17000000</v>
      </c>
      <c r="J60" t="s">
        <v>137</v>
      </c>
      <c r="K60" s="128">
        <v>1850000</v>
      </c>
    </row>
    <row r="61" spans="1:11" x14ac:dyDescent="0.3">
      <c r="A61" t="s">
        <v>138</v>
      </c>
      <c r="B61" s="128">
        <v>12000000</v>
      </c>
      <c r="G61" t="s">
        <v>139</v>
      </c>
      <c r="H61" s="128">
        <v>14000000</v>
      </c>
      <c r="J61" t="s">
        <v>138</v>
      </c>
      <c r="K61" s="128">
        <v>1200000</v>
      </c>
    </row>
    <row r="62" spans="1:11" x14ac:dyDescent="0.3">
      <c r="A62" t="s">
        <v>139</v>
      </c>
      <c r="B62" s="128">
        <v>16800000</v>
      </c>
      <c r="D62" t="s">
        <v>235</v>
      </c>
      <c r="E62" t="s">
        <v>236</v>
      </c>
      <c r="J62" t="s">
        <v>139</v>
      </c>
      <c r="K62" s="128">
        <v>2000000</v>
      </c>
    </row>
    <row r="63" spans="1:11" x14ac:dyDescent="0.3">
      <c r="A63" t="s">
        <v>140</v>
      </c>
      <c r="B63" s="128">
        <v>15720000</v>
      </c>
      <c r="D63" s="129">
        <f>E56</f>
        <v>7000000</v>
      </c>
      <c r="E63" s="129">
        <f>E56</f>
        <v>7000000</v>
      </c>
      <c r="J63" t="s">
        <v>140</v>
      </c>
      <c r="K63" s="128">
        <v>3500000</v>
      </c>
    </row>
    <row r="64" spans="1:11" x14ac:dyDescent="0.3">
      <c r="A64" t="s">
        <v>141</v>
      </c>
      <c r="D64" s="129">
        <f>B63</f>
        <v>15720000</v>
      </c>
      <c r="E64" s="129">
        <f>B63</f>
        <v>15720000</v>
      </c>
      <c r="J64" t="s">
        <v>141</v>
      </c>
      <c r="K64" s="128">
        <v>2800000</v>
      </c>
    </row>
    <row r="65" spans="1:15" x14ac:dyDescent="0.3">
      <c r="A65" t="s">
        <v>142</v>
      </c>
      <c r="B65">
        <v>0</v>
      </c>
      <c r="D65" s="164"/>
      <c r="E65" s="164">
        <f>J75</f>
        <v>10880000</v>
      </c>
    </row>
    <row r="66" spans="1:15" x14ac:dyDescent="0.3">
      <c r="D66" s="129">
        <f>SUM(D63:D65)</f>
        <v>22720000</v>
      </c>
      <c r="E66" s="129">
        <f>SUM(E63:E65)</f>
        <v>33600000</v>
      </c>
    </row>
    <row r="67" spans="1:15" x14ac:dyDescent="0.3">
      <c r="C67" s="129"/>
      <c r="D67" s="129"/>
      <c r="E67" s="129"/>
      <c r="F67" s="129"/>
      <c r="G67" s="129"/>
      <c r="H67" s="129"/>
      <c r="I67" s="129"/>
      <c r="J67" s="129"/>
      <c r="K67" s="129"/>
    </row>
    <row r="68" spans="1:15" ht="14.4" customHeight="1" x14ac:dyDescent="0.3">
      <c r="A68" s="240" t="s">
        <v>119</v>
      </c>
      <c r="B68" s="242" t="s">
        <v>93</v>
      </c>
      <c r="C68" s="242" t="s">
        <v>143</v>
      </c>
      <c r="D68" s="243" t="s">
        <v>144</v>
      </c>
      <c r="E68" s="144" t="s">
        <v>145</v>
      </c>
      <c r="F68" s="144" t="s">
        <v>146</v>
      </c>
      <c r="G68" s="144" t="s">
        <v>147</v>
      </c>
      <c r="H68" s="145" t="s">
        <v>148</v>
      </c>
      <c r="I68" s="233" t="s">
        <v>149</v>
      </c>
      <c r="J68" s="233" t="s">
        <v>150</v>
      </c>
    </row>
    <row r="69" spans="1:15" x14ac:dyDescent="0.3">
      <c r="A69" s="241"/>
      <c r="B69" s="242"/>
      <c r="C69" s="242"/>
      <c r="D69" s="243"/>
      <c r="E69" s="146">
        <v>1</v>
      </c>
      <c r="F69" s="147">
        <v>1</v>
      </c>
      <c r="G69" s="147">
        <v>1</v>
      </c>
      <c r="H69" s="148">
        <f>Summary!H9</f>
        <v>72</v>
      </c>
      <c r="I69" s="234"/>
      <c r="J69" s="234"/>
    </row>
    <row r="70" spans="1:15" x14ac:dyDescent="0.3">
      <c r="A70" s="235" t="s">
        <v>151</v>
      </c>
      <c r="B70" s="136" t="s">
        <v>126</v>
      </c>
      <c r="C70" s="149">
        <f>K63</f>
        <v>3500000</v>
      </c>
      <c r="D70" s="136" t="s">
        <v>145</v>
      </c>
      <c r="E70" s="126">
        <f>E69</f>
        <v>1</v>
      </c>
      <c r="F70" s="126"/>
      <c r="G70" s="126"/>
      <c r="H70" s="150"/>
      <c r="I70" s="151">
        <f>E70*C70</f>
        <v>3500000</v>
      </c>
    </row>
    <row r="71" spans="1:15" x14ac:dyDescent="0.3">
      <c r="A71" s="236"/>
      <c r="B71" s="136" t="s">
        <v>152</v>
      </c>
      <c r="C71" s="152">
        <v>600000</v>
      </c>
      <c r="D71" s="136" t="s">
        <v>145</v>
      </c>
      <c r="E71" s="126">
        <f>E69</f>
        <v>1</v>
      </c>
      <c r="F71" s="126"/>
      <c r="G71" s="126"/>
      <c r="H71" s="150"/>
      <c r="I71" s="152">
        <f>C71*E71</f>
        <v>600000</v>
      </c>
    </row>
    <row r="72" spans="1:15" x14ac:dyDescent="0.3">
      <c r="A72" s="237"/>
      <c r="B72" s="136" t="s">
        <v>151</v>
      </c>
      <c r="C72" s="152">
        <v>200000</v>
      </c>
      <c r="D72" s="136" t="s">
        <v>153</v>
      </c>
      <c r="E72" s="126"/>
      <c r="F72" s="126">
        <f>F69</f>
        <v>1</v>
      </c>
      <c r="G72" s="126"/>
      <c r="H72" s="150"/>
      <c r="I72" s="152">
        <f>F72*C72</f>
        <v>200000</v>
      </c>
    </row>
    <row r="73" spans="1:15" x14ac:dyDescent="0.3">
      <c r="A73" s="136" t="s">
        <v>154</v>
      </c>
      <c r="B73" s="136" t="s">
        <v>154</v>
      </c>
      <c r="C73" s="152">
        <v>450000</v>
      </c>
      <c r="D73" s="136" t="s">
        <v>147</v>
      </c>
      <c r="E73" s="126">
        <f>E69</f>
        <v>1</v>
      </c>
      <c r="F73" s="126"/>
      <c r="G73" s="126">
        <f>G69</f>
        <v>1</v>
      </c>
      <c r="H73" s="150">
        <f>IF($H$69&lt;=120,2,IF($H$69&gt;220,4,3))</f>
        <v>2</v>
      </c>
      <c r="I73" s="152">
        <f>G73*C73*H73</f>
        <v>900000</v>
      </c>
    </row>
    <row r="74" spans="1:15" x14ac:dyDescent="0.3">
      <c r="A74" s="136" t="s">
        <v>155</v>
      </c>
      <c r="B74" s="136" t="s">
        <v>155</v>
      </c>
      <c r="C74" s="152">
        <v>120000</v>
      </c>
      <c r="D74" s="136" t="s">
        <v>145</v>
      </c>
      <c r="E74" s="126">
        <f>E69</f>
        <v>1</v>
      </c>
      <c r="F74" s="126"/>
      <c r="G74" s="126"/>
      <c r="H74" s="150">
        <f>IF($H$69&lt;=120,2,IF($H$69&gt;220,4,3))</f>
        <v>2</v>
      </c>
      <c r="I74" s="152">
        <f>H74*C74*E74</f>
        <v>240000</v>
      </c>
    </row>
    <row r="75" spans="1:15" x14ac:dyDescent="0.3">
      <c r="I75" s="153">
        <f>SUM(I70:I74)</f>
        <v>5440000</v>
      </c>
      <c r="J75" s="154">
        <f>I75*2</f>
        <v>10880000</v>
      </c>
      <c r="K75" t="s">
        <v>156</v>
      </c>
    </row>
    <row r="76" spans="1:15" x14ac:dyDescent="0.3">
      <c r="J76" s="153">
        <f>I75*4</f>
        <v>21760000</v>
      </c>
      <c r="K76" t="s">
        <v>157</v>
      </c>
      <c r="L76" s="164">
        <f>J76+B63+E56</f>
        <v>44480000</v>
      </c>
    </row>
    <row r="77" spans="1:15" x14ac:dyDescent="0.3">
      <c r="K77" s="129"/>
      <c r="L77" s="164">
        <f>I75+B63+E56*1</f>
        <v>28160000</v>
      </c>
    </row>
    <row r="79" spans="1:15" x14ac:dyDescent="0.3">
      <c r="A79" s="133"/>
      <c r="B79" s="133"/>
      <c r="C79" s="139"/>
      <c r="D79" s="139"/>
      <c r="E79" s="139"/>
      <c r="F79" s="139"/>
      <c r="G79" s="139"/>
      <c r="H79" s="139"/>
      <c r="I79" s="139"/>
      <c r="J79" s="139"/>
      <c r="K79" s="139"/>
      <c r="L79" s="133"/>
      <c r="M79" s="133"/>
      <c r="N79" s="133"/>
      <c r="O79" s="133"/>
    </row>
    <row r="80" spans="1:15" x14ac:dyDescent="0.3">
      <c r="A80" s="123" t="s">
        <v>158</v>
      </c>
    </row>
    <row r="82" spans="1:15" x14ac:dyDescent="0.3">
      <c r="A82" s="136" t="s">
        <v>158</v>
      </c>
      <c r="B82" s="129"/>
    </row>
    <row r="83" spans="1:15" x14ac:dyDescent="0.3">
      <c r="A83" t="s">
        <v>159</v>
      </c>
    </row>
    <row r="84" spans="1:15" x14ac:dyDescent="0.3">
      <c r="A84" t="s">
        <v>160</v>
      </c>
      <c r="B84" s="128">
        <v>36000000</v>
      </c>
    </row>
    <row r="85" spans="1:15" x14ac:dyDescent="0.3">
      <c r="A85" t="s">
        <v>161</v>
      </c>
      <c r="B85" s="128">
        <v>42000000</v>
      </c>
    </row>
    <row r="86" spans="1:15" x14ac:dyDescent="0.3">
      <c r="A86" t="s">
        <v>162</v>
      </c>
      <c r="B86" s="128">
        <v>48000000</v>
      </c>
    </row>
    <row r="88" spans="1:15" x14ac:dyDescent="0.3">
      <c r="A88" t="s">
        <v>163</v>
      </c>
    </row>
    <row r="89" spans="1:15" x14ac:dyDescent="0.3">
      <c r="A89" t="s">
        <v>164</v>
      </c>
      <c r="B89" s="128">
        <v>75000000</v>
      </c>
    </row>
    <row r="90" spans="1:15" x14ac:dyDescent="0.3">
      <c r="A90" t="s">
        <v>162</v>
      </c>
      <c r="B90" s="128">
        <v>95000000</v>
      </c>
    </row>
    <row r="92" spans="1:15" x14ac:dyDescent="0.3">
      <c r="A92" s="133"/>
      <c r="B92" s="133"/>
      <c r="C92" s="139"/>
      <c r="D92" s="139"/>
      <c r="E92" s="139"/>
      <c r="F92" s="139"/>
      <c r="G92" s="139"/>
      <c r="H92" s="139"/>
      <c r="I92" s="139"/>
      <c r="J92" s="139"/>
      <c r="K92" s="139"/>
      <c r="L92" s="133"/>
      <c r="M92" s="133"/>
      <c r="N92" s="133"/>
      <c r="O92" s="133"/>
    </row>
    <row r="93" spans="1:15" x14ac:dyDescent="0.3">
      <c r="A93" s="123" t="s">
        <v>165</v>
      </c>
    </row>
    <row r="95" spans="1:15" x14ac:dyDescent="0.3">
      <c r="A95" t="s">
        <v>166</v>
      </c>
      <c r="C95" s="155">
        <v>150000000</v>
      </c>
    </row>
    <row r="96" spans="1:15" x14ac:dyDescent="0.3">
      <c r="A96" t="s">
        <v>167</v>
      </c>
      <c r="C96" s="155">
        <v>200000000</v>
      </c>
    </row>
    <row r="97" spans="1:15" x14ac:dyDescent="0.3">
      <c r="A97" t="s">
        <v>168</v>
      </c>
      <c r="C97" s="155">
        <v>85000000</v>
      </c>
    </row>
    <row r="98" spans="1:15" x14ac:dyDescent="0.3">
      <c r="A98" t="s">
        <v>169</v>
      </c>
      <c r="C98" s="155">
        <v>150000000</v>
      </c>
    </row>
    <row r="99" spans="1:15" x14ac:dyDescent="0.3">
      <c r="A99" t="s">
        <v>170</v>
      </c>
      <c r="C99" s="155">
        <v>50000000</v>
      </c>
    </row>
    <row r="101" spans="1:15" x14ac:dyDescent="0.3">
      <c r="A101" s="133"/>
      <c r="B101" s="133"/>
      <c r="C101" s="139"/>
      <c r="D101" s="139"/>
      <c r="E101" s="139"/>
      <c r="F101" s="139"/>
      <c r="G101" s="139"/>
      <c r="H101" s="139"/>
      <c r="I101" s="139"/>
      <c r="J101" s="139"/>
      <c r="K101" s="139"/>
      <c r="L101" s="133"/>
      <c r="M101" s="133"/>
      <c r="N101" s="133"/>
      <c r="O101" s="133"/>
    </row>
  </sheetData>
  <mergeCells count="8">
    <mergeCell ref="J68:J69"/>
    <mergeCell ref="A70:A72"/>
    <mergeCell ref="G55:H55"/>
    <mergeCell ref="A68:A69"/>
    <mergeCell ref="B68:B69"/>
    <mergeCell ref="C68:C69"/>
    <mergeCell ref="D68:D69"/>
    <mergeCell ref="I68:I69"/>
  </mergeCells>
  <conditionalFormatting sqref="B35:K35 C33:K33 C5:K8 C9:J11 P5:Q5 S5 C34:R34">
    <cfRule type="cellIs" dxfId="13" priority="14" operator="lessThan">
      <formula>0</formula>
    </cfRule>
  </conditionalFormatting>
  <conditionalFormatting sqref="T5">
    <cfRule type="cellIs" dxfId="12" priority="13" operator="lessThan">
      <formula>0</formula>
    </cfRule>
  </conditionalFormatting>
  <conditionalFormatting sqref="C12:E14">
    <cfRule type="cellIs" dxfId="11" priority="12" operator="lessThan">
      <formula>0</formula>
    </cfRule>
  </conditionalFormatting>
  <conditionalFormatting sqref="F12:K14">
    <cfRule type="cellIs" dxfId="10" priority="11" operator="lessThan">
      <formula>0</formula>
    </cfRule>
  </conditionalFormatting>
  <conditionalFormatting sqref="C15:F17">
    <cfRule type="cellIs" dxfId="9" priority="10" operator="lessThan">
      <formula>0</formula>
    </cfRule>
  </conditionalFormatting>
  <conditionalFormatting sqref="G15:L17">
    <cfRule type="cellIs" dxfId="8" priority="9" operator="lessThan">
      <formula>0</formula>
    </cfRule>
  </conditionalFormatting>
  <conditionalFormatting sqref="C18:F20">
    <cfRule type="cellIs" dxfId="7" priority="8" operator="lessThan">
      <formula>0</formula>
    </cfRule>
  </conditionalFormatting>
  <conditionalFormatting sqref="H18:M20">
    <cfRule type="cellIs" dxfId="6" priority="7" operator="lessThan">
      <formula>0</formula>
    </cfRule>
  </conditionalFormatting>
  <conditionalFormatting sqref="C21:F23">
    <cfRule type="cellIs" dxfId="5" priority="6" operator="lessThan">
      <formula>0</formula>
    </cfRule>
  </conditionalFormatting>
  <conditionalFormatting sqref="I21:N23">
    <cfRule type="cellIs" dxfId="4" priority="5" operator="lessThan">
      <formula>0</formula>
    </cfRule>
  </conditionalFormatting>
  <conditionalFormatting sqref="C24:F26">
    <cfRule type="cellIs" dxfId="3" priority="4" operator="lessThan">
      <formula>0</formula>
    </cfRule>
  </conditionalFormatting>
  <conditionalFormatting sqref="J24:O26">
    <cfRule type="cellIs" dxfId="2" priority="3" operator="lessThan">
      <formula>0</formula>
    </cfRule>
  </conditionalFormatting>
  <conditionalFormatting sqref="C27:F32">
    <cfRule type="cellIs" dxfId="1" priority="2" operator="lessThan">
      <formula>0</formula>
    </cfRule>
  </conditionalFormatting>
  <conditionalFormatting sqref="L27:Q31 L32:R32 R30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EEE8B-DFBE-4C51-96A4-C30F0227C201}">
  <sheetPr>
    <pageSetUpPr fitToPage="1"/>
  </sheetPr>
  <dimension ref="B1:Y60"/>
  <sheetViews>
    <sheetView showGridLines="0" topLeftCell="A25" zoomScale="90" zoomScaleNormal="90" workbookViewId="0">
      <selection activeCell="G28" sqref="G28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2" customWidth="1"/>
    <col min="8" max="8" width="16.77734375" style="1" customWidth="1"/>
    <col min="9" max="9" width="15.6640625" style="1" customWidth="1"/>
    <col min="10" max="10" width="15.21875" style="1" customWidth="1"/>
    <col min="11" max="11" width="13.6640625" style="1" bestFit="1" customWidth="1"/>
    <col min="12" max="15" width="6.6640625" style="1" hidden="1" customWidth="1"/>
    <col min="16" max="16" width="7.77734375" style="1" hidden="1" customWidth="1"/>
    <col min="17" max="17" width="18.109375" style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Q1" s="4" t="s">
        <v>218</v>
      </c>
    </row>
    <row r="2" spans="2:25" x14ac:dyDescent="0.3">
      <c r="B2" s="33" t="s">
        <v>44</v>
      </c>
      <c r="H2" s="159" t="s">
        <v>45</v>
      </c>
      <c r="I2" s="160" t="s">
        <v>46</v>
      </c>
    </row>
    <row r="3" spans="2:25" x14ac:dyDescent="0.3">
      <c r="C3" s="1" t="s">
        <v>47</v>
      </c>
      <c r="E3" s="35">
        <v>0.02</v>
      </c>
      <c r="H3" s="161"/>
      <c r="I3" s="36"/>
      <c r="L3" s="36"/>
      <c r="M3" s="36"/>
      <c r="N3" s="36"/>
      <c r="O3" s="36"/>
      <c r="P3" s="36"/>
      <c r="R3" s="37"/>
      <c r="S3" s="37"/>
    </row>
    <row r="4" spans="2:25" x14ac:dyDescent="0.3">
      <c r="C4" s="1" t="s">
        <v>48</v>
      </c>
      <c r="E4" s="35">
        <v>0.1</v>
      </c>
      <c r="H4" s="161"/>
      <c r="I4" s="36"/>
      <c r="L4" s="36"/>
      <c r="M4" s="36"/>
      <c r="N4" s="36"/>
      <c r="O4" s="36"/>
      <c r="P4" s="36"/>
      <c r="R4" s="37"/>
      <c r="S4" s="37"/>
    </row>
    <row r="5" spans="2:25" x14ac:dyDescent="0.3">
      <c r="C5" s="1" t="s">
        <v>49</v>
      </c>
      <c r="E5" s="35">
        <f>2.5%*0</f>
        <v>0</v>
      </c>
      <c r="F5" s="32" t="s">
        <v>50</v>
      </c>
      <c r="H5" s="161"/>
      <c r="I5" s="36"/>
      <c r="S5" s="37"/>
      <c r="T5" s="190"/>
      <c r="U5" s="190"/>
      <c r="V5" s="190"/>
    </row>
    <row r="6" spans="2:25" x14ac:dyDescent="0.3">
      <c r="C6" s="1" t="s">
        <v>51</v>
      </c>
      <c r="E6" s="39">
        <v>0</v>
      </c>
      <c r="F6" s="32" t="s">
        <v>50</v>
      </c>
      <c r="H6" s="161"/>
      <c r="S6" s="37"/>
    </row>
    <row r="7" spans="2:25" ht="4.2" customHeight="1" x14ac:dyDescent="0.3">
      <c r="F7" s="35"/>
      <c r="S7" s="37"/>
    </row>
    <row r="8" spans="2:25" ht="14.4" customHeight="1" x14ac:dyDescent="0.3">
      <c r="B8" s="41" t="s">
        <v>57</v>
      </c>
      <c r="G8" s="191" t="s">
        <v>52</v>
      </c>
      <c r="H8" s="191" t="s">
        <v>53</v>
      </c>
      <c r="I8" s="191" t="s">
        <v>54</v>
      </c>
      <c r="J8" s="191" t="s">
        <v>55</v>
      </c>
      <c r="K8" s="191" t="s">
        <v>56</v>
      </c>
      <c r="L8" s="191" t="s">
        <v>176</v>
      </c>
      <c r="M8" s="191" t="s">
        <v>177</v>
      </c>
      <c r="N8" s="191" t="s">
        <v>178</v>
      </c>
      <c r="O8" s="191" t="s">
        <v>179</v>
      </c>
      <c r="P8" s="191" t="s">
        <v>180</v>
      </c>
      <c r="R8" s="40"/>
      <c r="W8" s="40"/>
      <c r="X8" s="40"/>
      <c r="Y8" s="40"/>
    </row>
    <row r="9" spans="2:25" s="42" customFormat="1" x14ac:dyDescent="0.3">
      <c r="D9" s="42" t="s">
        <v>209</v>
      </c>
      <c r="F9" s="43"/>
      <c r="G9" s="184">
        <v>0</v>
      </c>
      <c r="H9" s="184">
        <v>0</v>
      </c>
      <c r="I9" s="184">
        <v>0</v>
      </c>
      <c r="J9" s="184">
        <v>0</v>
      </c>
      <c r="K9" s="184"/>
      <c r="L9" s="184"/>
      <c r="M9" s="184"/>
      <c r="N9" s="184"/>
      <c r="O9" s="184"/>
      <c r="P9" s="184"/>
      <c r="Q9" s="184">
        <f>SUM(G9:K9)</f>
        <v>0</v>
      </c>
      <c r="R9" s="182"/>
      <c r="S9" s="1"/>
      <c r="T9" s="1"/>
      <c r="U9" s="1"/>
      <c r="V9" s="1"/>
      <c r="W9" s="43"/>
      <c r="X9" s="43"/>
      <c r="Y9" s="43"/>
    </row>
    <row r="10" spans="2:25" s="42" customFormat="1" ht="16.2" thickBot="1" x14ac:dyDescent="0.35">
      <c r="B10" s="41"/>
      <c r="D10" s="42" t="s">
        <v>210</v>
      </c>
      <c r="F10" s="43"/>
      <c r="G10" s="185"/>
      <c r="H10" s="185"/>
      <c r="I10" s="185"/>
      <c r="J10" s="185"/>
      <c r="K10" s="185"/>
      <c r="L10" s="185"/>
      <c r="M10" s="185"/>
      <c r="N10" s="185"/>
      <c r="O10" s="185"/>
      <c r="P10" s="185"/>
      <c r="Q10" s="185">
        <f>G10</f>
        <v>0</v>
      </c>
      <c r="R10" s="182"/>
      <c r="S10" s="1"/>
      <c r="T10" s="1"/>
      <c r="U10" s="1"/>
      <c r="V10" s="1"/>
      <c r="W10" s="43"/>
      <c r="X10" s="43"/>
      <c r="Y10" s="43"/>
    </row>
    <row r="11" spans="2:25" s="42" customFormat="1" ht="16.2" thickTop="1" x14ac:dyDescent="0.3">
      <c r="B11" s="41"/>
      <c r="F11" s="43"/>
      <c r="G11" s="43">
        <f>SUM(G9:G10)</f>
        <v>0</v>
      </c>
      <c r="H11" s="43"/>
      <c r="I11" s="43"/>
      <c r="J11" s="43"/>
      <c r="K11" s="43"/>
      <c r="L11" s="43"/>
      <c r="M11" s="43"/>
      <c r="N11" s="43"/>
      <c r="O11" s="43"/>
      <c r="P11" s="43"/>
      <c r="Q11" s="43">
        <f>Q10+Q9</f>
        <v>0</v>
      </c>
      <c r="R11" s="43"/>
      <c r="S11" s="1"/>
      <c r="T11" s="1"/>
      <c r="U11" s="1"/>
      <c r="V11" s="1"/>
      <c r="W11" s="43"/>
      <c r="X11" s="43"/>
      <c r="Y11" s="43"/>
    </row>
    <row r="12" spans="2:25" x14ac:dyDescent="0.3">
      <c r="F12" s="44"/>
      <c r="G12" s="45">
        <v>2025</v>
      </c>
      <c r="H12" s="45">
        <f>G12+1</f>
        <v>2026</v>
      </c>
      <c r="I12" s="45">
        <f t="shared" ref="I12:P12" si="0">H12+1</f>
        <v>2027</v>
      </c>
      <c r="J12" s="45">
        <f t="shared" si="0"/>
        <v>2028</v>
      </c>
      <c r="K12" s="45">
        <f t="shared" si="0"/>
        <v>2029</v>
      </c>
      <c r="L12" s="45">
        <f t="shared" si="0"/>
        <v>2030</v>
      </c>
      <c r="M12" s="45">
        <f t="shared" si="0"/>
        <v>2031</v>
      </c>
      <c r="N12" s="45">
        <f t="shared" si="0"/>
        <v>2032</v>
      </c>
      <c r="O12" s="45">
        <f t="shared" si="0"/>
        <v>2033</v>
      </c>
      <c r="P12" s="45">
        <f t="shared" si="0"/>
        <v>2034</v>
      </c>
      <c r="Q12" s="45"/>
    </row>
    <row r="13" spans="2:25" ht="16.2" thickBot="1" x14ac:dyDescent="0.35">
      <c r="B13" s="46" t="s">
        <v>58</v>
      </c>
      <c r="C13" s="26"/>
      <c r="D13" s="26"/>
      <c r="E13" s="26"/>
      <c r="F13" s="47" t="s">
        <v>175</v>
      </c>
      <c r="G13" s="47" t="s">
        <v>59</v>
      </c>
      <c r="H13" s="48" t="s">
        <v>60</v>
      </c>
      <c r="I13" s="47" t="s">
        <v>61</v>
      </c>
      <c r="J13" s="48" t="s">
        <v>62</v>
      </c>
      <c r="K13" s="47" t="s">
        <v>63</v>
      </c>
      <c r="L13" s="47" t="s">
        <v>89</v>
      </c>
      <c r="M13" s="47" t="s">
        <v>171</v>
      </c>
      <c r="N13" s="47" t="s">
        <v>172</v>
      </c>
      <c r="O13" s="47" t="s">
        <v>173</v>
      </c>
      <c r="P13" s="47" t="s">
        <v>174</v>
      </c>
      <c r="Q13" s="49" t="s">
        <v>64</v>
      </c>
      <c r="R13" s="190"/>
      <c r="S13" s="50"/>
      <c r="T13" s="50"/>
      <c r="U13" s="50"/>
      <c r="V13" s="50"/>
      <c r="W13" s="190"/>
    </row>
    <row r="14" spans="2:25" x14ac:dyDescent="0.3">
      <c r="B14" s="1" t="s">
        <v>65</v>
      </c>
      <c r="G14" s="45">
        <v>12</v>
      </c>
      <c r="H14" s="45">
        <v>12</v>
      </c>
      <c r="I14" s="45">
        <v>12</v>
      </c>
      <c r="J14" s="45">
        <v>12</v>
      </c>
      <c r="K14" s="45">
        <v>12</v>
      </c>
      <c r="L14" s="45"/>
      <c r="M14" s="45"/>
      <c r="N14" s="45"/>
      <c r="O14" s="45"/>
      <c r="P14" s="45"/>
      <c r="Q14" s="51"/>
      <c r="S14" s="37"/>
      <c r="T14" s="37"/>
      <c r="U14" s="37"/>
      <c r="V14" s="37"/>
    </row>
    <row r="15" spans="2:25" ht="1.8" customHeight="1" x14ac:dyDescent="0.3">
      <c r="Q15" s="51"/>
      <c r="S15" s="52"/>
      <c r="T15" s="52"/>
      <c r="U15" s="52"/>
      <c r="V15" s="52"/>
    </row>
    <row r="16" spans="2:25" x14ac:dyDescent="0.3">
      <c r="B16" s="2" t="s">
        <v>66</v>
      </c>
      <c r="E16" s="53"/>
      <c r="G16" s="54"/>
      <c r="H16" s="55"/>
      <c r="I16" s="56"/>
      <c r="J16" s="56"/>
      <c r="K16" s="56"/>
      <c r="L16" s="56"/>
      <c r="M16" s="56"/>
      <c r="N16" s="56"/>
      <c r="O16" s="56"/>
      <c r="P16" s="56"/>
      <c r="Q16" s="51"/>
      <c r="S16" s="50"/>
      <c r="T16" s="50"/>
      <c r="U16" s="50"/>
      <c r="V16" s="50"/>
    </row>
    <row r="17" spans="2:24" x14ac:dyDescent="0.3">
      <c r="B17" s="2"/>
      <c r="C17" s="1" t="s">
        <v>211</v>
      </c>
      <c r="E17" s="53"/>
      <c r="G17" s="55">
        <f>199584000</f>
        <v>199584000</v>
      </c>
      <c r="H17" s="163">
        <f>G17</f>
        <v>199584000</v>
      </c>
      <c r="I17" s="55">
        <f>H17</f>
        <v>199584000</v>
      </c>
      <c r="J17" s="55">
        <f>I17</f>
        <v>199584000</v>
      </c>
      <c r="K17" s="55">
        <f>J17</f>
        <v>199584000</v>
      </c>
      <c r="L17" s="55"/>
      <c r="M17" s="55"/>
      <c r="N17" s="55"/>
      <c r="O17" s="55"/>
      <c r="P17" s="55"/>
      <c r="Q17" s="57">
        <f>SUM(G17:K17)</f>
        <v>997920000</v>
      </c>
      <c r="R17" s="180"/>
      <c r="S17" s="50"/>
      <c r="T17" s="50"/>
      <c r="U17" s="50"/>
      <c r="V17" s="50"/>
    </row>
    <row r="18" spans="2:24" x14ac:dyDescent="0.3">
      <c r="B18" s="2"/>
      <c r="C18" s="1" t="s">
        <v>212</v>
      </c>
      <c r="E18" s="53"/>
      <c r="G18" s="55">
        <v>140000000</v>
      </c>
      <c r="H18" s="55">
        <v>140000000</v>
      </c>
      <c r="I18" s="55">
        <v>140000000</v>
      </c>
      <c r="J18" s="55">
        <v>140000000</v>
      </c>
      <c r="K18" s="55">
        <v>140000000</v>
      </c>
      <c r="L18" s="55"/>
      <c r="M18" s="55"/>
      <c r="N18" s="55"/>
      <c r="O18" s="55"/>
      <c r="P18" s="55"/>
      <c r="Q18" s="57">
        <f>SUM(G18:K18)</f>
        <v>700000000</v>
      </c>
      <c r="R18" s="180"/>
      <c r="S18" s="50"/>
      <c r="T18" s="50"/>
      <c r="U18" s="50"/>
      <c r="V18" s="50"/>
    </row>
    <row r="19" spans="2:24" x14ac:dyDescent="0.3">
      <c r="B19" s="2"/>
      <c r="E19" s="53"/>
      <c r="G19" s="55"/>
      <c r="H19" s="163"/>
      <c r="I19" s="55"/>
      <c r="J19" s="55"/>
      <c r="K19" s="55"/>
      <c r="L19" s="55"/>
      <c r="M19" s="55"/>
      <c r="N19" s="55"/>
      <c r="O19" s="55"/>
      <c r="P19" s="55"/>
      <c r="Q19" s="57">
        <f t="shared" ref="Q19:Q20" si="1">SUM(G19:K19)</f>
        <v>0</v>
      </c>
      <c r="S19" s="50"/>
      <c r="T19" s="50"/>
      <c r="U19" s="50"/>
      <c r="V19" s="50"/>
    </row>
    <row r="20" spans="2:24" x14ac:dyDescent="0.3">
      <c r="B20" s="2"/>
      <c r="E20" s="53"/>
      <c r="G20" s="55"/>
      <c r="H20" s="163"/>
      <c r="I20" s="55"/>
      <c r="J20" s="55"/>
      <c r="K20" s="55"/>
      <c r="L20" s="58"/>
      <c r="M20" s="58"/>
      <c r="N20" s="58"/>
      <c r="O20" s="58"/>
      <c r="P20" s="58"/>
      <c r="Q20" s="57">
        <f t="shared" si="1"/>
        <v>0</v>
      </c>
      <c r="S20" s="50"/>
      <c r="T20" s="50"/>
      <c r="U20" s="50"/>
      <c r="V20" s="50"/>
    </row>
    <row r="21" spans="2:24" x14ac:dyDescent="0.3">
      <c r="B21" s="60" t="s">
        <v>68</v>
      </c>
      <c r="C21" s="60"/>
      <c r="D21" s="60"/>
      <c r="E21" s="231"/>
      <c r="F21" s="232"/>
      <c r="G21" s="61">
        <f>SUM(G17:G20)</f>
        <v>339584000</v>
      </c>
      <c r="H21" s="61">
        <f>SUM(H17:H20)</f>
        <v>339584000</v>
      </c>
      <c r="I21" s="61">
        <f>SUM(I17:I20)</f>
        <v>339584000</v>
      </c>
      <c r="J21" s="61">
        <f>SUM(J17:J20)</f>
        <v>339584000</v>
      </c>
      <c r="K21" s="61">
        <f>SUM(K17:K20)</f>
        <v>339584000</v>
      </c>
      <c r="L21" s="61"/>
      <c r="M21" s="61"/>
      <c r="N21" s="61"/>
      <c r="O21" s="61"/>
      <c r="P21" s="61"/>
      <c r="Q21" s="62">
        <f>SUM(G21:K21)</f>
        <v>1697920000</v>
      </c>
      <c r="R21" s="50"/>
      <c r="S21" s="63"/>
      <c r="T21" s="63"/>
      <c r="U21" s="63"/>
      <c r="V21" s="63"/>
      <c r="W21" s="50"/>
      <c r="X21" s="37"/>
    </row>
    <row r="22" spans="2:24" ht="7.2" customHeight="1" x14ac:dyDescent="0.3">
      <c r="Q22" s="51"/>
      <c r="R22" s="37"/>
      <c r="S22" s="63"/>
      <c r="T22" s="63"/>
      <c r="U22" s="63"/>
      <c r="V22" s="63"/>
      <c r="W22" s="37"/>
      <c r="X22" s="37"/>
    </row>
    <row r="23" spans="2:24" x14ac:dyDescent="0.3">
      <c r="B23" s="2" t="s">
        <v>69</v>
      </c>
      <c r="E23" s="53"/>
      <c r="F23" s="53"/>
      <c r="G23" s="54"/>
      <c r="H23" s="53"/>
      <c r="I23" s="56"/>
      <c r="J23" s="56"/>
      <c r="K23" s="56"/>
      <c r="L23" s="56"/>
      <c r="M23" s="56"/>
      <c r="N23" s="56"/>
      <c r="O23" s="56"/>
      <c r="P23" s="56"/>
      <c r="Q23" s="64"/>
      <c r="R23" s="52"/>
      <c r="S23" s="65"/>
      <c r="T23" s="65"/>
      <c r="U23" s="65"/>
      <c r="V23" s="65"/>
      <c r="W23" s="37"/>
      <c r="X23" s="37"/>
    </row>
    <row r="24" spans="2:24" x14ac:dyDescent="0.3">
      <c r="C24" s="1" t="s">
        <v>213</v>
      </c>
      <c r="E24" s="66"/>
      <c r="G24" s="67">
        <f>170000000*5*40%</f>
        <v>340000000</v>
      </c>
      <c r="H24" s="67">
        <f>850000000*20%</f>
        <v>170000000</v>
      </c>
      <c r="I24" s="67">
        <f>H24</f>
        <v>170000000</v>
      </c>
      <c r="J24" s="67">
        <f>I24</f>
        <v>170000000</v>
      </c>
      <c r="K24" s="67"/>
      <c r="L24" s="67"/>
      <c r="M24" s="67"/>
      <c r="N24" s="67"/>
      <c r="O24" s="67"/>
      <c r="P24" s="67"/>
      <c r="Q24" s="68">
        <f>SUM(G24:K24)</f>
        <v>850000000</v>
      </c>
      <c r="R24" s="52"/>
      <c r="S24" s="50"/>
      <c r="T24" s="50"/>
      <c r="U24" s="50"/>
      <c r="V24" s="50"/>
      <c r="W24" s="69"/>
      <c r="X24" s="37"/>
    </row>
    <row r="25" spans="2:24" x14ac:dyDescent="0.3">
      <c r="C25" s="1" t="s">
        <v>214</v>
      </c>
      <c r="E25" s="66"/>
      <c r="G25" s="67">
        <v>110000000</v>
      </c>
      <c r="H25" s="67"/>
      <c r="I25" s="67"/>
      <c r="J25" s="67"/>
      <c r="K25" s="67"/>
      <c r="L25" s="67"/>
      <c r="M25" s="67"/>
      <c r="N25" s="67"/>
      <c r="O25" s="67"/>
      <c r="P25" s="67"/>
      <c r="Q25" s="68"/>
      <c r="R25" s="52"/>
      <c r="S25" s="50"/>
      <c r="T25" s="50"/>
      <c r="U25" s="50"/>
      <c r="V25" s="50"/>
      <c r="W25" s="69"/>
      <c r="X25" s="37"/>
    </row>
    <row r="26" spans="2:24" x14ac:dyDescent="0.3">
      <c r="C26" s="1" t="s">
        <v>71</v>
      </c>
      <c r="F26" s="70"/>
      <c r="G26" s="189">
        <f>(2600000*12)*1</f>
        <v>31200000</v>
      </c>
      <c r="H26" s="189">
        <f>G26</f>
        <v>31200000</v>
      </c>
      <c r="I26" s="189">
        <f>H26</f>
        <v>31200000</v>
      </c>
      <c r="J26" s="189">
        <f>I26</f>
        <v>31200000</v>
      </c>
      <c r="K26" s="189">
        <f>J26</f>
        <v>31200000</v>
      </c>
      <c r="L26" s="67"/>
      <c r="M26" s="67"/>
      <c r="N26" s="67"/>
      <c r="O26" s="67"/>
      <c r="P26" s="67"/>
      <c r="Q26" s="68">
        <f>SUM(G26:K26)</f>
        <v>156000000</v>
      </c>
      <c r="R26" s="181"/>
      <c r="S26" s="71"/>
      <c r="T26" s="71"/>
      <c r="U26" s="71"/>
      <c r="V26" s="71"/>
      <c r="W26" s="69"/>
      <c r="X26" s="37"/>
    </row>
    <row r="27" spans="2:24" x14ac:dyDescent="0.3">
      <c r="C27" s="1" t="s">
        <v>72</v>
      </c>
      <c r="G27" s="72">
        <f>Parameter!D66+Parameter!E66</f>
        <v>56320000</v>
      </c>
      <c r="H27" s="72">
        <f>G27</f>
        <v>56320000</v>
      </c>
      <c r="I27" s="72">
        <f t="shared" ref="I27:K27" si="2">H27</f>
        <v>56320000</v>
      </c>
      <c r="J27" s="72">
        <f>I27</f>
        <v>56320000</v>
      </c>
      <c r="K27" s="72">
        <f t="shared" si="2"/>
        <v>56320000</v>
      </c>
      <c r="L27" s="72"/>
      <c r="M27" s="72"/>
      <c r="N27" s="72"/>
      <c r="O27" s="72"/>
      <c r="P27" s="72"/>
      <c r="Q27" s="68">
        <f t="shared" ref="Q27:Q28" si="3">SUM(G27:K27)</f>
        <v>281600000</v>
      </c>
      <c r="R27" s="50"/>
      <c r="S27" s="71"/>
      <c r="T27" s="71"/>
      <c r="U27" s="71"/>
      <c r="V27" s="71"/>
      <c r="W27" s="69"/>
      <c r="X27" s="37"/>
    </row>
    <row r="28" spans="2:24" x14ac:dyDescent="0.3">
      <c r="B28" s="73"/>
      <c r="C28" s="73" t="s">
        <v>49</v>
      </c>
      <c r="D28" s="73"/>
      <c r="E28" s="73"/>
      <c r="F28" s="73"/>
      <c r="G28" s="165" t="s">
        <v>36</v>
      </c>
      <c r="H28" s="165">
        <f>H21*$E$5</f>
        <v>0</v>
      </c>
      <c r="I28" s="165">
        <f>I21*$E$5</f>
        <v>0</v>
      </c>
      <c r="J28" s="165">
        <f>J21*$E$5</f>
        <v>0</v>
      </c>
      <c r="K28" s="165">
        <f>K21*$E$5</f>
        <v>0</v>
      </c>
      <c r="L28" s="156"/>
      <c r="M28" s="156"/>
      <c r="N28" s="156"/>
      <c r="O28" s="156"/>
      <c r="P28" s="156"/>
      <c r="Q28" s="68">
        <f t="shared" si="3"/>
        <v>0</v>
      </c>
      <c r="R28" s="59"/>
      <c r="S28" s="71"/>
      <c r="T28" s="71"/>
      <c r="U28" s="71"/>
      <c r="V28" s="71"/>
      <c r="W28" s="69"/>
      <c r="X28" s="37"/>
    </row>
    <row r="29" spans="2:24" s="2" customFormat="1" x14ac:dyDescent="0.3">
      <c r="B29" s="60" t="s">
        <v>73</v>
      </c>
      <c r="C29" s="60"/>
      <c r="D29" s="60"/>
      <c r="E29" s="60"/>
      <c r="F29" s="60"/>
      <c r="G29" s="61">
        <f>SUM(G24:G28)</f>
        <v>537520000</v>
      </c>
      <c r="H29" s="61">
        <f t="shared" ref="H29:K29" si="4">SUM(H24:H28)</f>
        <v>257520000</v>
      </c>
      <c r="I29" s="61">
        <f t="shared" si="4"/>
        <v>257520000</v>
      </c>
      <c r="J29" s="61">
        <f>SUM(J24:J28)</f>
        <v>257520000</v>
      </c>
      <c r="K29" s="61">
        <f t="shared" si="4"/>
        <v>87520000</v>
      </c>
      <c r="L29" s="61"/>
      <c r="M29" s="61"/>
      <c r="N29" s="61"/>
      <c r="O29" s="61"/>
      <c r="P29" s="61"/>
      <c r="Q29" s="74">
        <f>SUM(Q24:Q28)</f>
        <v>1287600000</v>
      </c>
      <c r="R29" s="63"/>
      <c r="S29" s="75"/>
      <c r="T29" s="75"/>
      <c r="U29" s="75"/>
      <c r="V29" s="75"/>
      <c r="W29" s="63"/>
      <c r="X29" s="76"/>
    </row>
    <row r="30" spans="2:24" s="2" customFormat="1" x14ac:dyDescent="0.3">
      <c r="B30" s="2" t="s">
        <v>74</v>
      </c>
      <c r="G30" s="158">
        <f>G21-G29</f>
        <v>-197936000</v>
      </c>
      <c r="H30" s="77">
        <f>H21-H29</f>
        <v>82064000</v>
      </c>
      <c r="I30" s="77">
        <f t="shared" ref="I30:K30" si="5">I21-I29</f>
        <v>82064000</v>
      </c>
      <c r="J30" s="77">
        <f t="shared" si="5"/>
        <v>82064000</v>
      </c>
      <c r="K30" s="77">
        <f t="shared" si="5"/>
        <v>252064000</v>
      </c>
      <c r="L30" s="77"/>
      <c r="M30" s="77"/>
      <c r="N30" s="77"/>
      <c r="O30" s="77"/>
      <c r="P30" s="77"/>
      <c r="Q30" s="78">
        <f>Q21-Q29</f>
        <v>410320000</v>
      </c>
      <c r="R30" s="63"/>
      <c r="S30" s="71"/>
      <c r="T30" s="71"/>
      <c r="U30" s="71"/>
      <c r="V30" s="71"/>
      <c r="W30" s="63"/>
      <c r="X30" s="76"/>
    </row>
    <row r="31" spans="2:24" s="2" customFormat="1" x14ac:dyDescent="0.3">
      <c r="B31" s="79" t="s">
        <v>75</v>
      </c>
      <c r="C31" s="80"/>
      <c r="D31" s="80"/>
      <c r="E31" s="80"/>
      <c r="F31" s="80"/>
      <c r="G31" s="81">
        <v>0</v>
      </c>
      <c r="H31" s="81">
        <f>H30/H21</f>
        <v>0.24166038447041086</v>
      </c>
      <c r="I31" s="81">
        <f t="shared" ref="I31:K31" si="6">I30/I21</f>
        <v>0.24166038447041086</v>
      </c>
      <c r="J31" s="81">
        <f t="shared" si="6"/>
        <v>0.24166038447041086</v>
      </c>
      <c r="K31" s="81">
        <f t="shared" si="6"/>
        <v>0.74227289860535239</v>
      </c>
      <c r="L31" s="81"/>
      <c r="M31" s="81"/>
      <c r="N31" s="81"/>
      <c r="O31" s="81"/>
      <c r="P31" s="81"/>
      <c r="Q31" s="82">
        <f>Q30/Q21</f>
        <v>0.24166038447041086</v>
      </c>
      <c r="R31" s="65"/>
      <c r="S31" s="37"/>
      <c r="T31" s="37"/>
      <c r="U31" s="37"/>
      <c r="V31" s="37"/>
      <c r="W31" s="65"/>
      <c r="X31" s="76"/>
    </row>
    <row r="32" spans="2:24" x14ac:dyDescent="0.3">
      <c r="B32" s="73" t="s">
        <v>76</v>
      </c>
      <c r="C32" s="73"/>
      <c r="D32" s="73"/>
      <c r="E32" s="73"/>
      <c r="F32" s="73"/>
      <c r="G32" s="83">
        <f>G54</f>
        <v>0</v>
      </c>
      <c r="H32" s="83">
        <f>H54</f>
        <v>0</v>
      </c>
      <c r="I32" s="83">
        <f>I54</f>
        <v>0</v>
      </c>
      <c r="J32" s="83">
        <f>J54</f>
        <v>0</v>
      </c>
      <c r="K32" s="83">
        <f>K54</f>
        <v>0</v>
      </c>
      <c r="L32" s="83"/>
      <c r="M32" s="83"/>
      <c r="N32" s="83"/>
      <c r="O32" s="83"/>
      <c r="P32" s="83"/>
      <c r="Q32" s="84">
        <f>SUM(G32:K32)</f>
        <v>0</v>
      </c>
      <c r="R32" s="50"/>
      <c r="S32" s="85"/>
      <c r="T32" s="85"/>
      <c r="U32" s="85"/>
      <c r="V32" s="85"/>
      <c r="W32" s="50"/>
      <c r="X32" s="37"/>
    </row>
    <row r="33" spans="2:24" x14ac:dyDescent="0.3">
      <c r="B33" s="1" t="s">
        <v>77</v>
      </c>
      <c r="G33" s="86">
        <f t="shared" ref="G33:Q33" si="7">G30-G32</f>
        <v>-197936000</v>
      </c>
      <c r="H33" s="86">
        <f t="shared" si="7"/>
        <v>82064000</v>
      </c>
      <c r="I33" s="86">
        <f t="shared" si="7"/>
        <v>82064000</v>
      </c>
      <c r="J33" s="86">
        <f t="shared" si="7"/>
        <v>82064000</v>
      </c>
      <c r="K33" s="86">
        <f t="shared" si="7"/>
        <v>252064000</v>
      </c>
      <c r="L33" s="86"/>
      <c r="M33" s="86"/>
      <c r="N33" s="86"/>
      <c r="O33" s="86"/>
      <c r="P33" s="86"/>
      <c r="Q33" s="87">
        <f t="shared" si="7"/>
        <v>410320000</v>
      </c>
      <c r="R33" s="71"/>
      <c r="S33" s="85"/>
      <c r="T33" s="85"/>
      <c r="U33" s="85"/>
      <c r="V33" s="85"/>
      <c r="W33" s="71"/>
      <c r="X33" s="37"/>
    </row>
    <row r="34" spans="2:24" x14ac:dyDescent="0.3">
      <c r="B34" s="1" t="s">
        <v>78</v>
      </c>
      <c r="G34" s="88">
        <f>[3]Parameter!M34</f>
        <v>13372700.880000005</v>
      </c>
      <c r="H34" s="88">
        <f>[3]Parameter!N34</f>
        <v>4457566.9600000018</v>
      </c>
      <c r="I34" s="88">
        <f>[3]Parameter!O34</f>
        <v>0</v>
      </c>
      <c r="J34" s="88">
        <f>[3]Parameter!O34</f>
        <v>0</v>
      </c>
      <c r="K34" s="88">
        <f>[3]Parameter!P34</f>
        <v>0</v>
      </c>
      <c r="L34" s="88"/>
      <c r="M34" s="88"/>
      <c r="N34" s="88"/>
      <c r="O34" s="88"/>
      <c r="P34" s="88"/>
      <c r="Q34" s="89">
        <f>SUM(G34:K34)</f>
        <v>17830267.840000007</v>
      </c>
      <c r="R34" s="71"/>
      <c r="S34" s="85"/>
      <c r="T34" s="85"/>
      <c r="U34" s="85"/>
      <c r="V34" s="85"/>
      <c r="W34" s="71"/>
      <c r="X34" s="37"/>
    </row>
    <row r="35" spans="2:24" x14ac:dyDescent="0.3">
      <c r="B35" s="1" t="s">
        <v>79</v>
      </c>
      <c r="G35" s="166">
        <f t="shared" ref="G35:K35" si="8">G33-G34</f>
        <v>-211308700.88</v>
      </c>
      <c r="H35" s="88">
        <f t="shared" si="8"/>
        <v>77606433.039999992</v>
      </c>
      <c r="I35" s="88">
        <f t="shared" si="8"/>
        <v>82064000</v>
      </c>
      <c r="J35" s="88">
        <f t="shared" si="8"/>
        <v>82064000</v>
      </c>
      <c r="K35" s="88">
        <f t="shared" si="8"/>
        <v>252064000</v>
      </c>
      <c r="L35" s="88"/>
      <c r="M35" s="88"/>
      <c r="N35" s="88"/>
      <c r="O35" s="88"/>
      <c r="P35" s="88"/>
      <c r="Q35" s="89">
        <f>SUM(G35:K35)</f>
        <v>282489732.15999997</v>
      </c>
      <c r="R35" s="71"/>
      <c r="S35" s="90"/>
      <c r="T35" s="90"/>
      <c r="U35" s="90"/>
      <c r="V35" s="90"/>
      <c r="W35" s="71"/>
      <c r="X35" s="37"/>
    </row>
    <row r="36" spans="2:24" x14ac:dyDescent="0.3">
      <c r="B36" s="73" t="s">
        <v>80</v>
      </c>
      <c r="C36" s="73"/>
      <c r="D36" s="73"/>
      <c r="E36" s="73"/>
      <c r="F36" s="73"/>
      <c r="G36" s="91">
        <f>IF(G35&lt;0,0,G35*$E$3)</f>
        <v>0</v>
      </c>
      <c r="H36" s="91">
        <f>IF(H35&lt;0,0,H35*$E$3)</f>
        <v>1552128.6608</v>
      </c>
      <c r="I36" s="91">
        <f>IF(I35&lt;0,0,I35*$E$3)</f>
        <v>1641280</v>
      </c>
      <c r="J36" s="91">
        <f>IF(J35&lt;0,0,J35*$E$3)</f>
        <v>1641280</v>
      </c>
      <c r="K36" s="91">
        <f>IF(K35&lt;0,0,K35*$E$3)</f>
        <v>5041280</v>
      </c>
      <c r="L36" s="91"/>
      <c r="M36" s="91"/>
      <c r="N36" s="91"/>
      <c r="O36" s="91"/>
      <c r="P36" s="91"/>
      <c r="Q36" s="92">
        <f>SUM(G36:K36)</f>
        <v>9875968.6607999988</v>
      </c>
      <c r="R36" s="75"/>
      <c r="W36" s="85"/>
      <c r="X36" s="37"/>
    </row>
    <row r="37" spans="2:24" ht="16.2" thickBot="1" x14ac:dyDescent="0.35">
      <c r="B37" s="93" t="s">
        <v>81</v>
      </c>
      <c r="C37" s="93"/>
      <c r="D37" s="93"/>
      <c r="E37" s="93"/>
      <c r="F37" s="93"/>
      <c r="G37" s="94">
        <f>G35-G36</f>
        <v>-211308700.88</v>
      </c>
      <c r="H37" s="94">
        <f t="shared" ref="H37:J37" si="9">H35-H36</f>
        <v>76054304.379199997</v>
      </c>
      <c r="I37" s="94">
        <f t="shared" si="9"/>
        <v>80422720</v>
      </c>
      <c r="J37" s="94">
        <f t="shared" si="9"/>
        <v>80422720</v>
      </c>
      <c r="K37" s="94">
        <f>K35-K36</f>
        <v>247022720</v>
      </c>
      <c r="L37" s="94"/>
      <c r="M37" s="94"/>
      <c r="N37" s="94"/>
      <c r="O37" s="94"/>
      <c r="P37" s="94"/>
      <c r="Q37" s="95">
        <f>Q35-Q36</f>
        <v>272613763.49919999</v>
      </c>
      <c r="R37" s="71"/>
      <c r="W37" s="71"/>
      <c r="X37" s="37"/>
    </row>
    <row r="38" spans="2:24" ht="5.4" customHeight="1" x14ac:dyDescent="0.3">
      <c r="Q38" s="51"/>
      <c r="R38" s="37"/>
      <c r="W38" s="37"/>
      <c r="X38" s="37"/>
    </row>
    <row r="39" spans="2:24" x14ac:dyDescent="0.3">
      <c r="B39" s="73" t="s">
        <v>82</v>
      </c>
      <c r="C39" s="73"/>
      <c r="D39" s="73"/>
      <c r="E39" s="73"/>
      <c r="F39" s="96"/>
      <c r="G39" s="96">
        <f>-G11</f>
        <v>0</v>
      </c>
      <c r="H39" s="96">
        <f>-I9+-I11</f>
        <v>0</v>
      </c>
      <c r="I39" s="96">
        <f>-J9+-J11</f>
        <v>0</v>
      </c>
      <c r="J39" s="96">
        <f>-K9+-K11</f>
        <v>0</v>
      </c>
      <c r="K39" s="96">
        <f>-L9+-L11</f>
        <v>0</v>
      </c>
      <c r="L39" s="96"/>
      <c r="M39" s="96"/>
      <c r="N39" s="96"/>
      <c r="O39" s="96"/>
      <c r="P39" s="96"/>
      <c r="Q39" s="97"/>
      <c r="R39" s="85"/>
      <c r="W39" s="85"/>
      <c r="X39" s="37"/>
    </row>
    <row r="40" spans="2:24" x14ac:dyDescent="0.3">
      <c r="B40" s="1" t="s">
        <v>83</v>
      </c>
      <c r="F40" s="98">
        <f>F39</f>
        <v>0</v>
      </c>
      <c r="G40" s="98">
        <f>G39+G37+G32</f>
        <v>-211308700.88</v>
      </c>
      <c r="H40" s="98">
        <f t="shared" ref="H40:J40" si="10">H39+H37+H32</f>
        <v>76054304.379199997</v>
      </c>
      <c r="I40" s="98">
        <f t="shared" si="10"/>
        <v>80422720</v>
      </c>
      <c r="J40" s="98">
        <f t="shared" si="10"/>
        <v>80422720</v>
      </c>
      <c r="K40" s="98">
        <f>K39+K37+K32</f>
        <v>247022720</v>
      </c>
      <c r="L40" s="98"/>
      <c r="M40" s="98"/>
      <c r="N40" s="98"/>
      <c r="O40" s="98"/>
      <c r="P40" s="98"/>
      <c r="Q40" s="99">
        <f>SUM(F40:K40)</f>
        <v>272613763.49919999</v>
      </c>
      <c r="R40" s="85"/>
      <c r="S40" s="191"/>
      <c r="T40" s="45"/>
      <c r="U40" s="191"/>
      <c r="V40" s="45"/>
      <c r="W40" s="85"/>
      <c r="X40" s="37"/>
    </row>
    <row r="41" spans="2:24" x14ac:dyDescent="0.3">
      <c r="B41" s="1" t="s">
        <v>84</v>
      </c>
      <c r="F41" s="98">
        <f>F40</f>
        <v>0</v>
      </c>
      <c r="G41" s="98">
        <f>F41+G40</f>
        <v>-211308700.88</v>
      </c>
      <c r="H41" s="98">
        <f t="shared" ref="H41:K41" si="11">G41+H40</f>
        <v>-135254396.50080001</v>
      </c>
      <c r="I41" s="98">
        <f t="shared" si="11"/>
        <v>-54831676.500800014</v>
      </c>
      <c r="J41" s="98">
        <f t="shared" si="11"/>
        <v>25591043.499199986</v>
      </c>
      <c r="K41" s="98">
        <f t="shared" si="11"/>
        <v>272613763.49919999</v>
      </c>
      <c r="L41" s="98"/>
      <c r="M41" s="98"/>
      <c r="N41" s="98"/>
      <c r="O41" s="98"/>
      <c r="P41" s="98"/>
      <c r="Q41" s="99"/>
      <c r="R41" s="85"/>
      <c r="S41" s="100"/>
      <c r="T41" s="100"/>
      <c r="U41" s="100"/>
      <c r="V41" s="100"/>
      <c r="W41" s="85"/>
      <c r="X41" s="37"/>
    </row>
    <row r="42" spans="2:24" x14ac:dyDescent="0.3">
      <c r="B42" s="1" t="s">
        <v>85</v>
      </c>
      <c r="F42" s="98"/>
      <c r="G42" s="90">
        <f>IF(AND(F41&lt;0,G41&gt;0),G47-(G41/G40),0)</f>
        <v>0</v>
      </c>
      <c r="H42" s="90">
        <f>IF(AND(G41&lt;0,H41&gt;0),H47-(H41/H40),0)</f>
        <v>0</v>
      </c>
      <c r="I42" s="90">
        <f t="shared" ref="I42:K42" si="12">IF(AND(H41&lt;0,I41&gt;0),I47-(I41/I40),0)</f>
        <v>0</v>
      </c>
      <c r="J42" s="90">
        <f t="shared" si="12"/>
        <v>3.6817933601449941</v>
      </c>
      <c r="K42" s="90">
        <f t="shared" si="12"/>
        <v>0</v>
      </c>
      <c r="L42" s="90"/>
      <c r="M42" s="90"/>
      <c r="N42" s="90"/>
      <c r="O42" s="90"/>
      <c r="P42" s="90"/>
      <c r="Q42" s="101"/>
      <c r="R42" s="90"/>
      <c r="S42" s="102"/>
      <c r="T42" s="102"/>
      <c r="U42" s="102"/>
      <c r="V42" s="102"/>
      <c r="W42" s="90"/>
    </row>
    <row r="43" spans="2:24" x14ac:dyDescent="0.3">
      <c r="B43" s="103" t="s">
        <v>33</v>
      </c>
      <c r="C43" s="104"/>
      <c r="D43" s="104"/>
      <c r="E43" s="104"/>
      <c r="F43" s="105">
        <f>IRR(G40:K40)</f>
        <v>0.34067221982634766</v>
      </c>
      <c r="S43" s="102"/>
      <c r="T43" s="102"/>
      <c r="U43" s="102"/>
      <c r="V43" s="102"/>
    </row>
    <row r="44" spans="2:24" x14ac:dyDescent="0.3">
      <c r="B44" s="106" t="s">
        <v>34</v>
      </c>
      <c r="C44" s="41"/>
      <c r="D44" s="41"/>
      <c r="E44" s="41"/>
      <c r="F44" s="192">
        <f>NPV(E4,H40:K40)+G40</f>
        <v>153439255.08524483</v>
      </c>
      <c r="H44" s="108"/>
      <c r="I44" s="109"/>
      <c r="S44" s="102"/>
      <c r="T44" s="102"/>
      <c r="U44" s="102"/>
      <c r="V44" s="102"/>
    </row>
    <row r="45" spans="2:24" x14ac:dyDescent="0.3">
      <c r="B45" s="106" t="s">
        <v>35</v>
      </c>
      <c r="C45" s="41"/>
      <c r="D45" s="41"/>
      <c r="E45" s="41"/>
      <c r="F45" s="110">
        <f>Q31</f>
        <v>0.24166038447041086</v>
      </c>
      <c r="H45" s="58"/>
      <c r="S45" s="102"/>
      <c r="T45" s="102"/>
      <c r="U45" s="102"/>
      <c r="V45" s="102"/>
    </row>
    <row r="46" spans="2:24" x14ac:dyDescent="0.3">
      <c r="B46" s="111" t="s">
        <v>86</v>
      </c>
      <c r="C46" s="112"/>
      <c r="D46" s="112"/>
      <c r="E46" s="112"/>
      <c r="F46" s="113">
        <f>SUM(F42:K42)</f>
        <v>3.6817933601449941</v>
      </c>
      <c r="S46" s="102"/>
      <c r="T46" s="102"/>
      <c r="U46" s="102"/>
      <c r="V46" s="102"/>
    </row>
    <row r="47" spans="2:24" ht="9.6" customHeight="1" x14ac:dyDescent="0.3">
      <c r="G47" s="45">
        <v>1</v>
      </c>
      <c r="H47" s="191">
        <v>2</v>
      </c>
      <c r="I47" s="45">
        <v>3</v>
      </c>
      <c r="J47" s="191">
        <v>4</v>
      </c>
      <c r="K47" s="45">
        <v>5</v>
      </c>
      <c r="L47" s="45"/>
      <c r="M47" s="45"/>
      <c r="N47" s="45"/>
      <c r="O47" s="45"/>
      <c r="P47" s="45"/>
      <c r="Q47" s="191"/>
      <c r="R47" s="45"/>
      <c r="S47" s="114"/>
      <c r="T47" s="114"/>
      <c r="U47" s="114"/>
      <c r="V47" s="114"/>
    </row>
    <row r="48" spans="2:24" x14ac:dyDescent="0.3">
      <c r="B48" s="115" t="s">
        <v>87</v>
      </c>
      <c r="E48" s="100" t="s">
        <v>88</v>
      </c>
      <c r="G48" s="100" t="str">
        <f>G13</f>
        <v>Year 1</v>
      </c>
      <c r="H48" s="100" t="str">
        <f>H13</f>
        <v>Year 2</v>
      </c>
      <c r="I48" s="100" t="str">
        <f>I13</f>
        <v>Year 3</v>
      </c>
      <c r="J48" s="100" t="str">
        <f>J13</f>
        <v>Year 4</v>
      </c>
      <c r="K48" s="100" t="str">
        <f>K13</f>
        <v>Year 5</v>
      </c>
      <c r="L48" s="100"/>
      <c r="M48" s="100"/>
      <c r="N48" s="100"/>
      <c r="O48" s="100"/>
      <c r="P48" s="100"/>
      <c r="Q48" s="100"/>
      <c r="R48" s="100"/>
      <c r="W48" s="100"/>
    </row>
    <row r="49" spans="2:23" x14ac:dyDescent="0.3">
      <c r="D49" s="1" t="s">
        <v>59</v>
      </c>
      <c r="E49" s="1">
        <v>5</v>
      </c>
      <c r="G49" s="116">
        <f>SUM(G9:G10)/$E49</f>
        <v>0</v>
      </c>
      <c r="H49" s="102">
        <f>G49</f>
        <v>0</v>
      </c>
      <c r="I49" s="102">
        <f t="shared" ref="I49:K50" si="13">H49</f>
        <v>0</v>
      </c>
      <c r="J49" s="102">
        <f>I49</f>
        <v>0</v>
      </c>
      <c r="K49" s="102">
        <f t="shared" si="13"/>
        <v>0</v>
      </c>
      <c r="L49" s="102"/>
      <c r="M49" s="102"/>
      <c r="N49" s="102"/>
      <c r="O49" s="102"/>
      <c r="P49" s="102"/>
      <c r="Q49" s="102">
        <f>SUM(G49:K49)</f>
        <v>0</v>
      </c>
      <c r="R49" s="102"/>
      <c r="W49" s="117"/>
    </row>
    <row r="50" spans="2:23" hidden="1" x14ac:dyDescent="0.3">
      <c r="D50" s="1" t="s">
        <v>61</v>
      </c>
      <c r="E50" s="1">
        <v>4</v>
      </c>
      <c r="H50" s="116">
        <f>I$11/$E50</f>
        <v>0</v>
      </c>
      <c r="J50" s="102">
        <f>H50</f>
        <v>0</v>
      </c>
      <c r="K50" s="102">
        <f t="shared" si="13"/>
        <v>0</v>
      </c>
      <c r="L50" s="102"/>
      <c r="M50" s="102"/>
      <c r="N50" s="102"/>
      <c r="O50" s="102"/>
      <c r="P50" s="102"/>
      <c r="Q50" s="102"/>
      <c r="R50" s="102"/>
      <c r="W50" s="117"/>
    </row>
    <row r="51" spans="2:23" hidden="1" x14ac:dyDescent="0.3">
      <c r="D51" s="1" t="s">
        <v>62</v>
      </c>
      <c r="E51" s="1">
        <v>3</v>
      </c>
      <c r="I51" s="116">
        <f>J$9/$E51</f>
        <v>0</v>
      </c>
      <c r="K51" s="102">
        <f>I51</f>
        <v>0</v>
      </c>
      <c r="L51" s="102"/>
      <c r="M51" s="102"/>
      <c r="N51" s="102"/>
      <c r="O51" s="102"/>
      <c r="P51" s="102"/>
      <c r="Q51" s="102"/>
      <c r="R51" s="102"/>
      <c r="W51" s="117"/>
    </row>
    <row r="52" spans="2:23" hidden="1" x14ac:dyDescent="0.3">
      <c r="D52" s="1" t="s">
        <v>63</v>
      </c>
      <c r="E52" s="1">
        <v>2</v>
      </c>
      <c r="J52" s="116"/>
      <c r="Q52" s="102"/>
      <c r="R52" s="102"/>
      <c r="W52" s="117"/>
    </row>
    <row r="53" spans="2:23" hidden="1" x14ac:dyDescent="0.3">
      <c r="D53" s="1" t="s">
        <v>89</v>
      </c>
      <c r="E53" s="1">
        <v>1</v>
      </c>
      <c r="K53" s="116"/>
      <c r="L53" s="116"/>
      <c r="M53" s="116"/>
      <c r="N53" s="116"/>
      <c r="O53" s="116"/>
      <c r="P53" s="116"/>
      <c r="Q53" s="102"/>
      <c r="R53" s="102"/>
      <c r="W53" s="117"/>
    </row>
    <row r="54" spans="2:23" ht="16.2" thickBot="1" x14ac:dyDescent="0.35">
      <c r="B54" s="118" t="s">
        <v>90</v>
      </c>
      <c r="C54" s="119"/>
      <c r="D54" s="119"/>
      <c r="E54" s="119"/>
      <c r="F54" s="119"/>
      <c r="G54" s="120">
        <f>SUM(G49:G52)</f>
        <v>0</v>
      </c>
      <c r="H54" s="120">
        <f>SUM(H49:H52)</f>
        <v>0</v>
      </c>
      <c r="I54" s="120">
        <f>SUM(I49:I52)</f>
        <v>0</v>
      </c>
      <c r="J54" s="120">
        <f>SUM(J49:J52)</f>
        <v>0</v>
      </c>
      <c r="K54" s="120">
        <f>SUM(K49:K52)</f>
        <v>0</v>
      </c>
      <c r="L54" s="114"/>
      <c r="M54" s="114"/>
      <c r="N54" s="114"/>
      <c r="O54" s="114"/>
      <c r="P54" s="114"/>
      <c r="Q54" s="120">
        <f>SUM(G54:K54)</f>
        <v>0</v>
      </c>
      <c r="R54" s="114"/>
      <c r="W54" s="114"/>
    </row>
    <row r="55" spans="2:23" ht="5.4" customHeight="1" thickTop="1" x14ac:dyDescent="0.3">
      <c r="W55" s="109"/>
    </row>
    <row r="56" spans="2:23" ht="3.6" customHeight="1" x14ac:dyDescent="0.3"/>
    <row r="57" spans="2:23" x14ac:dyDescent="0.3">
      <c r="B57" s="178"/>
      <c r="F57" s="1" t="s">
        <v>36</v>
      </c>
    </row>
    <row r="58" spans="2:23" x14ac:dyDescent="0.3">
      <c r="B58" s="179"/>
    </row>
    <row r="59" spans="2:23" x14ac:dyDescent="0.3">
      <c r="B59" s="183"/>
    </row>
    <row r="60" spans="2:23" x14ac:dyDescent="0.3">
      <c r="B60" s="179"/>
    </row>
  </sheetData>
  <mergeCells count="1">
    <mergeCell ref="E21:F21"/>
  </mergeCells>
  <pageMargins left="0.93" right="0.25" top="0.2" bottom="0.16" header="0.3" footer="0.3"/>
  <pageSetup paperSize="9" scale="7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301676-9750-4E04-8BED-E618A2867D4A}">
  <sheetPr>
    <pageSetUpPr fitToPage="1"/>
  </sheetPr>
  <dimension ref="B1:Y60"/>
  <sheetViews>
    <sheetView showGridLines="0" zoomScale="90" zoomScaleNormal="90" workbookViewId="0">
      <selection activeCell="F43" sqref="F43"/>
    </sheetView>
  </sheetViews>
  <sheetFormatPr defaultColWidth="11.77734375" defaultRowHeight="15.6" x14ac:dyDescent="0.3"/>
  <cols>
    <col min="1" max="1" width="4.5546875" style="1" customWidth="1"/>
    <col min="2" max="2" width="4" style="1" customWidth="1"/>
    <col min="3" max="3" width="5.109375" style="1" customWidth="1"/>
    <col min="4" max="4" width="21" style="1" customWidth="1"/>
    <col min="5" max="5" width="8" style="1" bestFit="1" customWidth="1"/>
    <col min="6" max="6" width="15.5546875" style="1" customWidth="1"/>
    <col min="7" max="7" width="17.109375" style="32" customWidth="1"/>
    <col min="8" max="8" width="16.77734375" style="1" customWidth="1"/>
    <col min="9" max="9" width="15.6640625" style="1" customWidth="1"/>
    <col min="10" max="10" width="15.21875" style="1" customWidth="1"/>
    <col min="11" max="11" width="13.6640625" style="1" bestFit="1" customWidth="1"/>
    <col min="12" max="15" width="6.6640625" style="1" bestFit="1" customWidth="1"/>
    <col min="16" max="16" width="7.77734375" style="1" bestFit="1" customWidth="1"/>
    <col min="17" max="17" width="23.33203125" style="1" bestFit="1" customWidth="1"/>
    <col min="18" max="18" width="17.6640625" style="1" customWidth="1"/>
    <col min="19" max="22" width="16.6640625" style="1" bestFit="1" customWidth="1"/>
    <col min="23" max="23" width="17.33203125" style="1" bestFit="1" customWidth="1"/>
    <col min="24" max="24" width="13" style="1" bestFit="1" customWidth="1"/>
    <col min="25" max="16384" width="11.77734375" style="1"/>
  </cols>
  <sheetData>
    <row r="1" spans="2:25" ht="23.4" x14ac:dyDescent="0.45">
      <c r="B1" s="1" t="s">
        <v>182</v>
      </c>
      <c r="C1" s="1" t="s">
        <v>194</v>
      </c>
      <c r="Q1" s="4" t="str">
        <f>[3]Summary!D7</f>
        <v>Swissbell Batam</v>
      </c>
    </row>
    <row r="2" spans="2:25" x14ac:dyDescent="0.3">
      <c r="B2" s="33" t="s">
        <v>44</v>
      </c>
      <c r="H2" s="159" t="s">
        <v>45</v>
      </c>
      <c r="I2" s="160" t="s">
        <v>46</v>
      </c>
    </row>
    <row r="3" spans="2:25" x14ac:dyDescent="0.3">
      <c r="C3" s="1" t="s">
        <v>47</v>
      </c>
      <c r="E3" s="35">
        <v>0.02</v>
      </c>
      <c r="H3" s="161" t="s">
        <v>191</v>
      </c>
      <c r="I3" s="36"/>
      <c r="L3" s="36"/>
      <c r="M3" s="36"/>
      <c r="N3" s="36"/>
      <c r="O3" s="36"/>
      <c r="P3" s="36"/>
      <c r="R3" s="37"/>
      <c r="S3" s="37"/>
    </row>
    <row r="4" spans="2:25" x14ac:dyDescent="0.3">
      <c r="C4" s="1" t="s">
        <v>48</v>
      </c>
      <c r="E4" s="35">
        <v>0.1</v>
      </c>
      <c r="H4" s="161" t="s">
        <v>192</v>
      </c>
      <c r="I4" s="36"/>
      <c r="L4" s="36"/>
      <c r="M4" s="36"/>
      <c r="N4" s="36"/>
      <c r="O4" s="36"/>
      <c r="P4" s="36"/>
      <c r="R4" s="37"/>
      <c r="S4" s="37"/>
    </row>
    <row r="5" spans="2:25" x14ac:dyDescent="0.3">
      <c r="C5" s="1" t="s">
        <v>49</v>
      </c>
      <c r="E5" s="35">
        <f>2.5%*0</f>
        <v>0</v>
      </c>
      <c r="F5" s="32" t="s">
        <v>50</v>
      </c>
      <c r="H5" s="161" t="s">
        <v>193</v>
      </c>
      <c r="I5" s="36"/>
      <c r="S5" s="37"/>
      <c r="T5" s="190"/>
      <c r="U5" s="190"/>
      <c r="V5" s="190"/>
    </row>
    <row r="6" spans="2:25" x14ac:dyDescent="0.3">
      <c r="C6" s="1" t="s">
        <v>51</v>
      </c>
      <c r="E6" s="39">
        <v>0</v>
      </c>
      <c r="F6" s="32" t="s">
        <v>50</v>
      </c>
      <c r="H6" s="161"/>
      <c r="S6" s="37"/>
    </row>
    <row r="7" spans="2:25" ht="4.2" customHeight="1" x14ac:dyDescent="0.3">
      <c r="F7" s="35"/>
      <c r="S7" s="37"/>
    </row>
    <row r="8" spans="2:25" ht="14.4" customHeight="1" x14ac:dyDescent="0.3">
      <c r="B8" s="41" t="s">
        <v>57</v>
      </c>
      <c r="G8" s="191" t="s">
        <v>52</v>
      </c>
      <c r="H8" s="191" t="s">
        <v>53</v>
      </c>
      <c r="I8" s="191" t="s">
        <v>54</v>
      </c>
      <c r="J8" s="191" t="s">
        <v>55</v>
      </c>
      <c r="K8" s="191" t="s">
        <v>56</v>
      </c>
      <c r="L8" s="191" t="s">
        <v>176</v>
      </c>
      <c r="M8" s="191" t="s">
        <v>177</v>
      </c>
      <c r="N8" s="191" t="s">
        <v>178</v>
      </c>
      <c r="O8" s="191" t="s">
        <v>179</v>
      </c>
      <c r="P8" s="191" t="s">
        <v>180</v>
      </c>
      <c r="R8" s="40"/>
      <c r="W8" s="40"/>
      <c r="X8" s="40"/>
      <c r="Y8" s="40"/>
    </row>
    <row r="9" spans="2:25" s="42" customFormat="1" x14ac:dyDescent="0.3">
      <c r="D9" s="42" t="s">
        <v>209</v>
      </c>
      <c r="F9" s="43"/>
      <c r="G9" s="184">
        <v>0</v>
      </c>
      <c r="H9" s="184">
        <v>0</v>
      </c>
      <c r="I9" s="184">
        <v>0</v>
      </c>
      <c r="J9" s="184">
        <v>0</v>
      </c>
      <c r="K9" s="184"/>
      <c r="L9" s="184"/>
      <c r="M9" s="184"/>
      <c r="N9" s="184"/>
      <c r="O9" s="184"/>
      <c r="P9" s="184"/>
      <c r="Q9" s="184">
        <f>SUM(G9:K9)</f>
        <v>0</v>
      </c>
      <c r="R9" s="182"/>
      <c r="S9" s="1"/>
      <c r="T9" s="1"/>
      <c r="U9" s="1"/>
      <c r="V9" s="1"/>
      <c r="W9" s="43"/>
      <c r="X9" s="43"/>
      <c r="Y9" s="43"/>
    </row>
    <row r="10" spans="2:25" s="42" customFormat="1" ht="16.2" thickBot="1" x14ac:dyDescent="0.35">
      <c r="B10" s="41"/>
      <c r="D10" s="42" t="s">
        <v>210</v>
      </c>
      <c r="F10" s="43"/>
      <c r="G10" s="185">
        <v>156380751</v>
      </c>
      <c r="H10" s="185"/>
      <c r="I10" s="185"/>
      <c r="J10" s="185"/>
      <c r="K10" s="185"/>
      <c r="L10" s="185"/>
      <c r="M10" s="185"/>
      <c r="N10" s="185"/>
      <c r="O10" s="185"/>
      <c r="P10" s="185"/>
      <c r="Q10" s="185">
        <f>G10</f>
        <v>156380751</v>
      </c>
      <c r="R10" s="182"/>
      <c r="S10" s="1"/>
      <c r="T10" s="1"/>
      <c r="U10" s="1"/>
      <c r="V10" s="1"/>
      <c r="W10" s="43"/>
      <c r="X10" s="43"/>
      <c r="Y10" s="43"/>
    </row>
    <row r="11" spans="2:25" s="42" customFormat="1" ht="16.2" thickTop="1" x14ac:dyDescent="0.3">
      <c r="B11" s="41"/>
      <c r="F11" s="43"/>
      <c r="G11" s="43">
        <f>SUM(G9:G10)</f>
        <v>156380751</v>
      </c>
      <c r="H11" s="43"/>
      <c r="I11" s="43"/>
      <c r="J11" s="43"/>
      <c r="K11" s="43"/>
      <c r="L11" s="43"/>
      <c r="M11" s="43"/>
      <c r="N11" s="43"/>
      <c r="O11" s="43"/>
      <c r="P11" s="43"/>
      <c r="Q11" s="43">
        <f>Q10+Q9</f>
        <v>156380751</v>
      </c>
      <c r="R11" s="43"/>
      <c r="S11" s="1"/>
      <c r="T11" s="1"/>
      <c r="U11" s="1"/>
      <c r="V11" s="1"/>
      <c r="W11" s="43"/>
      <c r="X11" s="43"/>
      <c r="Y11" s="43"/>
    </row>
    <row r="12" spans="2:25" x14ac:dyDescent="0.3">
      <c r="F12" s="44"/>
      <c r="G12" s="45">
        <v>2025</v>
      </c>
      <c r="H12" s="45">
        <f>G12+1</f>
        <v>2026</v>
      </c>
      <c r="I12" s="45">
        <f t="shared" ref="I12:P12" si="0">H12+1</f>
        <v>2027</v>
      </c>
      <c r="J12" s="45">
        <f t="shared" si="0"/>
        <v>2028</v>
      </c>
      <c r="K12" s="45">
        <f t="shared" si="0"/>
        <v>2029</v>
      </c>
      <c r="L12" s="45">
        <f t="shared" si="0"/>
        <v>2030</v>
      </c>
      <c r="M12" s="45">
        <f t="shared" si="0"/>
        <v>2031</v>
      </c>
      <c r="N12" s="45">
        <f t="shared" si="0"/>
        <v>2032</v>
      </c>
      <c r="O12" s="45">
        <f t="shared" si="0"/>
        <v>2033</v>
      </c>
      <c r="P12" s="45">
        <f t="shared" si="0"/>
        <v>2034</v>
      </c>
      <c r="Q12" s="45"/>
    </row>
    <row r="13" spans="2:25" ht="16.2" thickBot="1" x14ac:dyDescent="0.35">
      <c r="B13" s="46" t="s">
        <v>58</v>
      </c>
      <c r="C13" s="26"/>
      <c r="D13" s="26"/>
      <c r="E13" s="26"/>
      <c r="F13" s="47" t="s">
        <v>175</v>
      </c>
      <c r="G13" s="47" t="s">
        <v>59</v>
      </c>
      <c r="H13" s="48" t="s">
        <v>60</v>
      </c>
      <c r="I13" s="47" t="s">
        <v>61</v>
      </c>
      <c r="J13" s="48" t="s">
        <v>62</v>
      </c>
      <c r="K13" s="47" t="s">
        <v>63</v>
      </c>
      <c r="L13" s="47" t="s">
        <v>89</v>
      </c>
      <c r="M13" s="47" t="s">
        <v>171</v>
      </c>
      <c r="N13" s="47" t="s">
        <v>172</v>
      </c>
      <c r="O13" s="47" t="s">
        <v>173</v>
      </c>
      <c r="P13" s="47" t="s">
        <v>174</v>
      </c>
      <c r="Q13" s="49" t="s">
        <v>64</v>
      </c>
      <c r="R13" s="190"/>
      <c r="S13" s="50"/>
      <c r="T13" s="50"/>
      <c r="U13" s="50"/>
      <c r="V13" s="50"/>
      <c r="W13" s="190"/>
    </row>
    <row r="14" spans="2:25" x14ac:dyDescent="0.3">
      <c r="B14" s="1" t="s">
        <v>65</v>
      </c>
      <c r="G14" s="45">
        <v>12</v>
      </c>
      <c r="H14" s="45">
        <v>12</v>
      </c>
      <c r="I14" s="45">
        <v>12</v>
      </c>
      <c r="J14" s="45">
        <v>12</v>
      </c>
      <c r="K14" s="45">
        <v>12</v>
      </c>
      <c r="L14" s="45"/>
      <c r="M14" s="45"/>
      <c r="N14" s="45"/>
      <c r="O14" s="45"/>
      <c r="P14" s="45"/>
      <c r="Q14" s="51"/>
      <c r="S14" s="37"/>
      <c r="T14" s="37"/>
      <c r="U14" s="37"/>
      <c r="V14" s="37"/>
    </row>
    <row r="15" spans="2:25" ht="1.8" customHeight="1" x14ac:dyDescent="0.3">
      <c r="Q15" s="51"/>
      <c r="S15" s="52"/>
      <c r="T15" s="52"/>
      <c r="U15" s="52"/>
      <c r="V15" s="52"/>
    </row>
    <row r="16" spans="2:25" x14ac:dyDescent="0.3">
      <c r="B16" s="2" t="s">
        <v>66</v>
      </c>
      <c r="E16" s="53"/>
      <c r="G16" s="54"/>
      <c r="H16" s="55"/>
      <c r="I16" s="56"/>
      <c r="J16" s="56"/>
      <c r="K16" s="56"/>
      <c r="L16" s="56"/>
      <c r="M16" s="56"/>
      <c r="N16" s="56"/>
      <c r="O16" s="56"/>
      <c r="P16" s="56"/>
      <c r="Q16" s="51"/>
      <c r="S16" s="50"/>
      <c r="T16" s="50"/>
      <c r="U16" s="50"/>
      <c r="V16" s="50"/>
    </row>
    <row r="17" spans="2:24" x14ac:dyDescent="0.3">
      <c r="B17" s="2"/>
      <c r="C17" s="1" t="s">
        <v>211</v>
      </c>
      <c r="E17" s="53"/>
      <c r="G17" s="55"/>
      <c r="H17" s="163"/>
      <c r="I17" s="55"/>
      <c r="J17" s="55"/>
      <c r="K17" s="55"/>
      <c r="L17" s="55"/>
      <c r="M17" s="55"/>
      <c r="N17" s="55"/>
      <c r="O17" s="55"/>
      <c r="P17" s="55"/>
      <c r="Q17" s="57">
        <f>SUM(G17:K17)</f>
        <v>0</v>
      </c>
      <c r="R17" s="180"/>
      <c r="S17" s="50"/>
      <c r="T17" s="50"/>
      <c r="U17" s="50"/>
      <c r="V17" s="50"/>
    </row>
    <row r="18" spans="2:24" x14ac:dyDescent="0.3">
      <c r="B18" s="2"/>
      <c r="C18" s="1" t="s">
        <v>212</v>
      </c>
      <c r="E18" s="53"/>
      <c r="G18" s="55">
        <v>140000000</v>
      </c>
      <c r="H18" s="55">
        <v>140000000</v>
      </c>
      <c r="I18" s="55">
        <v>140000000</v>
      </c>
      <c r="J18" s="55">
        <v>140000000</v>
      </c>
      <c r="K18" s="55">
        <v>140000000</v>
      </c>
      <c r="L18" s="55"/>
      <c r="M18" s="55"/>
      <c r="N18" s="55"/>
      <c r="O18" s="55"/>
      <c r="P18" s="55"/>
      <c r="Q18" s="57">
        <f>SUM(G18:K18)</f>
        <v>700000000</v>
      </c>
      <c r="R18" s="180"/>
      <c r="S18" s="50"/>
      <c r="T18" s="50"/>
      <c r="U18" s="50"/>
      <c r="V18" s="50"/>
    </row>
    <row r="19" spans="2:24" x14ac:dyDescent="0.3">
      <c r="B19" s="2"/>
      <c r="E19" s="53"/>
      <c r="G19" s="55"/>
      <c r="H19" s="163"/>
      <c r="I19" s="55"/>
      <c r="J19" s="55"/>
      <c r="K19" s="55"/>
      <c r="L19" s="55"/>
      <c r="M19" s="55"/>
      <c r="N19" s="55"/>
      <c r="O19" s="55"/>
      <c r="P19" s="55"/>
      <c r="Q19" s="57">
        <f t="shared" ref="Q19:Q20" si="1">SUM(G19:K19)</f>
        <v>0</v>
      </c>
      <c r="S19" s="50"/>
      <c r="T19" s="50"/>
      <c r="U19" s="50"/>
      <c r="V19" s="50"/>
    </row>
    <row r="20" spans="2:24" x14ac:dyDescent="0.3">
      <c r="B20" s="2"/>
      <c r="E20" s="53"/>
      <c r="G20" s="55"/>
      <c r="H20" s="163"/>
      <c r="I20" s="55"/>
      <c r="J20" s="55"/>
      <c r="K20" s="55"/>
      <c r="L20" s="58"/>
      <c r="M20" s="58"/>
      <c r="N20" s="58"/>
      <c r="O20" s="58"/>
      <c r="P20" s="58"/>
      <c r="Q20" s="57">
        <f t="shared" si="1"/>
        <v>0</v>
      </c>
      <c r="S20" s="50"/>
      <c r="T20" s="50"/>
      <c r="U20" s="50"/>
      <c r="V20" s="50"/>
    </row>
    <row r="21" spans="2:24" x14ac:dyDescent="0.3">
      <c r="B21" s="60" t="s">
        <v>68</v>
      </c>
      <c r="C21" s="60"/>
      <c r="D21" s="60"/>
      <c r="E21" s="231"/>
      <c r="F21" s="232"/>
      <c r="G21" s="61">
        <f>SUM(G17:G20)</f>
        <v>140000000</v>
      </c>
      <c r="H21" s="61">
        <f>SUM(H17:H20)</f>
        <v>140000000</v>
      </c>
      <c r="I21" s="61">
        <f>SUM(I17:I20)</f>
        <v>140000000</v>
      </c>
      <c r="J21" s="61">
        <f>SUM(J17:J20)</f>
        <v>140000000</v>
      </c>
      <c r="K21" s="61">
        <f>SUM(K17:K20)</f>
        <v>140000000</v>
      </c>
      <c r="L21" s="61"/>
      <c r="M21" s="61"/>
      <c r="N21" s="61"/>
      <c r="O21" s="61"/>
      <c r="P21" s="61"/>
      <c r="Q21" s="62">
        <f>SUM(G21:K21)</f>
        <v>700000000</v>
      </c>
      <c r="R21" s="50"/>
      <c r="S21" s="63"/>
      <c r="T21" s="63"/>
      <c r="U21" s="63"/>
      <c r="V21" s="63"/>
      <c r="W21" s="50"/>
      <c r="X21" s="37"/>
    </row>
    <row r="22" spans="2:24" ht="7.2" customHeight="1" x14ac:dyDescent="0.3">
      <c r="Q22" s="51"/>
      <c r="R22" s="37"/>
      <c r="S22" s="63"/>
      <c r="T22" s="63"/>
      <c r="U22" s="63"/>
      <c r="V22" s="63"/>
      <c r="W22" s="37"/>
      <c r="X22" s="37"/>
    </row>
    <row r="23" spans="2:24" x14ac:dyDescent="0.3">
      <c r="B23" s="2" t="s">
        <v>69</v>
      </c>
      <c r="E23" s="53"/>
      <c r="F23" s="53"/>
      <c r="G23" s="54"/>
      <c r="H23" s="53"/>
      <c r="I23" s="56"/>
      <c r="J23" s="56"/>
      <c r="K23" s="56"/>
      <c r="L23" s="56"/>
      <c r="M23" s="56"/>
      <c r="N23" s="56"/>
      <c r="O23" s="56"/>
      <c r="P23" s="56"/>
      <c r="Q23" s="64"/>
      <c r="R23" s="52"/>
      <c r="S23" s="65"/>
      <c r="T23" s="65"/>
      <c r="U23" s="65"/>
      <c r="V23" s="65"/>
      <c r="W23" s="37"/>
      <c r="X23" s="37"/>
    </row>
    <row r="24" spans="2:24" x14ac:dyDescent="0.3">
      <c r="C24" s="1" t="s">
        <v>213</v>
      </c>
      <c r="E24" s="66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8">
        <f>SUM(G24:K24)</f>
        <v>0</v>
      </c>
      <c r="R24" s="52"/>
      <c r="S24" s="50"/>
      <c r="T24" s="50"/>
      <c r="U24" s="50"/>
      <c r="V24" s="50"/>
      <c r="W24" s="69"/>
      <c r="X24" s="37"/>
    </row>
    <row r="25" spans="2:24" x14ac:dyDescent="0.3">
      <c r="C25" s="1" t="s">
        <v>214</v>
      </c>
      <c r="E25" s="66"/>
      <c r="G25" s="67">
        <v>110000000</v>
      </c>
      <c r="H25" s="67"/>
      <c r="I25" s="67"/>
      <c r="J25" s="67"/>
      <c r="K25" s="67"/>
      <c r="L25" s="67"/>
      <c r="M25" s="67"/>
      <c r="N25" s="67"/>
      <c r="O25" s="67"/>
      <c r="P25" s="67"/>
      <c r="Q25" s="68"/>
      <c r="R25" s="52"/>
      <c r="S25" s="50"/>
      <c r="T25" s="50"/>
      <c r="U25" s="50"/>
      <c r="V25" s="50"/>
      <c r="W25" s="69"/>
      <c r="X25" s="37"/>
    </row>
    <row r="26" spans="2:24" x14ac:dyDescent="0.3">
      <c r="C26" s="1" t="s">
        <v>71</v>
      </c>
      <c r="F26" s="70"/>
      <c r="G26" s="189"/>
      <c r="H26" s="189"/>
      <c r="I26" s="189"/>
      <c r="J26" s="189"/>
      <c r="K26" s="189"/>
      <c r="L26" s="67"/>
      <c r="M26" s="67"/>
      <c r="N26" s="67"/>
      <c r="O26" s="67"/>
      <c r="P26" s="67"/>
      <c r="Q26" s="68">
        <f>SUM(G26:K26)</f>
        <v>0</v>
      </c>
      <c r="R26" s="181"/>
      <c r="S26" s="71"/>
      <c r="T26" s="71"/>
      <c r="U26" s="71"/>
      <c r="V26" s="71"/>
      <c r="W26" s="69"/>
      <c r="X26" s="37"/>
    </row>
    <row r="27" spans="2:24" x14ac:dyDescent="0.3">
      <c r="C27" s="1" t="s">
        <v>72</v>
      </c>
      <c r="G27" s="72">
        <f>[3]Parameter!L76</f>
        <v>54520000</v>
      </c>
      <c r="H27" s="72">
        <f>G27</f>
        <v>54520000</v>
      </c>
      <c r="I27" s="72">
        <f t="shared" ref="I27:K27" si="2">H27</f>
        <v>54520000</v>
      </c>
      <c r="J27" s="72">
        <f>I27</f>
        <v>54520000</v>
      </c>
      <c r="K27" s="72">
        <f t="shared" si="2"/>
        <v>54520000</v>
      </c>
      <c r="L27" s="72"/>
      <c r="M27" s="72"/>
      <c r="N27" s="72"/>
      <c r="O27" s="72"/>
      <c r="P27" s="72"/>
      <c r="Q27" s="68">
        <f t="shared" ref="Q27:Q28" si="3">SUM(G27:K27)</f>
        <v>272600000</v>
      </c>
      <c r="R27" s="50"/>
      <c r="S27" s="71"/>
      <c r="T27" s="71"/>
      <c r="U27" s="71"/>
      <c r="V27" s="71"/>
      <c r="W27" s="69"/>
      <c r="X27" s="37"/>
    </row>
    <row r="28" spans="2:24" x14ac:dyDescent="0.3">
      <c r="B28" s="73"/>
      <c r="C28" s="73" t="s">
        <v>49</v>
      </c>
      <c r="D28" s="73"/>
      <c r="E28" s="73"/>
      <c r="F28" s="73"/>
      <c r="G28" s="165" t="s">
        <v>36</v>
      </c>
      <c r="H28" s="165">
        <f>H21*$E$5</f>
        <v>0</v>
      </c>
      <c r="I28" s="165">
        <f>I21*$E$5</f>
        <v>0</v>
      </c>
      <c r="J28" s="165">
        <f>J21*$E$5</f>
        <v>0</v>
      </c>
      <c r="K28" s="165">
        <f>K21*$E$5</f>
        <v>0</v>
      </c>
      <c r="L28" s="156"/>
      <c r="M28" s="156"/>
      <c r="N28" s="156"/>
      <c r="O28" s="156"/>
      <c r="P28" s="156"/>
      <c r="Q28" s="68">
        <f t="shared" si="3"/>
        <v>0</v>
      </c>
      <c r="R28" s="59"/>
      <c r="S28" s="71"/>
      <c r="T28" s="71"/>
      <c r="U28" s="71"/>
      <c r="V28" s="71"/>
      <c r="W28" s="69"/>
      <c r="X28" s="37"/>
    </row>
    <row r="29" spans="2:24" s="2" customFormat="1" x14ac:dyDescent="0.3">
      <c r="B29" s="60" t="s">
        <v>73</v>
      </c>
      <c r="C29" s="60"/>
      <c r="D29" s="60"/>
      <c r="E29" s="60"/>
      <c r="F29" s="60"/>
      <c r="G29" s="61">
        <f>SUM(G24:G28)</f>
        <v>164520000</v>
      </c>
      <c r="H29" s="61">
        <f t="shared" ref="H29:K29" si="4">SUM(H24:H28)</f>
        <v>54520000</v>
      </c>
      <c r="I29" s="61">
        <f t="shared" si="4"/>
        <v>54520000</v>
      </c>
      <c r="J29" s="61">
        <f>SUM(J24:J28)</f>
        <v>54520000</v>
      </c>
      <c r="K29" s="61">
        <f t="shared" si="4"/>
        <v>54520000</v>
      </c>
      <c r="L29" s="61"/>
      <c r="M29" s="61"/>
      <c r="N29" s="61"/>
      <c r="O29" s="61"/>
      <c r="P29" s="61"/>
      <c r="Q29" s="74">
        <f>SUM(Q24:Q28)</f>
        <v>272600000</v>
      </c>
      <c r="R29" s="63"/>
      <c r="S29" s="75"/>
      <c r="T29" s="75"/>
      <c r="U29" s="75"/>
      <c r="V29" s="75"/>
      <c r="W29" s="63"/>
      <c r="X29" s="76"/>
    </row>
    <row r="30" spans="2:24" s="2" customFormat="1" x14ac:dyDescent="0.3">
      <c r="B30" s="2" t="s">
        <v>74</v>
      </c>
      <c r="G30" s="158">
        <f>G21-G29</f>
        <v>-24520000</v>
      </c>
      <c r="H30" s="77">
        <f>H21-H29</f>
        <v>85480000</v>
      </c>
      <c r="I30" s="77">
        <f t="shared" ref="I30:K30" si="5">I21-I29</f>
        <v>85480000</v>
      </c>
      <c r="J30" s="77">
        <f t="shared" si="5"/>
        <v>85480000</v>
      </c>
      <c r="K30" s="77">
        <f t="shared" si="5"/>
        <v>85480000</v>
      </c>
      <c r="L30" s="77"/>
      <c r="M30" s="77"/>
      <c r="N30" s="77"/>
      <c r="O30" s="77"/>
      <c r="P30" s="77"/>
      <c r="Q30" s="78">
        <f>Q21-Q29</f>
        <v>427400000</v>
      </c>
      <c r="R30" s="63"/>
      <c r="S30" s="71"/>
      <c r="T30" s="71"/>
      <c r="U30" s="71"/>
      <c r="V30" s="71"/>
      <c r="W30" s="63"/>
      <c r="X30" s="76"/>
    </row>
    <row r="31" spans="2:24" s="2" customFormat="1" x14ac:dyDescent="0.3">
      <c r="B31" s="79" t="s">
        <v>75</v>
      </c>
      <c r="C31" s="80"/>
      <c r="D31" s="80"/>
      <c r="E31" s="80"/>
      <c r="F31" s="80"/>
      <c r="G31" s="81">
        <v>0</v>
      </c>
      <c r="H31" s="81">
        <f>H30/H21</f>
        <v>0.61057142857142854</v>
      </c>
      <c r="I31" s="81">
        <f t="shared" ref="I31:K31" si="6">I30/I21</f>
        <v>0.61057142857142854</v>
      </c>
      <c r="J31" s="81">
        <f t="shared" si="6"/>
        <v>0.61057142857142854</v>
      </c>
      <c r="K31" s="81">
        <f t="shared" si="6"/>
        <v>0.61057142857142854</v>
      </c>
      <c r="L31" s="81"/>
      <c r="M31" s="81"/>
      <c r="N31" s="81"/>
      <c r="O31" s="81"/>
      <c r="P31" s="81"/>
      <c r="Q31" s="82">
        <f>Q30/Q21</f>
        <v>0.61057142857142854</v>
      </c>
      <c r="R31" s="65"/>
      <c r="S31" s="37"/>
      <c r="T31" s="37"/>
      <c r="U31" s="37"/>
      <c r="V31" s="37"/>
      <c r="W31" s="65"/>
      <c r="X31" s="76"/>
    </row>
    <row r="32" spans="2:24" x14ac:dyDescent="0.3">
      <c r="B32" s="73" t="s">
        <v>76</v>
      </c>
      <c r="C32" s="73"/>
      <c r="D32" s="73"/>
      <c r="E32" s="73"/>
      <c r="F32" s="73"/>
      <c r="G32" s="83">
        <f>G54</f>
        <v>31276150.199999999</v>
      </c>
      <c r="H32" s="83">
        <f>H54</f>
        <v>31276150.199999999</v>
      </c>
      <c r="I32" s="83">
        <f>I54</f>
        <v>31276150.199999999</v>
      </c>
      <c r="J32" s="83">
        <f>J54</f>
        <v>31276150.199999999</v>
      </c>
      <c r="K32" s="83">
        <f>K54</f>
        <v>31276150.199999999</v>
      </c>
      <c r="L32" s="83"/>
      <c r="M32" s="83"/>
      <c r="N32" s="83"/>
      <c r="O32" s="83"/>
      <c r="P32" s="83"/>
      <c r="Q32" s="84">
        <f>SUM(G32:K32)</f>
        <v>156380751</v>
      </c>
      <c r="R32" s="50"/>
      <c r="S32" s="85"/>
      <c r="T32" s="85"/>
      <c r="U32" s="85"/>
      <c r="V32" s="85"/>
      <c r="W32" s="50"/>
      <c r="X32" s="37"/>
    </row>
    <row r="33" spans="2:24" x14ac:dyDescent="0.3">
      <c r="B33" s="1" t="s">
        <v>77</v>
      </c>
      <c r="G33" s="86">
        <f t="shared" ref="G33:Q33" si="7">G30-G32</f>
        <v>-55796150.200000003</v>
      </c>
      <c r="H33" s="86">
        <f t="shared" si="7"/>
        <v>54203849.799999997</v>
      </c>
      <c r="I33" s="86">
        <f t="shared" si="7"/>
        <v>54203849.799999997</v>
      </c>
      <c r="J33" s="86">
        <f t="shared" si="7"/>
        <v>54203849.799999997</v>
      </c>
      <c r="K33" s="86">
        <f t="shared" si="7"/>
        <v>54203849.799999997</v>
      </c>
      <c r="L33" s="86"/>
      <c r="M33" s="86"/>
      <c r="N33" s="86"/>
      <c r="O33" s="86"/>
      <c r="P33" s="86"/>
      <c r="Q33" s="87">
        <f t="shared" si="7"/>
        <v>271019249</v>
      </c>
      <c r="R33" s="71"/>
      <c r="S33" s="85"/>
      <c r="T33" s="85"/>
      <c r="U33" s="85"/>
      <c r="V33" s="85"/>
      <c r="W33" s="71"/>
      <c r="X33" s="37"/>
    </row>
    <row r="34" spans="2:24" x14ac:dyDescent="0.3">
      <c r="B34" s="1" t="s">
        <v>78</v>
      </c>
      <c r="G34" s="88">
        <f>[3]Parameter!M34</f>
        <v>13372700.880000005</v>
      </c>
      <c r="H34" s="88">
        <f>[3]Parameter!N34</f>
        <v>4457566.9600000018</v>
      </c>
      <c r="I34" s="88">
        <f>[3]Parameter!O34</f>
        <v>0</v>
      </c>
      <c r="J34" s="88">
        <f>[3]Parameter!O34</f>
        <v>0</v>
      </c>
      <c r="K34" s="88">
        <f>[3]Parameter!P34</f>
        <v>0</v>
      </c>
      <c r="L34" s="88"/>
      <c r="M34" s="88"/>
      <c r="N34" s="88"/>
      <c r="O34" s="88"/>
      <c r="P34" s="88"/>
      <c r="Q34" s="89">
        <f>SUM(G34:K34)</f>
        <v>17830267.840000007</v>
      </c>
      <c r="R34" s="71"/>
      <c r="S34" s="85"/>
      <c r="T34" s="85"/>
      <c r="U34" s="85"/>
      <c r="V34" s="85"/>
      <c r="W34" s="71"/>
      <c r="X34" s="37"/>
    </row>
    <row r="35" spans="2:24" x14ac:dyDescent="0.3">
      <c r="B35" s="1" t="s">
        <v>79</v>
      </c>
      <c r="G35" s="166">
        <f t="shared" ref="G35:K35" si="8">G33-G34</f>
        <v>-69168851.080000013</v>
      </c>
      <c r="H35" s="88">
        <f t="shared" si="8"/>
        <v>49746282.839999996</v>
      </c>
      <c r="I35" s="88">
        <f t="shared" si="8"/>
        <v>54203849.799999997</v>
      </c>
      <c r="J35" s="88">
        <f t="shared" si="8"/>
        <v>54203849.799999997</v>
      </c>
      <c r="K35" s="88">
        <f t="shared" si="8"/>
        <v>54203849.799999997</v>
      </c>
      <c r="L35" s="88"/>
      <c r="M35" s="88"/>
      <c r="N35" s="88"/>
      <c r="O35" s="88"/>
      <c r="P35" s="88"/>
      <c r="Q35" s="89">
        <f>SUM(G35:K35)</f>
        <v>143188981.15999997</v>
      </c>
      <c r="R35" s="71"/>
      <c r="S35" s="90"/>
      <c r="T35" s="90"/>
      <c r="U35" s="90"/>
      <c r="V35" s="90"/>
      <c r="W35" s="71"/>
      <c r="X35" s="37"/>
    </row>
    <row r="36" spans="2:24" x14ac:dyDescent="0.3">
      <c r="B36" s="73" t="s">
        <v>80</v>
      </c>
      <c r="C36" s="73"/>
      <c r="D36" s="73"/>
      <c r="E36" s="73"/>
      <c r="F36" s="73"/>
      <c r="G36" s="91">
        <f>IF(G35&lt;0,0,G35*$E$3)</f>
        <v>0</v>
      </c>
      <c r="H36" s="91">
        <f>IF(H35&lt;0,0,H35*$E$3)</f>
        <v>994925.6568</v>
      </c>
      <c r="I36" s="91">
        <f>IF(I35&lt;0,0,I35*$E$3)</f>
        <v>1084076.996</v>
      </c>
      <c r="J36" s="91">
        <f>IF(J35&lt;0,0,J35*$E$3)</f>
        <v>1084076.996</v>
      </c>
      <c r="K36" s="91">
        <f>IF(K35&lt;0,0,K35*$E$3)</f>
        <v>1084076.996</v>
      </c>
      <c r="L36" s="91"/>
      <c r="M36" s="91"/>
      <c r="N36" s="91"/>
      <c r="O36" s="91"/>
      <c r="P36" s="91"/>
      <c r="Q36" s="92">
        <f>SUM(G36:K36)</f>
        <v>4247156.6447999999</v>
      </c>
      <c r="R36" s="75"/>
      <c r="W36" s="85"/>
      <c r="X36" s="37"/>
    </row>
    <row r="37" spans="2:24" ht="16.2" thickBot="1" x14ac:dyDescent="0.35">
      <c r="B37" s="93" t="s">
        <v>81</v>
      </c>
      <c r="C37" s="93"/>
      <c r="D37" s="93"/>
      <c r="E37" s="93"/>
      <c r="F37" s="93"/>
      <c r="G37" s="94">
        <f>G35-G36</f>
        <v>-69168851.080000013</v>
      </c>
      <c r="H37" s="94">
        <f t="shared" ref="H37:J37" si="9">H35-H36</f>
        <v>48751357.183199994</v>
      </c>
      <c r="I37" s="94">
        <f t="shared" si="9"/>
        <v>53119772.803999998</v>
      </c>
      <c r="J37" s="94">
        <f t="shared" si="9"/>
        <v>53119772.803999998</v>
      </c>
      <c r="K37" s="94">
        <f>K35-K36</f>
        <v>53119772.803999998</v>
      </c>
      <c r="L37" s="94"/>
      <c r="M37" s="94"/>
      <c r="N37" s="94"/>
      <c r="O37" s="94"/>
      <c r="P37" s="94"/>
      <c r="Q37" s="95">
        <f>Q35-Q36</f>
        <v>138941824.51519996</v>
      </c>
      <c r="R37" s="71"/>
      <c r="W37" s="71"/>
      <c r="X37" s="37"/>
    </row>
    <row r="38" spans="2:24" ht="5.4" customHeight="1" x14ac:dyDescent="0.3">
      <c r="Q38" s="51"/>
      <c r="R38" s="37"/>
      <c r="W38" s="37"/>
      <c r="X38" s="37"/>
    </row>
    <row r="39" spans="2:24" x14ac:dyDescent="0.3">
      <c r="B39" s="73" t="s">
        <v>82</v>
      </c>
      <c r="C39" s="73"/>
      <c r="D39" s="73"/>
      <c r="E39" s="73"/>
      <c r="F39" s="96"/>
      <c r="G39" s="96">
        <f>-G11</f>
        <v>-156380751</v>
      </c>
      <c r="H39" s="96">
        <f>-I9+-I11</f>
        <v>0</v>
      </c>
      <c r="I39" s="96">
        <f>-J9+-J11</f>
        <v>0</v>
      </c>
      <c r="J39" s="96">
        <f>-K9+-K11</f>
        <v>0</v>
      </c>
      <c r="K39" s="96">
        <f>-L9+-L11</f>
        <v>0</v>
      </c>
      <c r="L39" s="96"/>
      <c r="M39" s="96"/>
      <c r="N39" s="96"/>
      <c r="O39" s="96"/>
      <c r="P39" s="96"/>
      <c r="Q39" s="97"/>
      <c r="R39" s="85"/>
      <c r="W39" s="85"/>
      <c r="X39" s="37"/>
    </row>
    <row r="40" spans="2:24" x14ac:dyDescent="0.3">
      <c r="B40" s="1" t="s">
        <v>83</v>
      </c>
      <c r="F40" s="98">
        <f>F39</f>
        <v>0</v>
      </c>
      <c r="G40" s="98">
        <f>G39+G37+G32</f>
        <v>-194273451.88000003</v>
      </c>
      <c r="H40" s="98">
        <f t="shared" ref="H40:J40" si="10">H39+H37+H32</f>
        <v>80027507.38319999</v>
      </c>
      <c r="I40" s="98">
        <f t="shared" si="10"/>
        <v>84395923.003999993</v>
      </c>
      <c r="J40" s="98">
        <f t="shared" si="10"/>
        <v>84395923.003999993</v>
      </c>
      <c r="K40" s="98">
        <f>K39+K37+K32</f>
        <v>84395923.003999993</v>
      </c>
      <c r="L40" s="98"/>
      <c r="M40" s="98"/>
      <c r="N40" s="98"/>
      <c r="O40" s="98"/>
      <c r="P40" s="98"/>
      <c r="Q40" s="99">
        <f>SUM(F40:K40)</f>
        <v>138941824.51519996</v>
      </c>
      <c r="R40" s="85"/>
      <c r="S40" s="191"/>
      <c r="T40" s="45"/>
      <c r="U40" s="191"/>
      <c r="V40" s="45"/>
      <c r="W40" s="85"/>
      <c r="X40" s="37"/>
    </row>
    <row r="41" spans="2:24" x14ac:dyDescent="0.3">
      <c r="B41" s="1" t="s">
        <v>84</v>
      </c>
      <c r="F41" s="98">
        <f>F40</f>
        <v>0</v>
      </c>
      <c r="G41" s="98">
        <f>F41+G40</f>
        <v>-194273451.88000003</v>
      </c>
      <c r="H41" s="98">
        <f t="shared" ref="H41:K41" si="11">G41+H40</f>
        <v>-114245944.49680004</v>
      </c>
      <c r="I41" s="98">
        <f t="shared" si="11"/>
        <v>-29850021.492800042</v>
      </c>
      <c r="J41" s="98">
        <f t="shared" si="11"/>
        <v>54545901.511199951</v>
      </c>
      <c r="K41" s="98">
        <f t="shared" si="11"/>
        <v>138941824.51519996</v>
      </c>
      <c r="L41" s="98"/>
      <c r="M41" s="98"/>
      <c r="N41" s="98"/>
      <c r="O41" s="98"/>
      <c r="P41" s="98"/>
      <c r="Q41" s="99"/>
      <c r="R41" s="85"/>
      <c r="S41" s="100"/>
      <c r="T41" s="100"/>
      <c r="U41" s="100"/>
      <c r="V41" s="100"/>
      <c r="W41" s="85"/>
      <c r="X41" s="37"/>
    </row>
    <row r="42" spans="2:24" x14ac:dyDescent="0.3">
      <c r="B42" s="1" t="s">
        <v>85</v>
      </c>
      <c r="F42" s="98"/>
      <c r="G42" s="90">
        <f>IF(AND(F41&lt;0,G41&gt;0),G47-(G41/G40),0)</f>
        <v>0</v>
      </c>
      <c r="H42" s="90">
        <f>IF(AND(G41&lt;0,H41&gt;0),H47-(H41/H40),0)</f>
        <v>0</v>
      </c>
      <c r="I42" s="90">
        <f t="shared" ref="I42:K42" si="12">IF(AND(H41&lt;0,I41&gt;0),I47-(I41/I40),0)</f>
        <v>0</v>
      </c>
      <c r="J42" s="90">
        <f t="shared" si="12"/>
        <v>3.353690325673496</v>
      </c>
      <c r="K42" s="90">
        <f t="shared" si="12"/>
        <v>0</v>
      </c>
      <c r="L42" s="90"/>
      <c r="M42" s="90"/>
      <c r="N42" s="90"/>
      <c r="O42" s="90"/>
      <c r="P42" s="90"/>
      <c r="Q42" s="101"/>
      <c r="R42" s="90"/>
      <c r="S42" s="102"/>
      <c r="T42" s="102"/>
      <c r="U42" s="102"/>
      <c r="V42" s="102"/>
      <c r="W42" s="90"/>
    </row>
    <row r="43" spans="2:24" x14ac:dyDescent="0.3">
      <c r="B43" s="103" t="s">
        <v>33</v>
      </c>
      <c r="C43" s="104"/>
      <c r="D43" s="104"/>
      <c r="E43" s="104"/>
      <c r="F43" s="105">
        <f>IRR(G40:K40)</f>
        <v>0.25440812147541036</v>
      </c>
      <c r="S43" s="102"/>
      <c r="T43" s="102"/>
      <c r="U43" s="102"/>
      <c r="V43" s="102"/>
    </row>
    <row r="44" spans="2:24" x14ac:dyDescent="0.3">
      <c r="B44" s="106" t="s">
        <v>34</v>
      </c>
      <c r="C44" s="41"/>
      <c r="D44" s="41"/>
      <c r="E44" s="41"/>
      <c r="F44" s="192">
        <f>NPV(E4,H40:K40)+G40</f>
        <v>69278981.335134953</v>
      </c>
      <c r="H44" s="108"/>
      <c r="I44" s="109"/>
      <c r="S44" s="102"/>
      <c r="T44" s="102"/>
      <c r="U44" s="102"/>
      <c r="V44" s="102"/>
    </row>
    <row r="45" spans="2:24" x14ac:dyDescent="0.3">
      <c r="B45" s="106" t="s">
        <v>35</v>
      </c>
      <c r="C45" s="41"/>
      <c r="D45" s="41"/>
      <c r="E45" s="41"/>
      <c r="F45" s="110">
        <f>Q31</f>
        <v>0.61057142857142854</v>
      </c>
      <c r="H45" s="58"/>
      <c r="S45" s="102"/>
      <c r="T45" s="102"/>
      <c r="U45" s="102"/>
      <c r="V45" s="102"/>
    </row>
    <row r="46" spans="2:24" x14ac:dyDescent="0.3">
      <c r="B46" s="111" t="s">
        <v>86</v>
      </c>
      <c r="C46" s="112"/>
      <c r="D46" s="112"/>
      <c r="E46" s="112"/>
      <c r="F46" s="113">
        <f>SUM(F42:K42)</f>
        <v>3.353690325673496</v>
      </c>
      <c r="S46" s="102"/>
      <c r="T46" s="102"/>
      <c r="U46" s="102"/>
      <c r="V46" s="102"/>
    </row>
    <row r="47" spans="2:24" ht="9.6" customHeight="1" x14ac:dyDescent="0.3">
      <c r="G47" s="45">
        <v>1</v>
      </c>
      <c r="H47" s="191">
        <v>2</v>
      </c>
      <c r="I47" s="45">
        <v>3</v>
      </c>
      <c r="J47" s="191">
        <v>4</v>
      </c>
      <c r="K47" s="45">
        <v>5</v>
      </c>
      <c r="L47" s="45"/>
      <c r="M47" s="45"/>
      <c r="N47" s="45"/>
      <c r="O47" s="45"/>
      <c r="P47" s="45"/>
      <c r="Q47" s="191"/>
      <c r="R47" s="45"/>
      <c r="S47" s="114"/>
      <c r="T47" s="114"/>
      <c r="U47" s="114"/>
      <c r="V47" s="114"/>
    </row>
    <row r="48" spans="2:24" x14ac:dyDescent="0.3">
      <c r="B48" s="115" t="s">
        <v>87</v>
      </c>
      <c r="E48" s="100" t="s">
        <v>88</v>
      </c>
      <c r="G48" s="100" t="str">
        <f>G13</f>
        <v>Year 1</v>
      </c>
      <c r="H48" s="100" t="str">
        <f>H13</f>
        <v>Year 2</v>
      </c>
      <c r="I48" s="100" t="str">
        <f>I13</f>
        <v>Year 3</v>
      </c>
      <c r="J48" s="100" t="str">
        <f>J13</f>
        <v>Year 4</v>
      </c>
      <c r="K48" s="100" t="str">
        <f>K13</f>
        <v>Year 5</v>
      </c>
      <c r="L48" s="100"/>
      <c r="M48" s="100"/>
      <c r="N48" s="100"/>
      <c r="O48" s="100"/>
      <c r="P48" s="100"/>
      <c r="Q48" s="100"/>
      <c r="R48" s="100"/>
      <c r="W48" s="100"/>
    </row>
    <row r="49" spans="2:23" x14ac:dyDescent="0.3">
      <c r="D49" s="1" t="s">
        <v>59</v>
      </c>
      <c r="E49" s="1">
        <v>5</v>
      </c>
      <c r="G49" s="116">
        <f>SUM(G9:G10)/$E49</f>
        <v>31276150.199999999</v>
      </c>
      <c r="H49" s="102">
        <f>G49</f>
        <v>31276150.199999999</v>
      </c>
      <c r="I49" s="102">
        <f t="shared" ref="I49:K50" si="13">H49</f>
        <v>31276150.199999999</v>
      </c>
      <c r="J49" s="102">
        <f>I49</f>
        <v>31276150.199999999</v>
      </c>
      <c r="K49" s="102">
        <f t="shared" si="13"/>
        <v>31276150.199999999</v>
      </c>
      <c r="L49" s="102"/>
      <c r="M49" s="102"/>
      <c r="N49" s="102"/>
      <c r="O49" s="102"/>
      <c r="P49" s="102"/>
      <c r="Q49" s="102">
        <f>SUM(G49:K49)</f>
        <v>156380751</v>
      </c>
      <c r="R49" s="102"/>
      <c r="W49" s="117"/>
    </row>
    <row r="50" spans="2:23" hidden="1" x14ac:dyDescent="0.3">
      <c r="D50" s="1" t="s">
        <v>61</v>
      </c>
      <c r="E50" s="1">
        <v>4</v>
      </c>
      <c r="H50" s="116">
        <f>I$11/$E50</f>
        <v>0</v>
      </c>
      <c r="J50" s="102">
        <f>H50</f>
        <v>0</v>
      </c>
      <c r="K50" s="102">
        <f t="shared" si="13"/>
        <v>0</v>
      </c>
      <c r="L50" s="102"/>
      <c r="M50" s="102"/>
      <c r="N50" s="102"/>
      <c r="O50" s="102"/>
      <c r="P50" s="102"/>
      <c r="Q50" s="102"/>
      <c r="R50" s="102"/>
      <c r="W50" s="117"/>
    </row>
    <row r="51" spans="2:23" hidden="1" x14ac:dyDescent="0.3">
      <c r="D51" s="1" t="s">
        <v>62</v>
      </c>
      <c r="E51" s="1">
        <v>3</v>
      </c>
      <c r="I51" s="116">
        <f>J$9/$E51</f>
        <v>0</v>
      </c>
      <c r="K51" s="102">
        <f>I51</f>
        <v>0</v>
      </c>
      <c r="L51" s="102"/>
      <c r="M51" s="102"/>
      <c r="N51" s="102"/>
      <c r="O51" s="102"/>
      <c r="P51" s="102"/>
      <c r="Q51" s="102"/>
      <c r="R51" s="102"/>
      <c r="W51" s="117"/>
    </row>
    <row r="52" spans="2:23" hidden="1" x14ac:dyDescent="0.3">
      <c r="D52" s="1" t="s">
        <v>63</v>
      </c>
      <c r="E52" s="1">
        <v>2</v>
      </c>
      <c r="J52" s="116"/>
      <c r="Q52" s="102"/>
      <c r="R52" s="102"/>
      <c r="W52" s="117"/>
    </row>
    <row r="53" spans="2:23" hidden="1" x14ac:dyDescent="0.3">
      <c r="D53" s="1" t="s">
        <v>89</v>
      </c>
      <c r="E53" s="1">
        <v>1</v>
      </c>
      <c r="K53" s="116"/>
      <c r="L53" s="116"/>
      <c r="M53" s="116"/>
      <c r="N53" s="116"/>
      <c r="O53" s="116"/>
      <c r="P53" s="116"/>
      <c r="Q53" s="102"/>
      <c r="R53" s="102"/>
      <c r="W53" s="117"/>
    </row>
    <row r="54" spans="2:23" ht="16.2" thickBot="1" x14ac:dyDescent="0.35">
      <c r="B54" s="118" t="s">
        <v>90</v>
      </c>
      <c r="C54" s="119"/>
      <c r="D54" s="119"/>
      <c r="E54" s="119"/>
      <c r="F54" s="119"/>
      <c r="G54" s="120">
        <f>SUM(G49:G52)</f>
        <v>31276150.199999999</v>
      </c>
      <c r="H54" s="120">
        <f>SUM(H49:H52)</f>
        <v>31276150.199999999</v>
      </c>
      <c r="I54" s="120">
        <f>SUM(I49:I52)</f>
        <v>31276150.199999999</v>
      </c>
      <c r="J54" s="120">
        <f>SUM(J49:J52)</f>
        <v>31276150.199999999</v>
      </c>
      <c r="K54" s="120">
        <f>SUM(K49:K52)</f>
        <v>31276150.199999999</v>
      </c>
      <c r="L54" s="114"/>
      <c r="M54" s="114"/>
      <c r="N54" s="114"/>
      <c r="O54" s="114"/>
      <c r="P54" s="114"/>
      <c r="Q54" s="120">
        <f>SUM(G54:K54)</f>
        <v>156380751</v>
      </c>
      <c r="R54" s="114"/>
      <c r="W54" s="114"/>
    </row>
    <row r="55" spans="2:23" ht="5.4" customHeight="1" thickTop="1" x14ac:dyDescent="0.3">
      <c r="W55" s="109"/>
    </row>
    <row r="56" spans="2:23" ht="3.6" customHeight="1" x14ac:dyDescent="0.3"/>
    <row r="57" spans="2:23" x14ac:dyDescent="0.3">
      <c r="B57" s="178"/>
      <c r="F57" s="1" t="s">
        <v>36</v>
      </c>
    </row>
    <row r="58" spans="2:23" x14ac:dyDescent="0.3">
      <c r="B58" s="179"/>
    </row>
    <row r="59" spans="2:23" x14ac:dyDescent="0.3">
      <c r="B59" s="183"/>
    </row>
    <row r="60" spans="2:23" x14ac:dyDescent="0.3">
      <c r="B60" s="179"/>
    </row>
  </sheetData>
  <mergeCells count="1">
    <mergeCell ref="E21:F21"/>
  </mergeCells>
  <pageMargins left="0.93" right="0.25" top="0.2" bottom="0.16" header="0.3" footer="0.3"/>
  <pageSetup paperSize="9" scale="1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F0AC0-6E35-445D-AA61-A6EF90097865}">
  <dimension ref="A1:E29"/>
  <sheetViews>
    <sheetView zoomScaleNormal="100" workbookViewId="0">
      <selection activeCell="F24" sqref="F24"/>
    </sheetView>
  </sheetViews>
  <sheetFormatPr defaultColWidth="9.21875" defaultRowHeight="14.4" x14ac:dyDescent="0.3"/>
  <cols>
    <col min="1" max="1" width="5.5546875" style="167" customWidth="1"/>
    <col min="2" max="2" width="25.44140625" style="167" bestFit="1" customWidth="1"/>
    <col min="3" max="3" width="50.77734375" style="167" customWidth="1"/>
    <col min="4" max="4" width="40" style="167" customWidth="1"/>
    <col min="5" max="16384" width="9.21875" style="167"/>
  </cols>
  <sheetData>
    <row r="1" spans="1:5" ht="21" x14ac:dyDescent="0.4">
      <c r="C1" s="121" t="s">
        <v>91</v>
      </c>
    </row>
    <row r="3" spans="1:5" x14ac:dyDescent="0.3">
      <c r="A3" s="177" t="s">
        <v>185</v>
      </c>
      <c r="B3" s="177"/>
      <c r="C3" s="122" t="s">
        <v>198</v>
      </c>
    </row>
    <row r="4" spans="1:5" x14ac:dyDescent="0.3">
      <c r="A4" s="177" t="s">
        <v>186</v>
      </c>
      <c r="B4" s="177"/>
      <c r="C4" s="122" t="s">
        <v>199</v>
      </c>
    </row>
    <row r="5" spans="1:5" x14ac:dyDescent="0.3">
      <c r="A5" s="177" t="s">
        <v>187</v>
      </c>
      <c r="B5" s="177"/>
      <c r="C5" s="122" t="s">
        <v>200</v>
      </c>
    </row>
    <row r="6" spans="1:5" x14ac:dyDescent="0.3">
      <c r="A6" s="177" t="s">
        <v>188</v>
      </c>
      <c r="B6" s="177"/>
      <c r="C6" s="122" t="s">
        <v>201</v>
      </c>
    </row>
    <row r="7" spans="1:5" x14ac:dyDescent="0.3">
      <c r="A7" s="177" t="s">
        <v>189</v>
      </c>
      <c r="B7" s="177"/>
      <c r="C7" s="122" t="s">
        <v>202</v>
      </c>
    </row>
    <row r="9" spans="1:5" x14ac:dyDescent="0.3">
      <c r="A9" s="246" t="s">
        <v>92</v>
      </c>
      <c r="B9" s="247" t="s">
        <v>93</v>
      </c>
      <c r="C9" s="247" t="s">
        <v>94</v>
      </c>
      <c r="D9" s="247" t="s">
        <v>23</v>
      </c>
    </row>
    <row r="10" spans="1:5" x14ac:dyDescent="0.3">
      <c r="A10" s="246"/>
      <c r="B10" s="248"/>
      <c r="C10" s="248"/>
      <c r="D10" s="248"/>
    </row>
    <row r="11" spans="1:5" x14ac:dyDescent="0.3">
      <c r="A11" s="168" t="s">
        <v>95</v>
      </c>
      <c r="B11" s="169" t="s">
        <v>96</v>
      </c>
      <c r="C11" s="169" t="s">
        <v>203</v>
      </c>
      <c r="D11" s="169" t="s">
        <v>203</v>
      </c>
    </row>
    <row r="12" spans="1:5" x14ac:dyDescent="0.3">
      <c r="A12" s="168" t="s">
        <v>97</v>
      </c>
      <c r="B12" s="169" t="s">
        <v>98</v>
      </c>
      <c r="C12" s="186" t="str">
        <f>C7</f>
        <v>: 65 Omni + 7 Unit Pole Antenna + RBS 40 m²</v>
      </c>
      <c r="D12" s="186" t="str">
        <f>C7</f>
        <v>: 65 Omni + 7 Unit Pole Antenna + RBS 40 m²</v>
      </c>
    </row>
    <row r="13" spans="1:5" x14ac:dyDescent="0.3">
      <c r="A13" s="168" t="s">
        <v>99</v>
      </c>
      <c r="B13" s="169" t="s">
        <v>100</v>
      </c>
      <c r="C13" s="169" t="s">
        <v>204</v>
      </c>
      <c r="D13" s="169" t="s">
        <v>205</v>
      </c>
    </row>
    <row r="14" spans="1:5" x14ac:dyDescent="0.3">
      <c r="A14" s="249">
        <v>4</v>
      </c>
      <c r="B14" s="169" t="s">
        <v>183</v>
      </c>
      <c r="C14" s="187">
        <v>600000000</v>
      </c>
      <c r="D14" s="187">
        <v>850000000</v>
      </c>
    </row>
    <row r="15" spans="1:5" x14ac:dyDescent="0.3">
      <c r="A15" s="250"/>
      <c r="B15" s="169" t="s">
        <v>184</v>
      </c>
      <c r="C15" s="187">
        <v>120000000</v>
      </c>
      <c r="D15" s="187">
        <v>170000000</v>
      </c>
      <c r="E15" s="188">
        <f>(D15-C15)/C15</f>
        <v>0.41666666666666669</v>
      </c>
    </row>
    <row r="16" spans="1:5" x14ac:dyDescent="0.3">
      <c r="A16" s="168">
        <v>5</v>
      </c>
      <c r="B16" s="170" t="s">
        <v>101</v>
      </c>
      <c r="C16" s="169" t="s">
        <v>206</v>
      </c>
      <c r="D16" s="169" t="s">
        <v>207</v>
      </c>
    </row>
    <row r="17" spans="1:4" x14ac:dyDescent="0.3">
      <c r="A17" s="171" t="s">
        <v>190</v>
      </c>
      <c r="B17" s="169" t="s">
        <v>102</v>
      </c>
      <c r="C17" s="244" t="s">
        <v>219</v>
      </c>
      <c r="D17" s="245"/>
    </row>
    <row r="20" spans="1:4" x14ac:dyDescent="0.3">
      <c r="D20" s="167">
        <f>250/600</f>
        <v>0.41666666666666669</v>
      </c>
    </row>
    <row r="25" spans="1:4" ht="15.6" x14ac:dyDescent="0.3">
      <c r="B25" s="172"/>
      <c r="C25" s="172"/>
    </row>
    <row r="26" spans="1:4" ht="15.6" x14ac:dyDescent="0.3">
      <c r="B26" s="172"/>
      <c r="C26" s="172"/>
    </row>
    <row r="27" spans="1:4" ht="15.6" x14ac:dyDescent="0.3">
      <c r="B27" s="172"/>
      <c r="C27" s="172"/>
    </row>
    <row r="28" spans="1:4" ht="15.6" x14ac:dyDescent="0.3">
      <c r="B28" s="172"/>
      <c r="C28" s="172"/>
    </row>
    <row r="29" spans="1:4" ht="15.6" x14ac:dyDescent="0.3">
      <c r="B29" s="172"/>
      <c r="C29" s="172"/>
    </row>
  </sheetData>
  <mergeCells count="6">
    <mergeCell ref="C17:D17"/>
    <mergeCell ref="A9:A10"/>
    <mergeCell ref="B9:B10"/>
    <mergeCell ref="C9:C10"/>
    <mergeCell ref="D9:D10"/>
    <mergeCell ref="A14:A15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AC5D2-24C5-489C-9551-83C1C59CB322}">
  <dimension ref="A2:M30"/>
  <sheetViews>
    <sheetView workbookViewId="0">
      <selection activeCell="A2" sqref="A2:F31"/>
    </sheetView>
  </sheetViews>
  <sheetFormatPr defaultRowHeight="14.4" x14ac:dyDescent="0.3"/>
  <cols>
    <col min="1" max="1" width="25.77734375" customWidth="1"/>
    <col min="2" max="2" width="12.88671875" customWidth="1"/>
    <col min="3" max="3" width="14" customWidth="1"/>
    <col min="4" max="4" width="8.88671875" customWidth="1"/>
    <col min="5" max="5" width="16.109375" bestFit="1" customWidth="1"/>
    <col min="6" max="6" width="15.44140625" bestFit="1" customWidth="1"/>
  </cols>
  <sheetData>
    <row r="2" spans="1:13" x14ac:dyDescent="0.3">
      <c r="A2" s="251" t="s">
        <v>234</v>
      </c>
      <c r="B2" s="251"/>
      <c r="C2" s="251"/>
      <c r="D2" s="251"/>
      <c r="E2" s="251"/>
      <c r="F2" s="251"/>
      <c r="G2" s="194"/>
      <c r="H2" s="194"/>
      <c r="I2" s="194"/>
      <c r="J2" s="194"/>
      <c r="K2" s="194"/>
      <c r="L2" s="194"/>
      <c r="M2" s="194"/>
    </row>
    <row r="3" spans="1:13" x14ac:dyDescent="0.3">
      <c r="A3" s="195" t="s">
        <v>220</v>
      </c>
      <c r="B3" s="195" t="s">
        <v>221</v>
      </c>
      <c r="C3" s="195" t="s">
        <v>222</v>
      </c>
      <c r="D3" s="196"/>
      <c r="G3" s="194"/>
      <c r="H3" s="194"/>
      <c r="I3" s="194"/>
      <c r="J3" s="194"/>
      <c r="K3" s="194"/>
      <c r="L3" s="194"/>
      <c r="M3" s="194"/>
    </row>
    <row r="4" spans="1:13" x14ac:dyDescent="0.3">
      <c r="A4" s="197" t="s">
        <v>227</v>
      </c>
      <c r="B4" s="198">
        <v>45435</v>
      </c>
      <c r="C4" s="198">
        <v>47260</v>
      </c>
      <c r="D4" s="199"/>
      <c r="E4" s="200"/>
      <c r="F4" s="200"/>
      <c r="G4" s="194"/>
      <c r="H4" s="194"/>
      <c r="I4" s="194"/>
      <c r="J4" s="194"/>
      <c r="K4" s="194"/>
      <c r="L4" s="194"/>
      <c r="M4" s="194"/>
    </row>
    <row r="5" spans="1:13" x14ac:dyDescent="0.3">
      <c r="A5" s="197" t="s">
        <v>226</v>
      </c>
      <c r="B5" s="198">
        <v>45498</v>
      </c>
      <c r="C5" s="198">
        <v>46592</v>
      </c>
      <c r="D5" s="199"/>
      <c r="E5" s="200"/>
      <c r="F5" s="200"/>
      <c r="G5" s="194"/>
      <c r="H5" s="194"/>
      <c r="I5" s="194"/>
      <c r="J5" s="194"/>
      <c r="K5" s="194"/>
      <c r="L5" s="194"/>
      <c r="M5" s="194"/>
    </row>
    <row r="6" spans="1:13" x14ac:dyDescent="0.3">
      <c r="A6" s="197" t="s">
        <v>232</v>
      </c>
      <c r="B6" s="198">
        <v>45792</v>
      </c>
      <c r="C6" s="198">
        <v>11092</v>
      </c>
      <c r="D6" s="199"/>
      <c r="G6" s="194"/>
      <c r="H6" s="194"/>
      <c r="I6" s="194"/>
      <c r="J6" s="194"/>
      <c r="K6" s="194"/>
      <c r="L6" s="194"/>
      <c r="M6" s="194"/>
    </row>
    <row r="7" spans="1:13" x14ac:dyDescent="0.3">
      <c r="A7" s="194" t="s">
        <v>233</v>
      </c>
      <c r="B7" s="207">
        <v>44336</v>
      </c>
      <c r="C7" s="207">
        <v>46161</v>
      </c>
      <c r="G7" s="194"/>
      <c r="H7" s="194"/>
      <c r="I7" s="194"/>
      <c r="J7" s="194"/>
      <c r="K7" s="194"/>
      <c r="L7" s="194"/>
      <c r="M7" s="194"/>
    </row>
    <row r="8" spans="1:13" x14ac:dyDescent="0.3">
      <c r="A8" s="194"/>
      <c r="G8" s="194"/>
      <c r="H8" s="194"/>
      <c r="I8" s="194"/>
      <c r="J8" s="194"/>
      <c r="K8" s="194"/>
      <c r="L8" s="194"/>
      <c r="M8" s="194"/>
    </row>
    <row r="9" spans="1:13" ht="19.8" customHeight="1" x14ac:dyDescent="0.3">
      <c r="A9" s="194"/>
      <c r="B9" s="195" t="s">
        <v>221</v>
      </c>
      <c r="C9" s="195" t="s">
        <v>222</v>
      </c>
      <c r="D9" s="195" t="s">
        <v>223</v>
      </c>
      <c r="E9" s="199"/>
      <c r="F9" s="199"/>
      <c r="G9" s="194"/>
      <c r="H9" s="194"/>
      <c r="I9" s="194"/>
      <c r="J9" s="194"/>
      <c r="K9" s="194"/>
      <c r="L9" s="194"/>
      <c r="M9" s="194"/>
    </row>
    <row r="10" spans="1:13" x14ac:dyDescent="0.3">
      <c r="A10" s="194" t="s">
        <v>228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4"/>
    </row>
    <row r="11" spans="1:13" x14ac:dyDescent="0.3">
      <c r="A11" s="194" t="s">
        <v>227</v>
      </c>
      <c r="B11" s="201">
        <v>45792</v>
      </c>
      <c r="C11" s="201">
        <v>47260</v>
      </c>
      <c r="D11" s="202">
        <f t="shared" ref="D11:D17" si="0">C11-B11</f>
        <v>1468</v>
      </c>
      <c r="E11" s="203">
        <f>221952000*85%</f>
        <v>188659200</v>
      </c>
      <c r="F11" s="204">
        <f>E11/365*D11</f>
        <v>758771796.16438365</v>
      </c>
      <c r="G11" s="194"/>
      <c r="H11" s="194"/>
      <c r="I11" s="194"/>
      <c r="J11" s="194"/>
      <c r="K11" s="194"/>
      <c r="L11" s="194"/>
      <c r="M11" s="194"/>
    </row>
    <row r="12" spans="1:13" x14ac:dyDescent="0.3">
      <c r="A12" s="194" t="s">
        <v>226</v>
      </c>
      <c r="B12" s="201">
        <v>45792</v>
      </c>
      <c r="C12" s="208">
        <v>46592</v>
      </c>
      <c r="D12" s="202">
        <f t="shared" si="0"/>
        <v>800</v>
      </c>
      <c r="E12" s="203">
        <v>140000000</v>
      </c>
      <c r="F12" s="204">
        <f>E12/365*D12</f>
        <v>306849315.06849313</v>
      </c>
      <c r="G12" s="194"/>
      <c r="H12" s="194"/>
      <c r="I12" s="194"/>
      <c r="J12" s="194"/>
      <c r="K12" s="194"/>
      <c r="L12" s="194"/>
      <c r="M12" s="194"/>
    </row>
    <row r="13" spans="1:13" x14ac:dyDescent="0.3">
      <c r="A13" s="194" t="s">
        <v>232</v>
      </c>
      <c r="B13" s="201">
        <v>45792</v>
      </c>
      <c r="C13" s="201">
        <v>47617</v>
      </c>
      <c r="D13" s="202">
        <f t="shared" si="0"/>
        <v>1825</v>
      </c>
      <c r="E13" s="203">
        <v>170000000</v>
      </c>
      <c r="F13" s="204">
        <f>-E13/365*D13</f>
        <v>-850000000</v>
      </c>
      <c r="G13" s="194"/>
      <c r="H13" s="194"/>
      <c r="I13" s="194"/>
      <c r="J13" s="194"/>
      <c r="K13" s="194"/>
      <c r="L13" s="194"/>
      <c r="M13" s="194"/>
    </row>
    <row r="14" spans="1:13" x14ac:dyDescent="0.3">
      <c r="A14" s="194" t="s">
        <v>233</v>
      </c>
      <c r="B14" s="201">
        <v>45792</v>
      </c>
      <c r="C14" s="201">
        <v>46161</v>
      </c>
      <c r="D14" s="202">
        <f t="shared" si="0"/>
        <v>369</v>
      </c>
      <c r="E14" s="203">
        <f>110000000/5</f>
        <v>22000000</v>
      </c>
      <c r="F14" s="204">
        <f t="shared" ref="F14:F17" si="1">-E14/365*D14</f>
        <v>-22241095.89041096</v>
      </c>
      <c r="G14" s="194"/>
      <c r="H14" s="194"/>
      <c r="I14" s="194"/>
      <c r="J14" s="194"/>
      <c r="K14" s="194"/>
      <c r="L14" s="194"/>
      <c r="M14" s="194"/>
    </row>
    <row r="15" spans="1:13" x14ac:dyDescent="0.3">
      <c r="A15" s="194" t="s">
        <v>231</v>
      </c>
      <c r="B15" s="201">
        <v>45792</v>
      </c>
      <c r="C15" s="201">
        <v>47260</v>
      </c>
      <c r="D15" s="202">
        <f t="shared" si="0"/>
        <v>1468</v>
      </c>
      <c r="E15" s="203">
        <v>31200000</v>
      </c>
      <c r="F15" s="204">
        <f t="shared" si="1"/>
        <v>-125483835.61643834</v>
      </c>
      <c r="G15" s="194"/>
      <c r="H15" s="194"/>
      <c r="I15" s="194"/>
      <c r="J15" s="194"/>
      <c r="K15" s="194"/>
      <c r="L15" s="194"/>
      <c r="M15" s="194"/>
    </row>
    <row r="16" spans="1:13" x14ac:dyDescent="0.3">
      <c r="A16" s="194" t="s">
        <v>230</v>
      </c>
      <c r="B16" s="201">
        <v>45792</v>
      </c>
      <c r="C16" s="201">
        <v>47260</v>
      </c>
      <c r="D16" s="202">
        <f t="shared" si="0"/>
        <v>1468</v>
      </c>
      <c r="E16" s="203">
        <f>Parameter!D66</f>
        <v>22720000</v>
      </c>
      <c r="F16" s="204">
        <f t="shared" si="1"/>
        <v>-91377972.602739722</v>
      </c>
      <c r="G16" s="194"/>
      <c r="H16" s="194"/>
      <c r="I16" s="194"/>
      <c r="J16" s="194"/>
      <c r="K16" s="194"/>
      <c r="L16" s="194"/>
      <c r="M16" s="194"/>
    </row>
    <row r="17" spans="1:13" x14ac:dyDescent="0.3">
      <c r="A17" s="194" t="s">
        <v>229</v>
      </c>
      <c r="B17" s="201">
        <v>45792</v>
      </c>
      <c r="C17" s="208">
        <v>46592</v>
      </c>
      <c r="D17" s="202">
        <f t="shared" si="0"/>
        <v>800</v>
      </c>
      <c r="E17" s="203">
        <f>Parameter!E66</f>
        <v>33600000</v>
      </c>
      <c r="F17" s="204">
        <f t="shared" si="1"/>
        <v>-73643835.616438359</v>
      </c>
      <c r="G17" s="194"/>
      <c r="H17" s="194"/>
      <c r="I17" s="194"/>
      <c r="J17" s="194"/>
      <c r="K17" s="194"/>
      <c r="L17" s="194"/>
      <c r="M17" s="194"/>
    </row>
    <row r="18" spans="1:13" x14ac:dyDescent="0.3">
      <c r="A18" s="194" t="s">
        <v>224</v>
      </c>
      <c r="B18" s="194"/>
      <c r="C18" s="194"/>
      <c r="D18" s="194"/>
      <c r="E18" s="205">
        <v>100000000</v>
      </c>
      <c r="F18" s="206">
        <f>-E15/365*D15</f>
        <v>-125483835.61643834</v>
      </c>
      <c r="G18" s="194"/>
      <c r="H18" s="194"/>
      <c r="I18" s="194"/>
      <c r="J18" s="194"/>
      <c r="K18" s="194"/>
      <c r="L18" s="194"/>
      <c r="M18" s="194"/>
    </row>
    <row r="19" spans="1:13" x14ac:dyDescent="0.3">
      <c r="A19" s="194" t="s">
        <v>225</v>
      </c>
      <c r="B19" s="194"/>
      <c r="C19" s="194"/>
      <c r="D19" s="194"/>
      <c r="E19" s="194"/>
      <c r="F19" s="204">
        <f>SUM(F11:F18)</f>
        <v>-222609464.10958895</v>
      </c>
      <c r="G19" s="194"/>
      <c r="H19" s="194"/>
      <c r="I19" s="194"/>
      <c r="J19" s="194"/>
      <c r="K19" s="194"/>
      <c r="L19" s="194"/>
      <c r="M19" s="194"/>
    </row>
    <row r="20" spans="1:13" x14ac:dyDescent="0.3">
      <c r="A20" s="194"/>
      <c r="B20" s="194"/>
      <c r="C20" s="194"/>
      <c r="D20" s="194"/>
      <c r="E20" s="194"/>
      <c r="F20" s="194"/>
      <c r="G20" s="194"/>
      <c r="H20" s="194"/>
      <c r="I20" s="194"/>
      <c r="J20" s="194"/>
      <c r="K20" s="194"/>
      <c r="L20" s="194"/>
      <c r="M20" s="194"/>
    </row>
    <row r="21" spans="1:13" x14ac:dyDescent="0.3">
      <c r="A21" s="194" t="s">
        <v>237</v>
      </c>
      <c r="B21" s="194"/>
      <c r="C21" s="194"/>
      <c r="D21" s="194"/>
      <c r="E21" s="194"/>
      <c r="F21" s="194"/>
      <c r="G21" s="194"/>
      <c r="H21" s="194"/>
      <c r="I21" s="194"/>
      <c r="J21" s="194"/>
      <c r="K21" s="194"/>
      <c r="L21" s="194"/>
      <c r="M21" s="194"/>
    </row>
    <row r="22" spans="1:13" x14ac:dyDescent="0.3">
      <c r="A22" s="194" t="s">
        <v>227</v>
      </c>
      <c r="B22" s="201">
        <v>45792</v>
      </c>
      <c r="C22" s="201">
        <v>47617</v>
      </c>
      <c r="D22" s="202">
        <f t="shared" ref="D22:D28" si="2">C22-B22</f>
        <v>1825</v>
      </c>
      <c r="E22" s="203">
        <f>221952000*85%</f>
        <v>188659200</v>
      </c>
      <c r="F22" s="204">
        <f>E22/365*D22</f>
        <v>943296000</v>
      </c>
      <c r="G22" s="194"/>
      <c r="H22" s="194"/>
      <c r="I22" s="194"/>
      <c r="J22" s="194"/>
      <c r="K22" s="194"/>
      <c r="L22" s="194"/>
      <c r="M22" s="194"/>
    </row>
    <row r="23" spans="1:13" x14ac:dyDescent="0.3">
      <c r="A23" s="194" t="s">
        <v>226</v>
      </c>
      <c r="B23" s="201">
        <v>45792</v>
      </c>
      <c r="C23" s="208">
        <v>47617</v>
      </c>
      <c r="D23" s="202">
        <f t="shared" si="2"/>
        <v>1825</v>
      </c>
      <c r="E23" s="203">
        <v>140000000</v>
      </c>
      <c r="F23" s="204">
        <f>E23/365*D23</f>
        <v>700000000</v>
      </c>
      <c r="G23" s="194"/>
      <c r="H23" s="194"/>
      <c r="I23" s="194"/>
      <c r="J23" s="194"/>
      <c r="K23" s="194"/>
      <c r="L23" s="194"/>
      <c r="M23" s="194"/>
    </row>
    <row r="24" spans="1:13" x14ac:dyDescent="0.3">
      <c r="A24" s="194" t="s">
        <v>232</v>
      </c>
      <c r="B24" s="201">
        <v>45792</v>
      </c>
      <c r="C24" s="201">
        <v>47617</v>
      </c>
      <c r="D24" s="202">
        <f t="shared" si="2"/>
        <v>1825</v>
      </c>
      <c r="E24" s="203">
        <v>170000000</v>
      </c>
      <c r="F24" s="204">
        <f>-E24/365*D24</f>
        <v>-850000000</v>
      </c>
      <c r="G24" s="194"/>
      <c r="H24" s="194"/>
      <c r="I24" s="194"/>
      <c r="J24" s="194"/>
      <c r="K24" s="194"/>
      <c r="L24" s="194"/>
      <c r="M24" s="194"/>
    </row>
    <row r="25" spans="1:13" x14ac:dyDescent="0.3">
      <c r="A25" s="194" t="s">
        <v>233</v>
      </c>
      <c r="B25" s="201">
        <v>45792</v>
      </c>
      <c r="C25" s="201">
        <v>47617</v>
      </c>
      <c r="D25" s="202">
        <f t="shared" si="2"/>
        <v>1825</v>
      </c>
      <c r="E25" s="203">
        <f>110000000/5</f>
        <v>22000000</v>
      </c>
      <c r="F25" s="204">
        <f t="shared" ref="F25:F28" si="3">-E25/365*D25</f>
        <v>-110000000</v>
      </c>
      <c r="G25" s="194"/>
      <c r="H25" s="194"/>
      <c r="I25" s="194"/>
      <c r="J25" s="194"/>
      <c r="K25" s="194"/>
      <c r="L25" s="194"/>
      <c r="M25" s="194"/>
    </row>
    <row r="26" spans="1:13" x14ac:dyDescent="0.3">
      <c r="A26" s="194" t="s">
        <v>231</v>
      </c>
      <c r="B26" s="201">
        <v>45792</v>
      </c>
      <c r="C26" s="201">
        <v>47617</v>
      </c>
      <c r="D26" s="202">
        <f t="shared" si="2"/>
        <v>1825</v>
      </c>
      <c r="E26" s="203">
        <v>31200000</v>
      </c>
      <c r="F26" s="204">
        <f t="shared" si="3"/>
        <v>-156000000</v>
      </c>
      <c r="G26" s="194"/>
      <c r="H26" s="194"/>
      <c r="I26" s="194"/>
      <c r="J26" s="194"/>
      <c r="K26" s="194"/>
      <c r="L26" s="194"/>
      <c r="M26" s="194"/>
    </row>
    <row r="27" spans="1:13" x14ac:dyDescent="0.3">
      <c r="A27" s="194" t="s">
        <v>230</v>
      </c>
      <c r="B27" s="201">
        <v>45792</v>
      </c>
      <c r="C27" s="201">
        <v>47617</v>
      </c>
      <c r="D27" s="202">
        <f t="shared" si="2"/>
        <v>1825</v>
      </c>
      <c r="E27" s="203">
        <v>22720000</v>
      </c>
      <c r="F27" s="204">
        <f t="shared" si="3"/>
        <v>-113600000</v>
      </c>
      <c r="G27" s="194"/>
      <c r="H27" s="194"/>
      <c r="I27" s="194"/>
      <c r="J27" s="194"/>
      <c r="K27" s="194"/>
      <c r="L27" s="194"/>
      <c r="M27" s="194"/>
    </row>
    <row r="28" spans="1:13" x14ac:dyDescent="0.3">
      <c r="A28" s="194" t="s">
        <v>229</v>
      </c>
      <c r="B28" s="201">
        <v>45792</v>
      </c>
      <c r="C28" s="208">
        <v>47617</v>
      </c>
      <c r="D28" s="202">
        <f t="shared" si="2"/>
        <v>1825</v>
      </c>
      <c r="E28" s="203">
        <v>33600000</v>
      </c>
      <c r="F28" s="204">
        <f t="shared" si="3"/>
        <v>-168000000</v>
      </c>
      <c r="G28" s="194"/>
      <c r="H28" s="194"/>
      <c r="I28" s="194"/>
      <c r="J28" s="194"/>
      <c r="K28" s="194"/>
      <c r="L28" s="194"/>
      <c r="M28" s="194"/>
    </row>
    <row r="29" spans="1:13" x14ac:dyDescent="0.3">
      <c r="A29" s="194" t="s">
        <v>224</v>
      </c>
      <c r="B29" s="194"/>
      <c r="C29" s="194"/>
      <c r="D29" s="194"/>
      <c r="E29" s="205">
        <v>100000000</v>
      </c>
      <c r="F29" s="206">
        <f>-E26/365*D26</f>
        <v>-156000000</v>
      </c>
      <c r="G29" s="194"/>
      <c r="H29" s="194"/>
      <c r="I29" s="194"/>
      <c r="J29" s="194"/>
      <c r="K29" s="194"/>
      <c r="L29" s="194"/>
      <c r="M29" s="194"/>
    </row>
    <row r="30" spans="1:13" x14ac:dyDescent="0.3">
      <c r="A30" s="194" t="s">
        <v>225</v>
      </c>
      <c r="B30" s="194"/>
      <c r="C30" s="194"/>
      <c r="D30" s="194"/>
      <c r="E30" s="194"/>
      <c r="F30" s="204">
        <f>SUM(F22:F29)</f>
        <v>89696000</v>
      </c>
      <c r="G30" s="194"/>
      <c r="H30" s="194"/>
      <c r="I30" s="194"/>
      <c r="J30" s="194"/>
      <c r="K30" s="194"/>
      <c r="L30" s="194"/>
      <c r="M30" s="194"/>
    </row>
  </sheetData>
  <mergeCells count="1">
    <mergeCell ref="A2:F2"/>
  </mergeCells>
  <pageMargins left="0.35" right="0.1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Summary</vt:lpstr>
      <vt:lpstr>IRR</vt:lpstr>
      <vt:lpstr>Parameter</vt:lpstr>
      <vt:lpstr>IRR zest dan swissbell</vt:lpstr>
      <vt:lpstr>IRR zest Menanggung</vt:lpstr>
      <vt:lpstr>Summary Review new (2)</vt:lpstr>
      <vt:lpstr>Analisa</vt:lpstr>
      <vt:lpstr>Analisa!Print_Area</vt:lpstr>
      <vt:lpstr>IRR!Print_Area</vt:lpstr>
      <vt:lpstr>'IRR zest dan swissbell'!Print_Area</vt:lpstr>
      <vt:lpstr>'IRR zest Menanggung'!Print_Area</vt:lpstr>
      <vt:lpstr>Summary!Print_Area</vt:lpstr>
      <vt:lpstr>'Summary Review new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Subianto Kasmun</dc:creator>
  <cp:lastModifiedBy>Citra Kartika</cp:lastModifiedBy>
  <cp:lastPrinted>2025-03-26T04:44:59Z</cp:lastPrinted>
  <dcterms:created xsi:type="dcterms:W3CDTF">2024-01-30T02:49:52Z</dcterms:created>
  <dcterms:modified xsi:type="dcterms:W3CDTF">2025-03-27T05:03:21Z</dcterms:modified>
</cp:coreProperties>
</file>