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020 strategic planning\PnL\IBC\Graha Pena Surabaya\"/>
    </mc:Choice>
  </mc:AlternateContent>
  <xr:revisionPtr revIDLastSave="0" documentId="8_{21B72F6B-8104-4A19-A900-C5B9EA6CC938}" xr6:coauthVersionLast="36" xr6:coauthVersionMax="36" xr10:uidLastSave="{00000000-0000-0000-0000-000000000000}"/>
  <bookViews>
    <workbookView xWindow="-108" yWindow="-108" windowWidth="23256" windowHeight="12456" xr2:uid="{A4174494-61B9-4994-8303-9C4639E059BD}"/>
  </bookViews>
  <sheets>
    <sheet name="Summary" sheetId="1" r:id="rId1"/>
    <sheet name="Parameter" sheetId="4" r:id="rId2"/>
    <sheet name="IRR" sheetId="2" r:id="rId3"/>
    <sheet name="Summary Review new (2)" sheetId="16" r:id="rId4"/>
    <sheet name="Analisa" sheetId="17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2">#REF!</definedName>
    <definedName name="jk" localSheetId="0">#REF!</definedName>
    <definedName name="jk" localSheetId="3">#REF!</definedName>
    <definedName name="jk">#REF!</definedName>
    <definedName name="_xlnm.Print_Area" localSheetId="4">Analisa!$A$1:$F$30</definedName>
    <definedName name="_xlnm.Print_Area" localSheetId="2">IRR!$B$1:$Q$51</definedName>
    <definedName name="_xlnm.Print_Area" localSheetId="0">Summary!$B$2:$N$34</definedName>
    <definedName name="_xlnm.Print_Area" localSheetId="3">'Summary Review new (2)'!$A$1:$D$18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7" l="1"/>
  <c r="F28" i="17"/>
  <c r="F27" i="17"/>
  <c r="F26" i="17"/>
  <c r="F25" i="17"/>
  <c r="D20" i="17"/>
  <c r="F20" i="17" s="1"/>
  <c r="D19" i="17"/>
  <c r="F19" i="17" s="1"/>
  <c r="D18" i="17"/>
  <c r="F18" i="17" s="1"/>
  <c r="D17" i="17"/>
  <c r="F17" i="17" s="1"/>
  <c r="D10" i="17"/>
  <c r="F10" i="17" s="1"/>
  <c r="D11" i="17"/>
  <c r="D12" i="17"/>
  <c r="F12" i="17"/>
  <c r="D9" i="17"/>
  <c r="F22" i="17" l="1"/>
  <c r="F9" i="17"/>
  <c r="F14" i="17" s="1"/>
  <c r="G25" i="2" l="1"/>
  <c r="H25" i="2"/>
  <c r="I25" i="2"/>
  <c r="J25" i="2"/>
  <c r="K25" i="2"/>
  <c r="C70" i="4" l="1"/>
  <c r="M8" i="1"/>
  <c r="D7" i="1" l="1"/>
  <c r="G19" i="2" l="1"/>
  <c r="Q10" i="2" l="1"/>
  <c r="A3" i="4" l="1"/>
  <c r="H17" i="2"/>
  <c r="H19" i="2" l="1"/>
  <c r="G46" i="2"/>
  <c r="G11" i="2" l="1"/>
  <c r="G36" i="2" s="1"/>
  <c r="A6" i="4" l="1"/>
  <c r="I17" i="2" l="1"/>
  <c r="J17" i="2" l="1"/>
  <c r="I19" i="2"/>
  <c r="N2" i="1"/>
  <c r="K36" i="2"/>
  <c r="A9" i="4"/>
  <c r="A12" i="4" s="1"/>
  <c r="A15" i="4" s="1"/>
  <c r="A18" i="4" s="1"/>
  <c r="A21" i="4" s="1"/>
  <c r="A24" i="4" s="1"/>
  <c r="A27" i="4" s="1"/>
  <c r="A30" i="4" s="1"/>
  <c r="Q9" i="2"/>
  <c r="Q11" i="2" s="1"/>
  <c r="K17" i="2" l="1"/>
  <c r="J19" i="2"/>
  <c r="Q1" i="2"/>
  <c r="K19" i="2" l="1"/>
  <c r="M12" i="1"/>
  <c r="H69" i="4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H74" i="4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I31" i="2" s="1"/>
  <c r="N26" i="4"/>
  <c r="M23" i="4"/>
  <c r="K17" i="4"/>
  <c r="L20" i="4"/>
  <c r="Q27" i="4"/>
  <c r="O24" i="4"/>
  <c r="O26" i="4" s="1"/>
  <c r="O34" i="4" s="1"/>
  <c r="H31" i="2" s="1"/>
  <c r="N21" i="4"/>
  <c r="N23" i="4" s="1"/>
  <c r="M18" i="4"/>
  <c r="M20" i="4" s="1"/>
  <c r="L15" i="4"/>
  <c r="L17" i="4" s="1"/>
  <c r="N34" i="4" l="1"/>
  <c r="G31" i="2" s="1"/>
  <c r="L34" i="4"/>
  <c r="M34" i="4"/>
  <c r="R30" i="4"/>
  <c r="R32" i="4" s="1"/>
  <c r="R34" i="4" s="1"/>
  <c r="Q29" i="4"/>
  <c r="Q34" i="4" s="1"/>
  <c r="J31" i="2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48" i="2"/>
  <c r="K48" i="2" s="1"/>
  <c r="H47" i="2"/>
  <c r="J47" i="2" s="1"/>
  <c r="K47" i="2" s="1"/>
  <c r="K45" i="2"/>
  <c r="J45" i="2"/>
  <c r="I45" i="2"/>
  <c r="H45" i="2"/>
  <c r="G45" i="2"/>
  <c r="J36" i="2"/>
  <c r="I36" i="2"/>
  <c r="H36" i="2"/>
  <c r="H23" i="2"/>
  <c r="Q22" i="2"/>
  <c r="M13" i="1" s="1"/>
  <c r="F37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Q17" i="2"/>
  <c r="H12" i="4"/>
  <c r="H14" i="4" s="1"/>
  <c r="G9" i="4"/>
  <c r="C43" i="4"/>
  <c r="E3" i="4"/>
  <c r="F6" i="4"/>
  <c r="F8" i="4" s="1"/>
  <c r="F38" i="2"/>
  <c r="I23" i="2"/>
  <c r="J23" i="2" s="1"/>
  <c r="K23" i="2" s="1"/>
  <c r="I75" i="4" l="1"/>
  <c r="Q19" i="2"/>
  <c r="M11" i="1" s="1"/>
  <c r="E5" i="4"/>
  <c r="E34" i="4" s="1"/>
  <c r="G11" i="4"/>
  <c r="D45" i="4"/>
  <c r="D44" i="4" s="1"/>
  <c r="F3" i="4"/>
  <c r="H9" i="4"/>
  <c r="H11" i="4" s="1"/>
  <c r="I12" i="4"/>
  <c r="G6" i="4"/>
  <c r="G51" i="2"/>
  <c r="H46" i="2"/>
  <c r="J75" i="4" l="1"/>
  <c r="L77" i="4" s="1"/>
  <c r="G24" i="2" s="1"/>
  <c r="J76" i="4"/>
  <c r="L76" i="4" s="1"/>
  <c r="G29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1" i="2"/>
  <c r="H29" i="2" s="1"/>
  <c r="I46" i="2"/>
  <c r="J46" i="2" s="1"/>
  <c r="K46" i="2" s="1"/>
  <c r="Q25" i="2"/>
  <c r="H24" i="2" l="1"/>
  <c r="I24" i="2" s="1"/>
  <c r="J24" i="2" s="1"/>
  <c r="K24" i="2" s="1"/>
  <c r="G26" i="2"/>
  <c r="G27" i="2" s="1"/>
  <c r="G30" i="2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1" i="2"/>
  <c r="I29" i="2" s="1"/>
  <c r="Q23" i="2"/>
  <c r="F43" i="4" l="1"/>
  <c r="G45" i="4" s="1"/>
  <c r="G44" i="4" s="1"/>
  <c r="F44" i="4"/>
  <c r="H34" i="4"/>
  <c r="H26" i="2"/>
  <c r="H27" i="2" s="1"/>
  <c r="I3" i="4"/>
  <c r="I5" i="4" s="1"/>
  <c r="I34" i="4" s="1"/>
  <c r="J51" i="2"/>
  <c r="J29" i="2" s="1"/>
  <c r="K51" i="2" l="1"/>
  <c r="Q46" i="2"/>
  <c r="G32" i="2"/>
  <c r="G33" i="2" s="1"/>
  <c r="H28" i="2"/>
  <c r="H30" i="2"/>
  <c r="I26" i="2"/>
  <c r="I27" i="2" s="1"/>
  <c r="G43" i="4"/>
  <c r="H45" i="4" s="1"/>
  <c r="J3" i="4"/>
  <c r="J5" i="4" s="1"/>
  <c r="J34" i="4" s="1"/>
  <c r="Q31" i="2" s="1"/>
  <c r="K29" i="2" l="1"/>
  <c r="Q51" i="2"/>
  <c r="H32" i="2"/>
  <c r="G34" i="2"/>
  <c r="G37" i="2" s="1"/>
  <c r="I28" i="2"/>
  <c r="I30" i="2"/>
  <c r="I32" i="2" s="1"/>
  <c r="J26" i="2"/>
  <c r="J27" i="2" s="1"/>
  <c r="J30" i="2" s="1"/>
  <c r="J32" i="2" s="1"/>
  <c r="J33" i="2" s="1"/>
  <c r="K26" i="2"/>
  <c r="K27" i="2" s="1"/>
  <c r="H44" i="4"/>
  <c r="H43" i="4"/>
  <c r="I45" i="4" s="1"/>
  <c r="I44" i="4" s="1"/>
  <c r="H33" i="2" l="1"/>
  <c r="H34" i="2" s="1"/>
  <c r="H37" i="2" s="1"/>
  <c r="K30" i="2"/>
  <c r="K32" i="2" s="1"/>
  <c r="K33" i="2" s="1"/>
  <c r="K34" i="2" s="1"/>
  <c r="K37" i="2" s="1"/>
  <c r="Q29" i="2"/>
  <c r="G38" i="2"/>
  <c r="Q24" i="2"/>
  <c r="M14" i="1" s="1"/>
  <c r="K28" i="2"/>
  <c r="J28" i="2"/>
  <c r="J34" i="2"/>
  <c r="J37" i="2" s="1"/>
  <c r="I33" i="2"/>
  <c r="I43" i="4"/>
  <c r="J45" i="4" s="1"/>
  <c r="J44" i="4" s="1"/>
  <c r="H38" i="2" l="1"/>
  <c r="H39" i="2" s="1"/>
  <c r="G39" i="2"/>
  <c r="Q26" i="2"/>
  <c r="Q27" i="2" s="1"/>
  <c r="Q28" i="2" s="1"/>
  <c r="F42" i="2" s="1"/>
  <c r="Q32" i="2"/>
  <c r="Q33" i="2"/>
  <c r="I34" i="2"/>
  <c r="I37" i="2" s="1"/>
  <c r="J43" i="4"/>
  <c r="K45" i="4" s="1"/>
  <c r="K44" i="4" s="1"/>
  <c r="F41" i="2" l="1"/>
  <c r="M17" i="1" s="1"/>
  <c r="F40" i="2"/>
  <c r="M16" i="1" s="1"/>
  <c r="M18" i="1"/>
  <c r="Q34" i="2"/>
  <c r="Q30" i="2"/>
  <c r="Q37" i="2"/>
  <c r="I38" i="2"/>
  <c r="K43" i="4"/>
  <c r="J38" i="2" l="1"/>
  <c r="J39" i="2" s="1"/>
  <c r="I39" i="2"/>
  <c r="K38" i="2" l="1"/>
  <c r="K39" i="2" s="1"/>
  <c r="F43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<sst xmlns="http://schemas.openxmlformats.org/spreadsheetml/2006/main" count="312" uniqueCount="223">
  <si>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</si>
  <si>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</si>
  <si>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</si>
  <si>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</si>
  <si>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</si>
  <si>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</si>
  <si>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</si>
  <si>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</si>
  <si>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</si>
  <si>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</si>
  <si>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</si>
  <si>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</si>
  <si>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</si>
  <si>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</si>
  <si>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</si>
  <si>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</si>
  <si>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</si>
  <si>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</si>
  <si>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</si>
  <si>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</si>
  <si>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</si>
  <si>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</si>
  <si>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</si>
  <si>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</si>
  <si>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</si>
  <si>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</si>
  <si>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</si>
  <si>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</si>
  <si>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</si>
  <si>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</si>
  <si>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</si>
  <si>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</si>
  <si>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</si>
  <si>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</si>
  <si>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</si>
  <si>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</si>
  <si>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</si>
  <si>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</si>
  <si>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</si>
  <si>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</si>
  <si>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</si>
  <si>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</si>
  <si>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</si>
  <si>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</si>
  <si>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</si>
  <si>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</si>
  <si>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</si>
  <si>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</si>
  <si>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</si>
  <si>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</si>
  <si>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</si>
  <si>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</si>
  <si>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</si>
  <si>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</si>
  <si>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</si>
  <si>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</si>
  <si>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</si>
  <si>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</si>
  <si>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</si>
  <si>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</si>
  <si>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</si>
  <si>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</si>
  <si>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</si>
  <si>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</si>
  <si>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</si>
  <si>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</si>
  <si>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</si>
  <si>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</si>
  <si>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</si>
  <si>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</si>
  <si>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</si>
  <si>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</si>
  <si>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</si>
  <si>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</si>
  <si>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</si>
  <si>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</si>
  <si>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</si>
  <si>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</si>
  <si>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</si>
  <si>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</si>
  <si>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</si>
  <si>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</si>
  <si>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</si>
  <si>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</si>
  <si>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</si>
  <si>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</si>
  <si>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</si>
  <si>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</si>
  <si>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</si>
  <si>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</si>
  <si>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</si>
  <si>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</si>
  <si>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</si>
  <si>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</si>
  <si>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</si>
  <si>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</si>
  <si>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</si>
  <si>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</si>
  <si>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</si>
  <si>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</si>
  <si>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</si>
  <si>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</si>
  <si>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</si>
  <si>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</si>
  <si>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</si>
  <si>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</si>
  <si>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</si>
  <si>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</si>
  <si>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</si>
  <si>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</si>
  <si>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</si>
  <si>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</si>
  <si>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</si>
  <si>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</si>
  <si>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</si>
  <si>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</si>
  <si>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</si>
  <si>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</si>
  <si>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</si>
  <si>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</si>
  <si>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</si>
  <si>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</si>
  <si>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</si>
  <si>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</si>
  <si>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</si>
  <si>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</si>
  <si>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</si>
  <si>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</si>
  <si>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</si>
  <si>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</si>
  <si>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</si>
  <si>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</si>
  <si>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</si>
  <si>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</si>
  <si>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</si>
  <si>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</si>
  <si>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</si>
  <si>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</si>
  <si>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</si>
  <si>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</si>
  <si>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</si>
  <si>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</si>
  <si>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</si>
  <si>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</si>
  <si>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</si>
  <si>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</si>
  <si>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</si>
  <si>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</si>
  <si>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</si>
  <si>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</si>
  <si>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</si>
  <si>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</si>
  <si>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</si>
  <si>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</si>
  <si>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</si>
  <si>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</si>
  <si>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</si>
  <si>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</si>
  <si>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</si>
  <si>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</si>
  <si>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</si>
  <si>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</si>
  <si>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</si>
  <si>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</si>
  <si>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</si>
  <si>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</si>
  <si>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</si>
  <si>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</si>
  <si>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</si>
  <si>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</si>
  <si>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</si>
  <si>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</si>
  <si>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</si>
  <si>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</si>
  <si>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</si>
  <si>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</si>
  <si>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</si>
  <si>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No</t>
  </si>
  <si>
    <t>TSEL</t>
  </si>
  <si>
    <t xml:space="preserve">Telp                                            </t>
  </si>
  <si>
    <t xml:space="preserve">Obyek Sewa            </t>
  </si>
  <si>
    <t>1.</t>
  </si>
  <si>
    <t>2.</t>
  </si>
  <si>
    <t>3.</t>
  </si>
  <si>
    <t>Harga Sewa / Tahun</t>
  </si>
  <si>
    <t>6.</t>
  </si>
  <si>
    <t xml:space="preserve">Nama Site                          </t>
  </si>
  <si>
    <t>: Graha Pena Surabaya</t>
  </si>
  <si>
    <t xml:space="preserve">Nama Pemilik      </t>
  </si>
  <si>
    <t>: PT. Graha Pena Jawa Pos</t>
  </si>
  <si>
    <t xml:space="preserve">Alamat Pemilik      </t>
  </si>
  <si>
    <t>: Jln. Ahmad Yani No. 88</t>
  </si>
  <si>
    <t>: 61 omni, 30 m2 RBS Room</t>
  </si>
  <si>
    <t>82 omni, 8 Pole &amp; 30 m2 RBS Room</t>
  </si>
  <si>
    <t>27 Maret 2020 s/d 26 Maret 2025 (5 tahun)</t>
  </si>
  <si>
    <t>27 Maret 2025 s/d 26 Maret 2030 (5 tahun)</t>
  </si>
  <si>
    <t>Harga Sewa / Masa Sewa</t>
  </si>
  <si>
    <t>Rp.                                                       500.000.000</t>
  </si>
  <si>
    <t>Rp.                                                       100.000.000</t>
  </si>
  <si>
    <t>TSEL (11/11/2021 s/d 10/11/2026)</t>
  </si>
  <si>
    <t>Rp.                                                         258.210.000</t>
  </si>
  <si>
    <t>Office</t>
  </si>
  <si>
    <t>BV 28 Feb 25</t>
  </si>
  <si>
    <t>Total Capex BV 28 Feb 25</t>
  </si>
  <si>
    <t>mengalami kenaikan harga sebesar 20 %</t>
  </si>
  <si>
    <t xml:space="preserve">Periode </t>
  </si>
  <si>
    <t>Start</t>
  </si>
  <si>
    <t>End</t>
  </si>
  <si>
    <t>Sewa BM</t>
  </si>
  <si>
    <t>Days</t>
  </si>
  <si>
    <t xml:space="preserve">Sewa BM </t>
  </si>
  <si>
    <t xml:space="preserve">OM </t>
  </si>
  <si>
    <t>Antisipasi Add Capex and Pole</t>
  </si>
  <si>
    <t>Profit</t>
  </si>
  <si>
    <t>SITE Graha Pena Surabaya</t>
  </si>
  <si>
    <t>Rev Tsel</t>
  </si>
  <si>
    <t>Worse &gt;&gt; Jika Sewa BM diperpanjang 5 tahun dan Tsel sesuai periodenya Tsel, maka:</t>
  </si>
  <si>
    <t>Listrik</t>
  </si>
  <si>
    <t>Conservative &gt;&gt; Jika Sewa BM diperpanjang sesuai Periode Tsel , maka:</t>
  </si>
  <si>
    <t>Optimis &gt;&gt; Jika Sewa BM diperpanjang 5thn dan Tsel mengikuti, maka:</t>
  </si>
  <si>
    <t>IRR Negatif (-1%) karena BV masih besar, jika tanpa BV maka IRR menjadi 34%</t>
  </si>
  <si>
    <t>0005/IRR/IBC/III/2025</t>
  </si>
  <si>
    <t>2 pole @ 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</si>
</sst>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0.000"/>
    <numFmt numFmtId="172" formatCode="[$-C09]dd\-mmm\-yy;@"/>
    <numFmt numFmtId="173" formatCode="#,###&quot;/thn&quot;"/>
    <numFmt numFmtId="174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49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21" fillId="0" borderId="0" xfId="8" applyFont="1" applyAlignment="1">
      <alignment horizontal="left" vertical="top"/>
    </xf>
    <xf numFmtId="0" fontId="21" fillId="0" borderId="0" xfId="8" applyFont="1"/>
    <xf numFmtId="0" fontId="19" fillId="0" borderId="24" xfId="8" applyFont="1" applyBorder="1"/>
    <xf numFmtId="0" fontId="0" fillId="0" borderId="24" xfId="8" applyFont="1" applyBorder="1"/>
    <xf numFmtId="164" fontId="0" fillId="0" borderId="24" xfId="9" applyFont="1" applyBorder="1" applyAlignment="1">
      <alignment horizontal="left"/>
    </xf>
    <xf numFmtId="0" fontId="19" fillId="0" borderId="24" xfId="8" applyFont="1" applyFill="1" applyBorder="1"/>
    <xf numFmtId="0" fontId="3" fillId="0" borderId="0" xfId="3" applyAlignment="1">
      <alignment horizontal="center"/>
    </xf>
    <xf numFmtId="171" fontId="19" fillId="0" borderId="0" xfId="8" applyNumberFormat="1" applyFont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2" fontId="19" fillId="0" borderId="24" xfId="8" applyNumberFormat="1" applyBorder="1" applyAlignment="1">
      <alignment horizontal="center"/>
    </xf>
    <xf numFmtId="172" fontId="19" fillId="0" borderId="0" xfId="8" applyNumberFormat="1"/>
    <xf numFmtId="0" fontId="2" fillId="0" borderId="0" xfId="10" applyFont="1" applyAlignment="1">
      <alignment horizontal="center"/>
    </xf>
    <xf numFmtId="172" fontId="19" fillId="0" borderId="0" xfId="8" applyNumberFormat="1" applyAlignment="1">
      <alignment horizontal="center"/>
    </xf>
    <xf numFmtId="165" fontId="19" fillId="0" borderId="0" xfId="2" applyFont="1" applyBorder="1"/>
    <xf numFmtId="173" fontId="19" fillId="0" borderId="0" xfId="11" applyNumberFormat="1" applyFont="1"/>
    <xf numFmtId="165" fontId="19" fillId="0" borderId="0" xfId="8" applyNumberFormat="1"/>
    <xf numFmtId="174" fontId="19" fillId="0" borderId="0" xfId="12" applyNumberFormat="1" applyFont="1"/>
    <xf numFmtId="41" fontId="19" fillId="0" borderId="15" xfId="11" applyFont="1" applyBorder="1"/>
    <xf numFmtId="165" fontId="19" fillId="0" borderId="15" xfId="8" applyNumberFormat="1" applyBorder="1"/>
    <xf numFmtId="165" fontId="0" fillId="0" borderId="0" xfId="0" applyNumberFormat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9" fontId="0" fillId="0" borderId="24" xfId="8" applyNumberFormat="1" applyFont="1" applyBorder="1" applyAlignment="1">
      <alignment horizontal="center" wrapText="1"/>
    </xf>
    <xf numFmtId="0" fontId="19" fillId="0" borderId="24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4" xfId="8" applyFont="1" applyFill="1" applyBorder="1" applyAlignment="1">
      <alignment horizontal="center" vertical="center"/>
    </xf>
    <xf numFmtId="0" fontId="19" fillId="0" borderId="24" xfId="8" applyFont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47457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LIWO%20CIBUBUR\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AEON\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topLeftCell="A11" zoomScaleNormal="100" workbookViewId="0">
      <selection activeCell="S23" sqref="S23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 t="s">
        <v>221</v>
      </c>
      <c r="M2" s="3"/>
      <c r="N2" s="4" t="str">
        <f>D7</f>
        <v>: Graha Pena Surabaya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>
        <v>45727</v>
      </c>
    </row>
    <row r="4" spans="2:14" ht="18" x14ac:dyDescent="0.35">
      <c r="C4" s="5" t="s">
        <v>4</v>
      </c>
      <c r="D4" s="2" t="s">
        <v>176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24" t="s">
        <v>5</v>
      </c>
      <c r="C6" s="225"/>
      <c r="D6" s="226"/>
      <c r="E6" s="224" t="s">
        <v>6</v>
      </c>
      <c r="F6" s="225"/>
      <c r="G6" s="225"/>
      <c r="H6" s="225"/>
      <c r="I6" s="225"/>
      <c r="J6" s="224" t="s">
        <v>7</v>
      </c>
      <c r="K6" s="225"/>
      <c r="L6" s="225"/>
      <c r="M6" s="225"/>
      <c r="N6" s="226"/>
    </row>
    <row r="7" spans="2:14" x14ac:dyDescent="0.3">
      <c r="B7" s="227" t="s">
        <v>8</v>
      </c>
      <c r="C7" s="228"/>
      <c r="D7" s="8" t="str">
        <f>'Summary Review new (2)'!C3</f>
        <v>: Graha Pena Surabaya</v>
      </c>
      <c r="E7" s="229" t="s">
        <v>9</v>
      </c>
      <c r="F7" s="229"/>
      <c r="G7" s="229"/>
      <c r="H7" s="229"/>
      <c r="I7" s="229"/>
      <c r="J7" s="9"/>
      <c r="K7" s="228" t="s">
        <v>10</v>
      </c>
      <c r="L7" s="228"/>
      <c r="M7" s="173">
        <v>1446597954</v>
      </c>
      <c r="N7" s="8"/>
    </row>
    <row r="8" spans="2:14" x14ac:dyDescent="0.3">
      <c r="B8" s="220" t="s">
        <v>11</v>
      </c>
      <c r="C8" s="221"/>
      <c r="D8" s="10"/>
      <c r="E8" s="219" t="s">
        <v>12</v>
      </c>
      <c r="F8" s="219"/>
      <c r="G8" s="219"/>
      <c r="H8" s="11">
        <v>150</v>
      </c>
      <c r="J8" s="12"/>
      <c r="K8" s="219" t="s">
        <v>13</v>
      </c>
      <c r="L8" s="219"/>
      <c r="M8" s="174">
        <f>M7/H9</f>
        <v>9213999.7070063688</v>
      </c>
      <c r="N8" s="13"/>
    </row>
    <row r="9" spans="2:14" x14ac:dyDescent="0.3">
      <c r="B9" s="220"/>
      <c r="C9" s="221"/>
      <c r="D9" s="13"/>
      <c r="E9" s="219" t="s">
        <v>14</v>
      </c>
      <c r="F9" s="219"/>
      <c r="G9" s="219"/>
      <c r="H9" s="11">
        <v>157</v>
      </c>
      <c r="J9" s="12"/>
      <c r="K9" s="219" t="s">
        <v>15</v>
      </c>
      <c r="L9" s="219"/>
      <c r="M9" s="175">
        <v>5</v>
      </c>
      <c r="N9" s="13"/>
    </row>
    <row r="10" spans="2:14" x14ac:dyDescent="0.3">
      <c r="B10" s="14" t="s">
        <v>16</v>
      </c>
      <c r="C10" s="15"/>
      <c r="D10" s="13"/>
      <c r="E10" s="219" t="s">
        <v>17</v>
      </c>
      <c r="F10" s="219"/>
      <c r="G10" s="219"/>
      <c r="H10" s="222" t="s">
        <v>222</v>
      </c>
      <c r="I10" s="223"/>
      <c r="J10" s="12"/>
      <c r="K10" s="16" t="s">
        <v>18</v>
      </c>
      <c r="L10" s="16"/>
      <c r="M10" s="176">
        <f>[2]IRR!F3</f>
        <v>0.1</v>
      </c>
      <c r="N10" s="13"/>
    </row>
    <row r="11" spans="2:14" x14ac:dyDescent="0.3">
      <c r="B11" s="17" t="s">
        <v>19</v>
      </c>
      <c r="C11" s="16"/>
      <c r="D11" s="13" t="s">
        <v>201</v>
      </c>
      <c r="H11" s="222"/>
      <c r="I11" s="223"/>
      <c r="J11" s="18"/>
      <c r="K11" s="219" t="s">
        <v>21</v>
      </c>
      <c r="L11" s="219"/>
      <c r="M11" s="173">
        <f>IRR!Q19</f>
        <v>1291050000</v>
      </c>
      <c r="N11" s="13"/>
    </row>
    <row r="12" spans="2:14" x14ac:dyDescent="0.3">
      <c r="B12" s="17" t="s">
        <v>22</v>
      </c>
      <c r="C12" s="16"/>
      <c r="D12" s="13" t="s">
        <v>23</v>
      </c>
      <c r="E12" s="213" t="s">
        <v>20</v>
      </c>
      <c r="F12" s="213"/>
      <c r="G12" s="213"/>
      <c r="H12" s="213"/>
      <c r="I12" s="213"/>
      <c r="J12" s="12"/>
      <c r="K12" s="219" t="s">
        <v>203</v>
      </c>
      <c r="L12" s="219"/>
      <c r="M12" s="173">
        <f>IRR!G11</f>
        <v>275120350</v>
      </c>
      <c r="N12" s="13"/>
    </row>
    <row r="13" spans="2:14" x14ac:dyDescent="0.3">
      <c r="B13" s="17" t="s">
        <v>25</v>
      </c>
      <c r="C13" s="16"/>
      <c r="D13" s="20"/>
      <c r="E13" s="212" t="s">
        <v>24</v>
      </c>
      <c r="F13" s="212"/>
      <c r="G13" s="212"/>
      <c r="H13" s="19">
        <v>0</v>
      </c>
      <c r="J13" s="12"/>
      <c r="K13" s="219" t="s">
        <v>27</v>
      </c>
      <c r="L13" s="219"/>
      <c r="M13" s="173">
        <f>IRR!Q22</f>
        <v>600000000</v>
      </c>
      <c r="N13" s="13"/>
    </row>
    <row r="14" spans="2:14" x14ac:dyDescent="0.3">
      <c r="B14" s="17" t="s">
        <v>28</v>
      </c>
      <c r="C14" s="16"/>
      <c r="D14" s="20"/>
      <c r="E14" s="212" t="s">
        <v>26</v>
      </c>
      <c r="F14" s="212"/>
      <c r="G14" s="212"/>
      <c r="H14" s="19">
        <v>0</v>
      </c>
      <c r="J14" s="12"/>
      <c r="K14" s="164" t="s">
        <v>30</v>
      </c>
      <c r="L14" s="164"/>
      <c r="M14" s="174">
        <f>IRR!Q23+IRR!Q24+IRR!Q25</f>
        <v>417376250</v>
      </c>
      <c r="N14" s="13"/>
    </row>
    <row r="15" spans="2:14" ht="16.2" thickBot="1" x14ac:dyDescent="0.35">
      <c r="B15" s="17" t="s">
        <v>31</v>
      </c>
      <c r="C15" s="16"/>
      <c r="D15" s="21"/>
      <c r="E15" s="212" t="s">
        <v>29</v>
      </c>
      <c r="F15" s="212"/>
      <c r="G15" s="212"/>
      <c r="H15" s="19">
        <v>0</v>
      </c>
      <c r="J15" s="12"/>
      <c r="N15" s="13"/>
    </row>
    <row r="16" spans="2:14" x14ac:dyDescent="0.3">
      <c r="B16" s="12"/>
      <c r="D16" s="13"/>
      <c r="E16" s="213" t="s">
        <v>32</v>
      </c>
      <c r="F16" s="213"/>
      <c r="G16" s="213"/>
      <c r="H16" s="213"/>
      <c r="I16" s="213"/>
      <c r="J16" s="22"/>
      <c r="K16" s="214" t="s">
        <v>33</v>
      </c>
      <c r="L16" s="215"/>
      <c r="M16" s="23">
        <f>IRR!F40</f>
        <v>-5.9725578073757113E-3</v>
      </c>
      <c r="N16" s="13"/>
    </row>
    <row r="17" spans="2:18" x14ac:dyDescent="0.3">
      <c r="B17" s="12"/>
      <c r="D17" s="13"/>
      <c r="J17" s="24"/>
      <c r="K17" s="216" t="s">
        <v>34</v>
      </c>
      <c r="L17" s="217"/>
      <c r="M17" s="25">
        <f>IRR!F41</f>
        <v>-113309094.15402584</v>
      </c>
      <c r="N17" s="13"/>
    </row>
    <row r="18" spans="2:18" x14ac:dyDescent="0.3">
      <c r="B18" s="12"/>
      <c r="D18" s="13"/>
      <c r="J18" s="24"/>
      <c r="K18" s="216" t="s">
        <v>35</v>
      </c>
      <c r="L18" s="217"/>
      <c r="M18" s="26">
        <f>IRR!F42</f>
        <v>0.21197765384764339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208" t="s">
        <v>37</v>
      </c>
      <c r="L19" s="209"/>
      <c r="M19" s="27">
        <f>IRR!F43</f>
        <v>0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18" t="s">
        <v>39</v>
      </c>
      <c r="L21" s="218"/>
      <c r="M21" s="218"/>
      <c r="N21" s="8"/>
    </row>
    <row r="22" spans="2:18" x14ac:dyDescent="0.3">
      <c r="B22" s="12"/>
      <c r="K22" s="191"/>
      <c r="L22" s="210" t="s">
        <v>41</v>
      </c>
      <c r="M22" s="211"/>
      <c r="N22" s="13"/>
    </row>
    <row r="23" spans="2:18" x14ac:dyDescent="0.3">
      <c r="B23" s="12"/>
      <c r="C23" s="1" t="s">
        <v>220</v>
      </c>
      <c r="N23" s="13"/>
    </row>
    <row r="24" spans="2:18" x14ac:dyDescent="0.3">
      <c r="B24" s="12"/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"/>
    <row r="28" spans="2:18" x14ac:dyDescent="0.3">
      <c r="B28" s="2" t="s">
        <v>42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3" right="0.16" top="0.52" bottom="0.59" header="0.3" footer="0.3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L77" sqref="L77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5" t="s">
        <v>98</v>
      </c>
    </row>
    <row r="2" spans="1:20" x14ac:dyDescent="0.3">
      <c r="A2" s="126" t="s">
        <v>99</v>
      </c>
      <c r="B2" s="127">
        <v>5</v>
      </c>
      <c r="C2" s="128">
        <v>2017</v>
      </c>
      <c r="D2" s="128">
        <f>C2+1</f>
        <v>2018</v>
      </c>
      <c r="E2" s="128">
        <f t="shared" ref="E2:M2" si="0">D2+1</f>
        <v>2019</v>
      </c>
      <c r="F2" s="128">
        <f t="shared" si="0"/>
        <v>2020</v>
      </c>
      <c r="G2" s="128">
        <f t="shared" si="0"/>
        <v>2021</v>
      </c>
      <c r="H2" s="128">
        <f t="shared" si="0"/>
        <v>2022</v>
      </c>
      <c r="I2" s="128">
        <f t="shared" si="0"/>
        <v>2023</v>
      </c>
      <c r="J2" s="128">
        <f t="shared" si="0"/>
        <v>2024</v>
      </c>
      <c r="K2" s="128">
        <f t="shared" si="0"/>
        <v>2025</v>
      </c>
      <c r="L2" s="128">
        <f t="shared" si="0"/>
        <v>2026</v>
      </c>
      <c r="M2" s="128">
        <f t="shared" si="0"/>
        <v>2027</v>
      </c>
      <c r="N2" s="128">
        <f t="shared" ref="N2" si="1">M2+1</f>
        <v>2028</v>
      </c>
      <c r="O2" s="128">
        <f t="shared" ref="O2" si="2">N2+1</f>
        <v>2029</v>
      </c>
      <c r="P2" s="128">
        <f t="shared" ref="P2" si="3">O2+1</f>
        <v>2030</v>
      </c>
      <c r="Q2" s="128">
        <f t="shared" ref="Q2:R2" si="4">P2+1</f>
        <v>2031</v>
      </c>
      <c r="R2" s="128">
        <f t="shared" si="4"/>
        <v>2032</v>
      </c>
    </row>
    <row r="3" spans="1:20" x14ac:dyDescent="0.3">
      <c r="A3" s="129">
        <f>C2</f>
        <v>2017</v>
      </c>
      <c r="B3" t="s">
        <v>100</v>
      </c>
      <c r="C3" s="130">
        <v>96484300</v>
      </c>
      <c r="D3" s="131">
        <f>C3-C4</f>
        <v>77187440</v>
      </c>
      <c r="E3" s="131">
        <f>D3-C4</f>
        <v>57890580</v>
      </c>
      <c r="F3" s="131">
        <f>E3-C4</f>
        <v>38593720</v>
      </c>
      <c r="G3" s="131">
        <f>F3-C4</f>
        <v>19296860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">
      <c r="A4" s="132"/>
      <c r="B4" t="s">
        <v>101</v>
      </c>
      <c r="C4" s="130">
        <f>C3/B2</f>
        <v>19296860</v>
      </c>
      <c r="D4" s="130"/>
      <c r="E4" s="130"/>
      <c r="R4">
        <v>2014</v>
      </c>
      <c r="S4" s="130">
        <v>422342499</v>
      </c>
    </row>
    <row r="5" spans="1:20" x14ac:dyDescent="0.3">
      <c r="A5" s="132"/>
      <c r="B5" t="s">
        <v>102</v>
      </c>
      <c r="C5" s="130">
        <f>(($C$3*IRR!E4*6)/12)</f>
        <v>4824215</v>
      </c>
      <c r="D5" s="131">
        <f>AVERAGE(C3:D3)*IRR!E4</f>
        <v>8683587</v>
      </c>
      <c r="E5" s="131">
        <f>AVERAGE(D3:E3)*IRR!E4</f>
        <v>6753901</v>
      </c>
      <c r="F5" s="131">
        <f>AVERAGE(E3:F3)*IRR!E4</f>
        <v>4824215</v>
      </c>
      <c r="G5" s="131">
        <f>AVERAGE(F3:G3)*IRR!E4</f>
        <v>2894529</v>
      </c>
      <c r="H5" s="131">
        <f>AVERAGE(G3:H3)*IRR!E4</f>
        <v>964843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">
      <c r="A6" s="129">
        <f>A3+1</f>
        <v>2018</v>
      </c>
      <c r="B6" t="s">
        <v>100</v>
      </c>
      <c r="C6" s="130"/>
      <c r="D6" s="131">
        <v>1504055493</v>
      </c>
      <c r="E6" s="131">
        <f>D6-D7</f>
        <v>1203244394.4000001</v>
      </c>
      <c r="F6" s="131">
        <f>E6-D7</f>
        <v>902433295.80000007</v>
      </c>
      <c r="G6" s="131">
        <f>F6-D7</f>
        <v>601622197.20000005</v>
      </c>
      <c r="H6" s="131">
        <f>G6-D7</f>
        <v>300811098.60000002</v>
      </c>
      <c r="I6" s="131"/>
      <c r="J6" s="131"/>
      <c r="K6" s="131"/>
      <c r="R6">
        <v>2017</v>
      </c>
      <c r="S6" s="130">
        <v>102210600</v>
      </c>
    </row>
    <row r="7" spans="1:20" x14ac:dyDescent="0.3">
      <c r="A7" s="132"/>
      <c r="B7" t="s">
        <v>101</v>
      </c>
      <c r="C7" s="130"/>
      <c r="D7" s="131">
        <f>D6/B2</f>
        <v>300811098.60000002</v>
      </c>
      <c r="E7" s="131"/>
      <c r="F7" s="131"/>
      <c r="G7" s="131"/>
      <c r="H7" s="131"/>
      <c r="I7" s="131"/>
      <c r="J7" s="131"/>
      <c r="K7" s="131"/>
    </row>
    <row r="8" spans="1:20" x14ac:dyDescent="0.3">
      <c r="A8" s="132"/>
      <c r="B8" t="s">
        <v>102</v>
      </c>
      <c r="C8" s="130"/>
      <c r="D8" s="130">
        <f>((D6*IRR!E4*6)/12)</f>
        <v>75202774.650000006</v>
      </c>
      <c r="E8" s="131">
        <f>AVERAGE(D6:E6)*IRR!E4</f>
        <v>135364994.37</v>
      </c>
      <c r="F8" s="131">
        <f>AVERAGE(E6:F6)*IRR!E4</f>
        <v>105283884.51000002</v>
      </c>
      <c r="G8" s="131">
        <f>AVERAGE(F6:G6)*IRR!E4</f>
        <v>75202774.650000006</v>
      </c>
      <c r="H8" s="131">
        <f>AVERAGE(G6:H6)*IRR!E4</f>
        <v>45121664.790000007</v>
      </c>
      <c r="I8" s="131">
        <f>AVERAGE(H6:I6)*IRR!E4</f>
        <v>30081109.860000003</v>
      </c>
      <c r="J8" s="131"/>
      <c r="K8" s="131"/>
    </row>
    <row r="9" spans="1:20" x14ac:dyDescent="0.3">
      <c r="A9" s="129">
        <f>A6+1</f>
        <v>2019</v>
      </c>
      <c r="B9" t="s">
        <v>100</v>
      </c>
      <c r="C9" s="130"/>
      <c r="D9" s="131"/>
      <c r="E9" s="131">
        <v>121155360</v>
      </c>
      <c r="F9" s="131">
        <f>E9-E10</f>
        <v>96924288</v>
      </c>
      <c r="G9" s="131">
        <f>F9-E10</f>
        <v>72693216</v>
      </c>
      <c r="H9" s="131">
        <f>G9-E10</f>
        <v>48462144</v>
      </c>
      <c r="I9" s="131">
        <f>H9-E10</f>
        <v>24231072</v>
      </c>
      <c r="J9" s="131">
        <f>I9-E10</f>
        <v>0</v>
      </c>
    </row>
    <row r="10" spans="1:20" x14ac:dyDescent="0.3">
      <c r="A10" s="132"/>
      <c r="B10" t="s">
        <v>101</v>
      </c>
      <c r="C10" s="130"/>
      <c r="D10" s="131"/>
      <c r="E10" s="131">
        <f>E9/B2</f>
        <v>24231072</v>
      </c>
      <c r="F10" s="131"/>
      <c r="G10" s="131"/>
      <c r="H10" s="131"/>
      <c r="I10" s="131"/>
      <c r="J10" s="131"/>
    </row>
    <row r="11" spans="1:20" x14ac:dyDescent="0.3">
      <c r="A11" s="132"/>
      <c r="B11" t="s">
        <v>102</v>
      </c>
      <c r="C11" s="130"/>
      <c r="D11" s="131"/>
      <c r="E11" s="130">
        <f>((E9*IRR!E4*6)/12)</f>
        <v>6057768</v>
      </c>
      <c r="F11" s="131">
        <f>AVERAGE(E9:F9)*IRR!$E$4</f>
        <v>10903982.4</v>
      </c>
      <c r="G11" s="131">
        <f>AVERAGE(F9:G9)*IRR!$E$4</f>
        <v>8480875.2000000011</v>
      </c>
      <c r="H11" s="131">
        <f>AVERAGE(G9:H9)*IRR!$E$4</f>
        <v>6057768</v>
      </c>
      <c r="I11" s="131">
        <f>AVERAGE(H9:I9)*IRR!$E$4</f>
        <v>3634660.8000000003</v>
      </c>
      <c r="J11" s="131">
        <f>AVERAGE(I9:J9)*IRR!$E$4</f>
        <v>1211553.6000000001</v>
      </c>
    </row>
    <row r="12" spans="1:20" x14ac:dyDescent="0.3">
      <c r="A12" s="129">
        <f>A9+1</f>
        <v>2020</v>
      </c>
      <c r="B12" t="s">
        <v>100</v>
      </c>
      <c r="C12" s="130"/>
      <c r="D12" s="131"/>
      <c r="E12" s="131"/>
      <c r="F12" s="131">
        <v>20145558</v>
      </c>
      <c r="G12" s="131">
        <f>F12-F13</f>
        <v>16116446.4</v>
      </c>
      <c r="H12" s="131">
        <f>G12-F13</f>
        <v>12087334.800000001</v>
      </c>
      <c r="I12" s="131">
        <f>H12-F13</f>
        <v>8058223.2000000011</v>
      </c>
      <c r="J12" s="131">
        <f>I12-F13</f>
        <v>4029111.600000001</v>
      </c>
      <c r="K12" s="131">
        <f>J12-F13</f>
        <v>0</v>
      </c>
    </row>
    <row r="13" spans="1:20" x14ac:dyDescent="0.3">
      <c r="B13" t="s">
        <v>101</v>
      </c>
      <c r="C13" s="130"/>
      <c r="D13" s="131"/>
      <c r="E13" s="131"/>
      <c r="F13" s="131">
        <f>F12/B2</f>
        <v>4029111.6</v>
      </c>
      <c r="G13" s="131"/>
      <c r="H13" s="131"/>
      <c r="I13" s="131"/>
      <c r="J13" s="131"/>
      <c r="K13" s="131"/>
    </row>
    <row r="14" spans="1:20" x14ac:dyDescent="0.3">
      <c r="B14" t="s">
        <v>102</v>
      </c>
      <c r="C14" s="130"/>
      <c r="D14" s="131"/>
      <c r="E14" s="130"/>
      <c r="F14" s="130">
        <f>((F12*IRR!E4*6)/12)</f>
        <v>1007277.9</v>
      </c>
      <c r="G14" s="131">
        <f>AVERAGE(F12:G12)*IRR!$E$4</f>
        <v>1813100.22</v>
      </c>
      <c r="H14" s="131">
        <f>AVERAGE(G12:H12)*IRR!$E$4</f>
        <v>1410189.0600000003</v>
      </c>
      <c r="I14" s="131">
        <f>AVERAGE(H12:I12)*IRR!$E$4</f>
        <v>1007277.9</v>
      </c>
      <c r="J14" s="131">
        <f>AVERAGE(I12:J12)*IRR!$E$4</f>
        <v>604366.74000000011</v>
      </c>
      <c r="K14" s="131">
        <f>AVERAGE(J12:K12)*IRR!$E$4</f>
        <v>201455.58000000007</v>
      </c>
    </row>
    <row r="15" spans="1:20" x14ac:dyDescent="0.3">
      <c r="A15" s="129">
        <f>A12+1</f>
        <v>2021</v>
      </c>
      <c r="B15" t="s">
        <v>100</v>
      </c>
      <c r="C15" s="130"/>
      <c r="D15" s="131"/>
      <c r="E15" s="131"/>
      <c r="F15" s="131"/>
      <c r="G15" s="131"/>
      <c r="H15" s="131">
        <f>G15-G16</f>
        <v>0</v>
      </c>
      <c r="I15" s="131">
        <f>H15-G16</f>
        <v>0</v>
      </c>
      <c r="J15" s="131">
        <f>I15-G16</f>
        <v>0</v>
      </c>
      <c r="K15" s="131">
        <f>J15-G16</f>
        <v>0</v>
      </c>
      <c r="L15" s="131">
        <f>K15-G16</f>
        <v>0</v>
      </c>
    </row>
    <row r="16" spans="1:20" x14ac:dyDescent="0.3">
      <c r="B16" t="s">
        <v>101</v>
      </c>
      <c r="C16" s="130"/>
      <c r="D16" s="131"/>
      <c r="E16" s="131"/>
      <c r="F16" s="131"/>
      <c r="G16" s="131">
        <f>G15/B2</f>
        <v>0</v>
      </c>
      <c r="H16" s="131"/>
      <c r="I16" s="131"/>
      <c r="J16" s="131"/>
      <c r="K16" s="131"/>
      <c r="L16" s="131"/>
    </row>
    <row r="17" spans="1:18" x14ac:dyDescent="0.3">
      <c r="B17" t="s">
        <v>102</v>
      </c>
      <c r="C17" s="130"/>
      <c r="D17" s="131"/>
      <c r="E17" s="130"/>
      <c r="F17" s="131"/>
      <c r="G17" s="130">
        <f>((G15*IRR!E4*6)/12)</f>
        <v>0</v>
      </c>
      <c r="H17" s="131">
        <f>AVERAGE(G15:H15)*IRR!$E$4</f>
        <v>0</v>
      </c>
      <c r="I17" s="131">
        <f>AVERAGE(H15:I15)*IRR!$E$4</f>
        <v>0</v>
      </c>
      <c r="J17" s="131">
        <f>AVERAGE(I15:J15)*IRR!$E$4</f>
        <v>0</v>
      </c>
      <c r="K17" s="131">
        <f>AVERAGE(J15:K15)*IRR!$E$4</f>
        <v>0</v>
      </c>
      <c r="L17" s="131">
        <f>AVERAGE(K15:L15)*IRR!$E$4</f>
        <v>0</v>
      </c>
    </row>
    <row r="18" spans="1:18" x14ac:dyDescent="0.3">
      <c r="A18" s="129">
        <f>A15+1</f>
        <v>2022</v>
      </c>
      <c r="B18" t="s">
        <v>100</v>
      </c>
      <c r="C18" s="130"/>
      <c r="D18" s="131"/>
      <c r="E18" s="131"/>
      <c r="F18" s="131"/>
      <c r="H18" s="131"/>
      <c r="I18" s="131">
        <f>H18-H19</f>
        <v>0</v>
      </c>
      <c r="J18" s="131">
        <f>I18-H19</f>
        <v>0</v>
      </c>
      <c r="K18" s="131">
        <f>J18-H19</f>
        <v>0</v>
      </c>
      <c r="L18" s="131">
        <f>K18-H19</f>
        <v>0</v>
      </c>
      <c r="M18" s="131">
        <f>L18-H19</f>
        <v>0</v>
      </c>
    </row>
    <row r="19" spans="1:18" x14ac:dyDescent="0.3">
      <c r="B19" t="s">
        <v>101</v>
      </c>
      <c r="C19" s="130"/>
      <c r="D19" s="131"/>
      <c r="E19" s="131"/>
      <c r="F19" s="131"/>
      <c r="H19" s="131">
        <f>H18/B2</f>
        <v>0</v>
      </c>
      <c r="I19" s="131"/>
      <c r="J19" s="131"/>
      <c r="K19" s="131"/>
      <c r="L19" s="131"/>
      <c r="M19" s="131"/>
    </row>
    <row r="20" spans="1:18" x14ac:dyDescent="0.3">
      <c r="B20" t="s">
        <v>102</v>
      </c>
      <c r="C20" s="130"/>
      <c r="D20" s="131"/>
      <c r="E20" s="130"/>
      <c r="F20" s="131"/>
      <c r="H20" s="130">
        <f>((H18*IRR!E4*6)/12)</f>
        <v>0</v>
      </c>
      <c r="I20" s="131">
        <f>AVERAGE(H18:I18)*IRR!$E$4</f>
        <v>0</v>
      </c>
      <c r="J20" s="131">
        <f>AVERAGE(I18:J18)*IRR!$E$4</f>
        <v>0</v>
      </c>
      <c r="K20" s="131">
        <f>AVERAGE(J18:K18)*IRR!$E$4</f>
        <v>0</v>
      </c>
      <c r="L20" s="131">
        <f>AVERAGE(K18:L18)*IRR!$E$4</f>
        <v>0</v>
      </c>
      <c r="M20" s="131">
        <f>AVERAGE(L18:M18)*IRR!$E$4</f>
        <v>0</v>
      </c>
    </row>
    <row r="21" spans="1:18" x14ac:dyDescent="0.3">
      <c r="A21" s="129">
        <f>A18+1</f>
        <v>2023</v>
      </c>
      <c r="B21" t="s">
        <v>100</v>
      </c>
      <c r="C21" s="130"/>
      <c r="D21" s="131"/>
      <c r="E21" s="131"/>
      <c r="F21" s="131"/>
      <c r="I21" s="131"/>
      <c r="J21" s="131">
        <f>I21-I22</f>
        <v>0</v>
      </c>
      <c r="K21" s="131">
        <f>J21-I22</f>
        <v>0</v>
      </c>
      <c r="L21" s="131">
        <f>K21-I22</f>
        <v>0</v>
      </c>
      <c r="M21" s="131">
        <f>L21-I22</f>
        <v>0</v>
      </c>
      <c r="N21" s="131">
        <f>M21-I22</f>
        <v>0</v>
      </c>
    </row>
    <row r="22" spans="1:18" x14ac:dyDescent="0.3">
      <c r="B22" t="s">
        <v>101</v>
      </c>
      <c r="C22" s="130"/>
      <c r="D22" s="131"/>
      <c r="E22" s="131"/>
      <c r="F22" s="131"/>
      <c r="I22" s="131">
        <f>I21/B2</f>
        <v>0</v>
      </c>
      <c r="J22" s="131"/>
      <c r="K22" s="131"/>
      <c r="L22" s="131"/>
      <c r="M22" s="131"/>
      <c r="N22" s="131"/>
    </row>
    <row r="23" spans="1:18" x14ac:dyDescent="0.3">
      <c r="B23" t="s">
        <v>102</v>
      </c>
      <c r="C23" s="130"/>
      <c r="D23" s="131"/>
      <c r="E23" s="130"/>
      <c r="F23" s="131"/>
      <c r="I23" s="130">
        <f>((I21*IRR!E4*6)/12)</f>
        <v>0</v>
      </c>
      <c r="J23" s="131">
        <f>AVERAGE(I21:J21)*IRR!$E$4</f>
        <v>0</v>
      </c>
      <c r="K23" s="131">
        <f>AVERAGE(J21:K21)*IRR!$E$4</f>
        <v>0</v>
      </c>
      <c r="L23" s="131">
        <f>AVERAGE(K21:L21)*IRR!$E$4</f>
        <v>0</v>
      </c>
      <c r="M23" s="131">
        <f>AVERAGE(L21:M21)*IRR!$E$4</f>
        <v>0</v>
      </c>
      <c r="N23" s="131">
        <f>AVERAGE(M21:N21)*IRR!$E$4</f>
        <v>0</v>
      </c>
    </row>
    <row r="24" spans="1:18" x14ac:dyDescent="0.3">
      <c r="A24" s="129">
        <f>A21+1</f>
        <v>2024</v>
      </c>
      <c r="B24" t="s">
        <v>100</v>
      </c>
      <c r="C24" s="130"/>
      <c r="D24" s="131"/>
      <c r="E24" s="131"/>
      <c r="F24" s="131"/>
      <c r="J24" s="131"/>
      <c r="K24" s="131">
        <f>J24-J25</f>
        <v>0</v>
      </c>
      <c r="L24" s="131">
        <f>K24-J25</f>
        <v>0</v>
      </c>
      <c r="M24" s="131">
        <f>L24-J25</f>
        <v>0</v>
      </c>
      <c r="N24" s="131">
        <f>M24-J25</f>
        <v>0</v>
      </c>
      <c r="O24" s="131">
        <f>N24-J25</f>
        <v>0</v>
      </c>
    </row>
    <row r="25" spans="1:18" x14ac:dyDescent="0.3">
      <c r="B25" t="s">
        <v>101</v>
      </c>
      <c r="C25" s="130"/>
      <c r="D25" s="131"/>
      <c r="E25" s="131"/>
      <c r="F25" s="131"/>
      <c r="J25" s="131">
        <f>J24/B2</f>
        <v>0</v>
      </c>
      <c r="K25" s="131"/>
      <c r="L25" s="131"/>
      <c r="M25" s="131"/>
      <c r="N25" s="131"/>
      <c r="O25" s="131"/>
    </row>
    <row r="26" spans="1:18" x14ac:dyDescent="0.3">
      <c r="B26" t="s">
        <v>102</v>
      </c>
      <c r="C26" s="130"/>
      <c r="D26" s="131"/>
      <c r="E26" s="130"/>
      <c r="F26" s="131"/>
      <c r="J26" s="130">
        <f>((J24*IRR!E4*6)/12)</f>
        <v>0</v>
      </c>
      <c r="K26" s="131">
        <f>AVERAGE(J24:K24)*IRR!$E$4</f>
        <v>0</v>
      </c>
      <c r="L26" s="131">
        <f>AVERAGE(K24:L24)*IRR!$E$4</f>
        <v>0</v>
      </c>
      <c r="M26" s="131">
        <f>AVERAGE(L24:M24)*IRR!$E$4</f>
        <v>0</v>
      </c>
      <c r="N26" s="131">
        <f>AVERAGE(M24:N24)*IRR!$E$4</f>
        <v>0</v>
      </c>
      <c r="O26" s="131">
        <f>AVERAGE(N24:O24)*IRR!$E$4</f>
        <v>0</v>
      </c>
    </row>
    <row r="27" spans="1:18" x14ac:dyDescent="0.3">
      <c r="A27" s="129">
        <f>A24+1</f>
        <v>2025</v>
      </c>
      <c r="B27" t="s">
        <v>100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">
      <c r="B28" t="s">
        <v>101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">
      <c r="B29" t="s">
        <v>102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">
      <c r="A30">
        <f>A27+1</f>
        <v>2026</v>
      </c>
      <c r="B30" t="s">
        <v>100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">
      <c r="B31" t="s">
        <v>101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">
      <c r="B32" t="s">
        <v>102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">
      <c r="A34" s="126"/>
      <c r="B34" s="133" t="s">
        <v>103</v>
      </c>
      <c r="C34" s="134">
        <f t="shared" ref="C34:L34" si="5">C5+C8+C11+C14+C17+C20+C23+C26+C29+C32</f>
        <v>4824215</v>
      </c>
      <c r="D34" s="134">
        <f t="shared" si="5"/>
        <v>83886361.650000006</v>
      </c>
      <c r="E34" s="134">
        <f t="shared" si="5"/>
        <v>148176663.37</v>
      </c>
      <c r="F34" s="134">
        <f t="shared" si="5"/>
        <v>122019359.81000003</v>
      </c>
      <c r="G34" s="134">
        <f>G5+G8+G11+G14+G17+G20+G23+G26+G29+G32</f>
        <v>88391279.070000008</v>
      </c>
      <c r="H34" s="134">
        <f t="shared" si="5"/>
        <v>53554464.850000009</v>
      </c>
      <c r="I34" s="134">
        <f t="shared" si="5"/>
        <v>34723048.560000002</v>
      </c>
      <c r="J34" s="134">
        <f t="shared" si="5"/>
        <v>1815920.3400000003</v>
      </c>
      <c r="K34" s="134">
        <f t="shared" si="5"/>
        <v>201455.58000000007</v>
      </c>
      <c r="L34" s="134">
        <f t="shared" si="5"/>
        <v>0</v>
      </c>
      <c r="M34" s="134">
        <f t="shared" ref="M34:Q34" si="6">M5+M8+M11+M14+M17+M20+M23+M26+M29+M32</f>
        <v>0</v>
      </c>
      <c r="N34" s="134">
        <f t="shared" si="6"/>
        <v>0</v>
      </c>
      <c r="O34" s="134">
        <f t="shared" si="6"/>
        <v>0</v>
      </c>
      <c r="P34" s="134">
        <f t="shared" si="6"/>
        <v>0</v>
      </c>
      <c r="Q34" s="134">
        <f t="shared" si="6"/>
        <v>0</v>
      </c>
      <c r="R34" s="134">
        <f>R5+R8+R11+R14+R17+R20+R23+R26+R29+R32</f>
        <v>2016</v>
      </c>
    </row>
    <row r="35" spans="1:18" x14ac:dyDescent="0.3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">
      <c r="A37" s="125" t="s">
        <v>104</v>
      </c>
    </row>
    <row r="38" spans="1:18" x14ac:dyDescent="0.3">
      <c r="A38" t="s">
        <v>105</v>
      </c>
      <c r="B38" t="s">
        <v>106</v>
      </c>
      <c r="C38" s="136">
        <v>50000000</v>
      </c>
    </row>
    <row r="39" spans="1:18" x14ac:dyDescent="0.3">
      <c r="A39" t="s">
        <v>107</v>
      </c>
      <c r="B39" t="s">
        <v>106</v>
      </c>
      <c r="C39" s="136">
        <v>20000000</v>
      </c>
    </row>
    <row r="40" spans="1:18" x14ac:dyDescent="0.3">
      <c r="A40" t="s">
        <v>108</v>
      </c>
      <c r="B40" s="137" t="s">
        <v>109</v>
      </c>
      <c r="C40" s="136"/>
    </row>
    <row r="41" spans="1:18" x14ac:dyDescent="0.3">
      <c r="A41" t="s">
        <v>110</v>
      </c>
      <c r="B41" s="137" t="s">
        <v>109</v>
      </c>
      <c r="C41" s="136"/>
    </row>
    <row r="43" spans="1:18" x14ac:dyDescent="0.3">
      <c r="A43" s="138" t="s">
        <v>48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">
      <c r="A48" s="125" t="s">
        <v>111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">
      <c r="A49" t="s">
        <v>112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">
      <c r="A50" t="s">
        <v>113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">
      <c r="A51" t="s">
        <v>114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">
      <c r="A52" t="s">
        <v>115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">
      <c r="A53" s="142" t="s">
        <v>116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">
      <c r="A55" s="145" t="s">
        <v>117</v>
      </c>
      <c r="B55" s="128" t="s">
        <v>118</v>
      </c>
      <c r="D55" s="145" t="s">
        <v>119</v>
      </c>
      <c r="E55" s="128" t="s">
        <v>120</v>
      </c>
      <c r="G55" s="235" t="s">
        <v>115</v>
      </c>
      <c r="H55" s="236"/>
      <c r="J55" s="128" t="s">
        <v>121</v>
      </c>
      <c r="K55" s="128" t="s">
        <v>122</v>
      </c>
    </row>
    <row r="56" spans="1:11" x14ac:dyDescent="0.3">
      <c r="A56" t="s">
        <v>123</v>
      </c>
      <c r="B56" s="130">
        <v>16800000</v>
      </c>
      <c r="D56" t="s">
        <v>124</v>
      </c>
      <c r="E56" s="130">
        <v>7000000</v>
      </c>
      <c r="G56" t="s">
        <v>125</v>
      </c>
      <c r="H56" s="130">
        <v>10000000</v>
      </c>
      <c r="J56" t="s">
        <v>123</v>
      </c>
      <c r="K56" s="130">
        <v>4000000</v>
      </c>
    </row>
    <row r="57" spans="1:11" x14ac:dyDescent="0.3">
      <c r="A57" t="s">
        <v>126</v>
      </c>
      <c r="B57" s="130"/>
      <c r="G57" t="s">
        <v>127</v>
      </c>
      <c r="H57" s="130">
        <v>12000000</v>
      </c>
      <c r="J57" t="s">
        <v>126</v>
      </c>
      <c r="K57" s="130">
        <v>3000000</v>
      </c>
    </row>
    <row r="58" spans="1:11" x14ac:dyDescent="0.3">
      <c r="A58" t="s">
        <v>128</v>
      </c>
      <c r="B58" s="130">
        <v>15600000</v>
      </c>
      <c r="G58" t="s">
        <v>129</v>
      </c>
      <c r="H58" s="130">
        <v>14000000</v>
      </c>
      <c r="J58" t="s">
        <v>128</v>
      </c>
      <c r="K58" s="130">
        <v>2500000</v>
      </c>
    </row>
    <row r="59" spans="1:11" x14ac:dyDescent="0.3">
      <c r="A59" t="s">
        <v>130</v>
      </c>
      <c r="B59" s="130">
        <v>15000000</v>
      </c>
      <c r="G59" t="s">
        <v>131</v>
      </c>
      <c r="H59" s="130">
        <v>14000000</v>
      </c>
      <c r="J59" t="s">
        <v>130</v>
      </c>
      <c r="K59" s="130">
        <v>2000000</v>
      </c>
    </row>
    <row r="60" spans="1:11" x14ac:dyDescent="0.3">
      <c r="A60" t="s">
        <v>132</v>
      </c>
      <c r="B60" s="130">
        <v>15000000</v>
      </c>
      <c r="G60" t="s">
        <v>123</v>
      </c>
      <c r="H60" s="130">
        <v>17000000</v>
      </c>
      <c r="J60" t="s">
        <v>132</v>
      </c>
      <c r="K60" s="130">
        <v>1850000</v>
      </c>
    </row>
    <row r="61" spans="1:11" x14ac:dyDescent="0.3">
      <c r="A61" t="s">
        <v>133</v>
      </c>
      <c r="B61" s="130">
        <v>12000000</v>
      </c>
      <c r="G61" t="s">
        <v>134</v>
      </c>
      <c r="H61" s="130">
        <v>14000000</v>
      </c>
      <c r="J61" t="s">
        <v>133</v>
      </c>
      <c r="K61" s="130">
        <v>1200000</v>
      </c>
    </row>
    <row r="62" spans="1:11" x14ac:dyDescent="0.3">
      <c r="A62" t="s">
        <v>134</v>
      </c>
      <c r="B62" s="130">
        <v>16800000</v>
      </c>
      <c r="J62" t="s">
        <v>134</v>
      </c>
      <c r="K62" s="130">
        <v>2000000</v>
      </c>
    </row>
    <row r="63" spans="1:11" x14ac:dyDescent="0.3">
      <c r="A63" t="s">
        <v>135</v>
      </c>
      <c r="B63" s="130">
        <v>15720000</v>
      </c>
      <c r="J63" t="s">
        <v>135</v>
      </c>
      <c r="K63" s="130">
        <v>3500000</v>
      </c>
    </row>
    <row r="64" spans="1:11" x14ac:dyDescent="0.3">
      <c r="A64" t="s">
        <v>136</v>
      </c>
      <c r="J64" t="s">
        <v>136</v>
      </c>
      <c r="K64" s="130">
        <v>2800000</v>
      </c>
    </row>
    <row r="65" spans="1:15" x14ac:dyDescent="0.3">
      <c r="A65" t="s">
        <v>137</v>
      </c>
      <c r="B65">
        <v>0</v>
      </c>
    </row>
    <row r="67" spans="1:15" x14ac:dyDescent="0.3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">
      <c r="A68" s="237" t="s">
        <v>114</v>
      </c>
      <c r="B68" s="239" t="s">
        <v>91</v>
      </c>
      <c r="C68" s="239" t="s">
        <v>138</v>
      </c>
      <c r="D68" s="240" t="s">
        <v>139</v>
      </c>
      <c r="E68" s="146" t="s">
        <v>140</v>
      </c>
      <c r="F68" s="146" t="s">
        <v>141</v>
      </c>
      <c r="G68" s="146" t="s">
        <v>142</v>
      </c>
      <c r="H68" s="147" t="s">
        <v>143</v>
      </c>
      <c r="I68" s="230" t="s">
        <v>144</v>
      </c>
      <c r="J68" s="230" t="s">
        <v>145</v>
      </c>
    </row>
    <row r="69" spans="1:15" x14ac:dyDescent="0.3">
      <c r="A69" s="238"/>
      <c r="B69" s="239"/>
      <c r="C69" s="239"/>
      <c r="D69" s="240"/>
      <c r="E69" s="148">
        <v>1</v>
      </c>
      <c r="F69" s="149">
        <v>1</v>
      </c>
      <c r="G69" s="149">
        <v>1</v>
      </c>
      <c r="H69" s="150">
        <f>Summary!H9</f>
        <v>157</v>
      </c>
      <c r="I69" s="231"/>
      <c r="J69" s="231"/>
    </row>
    <row r="70" spans="1:15" x14ac:dyDescent="0.3">
      <c r="A70" s="232" t="s">
        <v>146</v>
      </c>
      <c r="B70" s="138" t="s">
        <v>121</v>
      </c>
      <c r="C70" s="151">
        <f>K59</f>
        <v>2000000</v>
      </c>
      <c r="D70" s="138" t="s">
        <v>140</v>
      </c>
      <c r="E70" s="128">
        <f>E69</f>
        <v>1</v>
      </c>
      <c r="F70" s="128"/>
      <c r="G70" s="128"/>
      <c r="H70" s="152"/>
      <c r="I70" s="153">
        <f>E70*C70</f>
        <v>2000000</v>
      </c>
    </row>
    <row r="71" spans="1:15" x14ac:dyDescent="0.3">
      <c r="A71" s="233"/>
      <c r="B71" s="138" t="s">
        <v>147</v>
      </c>
      <c r="C71" s="154">
        <v>600000</v>
      </c>
      <c r="D71" s="138" t="s">
        <v>140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">
      <c r="A72" s="234"/>
      <c r="B72" s="138" t="s">
        <v>146</v>
      </c>
      <c r="C72" s="154">
        <v>200000</v>
      </c>
      <c r="D72" s="138" t="s">
        <v>148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">
      <c r="A73" s="138" t="s">
        <v>149</v>
      </c>
      <c r="B73" s="138" t="s">
        <v>149</v>
      </c>
      <c r="C73" s="154">
        <v>450000</v>
      </c>
      <c r="D73" s="138" t="s">
        <v>142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3</v>
      </c>
      <c r="I73" s="154">
        <f>G73*C73*H73</f>
        <v>1350000</v>
      </c>
    </row>
    <row r="74" spans="1:15" x14ac:dyDescent="0.3">
      <c r="A74" s="138" t="s">
        <v>150</v>
      </c>
      <c r="B74" s="138" t="s">
        <v>150</v>
      </c>
      <c r="C74" s="154">
        <v>120000</v>
      </c>
      <c r="D74" s="138" t="s">
        <v>140</v>
      </c>
      <c r="E74" s="128">
        <f>E69</f>
        <v>1</v>
      </c>
      <c r="F74" s="128"/>
      <c r="G74" s="128"/>
      <c r="H74" s="152">
        <f>IF($H$69&lt;=120,2,IF($H$69&gt;220,4,3))</f>
        <v>3</v>
      </c>
      <c r="I74" s="154">
        <f>H74*C74*E74</f>
        <v>360000</v>
      </c>
    </row>
    <row r="75" spans="1:15" x14ac:dyDescent="0.3">
      <c r="I75" s="155">
        <f>SUM(I70:I74)</f>
        <v>4510000</v>
      </c>
      <c r="J75" s="156">
        <f>I75*2</f>
        <v>9020000</v>
      </c>
      <c r="K75" t="s">
        <v>151</v>
      </c>
    </row>
    <row r="76" spans="1:15" x14ac:dyDescent="0.3">
      <c r="J76" s="155">
        <f>I75*4</f>
        <v>18040000</v>
      </c>
      <c r="K76" t="s">
        <v>152</v>
      </c>
      <c r="L76" s="166">
        <f>J76+B63+E56</f>
        <v>40760000</v>
      </c>
    </row>
    <row r="77" spans="1:15" x14ac:dyDescent="0.3">
      <c r="K77" s="131"/>
      <c r="L77" s="166">
        <f>J75+E56</f>
        <v>16020000</v>
      </c>
    </row>
    <row r="79" spans="1:15" x14ac:dyDescent="0.3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">
      <c r="A80" s="125" t="s">
        <v>153</v>
      </c>
    </row>
    <row r="82" spans="1:15" x14ac:dyDescent="0.3">
      <c r="A82" s="138" t="s">
        <v>153</v>
      </c>
      <c r="B82" s="131"/>
    </row>
    <row r="83" spans="1:15" x14ac:dyDescent="0.3">
      <c r="A83" t="s">
        <v>154</v>
      </c>
    </row>
    <row r="84" spans="1:15" x14ac:dyDescent="0.3">
      <c r="A84" t="s">
        <v>155</v>
      </c>
      <c r="B84" s="130">
        <v>36000000</v>
      </c>
    </row>
    <row r="85" spans="1:15" x14ac:dyDescent="0.3">
      <c r="A85" t="s">
        <v>156</v>
      </c>
      <c r="B85" s="130">
        <v>42000000</v>
      </c>
    </row>
    <row r="86" spans="1:15" x14ac:dyDescent="0.3">
      <c r="A86" t="s">
        <v>157</v>
      </c>
      <c r="B86" s="130">
        <v>48000000</v>
      </c>
    </row>
    <row r="88" spans="1:15" x14ac:dyDescent="0.3">
      <c r="A88" t="s">
        <v>158</v>
      </c>
    </row>
    <row r="89" spans="1:15" x14ac:dyDescent="0.3">
      <c r="A89" t="s">
        <v>159</v>
      </c>
      <c r="B89" s="130">
        <v>75000000</v>
      </c>
    </row>
    <row r="90" spans="1:15" x14ac:dyDescent="0.3">
      <c r="A90" t="s">
        <v>157</v>
      </c>
      <c r="B90" s="130">
        <v>95000000</v>
      </c>
    </row>
    <row r="92" spans="1:15" x14ac:dyDescent="0.3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">
      <c r="A93" s="125" t="s">
        <v>160</v>
      </c>
    </row>
    <row r="95" spans="1:15" x14ac:dyDescent="0.3">
      <c r="A95" t="s">
        <v>161</v>
      </c>
      <c r="C95" s="157">
        <v>150000000</v>
      </c>
    </row>
    <row r="96" spans="1:15" x14ac:dyDescent="0.3">
      <c r="A96" t="s">
        <v>162</v>
      </c>
      <c r="C96" s="157">
        <v>200000000</v>
      </c>
    </row>
    <row r="97" spans="1:15" x14ac:dyDescent="0.3">
      <c r="A97" t="s">
        <v>163</v>
      </c>
      <c r="C97" s="157">
        <v>85000000</v>
      </c>
    </row>
    <row r="98" spans="1:15" x14ac:dyDescent="0.3">
      <c r="A98" t="s">
        <v>164</v>
      </c>
      <c r="C98" s="157">
        <v>150000000</v>
      </c>
    </row>
    <row r="99" spans="1:15" x14ac:dyDescent="0.3">
      <c r="A99" t="s">
        <v>165</v>
      </c>
      <c r="C99" s="157">
        <v>50000000</v>
      </c>
    </row>
    <row r="101" spans="1:15" x14ac:dyDescent="0.3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7"/>
  <sheetViews>
    <sheetView showGridLines="0" zoomScale="90" zoomScaleNormal="90" workbookViewId="0">
      <selection activeCell="F14" sqref="F14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177</v>
      </c>
      <c r="C1" s="1" t="s">
        <v>221</v>
      </c>
      <c r="Q1" s="4" t="str">
        <f>Summary!D7</f>
        <v>: Graha Pena Surabaya</v>
      </c>
    </row>
    <row r="2" spans="2:25" x14ac:dyDescent="0.3">
      <c r="B2" s="36" t="s">
        <v>43</v>
      </c>
      <c r="H2" s="161" t="s">
        <v>44</v>
      </c>
      <c r="I2" s="162" t="s">
        <v>45</v>
      </c>
    </row>
    <row r="3" spans="2:25" x14ac:dyDescent="0.3">
      <c r="C3" s="1" t="s">
        <v>46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47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48</v>
      </c>
      <c r="E5" s="38">
        <v>2.5000000000000001E-2</v>
      </c>
      <c r="F5" s="35" t="s">
        <v>49</v>
      </c>
      <c r="H5" s="163"/>
      <c r="I5" s="39"/>
      <c r="S5" s="40"/>
      <c r="T5" s="41"/>
      <c r="U5" s="41"/>
      <c r="V5" s="41"/>
    </row>
    <row r="6" spans="2:25" x14ac:dyDescent="0.3">
      <c r="C6" s="1" t="s">
        <v>50</v>
      </c>
      <c r="E6" s="42">
        <v>0</v>
      </c>
      <c r="F6" s="35" t="s">
        <v>49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56</v>
      </c>
      <c r="G8" s="37" t="s">
        <v>51</v>
      </c>
      <c r="H8" s="37" t="s">
        <v>52</v>
      </c>
      <c r="I8" s="37" t="s">
        <v>53</v>
      </c>
      <c r="J8" s="37" t="s">
        <v>54</v>
      </c>
      <c r="K8" s="37" t="s">
        <v>55</v>
      </c>
      <c r="L8" s="37" t="s">
        <v>171</v>
      </c>
      <c r="M8" s="37" t="s">
        <v>172</v>
      </c>
      <c r="N8" s="37" t="s">
        <v>173</v>
      </c>
      <c r="O8" s="37" t="s">
        <v>174</v>
      </c>
      <c r="P8" s="37" t="s">
        <v>175</v>
      </c>
      <c r="R8" s="43"/>
      <c r="W8" s="43"/>
      <c r="X8" s="43"/>
      <c r="Y8" s="43"/>
    </row>
    <row r="9" spans="2:25" s="45" customFormat="1" x14ac:dyDescent="0.3">
      <c r="D9" s="46" t="s">
        <v>202</v>
      </c>
      <c r="F9" s="45">
        <v>157</v>
      </c>
      <c r="G9" s="183">
        <v>275120350</v>
      </c>
      <c r="H9" s="183">
        <v>0</v>
      </c>
      <c r="I9" s="183">
        <v>0</v>
      </c>
      <c r="J9" s="183">
        <v>0</v>
      </c>
      <c r="K9" s="183"/>
      <c r="L9" s="183"/>
      <c r="M9" s="183"/>
      <c r="N9" s="183"/>
      <c r="O9" s="183"/>
      <c r="P9" s="183"/>
      <c r="Q9" s="183">
        <f>SUM(G9:K9)</f>
        <v>275120350</v>
      </c>
      <c r="R9" s="181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>
        <f>G10</f>
        <v>0</v>
      </c>
      <c r="R10" s="181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275120350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275120350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57</v>
      </c>
      <c r="C13" s="29"/>
      <c r="D13" s="29"/>
      <c r="E13" s="29"/>
      <c r="F13" s="50" t="s">
        <v>170</v>
      </c>
      <c r="G13" s="50" t="s">
        <v>58</v>
      </c>
      <c r="H13" s="51" t="s">
        <v>59</v>
      </c>
      <c r="I13" s="50" t="s">
        <v>60</v>
      </c>
      <c r="J13" s="51" t="s">
        <v>61</v>
      </c>
      <c r="K13" s="50" t="s">
        <v>62</v>
      </c>
      <c r="L13" s="50" t="s">
        <v>87</v>
      </c>
      <c r="M13" s="50" t="s">
        <v>166</v>
      </c>
      <c r="N13" s="50" t="s">
        <v>167</v>
      </c>
      <c r="O13" s="50" t="s">
        <v>168</v>
      </c>
      <c r="P13" s="50" t="s">
        <v>169</v>
      </c>
      <c r="Q13" s="52" t="s">
        <v>63</v>
      </c>
      <c r="R13" s="41"/>
      <c r="S13" s="53"/>
      <c r="T13" s="53"/>
      <c r="U13" s="53"/>
      <c r="V13" s="53"/>
      <c r="W13" s="41"/>
    </row>
    <row r="14" spans="2:25" x14ac:dyDescent="0.3">
      <c r="B14" s="1" t="s">
        <v>64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65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178</v>
      </c>
      <c r="E17" s="56"/>
      <c r="G17" s="58">
        <v>258210000</v>
      </c>
      <c r="H17" s="165">
        <f>G17</f>
        <v>258210000</v>
      </c>
      <c r="I17" s="58">
        <f>H17</f>
        <v>258210000</v>
      </c>
      <c r="J17" s="58">
        <f t="shared" ref="J17:K17" si="1">I17</f>
        <v>258210000</v>
      </c>
      <c r="K17" s="58">
        <f t="shared" si="1"/>
        <v>258210000</v>
      </c>
      <c r="L17" s="58"/>
      <c r="M17" s="58"/>
      <c r="N17" s="58"/>
      <c r="O17" s="58"/>
      <c r="P17" s="58"/>
      <c r="Q17" s="60">
        <f>SUM(G17:K17)</f>
        <v>1291050000</v>
      </c>
      <c r="R17" s="179"/>
      <c r="S17" s="53"/>
      <c r="T17" s="53"/>
      <c r="U17" s="53"/>
      <c r="V17" s="53"/>
    </row>
    <row r="18" spans="2:24" ht="2.4" customHeight="1" x14ac:dyDescent="0.3">
      <c r="B18" s="2"/>
      <c r="E18" s="56"/>
      <c r="G18" s="58"/>
      <c r="H18" s="165"/>
      <c r="I18" s="58"/>
      <c r="J18" s="58"/>
      <c r="K18" s="58"/>
      <c r="L18" s="58"/>
      <c r="M18" s="58"/>
      <c r="N18" s="58"/>
      <c r="O18" s="58"/>
      <c r="P18" s="58"/>
      <c r="Q18" s="60"/>
      <c r="R18" s="179"/>
      <c r="S18" s="53"/>
      <c r="T18" s="53"/>
      <c r="U18" s="53"/>
      <c r="V18" s="53"/>
    </row>
    <row r="19" spans="2:24" x14ac:dyDescent="0.3">
      <c r="B19" s="63" t="s">
        <v>66</v>
      </c>
      <c r="C19" s="63"/>
      <c r="D19" s="63"/>
      <c r="E19" s="241"/>
      <c r="F19" s="242"/>
      <c r="G19" s="64">
        <f>SUM(G17:G18)</f>
        <v>258210000</v>
      </c>
      <c r="H19" s="64">
        <f>SUM(H17:H18)</f>
        <v>258210000</v>
      </c>
      <c r="I19" s="64">
        <f>SUM(I17:I18)</f>
        <v>258210000</v>
      </c>
      <c r="J19" s="64">
        <f>SUM(J17:J18)</f>
        <v>258210000</v>
      </c>
      <c r="K19" s="64">
        <f>SUM(K17:K18)</f>
        <v>258210000</v>
      </c>
      <c r="L19" s="64"/>
      <c r="M19" s="64"/>
      <c r="N19" s="64"/>
      <c r="O19" s="64"/>
      <c r="P19" s="64"/>
      <c r="Q19" s="65">
        <f>SUM(G19:K19)</f>
        <v>1291050000</v>
      </c>
      <c r="R19" s="53"/>
      <c r="S19" s="66"/>
      <c r="T19" s="66"/>
      <c r="U19" s="66"/>
      <c r="V19" s="66"/>
      <c r="W19" s="53"/>
      <c r="X19" s="40"/>
    </row>
    <row r="20" spans="2:24" ht="1.2" customHeight="1" x14ac:dyDescent="0.3">
      <c r="Q20" s="54"/>
      <c r="R20" s="40"/>
      <c r="S20" s="66"/>
      <c r="T20" s="66"/>
      <c r="U20" s="66"/>
      <c r="V20" s="66"/>
      <c r="W20" s="40"/>
      <c r="X20" s="40"/>
    </row>
    <row r="21" spans="2:24" x14ac:dyDescent="0.3">
      <c r="B21" s="2" t="s">
        <v>67</v>
      </c>
      <c r="E21" s="56"/>
      <c r="F21" s="56"/>
      <c r="G21" s="57"/>
      <c r="H21" s="56"/>
      <c r="I21" s="59"/>
      <c r="J21" s="59"/>
      <c r="K21" s="59"/>
      <c r="L21" s="59"/>
      <c r="M21" s="59"/>
      <c r="N21" s="59"/>
      <c r="O21" s="59"/>
      <c r="P21" s="59"/>
      <c r="Q21" s="67"/>
      <c r="R21" s="55"/>
      <c r="S21" s="68"/>
      <c r="T21" s="68"/>
      <c r="U21" s="68"/>
      <c r="V21" s="68"/>
      <c r="W21" s="40"/>
      <c r="X21" s="40"/>
    </row>
    <row r="22" spans="2:24" x14ac:dyDescent="0.3">
      <c r="C22" s="1" t="s">
        <v>68</v>
      </c>
      <c r="E22" s="69"/>
      <c r="G22" s="70">
        <v>300000000</v>
      </c>
      <c r="H22" s="70">
        <v>300000000</v>
      </c>
      <c r="I22" s="70"/>
      <c r="J22" s="70"/>
      <c r="K22" s="70"/>
      <c r="L22" s="70"/>
      <c r="M22" s="70"/>
      <c r="N22" s="70"/>
      <c r="O22" s="70"/>
      <c r="P22" s="70"/>
      <c r="Q22" s="71">
        <f>SUM(G22:K22)</f>
        <v>600000000</v>
      </c>
      <c r="R22" s="55"/>
      <c r="S22" s="53"/>
      <c r="T22" s="53"/>
      <c r="U22" s="53"/>
      <c r="V22" s="53"/>
      <c r="W22" s="72"/>
      <c r="X22" s="40"/>
    </row>
    <row r="23" spans="2:24" x14ac:dyDescent="0.3">
      <c r="C23" s="1" t="s">
        <v>69</v>
      </c>
      <c r="F23" s="73"/>
      <c r="G23" s="70">
        <v>61000000</v>
      </c>
      <c r="H23" s="70">
        <f t="shared" ref="H23:K24" si="2">G23</f>
        <v>61000000</v>
      </c>
      <c r="I23" s="70">
        <f t="shared" si="2"/>
        <v>61000000</v>
      </c>
      <c r="J23" s="70">
        <f t="shared" si="2"/>
        <v>61000000</v>
      </c>
      <c r="K23" s="70">
        <f t="shared" si="2"/>
        <v>61000000</v>
      </c>
      <c r="L23" s="70"/>
      <c r="M23" s="70"/>
      <c r="N23" s="70"/>
      <c r="O23" s="70"/>
      <c r="P23" s="70"/>
      <c r="Q23" s="71">
        <f>SUM(G23:K23)</f>
        <v>305000000</v>
      </c>
      <c r="R23" s="180"/>
      <c r="S23" s="74"/>
      <c r="T23" s="74"/>
      <c r="U23" s="74"/>
      <c r="V23" s="74"/>
      <c r="W23" s="72"/>
      <c r="X23" s="40"/>
    </row>
    <row r="24" spans="2:24" x14ac:dyDescent="0.3">
      <c r="C24" s="1" t="s">
        <v>70</v>
      </c>
      <c r="G24" s="75">
        <f>Parameter!L77</f>
        <v>16020000</v>
      </c>
      <c r="H24" s="75">
        <f>G24</f>
        <v>16020000</v>
      </c>
      <c r="I24" s="75">
        <f t="shared" si="2"/>
        <v>16020000</v>
      </c>
      <c r="J24" s="75">
        <f t="shared" si="2"/>
        <v>16020000</v>
      </c>
      <c r="K24" s="75">
        <f t="shared" si="2"/>
        <v>16020000</v>
      </c>
      <c r="L24" s="75"/>
      <c r="M24" s="75"/>
      <c r="N24" s="75"/>
      <c r="O24" s="75"/>
      <c r="P24" s="75"/>
      <c r="Q24" s="71">
        <f t="shared" ref="Q24:Q25" si="3">SUM(G24:K24)</f>
        <v>80100000</v>
      </c>
      <c r="R24" s="53"/>
      <c r="S24" s="74"/>
      <c r="T24" s="74"/>
      <c r="U24" s="74"/>
      <c r="V24" s="74"/>
      <c r="W24" s="72"/>
      <c r="X24" s="40"/>
    </row>
    <row r="25" spans="2:24" x14ac:dyDescent="0.3">
      <c r="B25" s="76"/>
      <c r="C25" s="76" t="s">
        <v>48</v>
      </c>
      <c r="D25" s="76"/>
      <c r="E25" s="76"/>
      <c r="F25" s="76"/>
      <c r="G25" s="167">
        <f>G19*$E$5</f>
        <v>6455250</v>
      </c>
      <c r="H25" s="167">
        <f>H19*$E$5</f>
        <v>6455250</v>
      </c>
      <c r="I25" s="167">
        <f>I19*$E$5</f>
        <v>6455250</v>
      </c>
      <c r="J25" s="167">
        <f t="shared" ref="J25:K25" si="4">J19*$E$5</f>
        <v>6455250</v>
      </c>
      <c r="K25" s="167">
        <f t="shared" si="4"/>
        <v>6455250</v>
      </c>
      <c r="L25" s="158"/>
      <c r="M25" s="158"/>
      <c r="N25" s="158"/>
      <c r="O25" s="158"/>
      <c r="P25" s="158"/>
      <c r="Q25" s="71">
        <f t="shared" si="3"/>
        <v>32276250</v>
      </c>
      <c r="R25" s="62"/>
      <c r="S25" s="74"/>
      <c r="T25" s="74"/>
      <c r="U25" s="74"/>
      <c r="V25" s="74"/>
      <c r="W25" s="72"/>
      <c r="X25" s="40"/>
    </row>
    <row r="26" spans="2:24" s="2" customFormat="1" x14ac:dyDescent="0.3">
      <c r="B26" s="63" t="s">
        <v>71</v>
      </c>
      <c r="C26" s="63"/>
      <c r="D26" s="63"/>
      <c r="E26" s="63"/>
      <c r="F26" s="63"/>
      <c r="G26" s="64">
        <f>SUM(G22:G25)</f>
        <v>383475250</v>
      </c>
      <c r="H26" s="64">
        <f t="shared" ref="H26:K26" si="5">SUM(H22:H25)</f>
        <v>383475250</v>
      </c>
      <c r="I26" s="64">
        <f t="shared" si="5"/>
        <v>83475250</v>
      </c>
      <c r="J26" s="64">
        <f>SUM(J22:J25)</f>
        <v>83475250</v>
      </c>
      <c r="K26" s="64">
        <f t="shared" si="5"/>
        <v>83475250</v>
      </c>
      <c r="L26" s="64"/>
      <c r="M26" s="64"/>
      <c r="N26" s="64"/>
      <c r="O26" s="64"/>
      <c r="P26" s="64"/>
      <c r="Q26" s="77">
        <f>SUM(Q22:Q25)</f>
        <v>1017376250</v>
      </c>
      <c r="R26" s="66"/>
      <c r="S26" s="78"/>
      <c r="T26" s="78"/>
      <c r="U26" s="78"/>
      <c r="V26" s="78"/>
      <c r="W26" s="66"/>
      <c r="X26" s="79"/>
    </row>
    <row r="27" spans="2:24" s="2" customFormat="1" x14ac:dyDescent="0.3">
      <c r="B27" s="2" t="s">
        <v>72</v>
      </c>
      <c r="G27" s="160">
        <f>G19-G26</f>
        <v>-125265250</v>
      </c>
      <c r="H27" s="80">
        <f>H19-H26</f>
        <v>-125265250</v>
      </c>
      <c r="I27" s="80">
        <f t="shared" ref="I27:K27" si="6">I19-I26</f>
        <v>174734750</v>
      </c>
      <c r="J27" s="80">
        <f t="shared" si="6"/>
        <v>174734750</v>
      </c>
      <c r="K27" s="80">
        <f t="shared" si="6"/>
        <v>174734750</v>
      </c>
      <c r="L27" s="80"/>
      <c r="M27" s="80"/>
      <c r="N27" s="80"/>
      <c r="O27" s="80"/>
      <c r="P27" s="80"/>
      <c r="Q27" s="81">
        <f>Q19-Q26</f>
        <v>273673750</v>
      </c>
      <c r="R27" s="66"/>
      <c r="S27" s="74"/>
      <c r="T27" s="74"/>
      <c r="U27" s="74"/>
      <c r="V27" s="74"/>
      <c r="W27" s="66"/>
      <c r="X27" s="79"/>
    </row>
    <row r="28" spans="2:24" s="2" customFormat="1" x14ac:dyDescent="0.3">
      <c r="B28" s="82" t="s">
        <v>73</v>
      </c>
      <c r="C28" s="83"/>
      <c r="D28" s="83"/>
      <c r="E28" s="83"/>
      <c r="F28" s="83"/>
      <c r="G28" s="84">
        <v>0</v>
      </c>
      <c r="H28" s="84">
        <f>H27/H19</f>
        <v>-0.48512935207776614</v>
      </c>
      <c r="I28" s="84">
        <f t="shared" ref="I28:K28" si="7">I27/I19</f>
        <v>0.67671565779791643</v>
      </c>
      <c r="J28" s="84">
        <f t="shared" si="7"/>
        <v>0.67671565779791643</v>
      </c>
      <c r="K28" s="84">
        <f t="shared" si="7"/>
        <v>0.67671565779791643</v>
      </c>
      <c r="L28" s="84"/>
      <c r="M28" s="84"/>
      <c r="N28" s="84"/>
      <c r="O28" s="84"/>
      <c r="P28" s="84"/>
      <c r="Q28" s="85">
        <f>Q27/Q19</f>
        <v>0.21197765384764339</v>
      </c>
      <c r="R28" s="68"/>
      <c r="S28" s="40"/>
      <c r="T28" s="40"/>
      <c r="U28" s="40"/>
      <c r="V28" s="40"/>
      <c r="W28" s="68"/>
      <c r="X28" s="79"/>
    </row>
    <row r="29" spans="2:24" x14ac:dyDescent="0.3">
      <c r="B29" s="76" t="s">
        <v>74</v>
      </c>
      <c r="C29" s="76"/>
      <c r="D29" s="76"/>
      <c r="E29" s="76"/>
      <c r="F29" s="76"/>
      <c r="G29" s="86">
        <f>G51</f>
        <v>55024070</v>
      </c>
      <c r="H29" s="86">
        <f>H51</f>
        <v>55024070</v>
      </c>
      <c r="I29" s="86">
        <f>I51</f>
        <v>55024070</v>
      </c>
      <c r="J29" s="86">
        <f t="shared" ref="J29:K29" si="8">J51</f>
        <v>55024070</v>
      </c>
      <c r="K29" s="86">
        <f t="shared" si="8"/>
        <v>55024070</v>
      </c>
      <c r="L29" s="86"/>
      <c r="M29" s="86"/>
      <c r="N29" s="86"/>
      <c r="O29" s="86"/>
      <c r="P29" s="86"/>
      <c r="Q29" s="87">
        <f>SUM(G29:K29)</f>
        <v>275120350</v>
      </c>
      <c r="R29" s="53"/>
      <c r="S29" s="88"/>
      <c r="T29" s="88"/>
      <c r="U29" s="88"/>
      <c r="V29" s="88"/>
      <c r="W29" s="53"/>
      <c r="X29" s="40"/>
    </row>
    <row r="30" spans="2:24" x14ac:dyDescent="0.3">
      <c r="B30" s="1" t="s">
        <v>75</v>
      </c>
      <c r="G30" s="89">
        <f t="shared" ref="G30:Q30" si="9">G27-G29</f>
        <v>-180289320</v>
      </c>
      <c r="H30" s="89">
        <f t="shared" si="9"/>
        <v>-180289320</v>
      </c>
      <c r="I30" s="89">
        <f t="shared" si="9"/>
        <v>119710680</v>
      </c>
      <c r="J30" s="89">
        <f t="shared" ref="J30:K30" si="10">J27-J29</f>
        <v>119710680</v>
      </c>
      <c r="K30" s="89">
        <f t="shared" si="10"/>
        <v>119710680</v>
      </c>
      <c r="L30" s="89"/>
      <c r="M30" s="89"/>
      <c r="N30" s="89"/>
      <c r="O30" s="89"/>
      <c r="P30" s="89"/>
      <c r="Q30" s="90">
        <f t="shared" si="9"/>
        <v>-1446600</v>
      </c>
      <c r="R30" s="74"/>
      <c r="S30" s="88"/>
      <c r="T30" s="88"/>
      <c r="U30" s="88"/>
      <c r="V30" s="88"/>
      <c r="W30" s="74"/>
      <c r="X30" s="40"/>
    </row>
    <row r="31" spans="2:24" x14ac:dyDescent="0.3">
      <c r="B31" s="1" t="s">
        <v>76</v>
      </c>
      <c r="G31" s="91">
        <f>Parameter!N34</f>
        <v>0</v>
      </c>
      <c r="H31" s="91">
        <f>Parameter!O34</f>
        <v>0</v>
      </c>
      <c r="I31" s="91">
        <f>Parameter!P34</f>
        <v>0</v>
      </c>
      <c r="J31" s="91">
        <f>Parameter!Q34</f>
        <v>0</v>
      </c>
      <c r="K31" s="91"/>
      <c r="L31" s="91"/>
      <c r="M31" s="91"/>
      <c r="N31" s="91"/>
      <c r="O31" s="91"/>
      <c r="P31" s="91"/>
      <c r="Q31" s="92">
        <f>SUM(G31:K31)</f>
        <v>0</v>
      </c>
      <c r="R31" s="74"/>
      <c r="S31" s="88"/>
      <c r="T31" s="88"/>
      <c r="U31" s="88"/>
      <c r="V31" s="88"/>
      <c r="W31" s="74"/>
      <c r="X31" s="40"/>
    </row>
    <row r="32" spans="2:24" x14ac:dyDescent="0.3">
      <c r="B32" s="1" t="s">
        <v>77</v>
      </c>
      <c r="G32" s="168">
        <f t="shared" ref="G32:I32" si="11">G30-G31</f>
        <v>-180289320</v>
      </c>
      <c r="H32" s="91">
        <f t="shared" si="11"/>
        <v>-180289320</v>
      </c>
      <c r="I32" s="91">
        <f t="shared" si="11"/>
        <v>119710680</v>
      </c>
      <c r="J32" s="91">
        <f t="shared" ref="J32:K32" si="12">J30-J31</f>
        <v>119710680</v>
      </c>
      <c r="K32" s="91">
        <f t="shared" si="12"/>
        <v>119710680</v>
      </c>
      <c r="L32" s="91"/>
      <c r="M32" s="91"/>
      <c r="N32" s="91"/>
      <c r="O32" s="91"/>
      <c r="P32" s="91"/>
      <c r="Q32" s="92">
        <f>SUM(G32:K32)</f>
        <v>-1446600</v>
      </c>
      <c r="R32" s="74"/>
      <c r="S32" s="93"/>
      <c r="T32" s="93"/>
      <c r="U32" s="93"/>
      <c r="V32" s="93"/>
      <c r="W32" s="74"/>
      <c r="X32" s="40"/>
    </row>
    <row r="33" spans="2:24" x14ac:dyDescent="0.3">
      <c r="B33" s="76" t="s">
        <v>78</v>
      </c>
      <c r="C33" s="76"/>
      <c r="D33" s="76"/>
      <c r="E33" s="76"/>
      <c r="F33" s="76"/>
      <c r="G33" s="94">
        <f>IF(G32&lt;0,0,G32*$E$3)</f>
        <v>0</v>
      </c>
      <c r="H33" s="94">
        <f>IF(H32&lt;0,0,H32*$E$3)</f>
        <v>0</v>
      </c>
      <c r="I33" s="94">
        <f>IF(I32&lt;0,0,I32*$E$3)</f>
        <v>2394213.6</v>
      </c>
      <c r="J33" s="94">
        <f t="shared" ref="J33:K33" si="13">IF(J32&lt;0,0,J32*$E$3)</f>
        <v>2394213.6</v>
      </c>
      <c r="K33" s="94">
        <f t="shared" si="13"/>
        <v>2394213.6</v>
      </c>
      <c r="L33" s="94"/>
      <c r="M33" s="94"/>
      <c r="N33" s="94"/>
      <c r="O33" s="94"/>
      <c r="P33" s="94"/>
      <c r="Q33" s="95">
        <f>SUM(G33:K33)</f>
        <v>7182640.8000000007</v>
      </c>
      <c r="R33" s="78"/>
      <c r="W33" s="88"/>
      <c r="X33" s="40"/>
    </row>
    <row r="34" spans="2:24" ht="16.2" thickBot="1" x14ac:dyDescent="0.35">
      <c r="B34" s="96" t="s">
        <v>79</v>
      </c>
      <c r="C34" s="96"/>
      <c r="D34" s="96"/>
      <c r="E34" s="96"/>
      <c r="F34" s="96"/>
      <c r="G34" s="97">
        <f>G32-G33</f>
        <v>-180289320</v>
      </c>
      <c r="H34" s="97">
        <f t="shared" ref="H34:J34" si="14">H32-H33</f>
        <v>-180289320</v>
      </c>
      <c r="I34" s="97">
        <f t="shared" si="14"/>
        <v>117316466.40000001</v>
      </c>
      <c r="J34" s="97">
        <f t="shared" si="14"/>
        <v>117316466.40000001</v>
      </c>
      <c r="K34" s="97">
        <f>K32-K33</f>
        <v>117316466.40000001</v>
      </c>
      <c r="L34" s="97"/>
      <c r="M34" s="97"/>
      <c r="N34" s="97"/>
      <c r="O34" s="97"/>
      <c r="P34" s="97"/>
      <c r="Q34" s="98">
        <f>Q32-Q33</f>
        <v>-8629240.8000000007</v>
      </c>
      <c r="R34" s="74"/>
      <c r="W34" s="74"/>
      <c r="X34" s="40"/>
    </row>
    <row r="35" spans="2:24" ht="5.4" customHeight="1" x14ac:dyDescent="0.3">
      <c r="Q35" s="54"/>
      <c r="R35" s="40"/>
      <c r="W35" s="40"/>
      <c r="X35" s="40"/>
    </row>
    <row r="36" spans="2:24" x14ac:dyDescent="0.3">
      <c r="B36" s="76" t="s">
        <v>80</v>
      </c>
      <c r="C36" s="76"/>
      <c r="D36" s="76"/>
      <c r="E36" s="76"/>
      <c r="F36" s="99"/>
      <c r="G36" s="99">
        <f>-G11</f>
        <v>-275120350</v>
      </c>
      <c r="H36" s="99">
        <f>-I9+-I11</f>
        <v>0</v>
      </c>
      <c r="I36" s="99">
        <f>-J9+-J11</f>
        <v>0</v>
      </c>
      <c r="J36" s="99">
        <f>-K9+-K11</f>
        <v>0</v>
      </c>
      <c r="K36" s="99">
        <f>-L9+-L11</f>
        <v>0</v>
      </c>
      <c r="L36" s="99"/>
      <c r="M36" s="99"/>
      <c r="N36" s="99"/>
      <c r="O36" s="99"/>
      <c r="P36" s="99"/>
      <c r="Q36" s="100"/>
      <c r="R36" s="88"/>
      <c r="W36" s="88"/>
      <c r="X36" s="40"/>
    </row>
    <row r="37" spans="2:24" x14ac:dyDescent="0.3">
      <c r="B37" s="1" t="s">
        <v>81</v>
      </c>
      <c r="F37" s="101">
        <f>F36</f>
        <v>0</v>
      </c>
      <c r="G37" s="101">
        <f>G36+G34+G29</f>
        <v>-400385600</v>
      </c>
      <c r="H37" s="101">
        <f t="shared" ref="H37:J37" si="15">H36+H34+H29</f>
        <v>-125265250</v>
      </c>
      <c r="I37" s="101">
        <f t="shared" si="15"/>
        <v>172340536.40000001</v>
      </c>
      <c r="J37" s="101">
        <f t="shared" si="15"/>
        <v>172340536.40000001</v>
      </c>
      <c r="K37" s="101">
        <f>K36+K34+K29</f>
        <v>172340536.40000001</v>
      </c>
      <c r="L37" s="101"/>
      <c r="M37" s="101"/>
      <c r="N37" s="101"/>
      <c r="O37" s="101"/>
      <c r="P37" s="101"/>
      <c r="Q37" s="102">
        <f>SUM(F37:K37)</f>
        <v>-8629240.8000000119</v>
      </c>
      <c r="R37" s="88"/>
      <c r="S37" s="37"/>
      <c r="T37" s="48"/>
      <c r="U37" s="37"/>
      <c r="V37" s="48"/>
      <c r="W37" s="88"/>
      <c r="X37" s="40"/>
    </row>
    <row r="38" spans="2:24" x14ac:dyDescent="0.3">
      <c r="B38" s="1" t="s">
        <v>82</v>
      </c>
      <c r="F38" s="101">
        <f>F37</f>
        <v>0</v>
      </c>
      <c r="G38" s="101">
        <f>F38+G37</f>
        <v>-400385600</v>
      </c>
      <c r="H38" s="101">
        <f t="shared" ref="H38:I38" si="16">G38+H37</f>
        <v>-525650850</v>
      </c>
      <c r="I38" s="101">
        <f t="shared" si="16"/>
        <v>-353310313.60000002</v>
      </c>
      <c r="J38" s="101">
        <f t="shared" ref="J38" si="17">I38+J37</f>
        <v>-180969777.20000002</v>
      </c>
      <c r="K38" s="101">
        <f t="shared" ref="K38" si="18">J38+K37</f>
        <v>-8629240.8000000119</v>
      </c>
      <c r="L38" s="101"/>
      <c r="M38" s="101"/>
      <c r="N38" s="101"/>
      <c r="O38" s="101"/>
      <c r="P38" s="101"/>
      <c r="Q38" s="102"/>
      <c r="R38" s="88"/>
      <c r="S38" s="103"/>
      <c r="T38" s="103"/>
      <c r="U38" s="103"/>
      <c r="V38" s="103"/>
      <c r="W38" s="88"/>
      <c r="X38" s="40"/>
    </row>
    <row r="39" spans="2:24" x14ac:dyDescent="0.3">
      <c r="B39" s="1" t="s">
        <v>83</v>
      </c>
      <c r="F39" s="101"/>
      <c r="G39" s="93">
        <f>IF(AND(F38&lt;0,G38&gt;0),G44-(G38/G37),0)</f>
        <v>0</v>
      </c>
      <c r="H39" s="93">
        <f t="shared" ref="H39:K39" si="19">IF(AND(G38&lt;0,H38&gt;0),H44-(H38/H37),0)</f>
        <v>0</v>
      </c>
      <c r="I39" s="93">
        <f t="shared" si="19"/>
        <v>0</v>
      </c>
      <c r="J39" s="93">
        <f t="shared" si="19"/>
        <v>0</v>
      </c>
      <c r="K39" s="93">
        <f t="shared" si="19"/>
        <v>0</v>
      </c>
      <c r="L39" s="93"/>
      <c r="M39" s="93"/>
      <c r="N39" s="93"/>
      <c r="O39" s="93"/>
      <c r="P39" s="93"/>
      <c r="Q39" s="104"/>
      <c r="R39" s="93"/>
      <c r="S39" s="105"/>
      <c r="T39" s="105"/>
      <c r="U39" s="105"/>
      <c r="V39" s="105"/>
      <c r="W39" s="93"/>
    </row>
    <row r="40" spans="2:24" x14ac:dyDescent="0.3">
      <c r="B40" s="106" t="s">
        <v>33</v>
      </c>
      <c r="C40" s="107"/>
      <c r="D40" s="107"/>
      <c r="E40" s="107"/>
      <c r="F40" s="108">
        <f>IRR(F37:K37)</f>
        <v>-5.9725578073757113E-3</v>
      </c>
      <c r="S40" s="105"/>
      <c r="T40" s="105"/>
      <c r="U40" s="105"/>
      <c r="V40" s="105"/>
    </row>
    <row r="41" spans="2:24" x14ac:dyDescent="0.3">
      <c r="B41" s="109" t="s">
        <v>34</v>
      </c>
      <c r="C41" s="44"/>
      <c r="D41" s="44"/>
      <c r="E41" s="44"/>
      <c r="F41" s="110">
        <f>NPV(E4,G37:K37)+F37</f>
        <v>-113309094.15402584</v>
      </c>
      <c r="H41" s="111"/>
      <c r="I41" s="112"/>
      <c r="S41" s="105"/>
      <c r="T41" s="105"/>
      <c r="U41" s="105"/>
      <c r="V41" s="105"/>
    </row>
    <row r="42" spans="2:24" x14ac:dyDescent="0.3">
      <c r="B42" s="109" t="s">
        <v>35</v>
      </c>
      <c r="C42" s="44"/>
      <c r="D42" s="44"/>
      <c r="E42" s="44"/>
      <c r="F42" s="113">
        <f>Q28</f>
        <v>0.21197765384764339</v>
      </c>
      <c r="H42" s="61"/>
      <c r="S42" s="105"/>
      <c r="T42" s="105"/>
      <c r="U42" s="105"/>
      <c r="V42" s="105"/>
    </row>
    <row r="43" spans="2:24" x14ac:dyDescent="0.3">
      <c r="B43" s="114" t="s">
        <v>84</v>
      </c>
      <c r="C43" s="115"/>
      <c r="D43" s="115"/>
      <c r="E43" s="115"/>
      <c r="F43" s="116">
        <f>SUM(F39:K39)</f>
        <v>0</v>
      </c>
      <c r="S43" s="105"/>
      <c r="T43" s="105"/>
      <c r="U43" s="105"/>
      <c r="V43" s="105"/>
    </row>
    <row r="44" spans="2:24" ht="9.6" customHeight="1" x14ac:dyDescent="0.3">
      <c r="G44" s="48">
        <v>1</v>
      </c>
      <c r="H44" s="37">
        <v>2</v>
      </c>
      <c r="I44" s="48">
        <v>3</v>
      </c>
      <c r="J44" s="37">
        <v>4</v>
      </c>
      <c r="K44" s="48">
        <v>5</v>
      </c>
      <c r="L44" s="48"/>
      <c r="M44" s="48"/>
      <c r="N44" s="48"/>
      <c r="O44" s="48"/>
      <c r="P44" s="48"/>
      <c r="Q44" s="37"/>
      <c r="R44" s="48"/>
      <c r="S44" s="117"/>
      <c r="T44" s="117"/>
      <c r="U44" s="117"/>
      <c r="V44" s="117"/>
    </row>
    <row r="45" spans="2:24" x14ac:dyDescent="0.3">
      <c r="B45" s="118" t="s">
        <v>85</v>
      </c>
      <c r="E45" s="103" t="s">
        <v>86</v>
      </c>
      <c r="G45" s="103" t="str">
        <f>G13</f>
        <v>Year 1</v>
      </c>
      <c r="H45" s="103" t="str">
        <f>H13</f>
        <v>Year 2</v>
      </c>
      <c r="I45" s="103" t="str">
        <f>I13</f>
        <v>Year 3</v>
      </c>
      <c r="J45" s="103" t="str">
        <f>J13</f>
        <v>Year 4</v>
      </c>
      <c r="K45" s="103" t="str">
        <f>K13</f>
        <v>Year 5</v>
      </c>
      <c r="L45" s="103"/>
      <c r="M45" s="103"/>
      <c r="N45" s="103"/>
      <c r="O45" s="103"/>
      <c r="P45" s="103"/>
      <c r="Q45" s="103"/>
      <c r="R45" s="103"/>
      <c r="W45" s="103"/>
    </row>
    <row r="46" spans="2:24" x14ac:dyDescent="0.3">
      <c r="D46" s="1" t="s">
        <v>58</v>
      </c>
      <c r="E46" s="1">
        <v>5</v>
      </c>
      <c r="G46" s="119">
        <f>SUM(G9:G10)/$E46</f>
        <v>55024070</v>
      </c>
      <c r="H46" s="105">
        <f>G46</f>
        <v>55024070</v>
      </c>
      <c r="I46" s="105">
        <f t="shared" ref="I46:K47" si="20">H46</f>
        <v>55024070</v>
      </c>
      <c r="J46" s="105">
        <f>I46</f>
        <v>55024070</v>
      </c>
      <c r="K46" s="105">
        <f>J46</f>
        <v>55024070</v>
      </c>
      <c r="L46" s="105"/>
      <c r="M46" s="105"/>
      <c r="N46" s="105"/>
      <c r="O46" s="105"/>
      <c r="P46" s="105"/>
      <c r="Q46" s="105">
        <f>SUM(G46:K46)</f>
        <v>275120350</v>
      </c>
      <c r="R46" s="105"/>
      <c r="W46" s="120"/>
    </row>
    <row r="47" spans="2:24" hidden="1" x14ac:dyDescent="0.3">
      <c r="D47" s="1" t="s">
        <v>60</v>
      </c>
      <c r="E47" s="1">
        <v>4</v>
      </c>
      <c r="H47" s="119">
        <f>I$11/$E47</f>
        <v>0</v>
      </c>
      <c r="J47" s="105">
        <f>H47</f>
        <v>0</v>
      </c>
      <c r="K47" s="105">
        <f t="shared" si="20"/>
        <v>0</v>
      </c>
      <c r="L47" s="105"/>
      <c r="M47" s="105"/>
      <c r="N47" s="105"/>
      <c r="O47" s="105"/>
      <c r="P47" s="105"/>
      <c r="Q47" s="105"/>
      <c r="R47" s="105"/>
      <c r="W47" s="120"/>
    </row>
    <row r="48" spans="2:24" hidden="1" x14ac:dyDescent="0.3">
      <c r="D48" s="1" t="s">
        <v>61</v>
      </c>
      <c r="E48" s="1">
        <v>3</v>
      </c>
      <c r="I48" s="119">
        <f>J$9/$E48</f>
        <v>0</v>
      </c>
      <c r="K48" s="105">
        <f>I48</f>
        <v>0</v>
      </c>
      <c r="L48" s="105"/>
      <c r="M48" s="105"/>
      <c r="N48" s="105"/>
      <c r="O48" s="105"/>
      <c r="P48" s="105"/>
      <c r="Q48" s="105"/>
      <c r="R48" s="105"/>
      <c r="W48" s="120"/>
    </row>
    <row r="49" spans="2:23" hidden="1" x14ac:dyDescent="0.3">
      <c r="D49" s="1" t="s">
        <v>62</v>
      </c>
      <c r="E49" s="1">
        <v>2</v>
      </c>
      <c r="J49" s="119"/>
      <c r="Q49" s="105"/>
      <c r="R49" s="105"/>
      <c r="W49" s="120"/>
    </row>
    <row r="50" spans="2:23" hidden="1" x14ac:dyDescent="0.3">
      <c r="D50" s="1" t="s">
        <v>87</v>
      </c>
      <c r="E50" s="1">
        <v>1</v>
      </c>
      <c r="K50" s="119"/>
      <c r="L50" s="119"/>
      <c r="M50" s="119"/>
      <c r="N50" s="119"/>
      <c r="O50" s="119"/>
      <c r="P50" s="119"/>
      <c r="Q50" s="105"/>
      <c r="R50" s="105"/>
      <c r="W50" s="120"/>
    </row>
    <row r="51" spans="2:23" ht="16.2" thickBot="1" x14ac:dyDescent="0.35">
      <c r="B51" s="121" t="s">
        <v>88</v>
      </c>
      <c r="C51" s="122"/>
      <c r="D51" s="122"/>
      <c r="E51" s="122"/>
      <c r="F51" s="122"/>
      <c r="G51" s="123">
        <f>SUM(G46:G49)</f>
        <v>55024070</v>
      </c>
      <c r="H51" s="123">
        <f>SUM(H46:H49)</f>
        <v>55024070</v>
      </c>
      <c r="I51" s="123">
        <f>SUM(I46:I49)</f>
        <v>55024070</v>
      </c>
      <c r="J51" s="123">
        <f>SUM(J46:J49)</f>
        <v>55024070</v>
      </c>
      <c r="K51" s="123">
        <f>SUM(K46:K49)</f>
        <v>55024070</v>
      </c>
      <c r="L51" s="159"/>
      <c r="M51" s="159"/>
      <c r="N51" s="159"/>
      <c r="O51" s="159"/>
      <c r="P51" s="159"/>
      <c r="Q51" s="123">
        <f>SUM(G51:K51)</f>
        <v>275120350</v>
      </c>
      <c r="R51" s="117"/>
      <c r="W51" s="117"/>
    </row>
    <row r="52" spans="2:23" ht="5.4" customHeight="1" thickTop="1" x14ac:dyDescent="0.3">
      <c r="W52" s="112"/>
    </row>
    <row r="53" spans="2:23" ht="3.6" customHeight="1" x14ac:dyDescent="0.3"/>
    <row r="54" spans="2:23" x14ac:dyDescent="0.3">
      <c r="B54" s="177"/>
      <c r="F54" s="1" t="s">
        <v>36</v>
      </c>
    </row>
    <row r="55" spans="2:23" x14ac:dyDescent="0.3">
      <c r="B55" s="178"/>
    </row>
    <row r="56" spans="2:23" x14ac:dyDescent="0.3">
      <c r="B56" s="182"/>
    </row>
    <row r="57" spans="2:23" x14ac:dyDescent="0.3">
      <c r="B57" s="178"/>
    </row>
  </sheetData>
  <mergeCells count="1">
    <mergeCell ref="E19:F19"/>
  </mergeCells>
  <phoneticPr fontId="26" type="noConversion"/>
  <pageMargins left="0.93" right="0.25" top="0.2" bottom="0.16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71CB8-1F69-43F2-9419-D767D0A8DD28}">
  <dimension ref="A1:D24"/>
  <sheetViews>
    <sheetView zoomScale="82" zoomScaleNormal="82" workbookViewId="0">
      <selection activeCell="B34" sqref="B34"/>
    </sheetView>
  </sheetViews>
  <sheetFormatPr defaultColWidth="9.21875" defaultRowHeight="14.4" x14ac:dyDescent="0.3"/>
  <cols>
    <col min="1" max="1" width="5.5546875" style="169" customWidth="1"/>
    <col min="2" max="2" width="32.77734375" style="169" customWidth="1"/>
    <col min="3" max="3" width="38.33203125" style="169" customWidth="1"/>
    <col min="4" max="4" width="38.44140625" style="169" customWidth="1"/>
    <col min="5" max="16384" width="9.21875" style="169"/>
  </cols>
  <sheetData>
    <row r="1" spans="1:4" ht="21" x14ac:dyDescent="0.4">
      <c r="C1" s="124" t="s">
        <v>89</v>
      </c>
    </row>
    <row r="3" spans="1:4" x14ac:dyDescent="0.3">
      <c r="A3" s="185" t="s">
        <v>186</v>
      </c>
      <c r="B3" s="185"/>
      <c r="C3" s="186" t="s">
        <v>187</v>
      </c>
    </row>
    <row r="4" spans="1:4" x14ac:dyDescent="0.3">
      <c r="A4" s="185" t="s">
        <v>188</v>
      </c>
      <c r="B4" s="185"/>
      <c r="C4" s="186" t="s">
        <v>189</v>
      </c>
    </row>
    <row r="5" spans="1:4" x14ac:dyDescent="0.3">
      <c r="A5" s="185" t="s">
        <v>190</v>
      </c>
      <c r="B5" s="185"/>
      <c r="C5" s="186" t="s">
        <v>191</v>
      </c>
    </row>
    <row r="6" spans="1:4" x14ac:dyDescent="0.3">
      <c r="A6" s="185" t="s">
        <v>179</v>
      </c>
      <c r="B6" s="185"/>
      <c r="C6" s="186" t="s">
        <v>40</v>
      </c>
    </row>
    <row r="7" spans="1:4" x14ac:dyDescent="0.3">
      <c r="A7" s="185" t="s">
        <v>180</v>
      </c>
      <c r="B7" s="185"/>
      <c r="C7" s="186" t="s">
        <v>192</v>
      </c>
    </row>
    <row r="9" spans="1:4" ht="15" customHeight="1" x14ac:dyDescent="0.3">
      <c r="A9" s="245" t="s">
        <v>90</v>
      </c>
      <c r="B9" s="246" t="s">
        <v>91</v>
      </c>
      <c r="C9" s="246" t="s">
        <v>92</v>
      </c>
      <c r="D9" s="246" t="s">
        <v>23</v>
      </c>
    </row>
    <row r="10" spans="1:4" ht="15" customHeight="1" x14ac:dyDescent="0.3">
      <c r="A10" s="245"/>
      <c r="B10" s="246"/>
      <c r="C10" s="246"/>
      <c r="D10" s="246"/>
    </row>
    <row r="11" spans="1:4" x14ac:dyDescent="0.3">
      <c r="A11" s="170" t="s">
        <v>181</v>
      </c>
      <c r="B11" s="187" t="s">
        <v>93</v>
      </c>
      <c r="C11" s="187" t="s">
        <v>9</v>
      </c>
      <c r="D11" s="187" t="s">
        <v>9</v>
      </c>
    </row>
    <row r="12" spans="1:4" x14ac:dyDescent="0.3">
      <c r="A12" s="170" t="s">
        <v>182</v>
      </c>
      <c r="B12" s="187" t="s">
        <v>94</v>
      </c>
      <c r="C12" s="188" t="s">
        <v>193</v>
      </c>
      <c r="D12" s="188" t="s">
        <v>193</v>
      </c>
    </row>
    <row r="13" spans="1:4" x14ac:dyDescent="0.3">
      <c r="A13" s="170" t="s">
        <v>183</v>
      </c>
      <c r="B13" s="187" t="s">
        <v>95</v>
      </c>
      <c r="C13" s="188" t="s">
        <v>194</v>
      </c>
      <c r="D13" s="188" t="s">
        <v>195</v>
      </c>
    </row>
    <row r="14" spans="1:4" x14ac:dyDescent="0.3">
      <c r="A14" s="247">
        <v>4</v>
      </c>
      <c r="B14" s="188" t="s">
        <v>196</v>
      </c>
      <c r="C14" s="189" t="s">
        <v>197</v>
      </c>
      <c r="D14" s="189">
        <v>600000000</v>
      </c>
    </row>
    <row r="15" spans="1:4" x14ac:dyDescent="0.3">
      <c r="A15" s="247"/>
      <c r="B15" s="187" t="s">
        <v>184</v>
      </c>
      <c r="C15" s="189" t="s">
        <v>198</v>
      </c>
      <c r="D15" s="189">
        <v>120000000</v>
      </c>
    </row>
    <row r="16" spans="1:4" x14ac:dyDescent="0.3">
      <c r="A16" s="170">
        <v>5</v>
      </c>
      <c r="B16" s="190" t="s">
        <v>96</v>
      </c>
      <c r="C16" s="188" t="s">
        <v>199</v>
      </c>
      <c r="D16" s="188" t="s">
        <v>199</v>
      </c>
    </row>
    <row r="17" spans="1:4" x14ac:dyDescent="0.3">
      <c r="A17" s="170"/>
      <c r="B17" s="187"/>
      <c r="C17" s="189" t="s">
        <v>200</v>
      </c>
      <c r="D17" s="189" t="s">
        <v>200</v>
      </c>
    </row>
    <row r="18" spans="1:4" x14ac:dyDescent="0.3">
      <c r="A18" s="171" t="s">
        <v>185</v>
      </c>
      <c r="B18" s="187" t="s">
        <v>97</v>
      </c>
      <c r="C18" s="243" t="s">
        <v>204</v>
      </c>
      <c r="D18" s="244"/>
    </row>
    <row r="19" spans="1:4" ht="15.6" x14ac:dyDescent="0.3">
      <c r="B19" s="172"/>
      <c r="C19" s="172"/>
    </row>
    <row r="24" spans="1:4" x14ac:dyDescent="0.3">
      <c r="D24" s="192"/>
    </row>
  </sheetData>
  <mergeCells count="6">
    <mergeCell ref="C18:D18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701A0-FBC8-4000-AABE-A099DE3BADE4}">
  <dimension ref="A2:M30"/>
  <sheetViews>
    <sheetView topLeftCell="A16" workbookViewId="0">
      <selection activeCell="F30" sqref="A1:F30"/>
    </sheetView>
  </sheetViews>
  <sheetFormatPr defaultRowHeight="14.4" x14ac:dyDescent="0.3"/>
  <cols>
    <col min="1" max="1" width="27.109375" customWidth="1"/>
    <col min="2" max="2" width="12.88671875" customWidth="1"/>
    <col min="3" max="3" width="14" customWidth="1"/>
    <col min="4" max="4" width="7" customWidth="1"/>
    <col min="5" max="5" width="16.109375" bestFit="1" customWidth="1"/>
    <col min="6" max="6" width="14.33203125" bestFit="1" customWidth="1"/>
  </cols>
  <sheetData>
    <row r="2" spans="1:13" x14ac:dyDescent="0.3">
      <c r="A2" s="248" t="s">
        <v>214</v>
      </c>
      <c r="B2" s="248"/>
      <c r="C2" s="248"/>
      <c r="D2" s="248"/>
      <c r="E2" s="248"/>
      <c r="F2" s="248"/>
      <c r="G2" s="193"/>
      <c r="H2" s="193"/>
      <c r="I2" s="193"/>
      <c r="J2" s="193"/>
      <c r="K2" s="193"/>
      <c r="L2" s="193"/>
      <c r="M2" s="193"/>
    </row>
    <row r="3" spans="1:13" x14ac:dyDescent="0.3">
      <c r="A3" s="194" t="s">
        <v>205</v>
      </c>
      <c r="B3" s="194" t="s">
        <v>206</v>
      </c>
      <c r="C3" s="194" t="s">
        <v>207</v>
      </c>
      <c r="D3" s="195"/>
      <c r="G3" s="193"/>
      <c r="H3" s="193"/>
      <c r="I3" s="193"/>
      <c r="J3" s="193"/>
      <c r="K3" s="193"/>
      <c r="L3" s="193"/>
      <c r="M3" s="193"/>
    </row>
    <row r="4" spans="1:13" x14ac:dyDescent="0.3">
      <c r="A4" s="196" t="s">
        <v>215</v>
      </c>
      <c r="B4" s="197">
        <v>44511</v>
      </c>
      <c r="C4" s="197">
        <v>46336</v>
      </c>
      <c r="D4" s="198"/>
      <c r="E4" s="199"/>
      <c r="F4" s="199"/>
      <c r="G4" s="193"/>
      <c r="H4" s="193"/>
      <c r="I4" s="193"/>
      <c r="J4" s="193"/>
      <c r="K4" s="193"/>
      <c r="L4" s="193"/>
      <c r="M4" s="193"/>
    </row>
    <row r="5" spans="1:13" x14ac:dyDescent="0.3">
      <c r="A5" s="196" t="s">
        <v>208</v>
      </c>
      <c r="B5" s="197">
        <v>45743</v>
      </c>
      <c r="C5" s="197">
        <v>11043</v>
      </c>
      <c r="D5" s="198"/>
      <c r="G5" s="193"/>
      <c r="H5" s="193"/>
      <c r="I5" s="193"/>
      <c r="J5" s="193"/>
      <c r="K5" s="193"/>
      <c r="L5" s="193"/>
      <c r="M5" s="193"/>
    </row>
    <row r="6" spans="1:13" x14ac:dyDescent="0.3">
      <c r="A6" s="193"/>
      <c r="G6" s="193"/>
      <c r="H6" s="193"/>
      <c r="I6" s="193"/>
      <c r="J6" s="193"/>
      <c r="K6" s="193"/>
      <c r="L6" s="193"/>
      <c r="M6" s="193"/>
    </row>
    <row r="7" spans="1:13" x14ac:dyDescent="0.3">
      <c r="A7" s="193"/>
      <c r="B7" s="194" t="s">
        <v>206</v>
      </c>
      <c r="C7" s="194" t="s">
        <v>207</v>
      </c>
      <c r="D7" s="194" t="s">
        <v>209</v>
      </c>
      <c r="E7" s="198"/>
      <c r="F7" s="198"/>
      <c r="G7" s="193"/>
      <c r="H7" s="193"/>
      <c r="I7" s="193"/>
      <c r="J7" s="193"/>
      <c r="K7" s="193"/>
      <c r="L7" s="193"/>
      <c r="M7" s="193"/>
    </row>
    <row r="8" spans="1:13" x14ac:dyDescent="0.3">
      <c r="A8" s="193" t="s">
        <v>216</v>
      </c>
      <c r="B8" s="193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</row>
    <row r="9" spans="1:13" x14ac:dyDescent="0.3">
      <c r="A9" s="193" t="s">
        <v>215</v>
      </c>
      <c r="B9" s="200">
        <v>45743</v>
      </c>
      <c r="C9" s="200">
        <v>46336</v>
      </c>
      <c r="D9" s="201">
        <f t="shared" ref="D9:D12" si="0">C9-B9</f>
        <v>593</v>
      </c>
      <c r="E9" s="202">
        <v>258210000</v>
      </c>
      <c r="F9" s="203">
        <f>E9/365*D9</f>
        <v>419502821.91780823</v>
      </c>
      <c r="G9" s="193"/>
      <c r="H9" s="193"/>
      <c r="I9" s="193"/>
      <c r="J9" s="193"/>
      <c r="K9" s="193"/>
      <c r="L9" s="193"/>
      <c r="M9" s="193"/>
    </row>
    <row r="10" spans="1:13" x14ac:dyDescent="0.3">
      <c r="A10" s="193" t="s">
        <v>210</v>
      </c>
      <c r="B10" s="200">
        <v>45743</v>
      </c>
      <c r="C10" s="200">
        <v>47568</v>
      </c>
      <c r="D10" s="201">
        <f t="shared" si="0"/>
        <v>1825</v>
      </c>
      <c r="E10" s="202">
        <v>120000000</v>
      </c>
      <c r="F10" s="203">
        <f>-E10/365*D10</f>
        <v>-600000000</v>
      </c>
      <c r="G10" s="193"/>
      <c r="H10" s="193"/>
      <c r="I10" s="193"/>
      <c r="J10" s="193"/>
      <c r="K10" s="193"/>
      <c r="L10" s="193"/>
      <c r="M10" s="193"/>
    </row>
    <row r="11" spans="1:13" x14ac:dyDescent="0.3">
      <c r="A11" s="193" t="s">
        <v>217</v>
      </c>
      <c r="B11" s="200">
        <v>45743</v>
      </c>
      <c r="C11" s="200">
        <v>46336</v>
      </c>
      <c r="D11" s="201">
        <f t="shared" si="0"/>
        <v>593</v>
      </c>
      <c r="E11" s="202">
        <v>61000000</v>
      </c>
      <c r="F11" s="203"/>
      <c r="G11" s="193"/>
      <c r="H11" s="193"/>
      <c r="I11" s="193"/>
      <c r="J11" s="193"/>
      <c r="K11" s="193"/>
      <c r="L11" s="193"/>
      <c r="M11" s="193"/>
    </row>
    <row r="12" spans="1:13" x14ac:dyDescent="0.3">
      <c r="A12" s="193" t="s">
        <v>211</v>
      </c>
      <c r="B12" s="200">
        <v>45743</v>
      </c>
      <c r="C12" s="200">
        <v>46336</v>
      </c>
      <c r="D12" s="201">
        <f t="shared" si="0"/>
        <v>593</v>
      </c>
      <c r="E12" s="202">
        <v>16020000</v>
      </c>
      <c r="F12" s="203">
        <f>-E12/365*D12</f>
        <v>-26027013.698630139</v>
      </c>
      <c r="G12" s="193"/>
      <c r="H12" s="193"/>
      <c r="I12" s="193"/>
      <c r="J12" s="193"/>
      <c r="K12" s="193"/>
      <c r="L12" s="193"/>
      <c r="M12" s="193"/>
    </row>
    <row r="13" spans="1:13" x14ac:dyDescent="0.3">
      <c r="A13" s="193" t="s">
        <v>212</v>
      </c>
      <c r="B13" s="193"/>
      <c r="C13" s="193"/>
      <c r="D13" s="193"/>
      <c r="E13" s="204">
        <v>100000000</v>
      </c>
      <c r="F13" s="205"/>
      <c r="G13" s="193"/>
      <c r="H13" s="193"/>
      <c r="I13" s="193"/>
      <c r="J13" s="193"/>
      <c r="K13" s="193"/>
      <c r="L13" s="193"/>
      <c r="M13" s="193"/>
    </row>
    <row r="14" spans="1:13" x14ac:dyDescent="0.3">
      <c r="A14" s="193" t="s">
        <v>213</v>
      </c>
      <c r="B14" s="193"/>
      <c r="C14" s="193"/>
      <c r="D14" s="193"/>
      <c r="E14" s="193"/>
      <c r="F14" s="203">
        <f>SUM(F9:F13)</f>
        <v>-206524191.78082192</v>
      </c>
      <c r="G14" s="193"/>
      <c r="H14" s="193"/>
      <c r="I14" s="193"/>
      <c r="J14" s="193"/>
      <c r="K14" s="193"/>
      <c r="L14" s="193"/>
      <c r="M14" s="193"/>
    </row>
    <row r="15" spans="1:13" x14ac:dyDescent="0.3">
      <c r="A15" s="193"/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</row>
    <row r="16" spans="1:13" x14ac:dyDescent="0.3">
      <c r="A16" s="193" t="s">
        <v>218</v>
      </c>
      <c r="B16" s="193"/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</row>
    <row r="17" spans="1:13" x14ac:dyDescent="0.3">
      <c r="A17" s="193" t="s">
        <v>215</v>
      </c>
      <c r="B17" s="197">
        <v>45743</v>
      </c>
      <c r="C17" s="197">
        <v>46336</v>
      </c>
      <c r="D17" s="201">
        <f t="shared" ref="D17:D20" si="1">C17-B17</f>
        <v>593</v>
      </c>
      <c r="E17" s="202">
        <v>258210000</v>
      </c>
      <c r="F17" s="203">
        <f>E17/365*D17</f>
        <v>419502821.91780823</v>
      </c>
      <c r="G17" s="193"/>
      <c r="H17" s="193"/>
      <c r="I17" s="193"/>
      <c r="J17" s="193"/>
      <c r="K17" s="193"/>
      <c r="L17" s="193"/>
      <c r="M17" s="193"/>
    </row>
    <row r="18" spans="1:13" x14ac:dyDescent="0.3">
      <c r="A18" s="193" t="s">
        <v>210</v>
      </c>
      <c r="B18" s="197">
        <v>45743</v>
      </c>
      <c r="C18" s="197">
        <v>46336</v>
      </c>
      <c r="D18" s="201">
        <f t="shared" si="1"/>
        <v>593</v>
      </c>
      <c r="E18" s="202">
        <v>120000000</v>
      </c>
      <c r="F18" s="203">
        <f>-E18/365*D18</f>
        <v>-194958904.10958904</v>
      </c>
      <c r="G18" s="193"/>
      <c r="H18" s="193"/>
      <c r="I18" s="193"/>
      <c r="J18" s="193"/>
      <c r="K18" s="193"/>
      <c r="L18" s="193"/>
      <c r="M18" s="193"/>
    </row>
    <row r="19" spans="1:13" x14ac:dyDescent="0.3">
      <c r="A19" s="193" t="s">
        <v>217</v>
      </c>
      <c r="B19" s="197">
        <v>45743</v>
      </c>
      <c r="C19" s="197">
        <v>46336</v>
      </c>
      <c r="D19" s="201">
        <f t="shared" si="1"/>
        <v>593</v>
      </c>
      <c r="E19" s="202">
        <v>61000000</v>
      </c>
      <c r="F19" s="203">
        <f t="shared" ref="F19:F20" si="2">-E19/365*D19</f>
        <v>-99104109.589041099</v>
      </c>
      <c r="G19" s="193"/>
      <c r="H19" s="193"/>
      <c r="I19" s="193"/>
      <c r="J19" s="193"/>
      <c r="K19" s="193"/>
      <c r="L19" s="193"/>
      <c r="M19" s="193"/>
    </row>
    <row r="20" spans="1:13" x14ac:dyDescent="0.3">
      <c r="A20" s="193" t="s">
        <v>211</v>
      </c>
      <c r="B20" s="197">
        <v>45743</v>
      </c>
      <c r="C20" s="197">
        <v>46336</v>
      </c>
      <c r="D20" s="201">
        <f t="shared" si="1"/>
        <v>593</v>
      </c>
      <c r="E20" s="202">
        <v>16020000</v>
      </c>
      <c r="F20" s="203">
        <f t="shared" si="2"/>
        <v>-26027013.698630139</v>
      </c>
      <c r="G20" s="193"/>
      <c r="H20" s="193"/>
      <c r="I20" s="193"/>
      <c r="J20" s="193"/>
      <c r="K20" s="193"/>
      <c r="L20" s="193"/>
      <c r="M20" s="193"/>
    </row>
    <row r="21" spans="1:13" x14ac:dyDescent="0.3">
      <c r="A21" s="193" t="s">
        <v>212</v>
      </c>
      <c r="B21" s="193"/>
      <c r="C21" s="193"/>
      <c r="D21" s="193"/>
      <c r="E21" s="204">
        <v>100000000</v>
      </c>
      <c r="F21" s="205"/>
      <c r="G21" s="193"/>
      <c r="H21" s="193"/>
      <c r="I21" s="193"/>
      <c r="J21" s="193"/>
      <c r="K21" s="193"/>
      <c r="L21" s="193"/>
      <c r="M21" s="193"/>
    </row>
    <row r="22" spans="1:13" x14ac:dyDescent="0.3">
      <c r="A22" s="193" t="s">
        <v>213</v>
      </c>
      <c r="B22" s="193"/>
      <c r="C22" s="193"/>
      <c r="D22" s="193"/>
      <c r="E22" s="193"/>
      <c r="F22" s="203">
        <f>SUM(F17:F21)</f>
        <v>99412794.520547956</v>
      </c>
      <c r="G22" s="193"/>
      <c r="H22" s="193"/>
      <c r="I22" s="193"/>
      <c r="J22" s="193"/>
      <c r="K22" s="193"/>
      <c r="L22" s="193"/>
      <c r="M22" s="193"/>
    </row>
    <row r="24" spans="1:13" x14ac:dyDescent="0.3">
      <c r="A24" t="s">
        <v>219</v>
      </c>
    </row>
    <row r="25" spans="1:13" x14ac:dyDescent="0.3">
      <c r="A25" t="s">
        <v>215</v>
      </c>
      <c r="B25" s="197">
        <v>45743</v>
      </c>
      <c r="C25" s="197">
        <v>47568</v>
      </c>
      <c r="D25">
        <v>1825</v>
      </c>
      <c r="E25" s="202">
        <v>258210000</v>
      </c>
      <c r="F25" s="203">
        <f>E25/365*D25</f>
        <v>1291050000</v>
      </c>
    </row>
    <row r="26" spans="1:13" x14ac:dyDescent="0.3">
      <c r="A26" t="s">
        <v>210</v>
      </c>
      <c r="B26" s="197">
        <v>45743</v>
      </c>
      <c r="C26" s="197">
        <v>47568</v>
      </c>
      <c r="D26">
        <v>1825</v>
      </c>
      <c r="E26" s="202">
        <v>120000000</v>
      </c>
      <c r="F26" s="203">
        <f>-E26/365*D26</f>
        <v>-600000000</v>
      </c>
    </row>
    <row r="27" spans="1:13" x14ac:dyDescent="0.3">
      <c r="A27" t="s">
        <v>217</v>
      </c>
      <c r="B27" s="197">
        <v>45743</v>
      </c>
      <c r="C27" s="197">
        <v>47568</v>
      </c>
      <c r="D27">
        <v>1825</v>
      </c>
      <c r="E27" s="202">
        <v>61000000</v>
      </c>
      <c r="F27" s="203">
        <f t="shared" ref="F27:F28" si="3">-E27/365*D27</f>
        <v>-305000000</v>
      </c>
    </row>
    <row r="28" spans="1:13" x14ac:dyDescent="0.3">
      <c r="A28" t="s">
        <v>211</v>
      </c>
      <c r="B28" s="197">
        <v>45743</v>
      </c>
      <c r="C28" s="197">
        <v>47568</v>
      </c>
      <c r="D28">
        <v>1825</v>
      </c>
      <c r="E28" s="202">
        <v>16020000</v>
      </c>
      <c r="F28" s="206">
        <f t="shared" si="3"/>
        <v>-80100000</v>
      </c>
    </row>
    <row r="29" spans="1:13" x14ac:dyDescent="0.3">
      <c r="A29" t="s">
        <v>212</v>
      </c>
      <c r="E29" s="204">
        <v>100000000</v>
      </c>
      <c r="F29" s="207">
        <f>SUM(F25:F28)</f>
        <v>305950000</v>
      </c>
    </row>
    <row r="30" spans="1:13" x14ac:dyDescent="0.3">
      <c r="A30" t="s">
        <v>213</v>
      </c>
    </row>
  </sheetData>
  <mergeCells count="1">
    <mergeCell ref="A2:F2"/>
  </mergeCells>
  <pageMargins left="0.36" right="0.5699999999999999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Parameter</vt:lpstr>
      <vt:lpstr>IRR</vt:lpstr>
      <vt:lpstr>Summary Review new (2)</vt:lpstr>
      <vt:lpstr>Analisa</vt:lpstr>
      <vt:lpstr>Analisa!Print_Area</vt:lpstr>
      <vt:lpstr>IRR!Print_Area</vt:lpstr>
      <vt:lpstr>Summary!Print_Area</vt:lpstr>
      <vt:lpstr>'Summary Review new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2025-03-11T07:06:01Z</cp:lastPrinted>
  <dcterms:created xsi:type="dcterms:W3CDTF">2024-01-30T02:49:52Z</dcterms:created>
  <dcterms:modified xsi:type="dcterms:W3CDTF">2025-03-28T03:54:37Z</dcterms:modified>
</cp:coreProperties>
</file>