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0 strategic planning\PnL\IBC\"/>
    </mc:Choice>
  </mc:AlternateContent>
  <xr:revisionPtr revIDLastSave="0" documentId="13_ncr:1_{7EC01276-54FC-4057-8CFB-79221E809629}" xr6:coauthVersionLast="36" xr6:coauthVersionMax="47" xr10:uidLastSave="{00000000-0000-0000-0000-000000000000}"/>
  <bookViews>
    <workbookView xWindow="0" yWindow="0" windowWidth="19200" windowHeight="6230" xr2:uid="{A4174494-61B9-4994-8303-9C4639E059BD}"/>
  </bookViews>
  <sheets>
    <sheet name="Summary" sheetId="1" r:id="rId1"/>
    <sheet name="IRR" sheetId="2" r:id="rId2"/>
    <sheet name="Parameter" sheetId="4" r:id="rId3"/>
    <sheet name="Summary review QBIG" sheetId="12" r:id="rId4"/>
  </sheets>
  <externalReferences>
    <externalReference r:id="rId5"/>
    <externalReference r:id="rId6"/>
    <externalReference r:id="rId7"/>
  </externalReferences>
  <definedNames>
    <definedName name="jk" localSheetId="1">#REF!</definedName>
    <definedName name="jk" localSheetId="0">#REF!</definedName>
    <definedName name="jk" localSheetId="3">#REF!</definedName>
    <definedName name="jk">#REF!</definedName>
    <definedName name="_xlnm.Print_Area" localSheetId="1">IRR!$A$1:$Q$59</definedName>
    <definedName name="_xlnm.Print_Area" localSheetId="0">Summary!$B$2:$N$36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5" i="2" l="1"/>
  <c r="G18" i="2"/>
  <c r="M8" i="1" l="1"/>
  <c r="E5" i="2" l="1"/>
  <c r="G19" i="2"/>
  <c r="A3" i="4"/>
  <c r="H19" i="2" l="1"/>
  <c r="I19" i="2" s="1"/>
  <c r="J19" i="2" s="1"/>
  <c r="K19" i="2" s="1"/>
  <c r="G26" i="2" l="1"/>
  <c r="H18" i="2"/>
  <c r="I18" i="2" s="1"/>
  <c r="J18" i="2" s="1"/>
  <c r="K18" i="2" s="1"/>
  <c r="D17" i="12"/>
  <c r="C17" i="12"/>
  <c r="D14" i="12"/>
  <c r="C14" i="12"/>
  <c r="Q24" i="2" l="1"/>
  <c r="H17" i="2" l="1"/>
  <c r="Q10" i="2" l="1"/>
  <c r="G48" i="2"/>
  <c r="G11" i="2" l="1"/>
  <c r="Q18" i="2" l="1"/>
  <c r="A6" i="4" l="1"/>
  <c r="I17" i="2" l="1"/>
  <c r="J17" i="2" s="1"/>
  <c r="K17" i="2" l="1"/>
  <c r="Q17" i="2"/>
  <c r="N2" i="1"/>
  <c r="K38" i="2"/>
  <c r="A9" i="4"/>
  <c r="A12" i="4" s="1"/>
  <c r="A15" i="4" s="1"/>
  <c r="A18" i="4" s="1"/>
  <c r="A21" i="4" s="1"/>
  <c r="A24" i="4" s="1"/>
  <c r="A27" i="4" s="1"/>
  <c r="A30" i="4" s="1"/>
  <c r="G38" i="2"/>
  <c r="Q9" i="2"/>
  <c r="Q11" i="2" s="1"/>
  <c r="Q1" i="2" l="1"/>
  <c r="M12" i="1" l="1"/>
  <c r="C70" i="4"/>
  <c r="H69" i="4"/>
  <c r="H74" i="4" s="1"/>
  <c r="L29" i="4"/>
  <c r="L28" i="4"/>
  <c r="M27" i="4" s="1"/>
  <c r="M29" i="4" s="1"/>
  <c r="J26" i="4"/>
  <c r="J25" i="4"/>
  <c r="K24" i="4" s="1"/>
  <c r="I23" i="4"/>
  <c r="I22" i="4"/>
  <c r="J21" i="4" s="1"/>
  <c r="H20" i="4"/>
  <c r="H19" i="4"/>
  <c r="I18" i="4" s="1"/>
  <c r="I20" i="4" s="1"/>
  <c r="G16" i="4"/>
  <c r="H15" i="4" s="1"/>
  <c r="H17" i="4" s="1"/>
  <c r="G17" i="4"/>
  <c r="F13" i="4"/>
  <c r="F14" i="4"/>
  <c r="E11" i="4"/>
  <c r="D8" i="4"/>
  <c r="D7" i="4"/>
  <c r="C5" i="4"/>
  <c r="C34" i="4" s="1"/>
  <c r="H73" i="4" l="1"/>
  <c r="M31" i="4"/>
  <c r="N30" i="4" s="1"/>
  <c r="M32" i="4"/>
  <c r="K26" i="4"/>
  <c r="J23" i="4"/>
  <c r="N27" i="4"/>
  <c r="L24" i="4"/>
  <c r="L26" i="4" s="1"/>
  <c r="K21" i="4"/>
  <c r="J18" i="4"/>
  <c r="I15" i="4"/>
  <c r="O30" i="4" l="1"/>
  <c r="O32" i="4" s="1"/>
  <c r="N32" i="4"/>
  <c r="I17" i="4"/>
  <c r="J20" i="4"/>
  <c r="N29" i="4"/>
  <c r="K23" i="4"/>
  <c r="O27" i="4"/>
  <c r="M24" i="4"/>
  <c r="M26" i="4" s="1"/>
  <c r="L21" i="4"/>
  <c r="K18" i="4"/>
  <c r="J15" i="4"/>
  <c r="P30" i="4" l="1"/>
  <c r="P32" i="4" s="1"/>
  <c r="O29" i="4"/>
  <c r="K20" i="4"/>
  <c r="J17" i="4"/>
  <c r="L23" i="4"/>
  <c r="P27" i="4"/>
  <c r="N24" i="4"/>
  <c r="M21" i="4"/>
  <c r="L18" i="4"/>
  <c r="K15" i="4"/>
  <c r="Q30" i="4" l="1"/>
  <c r="Q32" i="4" s="1"/>
  <c r="P29" i="4"/>
  <c r="P34" i="4" s="1"/>
  <c r="N26" i="4"/>
  <c r="M23" i="4"/>
  <c r="K17" i="4"/>
  <c r="L20" i="4"/>
  <c r="Q27" i="4"/>
  <c r="O24" i="4"/>
  <c r="O26" i="4" s="1"/>
  <c r="O34" i="4" s="1"/>
  <c r="K33" i="2" s="1"/>
  <c r="N21" i="4"/>
  <c r="N23" i="4" s="1"/>
  <c r="M18" i="4"/>
  <c r="M20" i="4" s="1"/>
  <c r="L15" i="4"/>
  <c r="L17" i="4" s="1"/>
  <c r="N34" i="4" l="1"/>
  <c r="J33" i="2" s="1"/>
  <c r="L34" i="4"/>
  <c r="H33" i="2" s="1"/>
  <c r="M34" i="4"/>
  <c r="I33" i="2" s="1"/>
  <c r="R30" i="4"/>
  <c r="R32" i="4" s="1"/>
  <c r="R34" i="4" s="1"/>
  <c r="Q29" i="4"/>
  <c r="Q34" i="4" s="1"/>
  <c r="H12" i="2" l="1"/>
  <c r="I12" i="2" s="1"/>
  <c r="J12" i="2" s="1"/>
  <c r="K12" i="2" s="1"/>
  <c r="L12" i="2" s="1"/>
  <c r="M12" i="2" s="1"/>
  <c r="N12" i="2" s="1"/>
  <c r="O12" i="2" s="1"/>
  <c r="P12" i="2" s="1"/>
  <c r="E74" i="4"/>
  <c r="I74" i="4" s="1"/>
  <c r="G73" i="4"/>
  <c r="E73" i="4"/>
  <c r="F72" i="4"/>
  <c r="I72" i="4" s="1"/>
  <c r="E71" i="4"/>
  <c r="I71" i="4" s="1"/>
  <c r="E70" i="4"/>
  <c r="B43" i="4"/>
  <c r="C45" i="4" s="1"/>
  <c r="C44" i="4" s="1"/>
  <c r="G12" i="4"/>
  <c r="E10" i="4"/>
  <c r="F9" i="4" s="1"/>
  <c r="E6" i="4"/>
  <c r="C4" i="4"/>
  <c r="D3" i="4" s="1"/>
  <c r="D2" i="4"/>
  <c r="E2" i="4" s="1"/>
  <c r="F2" i="4" s="1"/>
  <c r="I50" i="2"/>
  <c r="K50" i="2" s="1"/>
  <c r="H49" i="2"/>
  <c r="J49" i="2" s="1"/>
  <c r="K49" i="2" s="1"/>
  <c r="K47" i="2"/>
  <c r="J47" i="2"/>
  <c r="I47" i="2"/>
  <c r="H47" i="2"/>
  <c r="G47" i="2"/>
  <c r="J38" i="2"/>
  <c r="I38" i="2"/>
  <c r="H38" i="2"/>
  <c r="H25" i="2"/>
  <c r="M13" i="1"/>
  <c r="K21" i="2"/>
  <c r="Q19" i="2"/>
  <c r="G21" i="2"/>
  <c r="F39" i="2"/>
  <c r="M10" i="1"/>
  <c r="G27" i="2" l="1"/>
  <c r="G2" i="4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F11" i="4"/>
  <c r="E8" i="4"/>
  <c r="G14" i="4"/>
  <c r="D5" i="4"/>
  <c r="D34" i="4" s="1"/>
  <c r="I70" i="4"/>
  <c r="I73" i="4"/>
  <c r="I21" i="2"/>
  <c r="I27" i="2" s="1"/>
  <c r="J21" i="2"/>
  <c r="J27" i="2" s="1"/>
  <c r="Q20" i="2"/>
  <c r="H12" i="4"/>
  <c r="H14" i="4" s="1"/>
  <c r="G9" i="4"/>
  <c r="C43" i="4"/>
  <c r="E3" i="4"/>
  <c r="F6" i="4"/>
  <c r="F8" i="4" s="1"/>
  <c r="F40" i="2"/>
  <c r="K27" i="2"/>
  <c r="H21" i="2"/>
  <c r="I25" i="2"/>
  <c r="Q21" i="2" l="1"/>
  <c r="M11" i="1" s="1"/>
  <c r="I75" i="4"/>
  <c r="E5" i="4"/>
  <c r="E34" i="4" s="1"/>
  <c r="G11" i="4"/>
  <c r="D45" i="4"/>
  <c r="D44" i="4" s="1"/>
  <c r="F3" i="4"/>
  <c r="H9" i="4"/>
  <c r="H11" i="4" s="1"/>
  <c r="I12" i="4"/>
  <c r="G6" i="4"/>
  <c r="J25" i="2"/>
  <c r="H27" i="2"/>
  <c r="G53" i="2"/>
  <c r="H48" i="2"/>
  <c r="J75" i="4" l="1"/>
  <c r="L77" i="4"/>
  <c r="J76" i="4"/>
  <c r="L76" i="4" s="1"/>
  <c r="G31" i="2"/>
  <c r="I14" i="4"/>
  <c r="G8" i="4"/>
  <c r="F5" i="4"/>
  <c r="F34" i="4" s="1"/>
  <c r="D43" i="4"/>
  <c r="H6" i="4"/>
  <c r="I8" i="4" s="1"/>
  <c r="J12" i="4"/>
  <c r="G3" i="4"/>
  <c r="I9" i="4"/>
  <c r="E45" i="4"/>
  <c r="E44" i="4" s="1"/>
  <c r="H53" i="2"/>
  <c r="H31" i="2" s="1"/>
  <c r="I48" i="2"/>
  <c r="J48" i="2" s="1"/>
  <c r="K25" i="2"/>
  <c r="Q25" i="2" s="1"/>
  <c r="Q27" i="2"/>
  <c r="G28" i="2" l="1"/>
  <c r="G29" i="2" s="1"/>
  <c r="G32" i="2" s="1"/>
  <c r="H26" i="2"/>
  <c r="I11" i="4"/>
  <c r="G5" i="4"/>
  <c r="G34" i="4" s="1"/>
  <c r="H8" i="4"/>
  <c r="J14" i="4"/>
  <c r="E43" i="4"/>
  <c r="F45" i="4" s="1"/>
  <c r="J9" i="4"/>
  <c r="J11" i="4" s="1"/>
  <c r="K12" i="4"/>
  <c r="K14" i="4" s="1"/>
  <c r="K34" i="4" s="1"/>
  <c r="G33" i="2" s="1"/>
  <c r="H3" i="4"/>
  <c r="H5" i="4" s="1"/>
  <c r="I53" i="2"/>
  <c r="I31" i="2" s="1"/>
  <c r="F43" i="4" l="1"/>
  <c r="F44" i="4"/>
  <c r="H34" i="4"/>
  <c r="I26" i="2"/>
  <c r="J26" i="2" s="1"/>
  <c r="H28" i="2"/>
  <c r="H29" i="2" s="1"/>
  <c r="I3" i="4"/>
  <c r="I5" i="4" s="1"/>
  <c r="I34" i="4" s="1"/>
  <c r="G45" i="4"/>
  <c r="G44" i="4" s="1"/>
  <c r="J53" i="2"/>
  <c r="J31" i="2" s="1"/>
  <c r="K48" i="2"/>
  <c r="K53" i="2" l="1"/>
  <c r="K31" i="2" s="1"/>
  <c r="Q31" i="2" s="1"/>
  <c r="Q48" i="2"/>
  <c r="G34" i="2"/>
  <c r="H30" i="2"/>
  <c r="H32" i="2"/>
  <c r="I28" i="2"/>
  <c r="I29" i="2" s="1"/>
  <c r="G43" i="4"/>
  <c r="H45" i="4" s="1"/>
  <c r="J3" i="4"/>
  <c r="J5" i="4" s="1"/>
  <c r="J34" i="4" s="1"/>
  <c r="Q33" i="2" s="1"/>
  <c r="Q53" i="2" l="1"/>
  <c r="H34" i="2"/>
  <c r="H35" i="2" s="1"/>
  <c r="H36" i="2" s="1"/>
  <c r="H39" i="2" s="1"/>
  <c r="G35" i="2"/>
  <c r="I30" i="2"/>
  <c r="I32" i="2"/>
  <c r="I34" i="2" s="1"/>
  <c r="J28" i="2"/>
  <c r="J29" i="2" s="1"/>
  <c r="K26" i="2"/>
  <c r="H44" i="4"/>
  <c r="H43" i="4"/>
  <c r="I45" i="4" s="1"/>
  <c r="I44" i="4" s="1"/>
  <c r="K28" i="2" l="1"/>
  <c r="K29" i="2" s="1"/>
  <c r="K32" i="2" s="1"/>
  <c r="K34" i="2" s="1"/>
  <c r="K35" i="2" s="1"/>
  <c r="K36" i="2" s="1"/>
  <c r="K39" i="2" s="1"/>
  <c r="Q26" i="2"/>
  <c r="G36" i="2"/>
  <c r="G39" i="2" s="1"/>
  <c r="G40" i="2" s="1"/>
  <c r="H40" i="2" s="1"/>
  <c r="H41" i="2" s="1"/>
  <c r="M14" i="1"/>
  <c r="J30" i="2"/>
  <c r="J32" i="2"/>
  <c r="J34" i="2" s="1"/>
  <c r="J35" i="2" s="1"/>
  <c r="J36" i="2" s="1"/>
  <c r="J39" i="2" s="1"/>
  <c r="I35" i="2"/>
  <c r="I43" i="4"/>
  <c r="J45" i="4"/>
  <c r="J44" i="4" s="1"/>
  <c r="K30" i="2" l="1"/>
  <c r="Q35" i="2"/>
  <c r="Q34" i="2"/>
  <c r="G41" i="2"/>
  <c r="Q28" i="2"/>
  <c r="Q29" i="2" s="1"/>
  <c r="I36" i="2"/>
  <c r="I39" i="2" s="1"/>
  <c r="F42" i="2" s="1"/>
  <c r="J43" i="4"/>
  <c r="K45" i="4" s="1"/>
  <c r="K44" i="4" s="1"/>
  <c r="Q39" i="2" l="1"/>
  <c r="Q30" i="2"/>
  <c r="F44" i="2" s="1"/>
  <c r="M18" i="1" s="1"/>
  <c r="Q32" i="2"/>
  <c r="Q36" i="2"/>
  <c r="F43" i="2"/>
  <c r="M17" i="1" s="1"/>
  <c r="I40" i="2"/>
  <c r="J40" i="2" s="1"/>
  <c r="K40" i="2" s="1"/>
  <c r="M16" i="1"/>
  <c r="K43" i="4"/>
  <c r="I41" i="2" l="1"/>
  <c r="J41" i="2" l="1"/>
  <c r="K41" i="2"/>
  <c r="F45" i="2" l="1"/>
  <c r="M1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69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70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<sst xmlns="http://schemas.openxmlformats.org/spreadsheetml/2006/main" count="283" uniqueCount="210">
  <si>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</si>
  <si>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</si>
  <si>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</si>
  <si>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</si>
  <si>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</si>
  <si>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</si>
  <si>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</si>
  <si>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</si>
  <si>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</si>
  <si>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</si>
  <si>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</si>
  <si>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</si>
  <si>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</si>
  <si>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</si>
  <si>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</si>
  <si>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</si>
  <si>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</si>
  <si>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</si>
  <si>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</si>
  <si>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</si>
  <si>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</si>
  <si>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</si>
  <si>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</si>
  <si>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</si>
  <si>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</si>
  <si>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</si>
  <si>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</si>
  <si>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</si>
  <si>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</si>
  <si>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</si>
  <si>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</si>
  <si>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</si>
  <si>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</si>
  <si>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</si>
  <si>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</si>
  <si>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</si>
  <si>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</si>
  <si>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</si>
  <si>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</si>
  <si>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</si>
  <si>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>Revenue</t>
  </si>
  <si>
    <t xml:space="preserve">: </t>
  </si>
  <si>
    <t>Citra Kartika</t>
  </si>
  <si>
    <t>Approved  by</t>
  </si>
  <si>
    <t>General</t>
  </si>
  <si>
    <t>Operator join</t>
  </si>
  <si>
    <t>Rev.Change</t>
  </si>
  <si>
    <t>Tax Rate</t>
  </si>
  <si>
    <t>Interest Rate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</si>
  <si>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</si>
  <si>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</si>
  <si>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</si>
  <si>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</si>
  <si>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</si>
  <si>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</si>
  <si>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</si>
  <si>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</si>
  <si>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</si>
  <si>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</si>
  <si>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</si>
  <si>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</si>
  <si>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</si>
  <si>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</si>
  <si>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</si>
  <si>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</si>
  <si>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</si>
  <si>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</si>
  <si>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TSEL</t>
  </si>
  <si>
    <t>Total Revenues (SF)</t>
  </si>
  <si>
    <t>OPEX</t>
  </si>
  <si>
    <t>Lease to BM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</si>
  <si>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</si>
  <si>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</si>
  <si>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</si>
  <si>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</si>
  <si>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</si>
  <si>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</si>
  <si>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</si>
  <si>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</si>
  <si>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</si>
  <si>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</si>
  <si>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</si>
  <si>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</si>
  <si>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</si>
  <si>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</si>
  <si>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</si>
  <si>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</si>
  <si>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</si>
  <si>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</si>
  <si>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</si>
  <si>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</si>
  <si>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No. </t>
  </si>
  <si>
    <t>Keterangan</t>
  </si>
  <si>
    <t>Existing</t>
  </si>
  <si>
    <t>1.</t>
  </si>
  <si>
    <t>Scope Of Lease</t>
  </si>
  <si>
    <t>2.</t>
  </si>
  <si>
    <t>Obyek Sewa</t>
  </si>
  <si>
    <t>3.</t>
  </si>
  <si>
    <t>Periode Sewa</t>
  </si>
  <si>
    <t>Operator Join</t>
  </si>
  <si>
    <t>Kenaikan/ Penurunan Harga</t>
  </si>
  <si>
    <t>PERHITUNGAN INTEREST EXPENSE based CAPEX</t>
  </si>
  <si>
    <t>Capex tahun</t>
  </si>
  <si>
    <t>loan</t>
  </si>
  <si>
    <t>Installment/thn</t>
  </si>
  <si>
    <t>Interest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</si>
  <si>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</si>
  <si>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</si>
  <si>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</si>
  <si>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</si>
  <si>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</si>
  <si>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</si>
  <si>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</si>
  <si>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</si>
  <si>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</si>
  <si>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</si>
  <si>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</si>
  <si>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</si>
  <si>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</si>
  <si>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</si>
  <si>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</si>
  <si>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</si>
  <si>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</si>
  <si>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</si>
  <si>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</si>
  <si>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</si>
  <si>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</si>
  <si>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</si>
  <si>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</si>
  <si>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</si>
  <si>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</si>
  <si>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</si>
  <si>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</si>
  <si>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</si>
  <si>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</si>
  <si>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</si>
  <si>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</si>
  <si>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</si>
  <si>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</si>
  <si>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</si>
  <si>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</si>
  <si>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</si>
  <si>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</si>
  <si>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</si>
  <si>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</si>
  <si>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</si>
  <si>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</si>
  <si>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</si>
  <si>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</si>
  <si>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</si>
  <si>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</si>
  <si>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</si>
  <si>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</si>
  <si>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</si>
  <si>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</si>
  <si>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</si>
  <si>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</si>
  <si>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</si>
  <si>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</si>
  <si>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</si>
  <si>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</si>
  <si>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</si>
  <si>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</si>
  <si>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</si>
  <si>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</si>
  <si>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</si>
  <si>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</si>
  <si>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</si>
  <si>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</si>
  <si>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</si>
  <si>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</si>
  <si>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</si>
  <si>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</si>
  <si>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</si>
  <si>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</si>
  <si>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</si>
  <si>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</si>
  <si>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</si>
  <si>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</si>
  <si>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No</t>
  </si>
  <si>
    <t>Harga Sewa / Masa Sewa</t>
  </si>
  <si>
    <t>Harga Sewa / Tahun</t>
  </si>
  <si>
    <t xml:space="preserve">Nama Site                          </t>
  </si>
  <si>
    <t xml:space="preserve">Nama Pemilik      </t>
  </si>
  <si>
    <t xml:space="preserve">Alamat Pemilik      </t>
  </si>
  <si>
    <t xml:space="preserve">Telp                                            </t>
  </si>
  <si>
    <t xml:space="preserve">Obyek Sewa            </t>
  </si>
  <si>
    <t>6.</t>
  </si>
  <si>
    <t>0024/IRR/IBC/VIII/2024</t>
  </si>
  <si>
    <t>: QBIG BSD CITY Blok G-03</t>
  </si>
  <si>
    <t>: PT Garwita Sentra Utama</t>
  </si>
  <si>
    <t>: Jl. BSD Raya Utama, Desa Lengkok Kulon, Kec. Pagedangan,Tangerang, Banten, Indonesia</t>
  </si>
  <si>
    <t>: 021-50368368</t>
  </si>
  <si>
    <r>
      <t xml:space="preserve"> 85 Omni,lahan </t>
    </r>
    <r>
      <rPr>
        <b/>
        <u/>
        <sz val="10"/>
        <color theme="1"/>
        <rFont val="Calibri"/>
        <family val="2"/>
        <scheme val="minor"/>
      </rPr>
      <t>+</t>
    </r>
    <r>
      <rPr>
        <b/>
        <sz val="10"/>
        <color theme="1"/>
        <rFont val="Calibri"/>
        <family val="2"/>
        <scheme val="minor"/>
      </rPr>
      <t xml:space="preserve">  45m</t>
    </r>
    <r>
      <rPr>
        <b/>
        <vertAlign val="superscript"/>
        <sz val="10"/>
        <color theme="1"/>
        <rFont val="Calibri"/>
        <family val="2"/>
        <scheme val="minor"/>
      </rPr>
      <t>2</t>
    </r>
    <r>
      <rPr>
        <b/>
        <sz val="10"/>
        <color theme="1"/>
        <rFont val="Calibri"/>
        <family val="2"/>
        <scheme val="minor"/>
      </rPr>
      <t>, max 10 Unit Pole (max 6 meter, min 3 meter), terpasang 5 Pole</t>
    </r>
  </si>
  <si>
    <t>1 Feb 2024 s/d 31 Jan 2025</t>
  </si>
  <si>
    <t>1 Feb 2025 s/d 31 Jan 2030</t>
  </si>
  <si>
    <t>Tsel ( 1 Juli 2022 - 30 Juni 2027 )</t>
  </si>
  <si>
    <t>Tsel ( 1 Juli 2022 - 30 Juni 2027 ) Rev Rp. 170 335.200/Th</t>
  </si>
  <si>
    <t>IOH ( 18 Okt 2023 - 17 Okt 2028)</t>
  </si>
  <si>
    <t>IOH ( 18 Okt 2023 - 17 Okt 2028) Rev. Rp. 305 076.961</t>
  </si>
  <si>
    <t>XL ( 16 Jan 2020 - 15 Jan 2025 )</t>
  </si>
  <si>
    <t>XL Proses Renewal</t>
  </si>
  <si>
    <t>Harga Naik 10%</t>
  </si>
  <si>
    <t>XL</t>
  </si>
  <si>
    <t>BV 31Jan25</t>
  </si>
  <si>
    <t>Total Capex BV 31 jan 25</t>
  </si>
  <si>
    <t>IOH 32% sesuai porsi dr Accounting)</t>
  </si>
  <si>
    <t>QBIG BSD CITY Blok G-03 (ex Court)</t>
  </si>
  <si>
    <t>Electricity (min40j x68% &gt; IOH di QBIG)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</si>
</sst>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_(&quot;$&quot;* #,##0.00_);_(&quot;$&quot;* \(#,##0.00\);_(&quot;$&quot;* &quot;-&quot;??_);_(@_)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name val="Arial"/>
      <family val="2"/>
    </font>
    <font>
      <b/>
      <sz val="12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vertAlign val="superscript"/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7" fillId="0" borderId="0"/>
    <xf numFmtId="166" fontId="27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</cellStyleXfs>
  <cellXfs count="231">
    <xf numFmtId="0" fontId="0" fillId="0" borderId="0" xfId="0"/>
    <xf numFmtId="0" fontId="3" fillId="0" borderId="0" xfId="3"/>
    <xf numFmtId="0" fontId="4" fillId="0" borderId="0" xfId="3" applyFont="1"/>
    <xf numFmtId="0" fontId="3" fillId="0" borderId="0" xfId="3" applyAlignment="1">
      <alignment horizontal="right"/>
    </xf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0" fontId="0" fillId="0" borderId="8" xfId="4" quotePrefix="1" applyNumberFormat="1" applyFont="1" applyBorder="1" applyAlignment="1">
      <alignment horizontal="left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41" fontId="4" fillId="0" borderId="8" xfId="4" applyFont="1" applyBorder="1"/>
    <xf numFmtId="9" fontId="4" fillId="0" borderId="8" xfId="4" applyNumberFormat="1" applyFont="1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0" fontId="3" fillId="0" borderId="0" xfId="3" applyAlignment="1">
      <alignment horizontal="center"/>
    </xf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0" fontId="4" fillId="0" borderId="0" xfId="3" applyFont="1" applyAlignment="1">
      <alignment horizontal="center"/>
    </xf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11" fillId="0" borderId="21" xfId="3" applyNumberFormat="1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20" fillId="0" borderId="0" xfId="8" applyFont="1" applyAlignment="1">
      <alignment horizontal="center"/>
    </xf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41" fontId="0" fillId="0" borderId="0" xfId="4" applyFont="1" applyBorder="1" applyAlignment="1">
      <alignment vertical="center"/>
    </xf>
    <xf numFmtId="167" fontId="4" fillId="0" borderId="0" xfId="3" applyNumberFormat="1" applyFont="1" applyBorder="1" applyAlignment="1">
      <alignment vertical="center"/>
    </xf>
    <xf numFmtId="38" fontId="26" fillId="0" borderId="0" xfId="3" applyNumberFormat="1" applyFont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0" fontId="3" fillId="0" borderId="0" xfId="3" applyAlignment="1">
      <alignment horizontal="left" indent="1"/>
    </xf>
    <xf numFmtId="165" fontId="12" fillId="0" borderId="0" xfId="2" applyFont="1" applyAlignment="1">
      <alignment vertical="center"/>
    </xf>
    <xf numFmtId="167" fontId="0" fillId="0" borderId="0" xfId="0" applyNumberFormat="1"/>
    <xf numFmtId="41" fontId="3" fillId="0" borderId="15" xfId="4" applyFont="1" applyBorder="1" applyAlignment="1">
      <alignment vertical="center"/>
    </xf>
    <xf numFmtId="41" fontId="26" fillId="0" borderId="0" xfId="4" applyFont="1" applyFill="1"/>
    <xf numFmtId="0" fontId="19" fillId="0" borderId="0" xfId="8" applyFont="1"/>
    <xf numFmtId="0" fontId="19" fillId="0" borderId="24" xfId="8" applyFont="1" applyBorder="1" applyAlignment="1">
      <alignment horizontal="center" vertical="center"/>
    </xf>
    <xf numFmtId="0" fontId="19" fillId="0" borderId="24" xfId="8" applyFont="1" applyFill="1" applyBorder="1" applyAlignment="1">
      <alignment horizontal="center" vertical="center"/>
    </xf>
    <xf numFmtId="41" fontId="1" fillId="0" borderId="0" xfId="4" applyFont="1" applyBorder="1"/>
    <xf numFmtId="165" fontId="1" fillId="0" borderId="0" xfId="2" applyFont="1"/>
    <xf numFmtId="41" fontId="1" fillId="0" borderId="0" xfId="4" applyFont="1" applyFill="1" applyBorder="1"/>
    <xf numFmtId="9" fontId="1" fillId="0" borderId="0" xfId="4" applyNumberFormat="1" applyFont="1" applyBorder="1"/>
    <xf numFmtId="0" fontId="1" fillId="0" borderId="0" xfId="8" applyFont="1"/>
    <xf numFmtId="0" fontId="3" fillId="0" borderId="0" xfId="17" applyFont="1"/>
    <xf numFmtId="0" fontId="26" fillId="0" borderId="0" xfId="3" applyFont="1"/>
    <xf numFmtId="41" fontId="26" fillId="2" borderId="0" xfId="3" applyNumberFormat="1" applyFont="1" applyFill="1" applyAlignment="1">
      <alignment vertical="center"/>
    </xf>
    <xf numFmtId="41" fontId="28" fillId="0" borderId="0" xfId="3" applyNumberFormat="1" applyFont="1"/>
    <xf numFmtId="0" fontId="12" fillId="0" borderId="0" xfId="17" applyFont="1"/>
    <xf numFmtId="41" fontId="11" fillId="0" borderId="18" xfId="3" applyNumberFormat="1" applyFont="1" applyBorder="1"/>
    <xf numFmtId="41" fontId="11" fillId="0" borderId="30" xfId="3" applyNumberFormat="1" applyFont="1" applyBorder="1"/>
    <xf numFmtId="41" fontId="3" fillId="7" borderId="0" xfId="3" applyNumberFormat="1" applyFill="1" applyAlignment="1">
      <alignment vertical="center"/>
    </xf>
    <xf numFmtId="0" fontId="29" fillId="0" borderId="0" xfId="8" applyFont="1" applyAlignment="1">
      <alignment horizontal="left" vertical="top"/>
    </xf>
    <xf numFmtId="0" fontId="29" fillId="0" borderId="0" xfId="8" applyFont="1"/>
    <xf numFmtId="0" fontId="2" fillId="0" borderId="0" xfId="8" applyFont="1"/>
    <xf numFmtId="0" fontId="29" fillId="0" borderId="24" xfId="8" applyFont="1" applyBorder="1"/>
    <xf numFmtId="164" fontId="29" fillId="0" borderId="24" xfId="9" applyFont="1" applyBorder="1" applyAlignment="1">
      <alignment horizontal="left"/>
    </xf>
    <xf numFmtId="164" fontId="29" fillId="0" borderId="24" xfId="9" applyFont="1" applyBorder="1"/>
    <xf numFmtId="0" fontId="29" fillId="0" borderId="24" xfId="8" applyFont="1" applyFill="1" applyBorder="1"/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3" fillId="0" borderId="0" xfId="3" quotePrefix="1" applyAlignment="1">
      <alignment horizontal="left" indent="1"/>
    </xf>
    <xf numFmtId="0" fontId="4" fillId="0" borderId="0" xfId="3" applyFont="1" applyAlignment="1">
      <alignment horizontal="left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4" fillId="0" borderId="5" xfId="3" applyFont="1" applyBorder="1" applyAlignment="1">
      <alignment horizontal="center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167" fontId="0" fillId="0" borderId="0" xfId="5" applyNumberFormat="1" applyFont="1" applyFill="1" applyBorder="1" applyAlignment="1" applyProtection="1">
      <alignment horizontal="left" vertical="top" wrapText="1"/>
      <protection locked="0"/>
    </xf>
    <xf numFmtId="167" fontId="0" fillId="0" borderId="8" xfId="5" applyNumberFormat="1" applyFont="1" applyFill="1" applyBorder="1" applyAlignment="1" applyProtection="1">
      <alignment horizontal="left" vertical="top" wrapText="1"/>
      <protection locked="0"/>
    </xf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29" fillId="0" borderId="24" xfId="8" applyFont="1" applyBorder="1" applyAlignment="1">
      <alignment horizontal="center" wrapText="1"/>
    </xf>
    <xf numFmtId="0" fontId="21" fillId="6" borderId="24" xfId="8" applyFont="1" applyFill="1" applyBorder="1" applyAlignment="1">
      <alignment horizontal="center" vertical="center"/>
    </xf>
    <xf numFmtId="0" fontId="22" fillId="6" borderId="24" xfId="8" applyFont="1" applyFill="1" applyBorder="1" applyAlignment="1">
      <alignment horizontal="center" vertical="center"/>
    </xf>
    <xf numFmtId="0" fontId="19" fillId="0" borderId="24" xfId="8" applyFont="1" applyBorder="1" applyAlignment="1">
      <alignment horizontal="center" vertical="center"/>
    </xf>
  </cellXfs>
  <cellStyles count="20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2 3" xfId="14" xr:uid="{FDFAA780-32C8-42C8-94DF-F0BAAE9B12D8}"/>
    <cellStyle name="Comma 5 2" xfId="5" xr:uid="{7DB35855-DF1D-41FD-8D1D-57F8E5731502}"/>
    <cellStyle name="Currency [0] 2 2" xfId="9" xr:uid="{31FE3FCA-9591-4575-ADF9-2469AC4B017F}"/>
    <cellStyle name="Currency 2" xfId="15" xr:uid="{2195046E-74DE-4DB5-978A-4F399A011336}"/>
    <cellStyle name="Normal" xfId="0" builtinId="0"/>
    <cellStyle name="Normal 2 2 2 2 3" xfId="6" xr:uid="{DE498679-5550-451A-81BA-8B6F40AD0748}"/>
    <cellStyle name="Normal 2 7" xfId="13" xr:uid="{EB006BD7-BAFA-431B-8D9F-CA10F0629EEE}"/>
    <cellStyle name="Normal 3" xfId="3" xr:uid="{80C6D651-5E36-4AE1-B2AF-24F7035690A9}"/>
    <cellStyle name="Normal 3 2" xfId="18" xr:uid="{FED58831-03E9-4EE4-946F-0CE276DDF50C}"/>
    <cellStyle name="Normal 4" xfId="17" xr:uid="{EF3A0264-2235-47A6-B338-05CEDDF650AF}"/>
    <cellStyle name="Normal 4 2" xfId="19" xr:uid="{B5D3A9AD-CCF3-403A-AFE6-C3683A1ADAD3}"/>
    <cellStyle name="Normal 7" xfId="8" xr:uid="{8336AFE8-187C-4DC7-9E05-5CF89FA2A319}"/>
    <cellStyle name="Normal 7 2" xfId="16" xr:uid="{6301D2BE-D7DC-4D80-A3EA-1C92D765167A}"/>
    <cellStyle name="Normal 7 3" xfId="10" xr:uid="{E3956C3F-B4CE-4040-AFD0-AC78C0F19FE7}"/>
    <cellStyle name="Percent 3" xfId="7" xr:uid="{54F020B5-68BB-4710-814E-90969CA1DF9C}"/>
  </cellStyles>
  <dxfs count="1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704851" y="5379469"/>
          <a:ext cx="8993413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34</xdr:row>
      <xdr:rowOff>104251</xdr:rowOff>
    </xdr:from>
    <xdr:to>
      <xdr:col>13</xdr:col>
      <xdr:colOff>156845</xdr:colOff>
      <xdr:row>35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716597" y="6644751"/>
          <a:ext cx="9212898" cy="171973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5"/>
  <sheetViews>
    <sheetView showGridLines="0" tabSelected="1" topLeftCell="A6" zoomScaleNormal="100" workbookViewId="0">
      <selection activeCell="P31" sqref="P31"/>
    </sheetView>
  </sheetViews>
  <sheetFormatPr defaultColWidth="9.54296875" defaultRowHeight="15.5" x14ac:dyDescent="0.35"/>
  <cols>
    <col min="1" max="1" width="4.54296875" style="1" customWidth="1"/>
    <col min="2" max="2" width="4.453125" style="1" customWidth="1"/>
    <col min="3" max="3" width="18.453125" style="1" customWidth="1"/>
    <col min="4" max="4" width="28.36328125" style="1" customWidth="1"/>
    <col min="5" max="5" width="4.6328125" style="1" customWidth="1"/>
    <col min="6" max="6" width="5.453125" style="1" customWidth="1"/>
    <col min="7" max="7" width="11.81640625" style="1" customWidth="1"/>
    <col min="8" max="8" width="9.36328125" style="1" customWidth="1"/>
    <col min="9" max="9" width="6" style="1" customWidth="1"/>
    <col min="10" max="10" width="2.36328125" style="1" customWidth="1"/>
    <col min="11" max="11" width="5.6328125" style="1" customWidth="1"/>
    <col min="12" max="12" width="20.453125" style="1" bestFit="1" customWidth="1"/>
    <col min="13" max="13" width="18.36328125" style="1" customWidth="1"/>
    <col min="14" max="14" width="2.36328125" style="1" customWidth="1"/>
    <col min="15" max="15" width="4" style="1" customWidth="1"/>
    <col min="16" max="16384" width="9.54296875" style="1"/>
  </cols>
  <sheetData>
    <row r="1" spans="2:14" ht="8.4" customHeight="1" x14ac:dyDescent="0.35"/>
    <row r="2" spans="2:14" ht="24" customHeight="1" x14ac:dyDescent="0.55000000000000004">
      <c r="B2" s="1" t="s">
        <v>0</v>
      </c>
      <c r="C2" s="2"/>
      <c r="M2" s="3"/>
      <c r="N2" s="4" t="str">
        <f>D7</f>
        <v>QBIG BSD CITY Blok G-03 (ex Court)</v>
      </c>
    </row>
    <row r="3" spans="2:14" ht="18.5" x14ac:dyDescent="0.45">
      <c r="C3" s="5" t="s">
        <v>1</v>
      </c>
      <c r="D3" s="2" t="s">
        <v>2</v>
      </c>
      <c r="J3" s="5" t="s">
        <v>3</v>
      </c>
      <c r="K3" s="5"/>
      <c r="L3" s="5"/>
      <c r="M3" s="6"/>
    </row>
    <row r="4" spans="2:14" ht="18.5" x14ac:dyDescent="0.45">
      <c r="C4" s="5" t="s">
        <v>4</v>
      </c>
      <c r="D4" s="2" t="s">
        <v>23</v>
      </c>
    </row>
    <row r="5" spans="2:14" ht="0.9" customHeight="1" thickBot="1" x14ac:dyDescent="0.4">
      <c r="C5" s="2"/>
    </row>
    <row r="6" spans="2:14" s="7" customFormat="1" ht="19" thickBot="1" x14ac:dyDescent="0.5">
      <c r="B6" s="208" t="s">
        <v>5</v>
      </c>
      <c r="C6" s="209"/>
      <c r="D6" s="210"/>
      <c r="E6" s="208" t="s">
        <v>6</v>
      </c>
      <c r="F6" s="209"/>
      <c r="G6" s="209"/>
      <c r="H6" s="209"/>
      <c r="I6" s="209"/>
      <c r="J6" s="208" t="s">
        <v>7</v>
      </c>
      <c r="K6" s="209"/>
      <c r="L6" s="209"/>
      <c r="M6" s="209"/>
      <c r="N6" s="210"/>
    </row>
    <row r="7" spans="2:14" x14ac:dyDescent="0.35">
      <c r="B7" s="211" t="s">
        <v>8</v>
      </c>
      <c r="C7" s="212"/>
      <c r="D7" s="8" t="s">
        <v>208</v>
      </c>
      <c r="E7" s="213" t="s">
        <v>9</v>
      </c>
      <c r="F7" s="213"/>
      <c r="G7" s="213"/>
      <c r="H7" s="213"/>
      <c r="I7" s="213"/>
      <c r="J7" s="9"/>
      <c r="K7" s="212" t="s">
        <v>10</v>
      </c>
      <c r="L7" s="212"/>
      <c r="M7" s="172">
        <v>748946207</v>
      </c>
      <c r="N7" s="8"/>
    </row>
    <row r="8" spans="2:14" x14ac:dyDescent="0.35">
      <c r="B8" s="204" t="s">
        <v>11</v>
      </c>
      <c r="C8" s="205"/>
      <c r="D8" s="10"/>
      <c r="E8" s="203" t="s">
        <v>12</v>
      </c>
      <c r="F8" s="203"/>
      <c r="G8" s="203"/>
      <c r="H8" s="11">
        <v>85</v>
      </c>
      <c r="J8" s="12"/>
      <c r="K8" s="203" t="s">
        <v>13</v>
      </c>
      <c r="L8" s="203"/>
      <c r="M8" s="173">
        <f>M7/H9</f>
        <v>9023448.2771084346</v>
      </c>
      <c r="N8" s="13"/>
    </row>
    <row r="9" spans="2:14" x14ac:dyDescent="0.35">
      <c r="B9" s="204"/>
      <c r="C9" s="205"/>
      <c r="D9" s="13"/>
      <c r="E9" s="203" t="s">
        <v>14</v>
      </c>
      <c r="F9" s="203"/>
      <c r="G9" s="203"/>
      <c r="H9" s="11">
        <v>83</v>
      </c>
      <c r="J9" s="12"/>
      <c r="K9" s="203" t="s">
        <v>15</v>
      </c>
      <c r="L9" s="203"/>
      <c r="M9" s="174">
        <v>5</v>
      </c>
      <c r="N9" s="13"/>
    </row>
    <row r="10" spans="2:14" x14ac:dyDescent="0.35">
      <c r="B10" s="14" t="s">
        <v>16</v>
      </c>
      <c r="C10" s="15"/>
      <c r="D10" s="13"/>
      <c r="E10" s="203" t="s">
        <v>17</v>
      </c>
      <c r="F10" s="203"/>
      <c r="G10" s="203"/>
      <c r="H10" s="206"/>
      <c r="I10" s="207"/>
      <c r="J10" s="12"/>
      <c r="K10" s="16" t="s">
        <v>18</v>
      </c>
      <c r="L10" s="16"/>
      <c r="M10" s="175">
        <f>[2]IRR!F3</f>
        <v>0.1</v>
      </c>
      <c r="N10" s="13"/>
    </row>
    <row r="11" spans="2:14" x14ac:dyDescent="0.35">
      <c r="B11" s="17" t="s">
        <v>19</v>
      </c>
      <c r="C11" s="16"/>
      <c r="D11" s="13"/>
      <c r="H11" s="206"/>
      <c r="I11" s="207"/>
      <c r="J11" s="18"/>
      <c r="K11" s="203" t="s">
        <v>21</v>
      </c>
      <c r="L11" s="203"/>
      <c r="M11" s="172">
        <f>IRR!Q21</f>
        <v>2089799137.5999999</v>
      </c>
      <c r="N11" s="13"/>
    </row>
    <row r="12" spans="2:14" x14ac:dyDescent="0.35">
      <c r="B12" s="17" t="s">
        <v>22</v>
      </c>
      <c r="C12" s="16"/>
      <c r="D12" s="13" t="s">
        <v>23</v>
      </c>
      <c r="E12" s="197" t="s">
        <v>20</v>
      </c>
      <c r="F12" s="197"/>
      <c r="G12" s="197"/>
      <c r="H12" s="197"/>
      <c r="I12" s="197"/>
      <c r="J12" s="12"/>
      <c r="K12" s="203" t="s">
        <v>206</v>
      </c>
      <c r="L12" s="203"/>
      <c r="M12" s="172">
        <f>IRR!G11</f>
        <v>175741097</v>
      </c>
      <c r="N12" s="13"/>
    </row>
    <row r="13" spans="2:14" x14ac:dyDescent="0.35">
      <c r="B13" s="17" t="s">
        <v>25</v>
      </c>
      <c r="C13" s="16"/>
      <c r="D13" s="20"/>
      <c r="E13" s="196" t="s">
        <v>24</v>
      </c>
      <c r="F13" s="196"/>
      <c r="G13" s="196"/>
      <c r="H13" s="19">
        <v>0</v>
      </c>
      <c r="J13" s="12"/>
      <c r="K13" s="203" t="s">
        <v>27</v>
      </c>
      <c r="L13" s="203"/>
      <c r="M13" s="172">
        <f>IRR!Q24</f>
        <v>402050000</v>
      </c>
      <c r="N13" s="13"/>
    </row>
    <row r="14" spans="2:14" x14ac:dyDescent="0.35">
      <c r="B14" s="17" t="s">
        <v>28</v>
      </c>
      <c r="C14" s="16"/>
      <c r="D14" s="20"/>
      <c r="E14" s="196" t="s">
        <v>26</v>
      </c>
      <c r="F14" s="196"/>
      <c r="G14" s="196"/>
      <c r="H14" s="19">
        <v>0</v>
      </c>
      <c r="J14" s="12"/>
      <c r="K14" s="164" t="s">
        <v>30</v>
      </c>
      <c r="L14" s="164"/>
      <c r="M14" s="173">
        <f>IRR!Q25+IRR!Q26+IRR!Q27</f>
        <v>571244978.44000006</v>
      </c>
      <c r="N14" s="13"/>
    </row>
    <row r="15" spans="2:14" ht="16" thickBot="1" x14ac:dyDescent="0.4">
      <c r="B15" s="17" t="s">
        <v>31</v>
      </c>
      <c r="C15" s="16"/>
      <c r="D15" s="21"/>
      <c r="E15" s="196" t="s">
        <v>29</v>
      </c>
      <c r="F15" s="196"/>
      <c r="G15" s="196"/>
      <c r="H15" s="19">
        <v>0</v>
      </c>
      <c r="J15" s="12"/>
      <c r="N15" s="13"/>
    </row>
    <row r="16" spans="2:14" x14ac:dyDescent="0.35">
      <c r="B16" s="12"/>
      <c r="D16" s="13"/>
      <c r="E16" s="197" t="s">
        <v>32</v>
      </c>
      <c r="F16" s="197"/>
      <c r="G16" s="197"/>
      <c r="H16" s="197"/>
      <c r="I16" s="197"/>
      <c r="J16" s="22"/>
      <c r="K16" s="198" t="s">
        <v>33</v>
      </c>
      <c r="L16" s="199"/>
      <c r="M16" s="23">
        <f>IRR!F42</f>
        <v>0.99752236699542429</v>
      </c>
      <c r="N16" s="13"/>
    </row>
    <row r="17" spans="2:18" x14ac:dyDescent="0.35">
      <c r="B17" s="12"/>
      <c r="D17" s="13"/>
      <c r="J17" s="24"/>
      <c r="K17" s="200" t="s">
        <v>34</v>
      </c>
      <c r="L17" s="201"/>
      <c r="M17" s="25">
        <f>IRR!F43</f>
        <v>664181369.89224017</v>
      </c>
      <c r="N17" s="13"/>
    </row>
    <row r="18" spans="2:18" x14ac:dyDescent="0.35">
      <c r="B18" s="12"/>
      <c r="D18" s="13"/>
      <c r="J18" s="24"/>
      <c r="K18" s="200" t="s">
        <v>35</v>
      </c>
      <c r="L18" s="201"/>
      <c r="M18" s="26">
        <f>IRR!F44</f>
        <v>0.53426386252711022</v>
      </c>
      <c r="N18" s="13"/>
      <c r="R18" s="1" t="s">
        <v>36</v>
      </c>
    </row>
    <row r="19" spans="2:18" ht="16" thickBot="1" x14ac:dyDescent="0.4">
      <c r="B19" s="12"/>
      <c r="D19" s="13"/>
      <c r="J19" s="24"/>
      <c r="K19" s="192" t="s">
        <v>37</v>
      </c>
      <c r="L19" s="193"/>
      <c r="M19" s="27">
        <f>IRR!F45</f>
        <v>1.9416659280785307</v>
      </c>
      <c r="N19" s="13"/>
      <c r="Q19" s="1" t="s">
        <v>36</v>
      </c>
    </row>
    <row r="20" spans="2:18" ht="16" thickBot="1" x14ac:dyDescent="0.4">
      <c r="B20" s="28"/>
      <c r="C20" s="29"/>
      <c r="D20" s="30"/>
      <c r="E20" s="29"/>
      <c r="F20" s="29" t="s">
        <v>36</v>
      </c>
      <c r="G20" s="29"/>
      <c r="H20" s="29"/>
      <c r="I20" s="29"/>
      <c r="J20" s="12"/>
      <c r="K20" s="31"/>
      <c r="L20" s="16"/>
      <c r="M20" s="16"/>
      <c r="N20" s="13"/>
    </row>
    <row r="21" spans="2:18" x14ac:dyDescent="0.35">
      <c r="B21" s="32" t="s">
        <v>38</v>
      </c>
      <c r="C21" s="33"/>
      <c r="D21" s="33"/>
      <c r="E21" s="33"/>
      <c r="F21" s="33"/>
      <c r="G21" s="33"/>
      <c r="H21" s="33"/>
      <c r="I21" s="33"/>
      <c r="J21" s="33"/>
      <c r="K21" s="202" t="s">
        <v>39</v>
      </c>
      <c r="L21" s="202"/>
      <c r="M21" s="202"/>
      <c r="N21" s="8"/>
    </row>
    <row r="22" spans="2:18" x14ac:dyDescent="0.35">
      <c r="B22" s="12" t="s">
        <v>40</v>
      </c>
      <c r="D22" s="1" t="s">
        <v>41</v>
      </c>
      <c r="L22" s="194" t="s">
        <v>42</v>
      </c>
      <c r="M22" s="195"/>
      <c r="N22" s="13"/>
    </row>
    <row r="23" spans="2:18" x14ac:dyDescent="0.35">
      <c r="B23" s="12"/>
      <c r="D23" s="1" t="s">
        <v>41</v>
      </c>
      <c r="N23" s="13"/>
    </row>
    <row r="24" spans="2:18" x14ac:dyDescent="0.35">
      <c r="B24" s="12"/>
      <c r="D24" s="1" t="s">
        <v>41</v>
      </c>
      <c r="N24" s="13"/>
    </row>
    <row r="25" spans="2:18" x14ac:dyDescent="0.35">
      <c r="B25" s="12"/>
      <c r="N25" s="13"/>
    </row>
    <row r="26" spans="2:18" ht="16" thickBot="1" x14ac:dyDescent="0.4">
      <c r="B26" s="28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30"/>
    </row>
    <row r="27" spans="2:18" ht="6" customHeight="1" x14ac:dyDescent="0.35"/>
    <row r="28" spans="2:18" x14ac:dyDescent="0.35">
      <c r="B28" s="2" t="s">
        <v>43</v>
      </c>
    </row>
    <row r="29" spans="2:18" x14ac:dyDescent="0.35"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</row>
    <row r="30" spans="2:18" x14ac:dyDescent="0.35"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</row>
    <row r="31" spans="2:18" x14ac:dyDescent="0.35"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</row>
    <row r="32" spans="2:18" x14ac:dyDescent="0.35"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</row>
    <row r="33" spans="2:15" x14ac:dyDescent="0.35"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</row>
    <row r="34" spans="2:15" x14ac:dyDescent="0.35"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</row>
    <row r="35" spans="2:15" x14ac:dyDescent="0.35"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</row>
  </sheetData>
  <mergeCells count="28">
    <mergeCell ref="B6:D6"/>
    <mergeCell ref="E6:I6"/>
    <mergeCell ref="J6:N6"/>
    <mergeCell ref="B7:C7"/>
    <mergeCell ref="E7:I7"/>
    <mergeCell ref="K7:L7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2:I12"/>
    <mergeCell ref="K11:L11"/>
    <mergeCell ref="K12:L12"/>
    <mergeCell ref="H10:I11"/>
    <mergeCell ref="K19:L19"/>
    <mergeCell ref="L22:M22"/>
    <mergeCell ref="E14:G14"/>
    <mergeCell ref="E16:I16"/>
    <mergeCell ref="K16:L16"/>
    <mergeCell ref="K17:L17"/>
    <mergeCell ref="K18:L18"/>
    <mergeCell ref="E15:G15"/>
    <mergeCell ref="K21:M21"/>
  </mergeCells>
  <pageMargins left="0.57999999999999996" right="0.7" top="0.52" bottom="0.59" header="0.3" footer="0.3"/>
  <pageSetup paperSize="9" scale="10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5696D-ED94-4662-A4EB-CFE6FE5C67A8}">
  <sheetPr>
    <pageSetUpPr fitToPage="1"/>
  </sheetPr>
  <dimension ref="B1:Y59"/>
  <sheetViews>
    <sheetView showGridLines="0" zoomScale="90" zoomScaleNormal="90" workbookViewId="0">
      <selection activeCell="G18" sqref="G18"/>
    </sheetView>
  </sheetViews>
  <sheetFormatPr defaultColWidth="11.81640625" defaultRowHeight="15.5" x14ac:dyDescent="0.35"/>
  <cols>
    <col min="1" max="1" width="4.54296875" style="1" customWidth="1"/>
    <col min="2" max="2" width="4" style="1" customWidth="1"/>
    <col min="3" max="3" width="5.08984375" style="1" customWidth="1"/>
    <col min="4" max="4" width="21" style="1" customWidth="1"/>
    <col min="5" max="5" width="8" style="1" bestFit="1" customWidth="1"/>
    <col min="6" max="6" width="15.54296875" style="1" customWidth="1"/>
    <col min="7" max="7" width="17.08984375" style="35" customWidth="1"/>
    <col min="8" max="8" width="16.81640625" style="1" customWidth="1"/>
    <col min="9" max="9" width="15.6328125" style="1" customWidth="1"/>
    <col min="10" max="10" width="15.1796875" style="1" customWidth="1"/>
    <col min="11" max="11" width="16.08984375" style="1" customWidth="1"/>
    <col min="12" max="15" width="6.6328125" style="1" hidden="1" customWidth="1"/>
    <col min="16" max="16" width="7.81640625" style="1" hidden="1" customWidth="1"/>
    <col min="17" max="17" width="16.54296875" style="1" customWidth="1"/>
    <col min="18" max="18" width="17.6328125" style="1" customWidth="1"/>
    <col min="19" max="22" width="16.6328125" style="1" bestFit="1" customWidth="1"/>
    <col min="23" max="23" width="17.36328125" style="1" bestFit="1" customWidth="1"/>
    <col min="24" max="24" width="13" style="1" bestFit="1" customWidth="1"/>
    <col min="25" max="16384" width="11.81640625" style="1"/>
  </cols>
  <sheetData>
    <row r="1" spans="2:25" ht="23.5" x14ac:dyDescent="0.55000000000000004">
      <c r="B1" s="1" t="s">
        <v>180</v>
      </c>
      <c r="C1" s="1" t="s">
        <v>189</v>
      </c>
      <c r="Q1" s="4" t="str">
        <f>Summary!D7</f>
        <v>QBIG BSD CITY Blok G-03 (ex Court)</v>
      </c>
    </row>
    <row r="2" spans="2:25" x14ac:dyDescent="0.35">
      <c r="B2" s="36" t="s">
        <v>44</v>
      </c>
      <c r="H2" s="161" t="s">
        <v>45</v>
      </c>
      <c r="I2" s="162" t="s">
        <v>46</v>
      </c>
    </row>
    <row r="3" spans="2:25" x14ac:dyDescent="0.35">
      <c r="C3" s="1" t="s">
        <v>47</v>
      </c>
      <c r="E3" s="38">
        <v>0.02</v>
      </c>
      <c r="H3" s="163"/>
      <c r="I3" s="39"/>
      <c r="L3" s="39"/>
      <c r="M3" s="39"/>
      <c r="N3" s="39"/>
      <c r="O3" s="39"/>
      <c r="P3" s="39"/>
      <c r="R3" s="40"/>
      <c r="S3" s="40"/>
    </row>
    <row r="4" spans="2:25" x14ac:dyDescent="0.35">
      <c r="C4" s="1" t="s">
        <v>48</v>
      </c>
      <c r="E4" s="38">
        <v>0.1</v>
      </c>
      <c r="H4" s="163"/>
      <c r="I4" s="39"/>
      <c r="L4" s="39"/>
      <c r="M4" s="39"/>
      <c r="N4" s="39"/>
      <c r="O4" s="39"/>
      <c r="P4" s="39"/>
      <c r="R4" s="40"/>
      <c r="S4" s="40"/>
    </row>
    <row r="5" spans="2:25" x14ac:dyDescent="0.35">
      <c r="C5" s="1" t="s">
        <v>49</v>
      </c>
      <c r="E5" s="38">
        <f>2.5%</f>
        <v>2.5000000000000001E-2</v>
      </c>
      <c r="F5" s="35" t="s">
        <v>50</v>
      </c>
      <c r="H5" s="163"/>
      <c r="I5" s="39"/>
      <c r="S5" s="40"/>
      <c r="T5" s="41"/>
      <c r="U5" s="41"/>
      <c r="V5" s="41"/>
    </row>
    <row r="6" spans="2:25" x14ac:dyDescent="0.35">
      <c r="C6" s="1" t="s">
        <v>51</v>
      </c>
      <c r="E6" s="42">
        <v>0</v>
      </c>
      <c r="F6" s="35" t="s">
        <v>50</v>
      </c>
      <c r="H6" s="163"/>
      <c r="S6" s="40"/>
    </row>
    <row r="7" spans="2:25" ht="4.25" customHeight="1" x14ac:dyDescent="0.35">
      <c r="F7" s="38"/>
      <c r="S7" s="40"/>
    </row>
    <row r="8" spans="2:25" ht="14.4" customHeight="1" x14ac:dyDescent="0.35">
      <c r="B8" s="44" t="s">
        <v>57</v>
      </c>
      <c r="G8" s="37" t="s">
        <v>52</v>
      </c>
      <c r="H8" s="37" t="s">
        <v>53</v>
      </c>
      <c r="I8" s="37" t="s">
        <v>54</v>
      </c>
      <c r="J8" s="37" t="s">
        <v>55</v>
      </c>
      <c r="K8" s="37" t="s">
        <v>56</v>
      </c>
      <c r="L8" s="37" t="s">
        <v>175</v>
      </c>
      <c r="M8" s="37" t="s">
        <v>176</v>
      </c>
      <c r="N8" s="37" t="s">
        <v>177</v>
      </c>
      <c r="O8" s="37" t="s">
        <v>178</v>
      </c>
      <c r="P8" s="37" t="s">
        <v>179</v>
      </c>
      <c r="R8" s="43"/>
      <c r="W8" s="43"/>
      <c r="X8" s="43"/>
      <c r="Y8" s="43"/>
    </row>
    <row r="9" spans="2:25" s="45" customFormat="1" x14ac:dyDescent="0.35">
      <c r="D9" s="45" t="s">
        <v>205</v>
      </c>
      <c r="F9" s="46">
        <v>85</v>
      </c>
      <c r="G9" s="182">
        <v>175741097</v>
      </c>
      <c r="H9" s="182">
        <v>0</v>
      </c>
      <c r="I9" s="182">
        <v>0</v>
      </c>
      <c r="J9" s="182">
        <v>0</v>
      </c>
      <c r="K9" s="182"/>
      <c r="L9" s="182"/>
      <c r="M9" s="182"/>
      <c r="N9" s="182"/>
      <c r="O9" s="182"/>
      <c r="P9" s="182"/>
      <c r="Q9" s="182">
        <f>SUM(G9:K9)</f>
        <v>175741097</v>
      </c>
      <c r="R9" s="180"/>
      <c r="S9" s="1"/>
      <c r="T9" s="1"/>
      <c r="U9" s="1"/>
      <c r="V9" s="1"/>
      <c r="W9" s="46"/>
      <c r="X9" s="46"/>
      <c r="Y9" s="46"/>
    </row>
    <row r="10" spans="2:25" s="45" customFormat="1" ht="16" thickBot="1" x14ac:dyDescent="0.4">
      <c r="B10" s="44"/>
      <c r="F10" s="46"/>
      <c r="G10" s="183"/>
      <c r="H10" s="183"/>
      <c r="I10" s="183"/>
      <c r="J10" s="183"/>
      <c r="K10" s="183"/>
      <c r="L10" s="183"/>
      <c r="M10" s="183"/>
      <c r="N10" s="183"/>
      <c r="O10" s="183"/>
      <c r="P10" s="183"/>
      <c r="Q10" s="183">
        <f>G10</f>
        <v>0</v>
      </c>
      <c r="R10" s="180"/>
      <c r="S10" s="1"/>
      <c r="T10" s="1"/>
      <c r="U10" s="1"/>
      <c r="V10" s="1"/>
      <c r="W10" s="46"/>
      <c r="X10" s="46"/>
      <c r="Y10" s="46"/>
    </row>
    <row r="11" spans="2:25" s="45" customFormat="1" ht="16" thickTop="1" x14ac:dyDescent="0.35">
      <c r="B11" s="44"/>
      <c r="F11" s="46"/>
      <c r="G11" s="46">
        <f>SUM(G9:G10)</f>
        <v>175741097</v>
      </c>
      <c r="H11" s="46"/>
      <c r="I11" s="46"/>
      <c r="J11" s="46"/>
      <c r="K11" s="46"/>
      <c r="L11" s="46"/>
      <c r="M11" s="46"/>
      <c r="N11" s="46"/>
      <c r="O11" s="46"/>
      <c r="P11" s="46"/>
      <c r="Q11" s="46">
        <f>Q10+Q9</f>
        <v>175741097</v>
      </c>
      <c r="R11" s="46"/>
      <c r="S11" s="1"/>
      <c r="T11" s="1"/>
      <c r="U11" s="1"/>
      <c r="V11" s="1"/>
      <c r="W11" s="46"/>
      <c r="X11" s="46"/>
      <c r="Y11" s="46"/>
    </row>
    <row r="12" spans="2:25" x14ac:dyDescent="0.35">
      <c r="F12" s="47"/>
      <c r="G12" s="48">
        <v>2025</v>
      </c>
      <c r="H12" s="48">
        <f>G12+1</f>
        <v>2026</v>
      </c>
      <c r="I12" s="48">
        <f t="shared" ref="I12:P12" si="0">H12+1</f>
        <v>2027</v>
      </c>
      <c r="J12" s="48">
        <f t="shared" si="0"/>
        <v>2028</v>
      </c>
      <c r="K12" s="48">
        <f t="shared" si="0"/>
        <v>2029</v>
      </c>
      <c r="L12" s="48">
        <f t="shared" si="0"/>
        <v>2030</v>
      </c>
      <c r="M12" s="48">
        <f t="shared" si="0"/>
        <v>2031</v>
      </c>
      <c r="N12" s="48">
        <f t="shared" si="0"/>
        <v>2032</v>
      </c>
      <c r="O12" s="48">
        <f t="shared" si="0"/>
        <v>2033</v>
      </c>
      <c r="P12" s="48">
        <f t="shared" si="0"/>
        <v>2034</v>
      </c>
      <c r="Q12" s="48"/>
    </row>
    <row r="13" spans="2:25" ht="16" thickBot="1" x14ac:dyDescent="0.4">
      <c r="B13" s="49" t="s">
        <v>58</v>
      </c>
      <c r="C13" s="29"/>
      <c r="D13" s="29"/>
      <c r="E13" s="29"/>
      <c r="F13" s="50" t="s">
        <v>174</v>
      </c>
      <c r="G13" s="50" t="s">
        <v>59</v>
      </c>
      <c r="H13" s="51" t="s">
        <v>60</v>
      </c>
      <c r="I13" s="50" t="s">
        <v>61</v>
      </c>
      <c r="J13" s="51" t="s">
        <v>62</v>
      </c>
      <c r="K13" s="50" t="s">
        <v>63</v>
      </c>
      <c r="L13" s="50" t="s">
        <v>88</v>
      </c>
      <c r="M13" s="50" t="s">
        <v>170</v>
      </c>
      <c r="N13" s="50" t="s">
        <v>171</v>
      </c>
      <c r="O13" s="50" t="s">
        <v>172</v>
      </c>
      <c r="P13" s="50" t="s">
        <v>173</v>
      </c>
      <c r="Q13" s="52" t="s">
        <v>64</v>
      </c>
      <c r="R13" s="41"/>
      <c r="S13" s="53"/>
      <c r="T13" s="53"/>
      <c r="U13" s="53"/>
      <c r="V13" s="53"/>
      <c r="W13" s="41"/>
    </row>
    <row r="14" spans="2:25" x14ac:dyDescent="0.35">
      <c r="B14" s="1" t="s">
        <v>65</v>
      </c>
      <c r="G14" s="48">
        <v>12</v>
      </c>
      <c r="H14" s="48">
        <v>12</v>
      </c>
      <c r="I14" s="48">
        <v>12</v>
      </c>
      <c r="J14" s="48">
        <v>12</v>
      </c>
      <c r="K14" s="48">
        <v>12</v>
      </c>
      <c r="L14" s="48"/>
      <c r="M14" s="48"/>
      <c r="N14" s="48"/>
      <c r="O14" s="48"/>
      <c r="P14" s="48"/>
      <c r="Q14" s="54"/>
      <c r="S14" s="40"/>
      <c r="T14" s="40"/>
      <c r="U14" s="40"/>
      <c r="V14" s="40"/>
    </row>
    <row r="15" spans="2:25" ht="1.75" customHeight="1" x14ac:dyDescent="0.35">
      <c r="Q15" s="54"/>
      <c r="S15" s="55"/>
      <c r="T15" s="55"/>
      <c r="U15" s="55"/>
      <c r="V15" s="55"/>
    </row>
    <row r="16" spans="2:25" x14ac:dyDescent="0.35">
      <c r="B16" s="2" t="s">
        <v>66</v>
      </c>
      <c r="E16" s="56"/>
      <c r="G16" s="57"/>
      <c r="H16" s="58"/>
      <c r="I16" s="59"/>
      <c r="J16" s="59"/>
      <c r="K16" s="59"/>
      <c r="L16" s="59"/>
      <c r="M16" s="59"/>
      <c r="N16" s="59"/>
      <c r="O16" s="59"/>
      <c r="P16" s="59"/>
      <c r="Q16" s="54"/>
      <c r="S16" s="53"/>
      <c r="T16" s="53"/>
      <c r="U16" s="53"/>
      <c r="V16" s="53"/>
    </row>
    <row r="17" spans="2:24" x14ac:dyDescent="0.35">
      <c r="B17" s="2"/>
      <c r="C17" s="1" t="s">
        <v>67</v>
      </c>
      <c r="E17" s="56"/>
      <c r="G17" s="58">
        <v>170335200</v>
      </c>
      <c r="H17" s="165">
        <f>G17</f>
        <v>170335200</v>
      </c>
      <c r="I17" s="58">
        <f>H17</f>
        <v>170335200</v>
      </c>
      <c r="J17" s="58">
        <f>I17+(I17*I3)</f>
        <v>170335200</v>
      </c>
      <c r="K17" s="58">
        <f>J17</f>
        <v>170335200</v>
      </c>
      <c r="L17" s="58"/>
      <c r="M17" s="58"/>
      <c r="N17" s="58"/>
      <c r="O17" s="58"/>
      <c r="P17" s="58"/>
      <c r="Q17" s="60">
        <f>SUM(G17:K17)</f>
        <v>851676000</v>
      </c>
      <c r="R17" s="178"/>
      <c r="S17" s="53"/>
      <c r="T17" s="53"/>
      <c r="U17" s="53"/>
      <c r="V17" s="53"/>
    </row>
    <row r="18" spans="2:24" x14ac:dyDescent="0.35">
      <c r="B18" s="2"/>
      <c r="C18" s="1" t="s">
        <v>207</v>
      </c>
      <c r="E18" s="56"/>
      <c r="G18" s="58">
        <f>305076961*32%</f>
        <v>97624627.519999996</v>
      </c>
      <c r="H18" s="165">
        <f>G18</f>
        <v>97624627.519999996</v>
      </c>
      <c r="I18" s="58">
        <f>H18</f>
        <v>97624627.519999996</v>
      </c>
      <c r="J18" s="58">
        <f>I18</f>
        <v>97624627.519999996</v>
      </c>
      <c r="K18" s="165">
        <f>(J18+(J18*I4))</f>
        <v>97624627.519999996</v>
      </c>
      <c r="L18" s="58"/>
      <c r="M18" s="58"/>
      <c r="N18" s="58"/>
      <c r="O18" s="58"/>
      <c r="P18" s="58"/>
      <c r="Q18" s="60">
        <f>SUM(G18:K18)</f>
        <v>488123137.59999996</v>
      </c>
      <c r="R18" s="178"/>
      <c r="S18" s="53"/>
      <c r="T18" s="53"/>
      <c r="U18" s="53"/>
      <c r="V18" s="53"/>
    </row>
    <row r="19" spans="2:24" x14ac:dyDescent="0.35">
      <c r="B19" s="2"/>
      <c r="C19" s="1" t="s">
        <v>204</v>
      </c>
      <c r="E19" s="56"/>
      <c r="G19" s="58">
        <f>150000000+(150000000*I3)</f>
        <v>150000000</v>
      </c>
      <c r="H19" s="165">
        <f>G19</f>
        <v>150000000</v>
      </c>
      <c r="I19" s="165">
        <f t="shared" ref="I19:K19" si="1">H19</f>
        <v>150000000</v>
      </c>
      <c r="J19" s="165">
        <f t="shared" si="1"/>
        <v>150000000</v>
      </c>
      <c r="K19" s="165">
        <f t="shared" si="1"/>
        <v>150000000</v>
      </c>
      <c r="L19" s="58"/>
      <c r="M19" s="58"/>
      <c r="N19" s="58"/>
      <c r="O19" s="58"/>
      <c r="P19" s="58"/>
      <c r="Q19" s="60">
        <f t="shared" ref="Q19:Q20" si="2">SUM(G19:K19)</f>
        <v>750000000</v>
      </c>
      <c r="S19" s="53"/>
      <c r="T19" s="53"/>
      <c r="U19" s="53"/>
      <c r="V19" s="53"/>
    </row>
    <row r="20" spans="2:24" x14ac:dyDescent="0.35">
      <c r="B20" s="2"/>
      <c r="E20" s="56"/>
      <c r="G20" s="58"/>
      <c r="H20" s="165"/>
      <c r="I20" s="58"/>
      <c r="J20" s="58"/>
      <c r="K20" s="58"/>
      <c r="L20" s="61"/>
      <c r="M20" s="61"/>
      <c r="N20" s="61"/>
      <c r="O20" s="61"/>
      <c r="P20" s="61"/>
      <c r="Q20" s="60">
        <f t="shared" si="2"/>
        <v>0</v>
      </c>
      <c r="S20" s="53"/>
      <c r="T20" s="53"/>
      <c r="U20" s="53"/>
      <c r="V20" s="53"/>
    </row>
    <row r="21" spans="2:24" x14ac:dyDescent="0.35">
      <c r="B21" s="63" t="s">
        <v>68</v>
      </c>
      <c r="C21" s="63"/>
      <c r="D21" s="63"/>
      <c r="E21" s="214"/>
      <c r="F21" s="215"/>
      <c r="G21" s="64">
        <f>SUM(G17:G20)</f>
        <v>417959827.51999998</v>
      </c>
      <c r="H21" s="64">
        <f>SUM(H17:H20)</f>
        <v>417959827.51999998</v>
      </c>
      <c r="I21" s="64">
        <f>SUM(I17:I20)</f>
        <v>417959827.51999998</v>
      </c>
      <c r="J21" s="64">
        <f>SUM(J17:J20)</f>
        <v>417959827.51999998</v>
      </c>
      <c r="K21" s="64">
        <f>SUM(K17:K20)</f>
        <v>417959827.51999998</v>
      </c>
      <c r="L21" s="64"/>
      <c r="M21" s="64"/>
      <c r="N21" s="64"/>
      <c r="O21" s="64"/>
      <c r="P21" s="64"/>
      <c r="Q21" s="65">
        <f>SUM(G21:K21)</f>
        <v>2089799137.5999999</v>
      </c>
      <c r="R21" s="53"/>
      <c r="S21" s="66"/>
      <c r="T21" s="66"/>
      <c r="U21" s="66"/>
      <c r="V21" s="66"/>
      <c r="W21" s="53"/>
      <c r="X21" s="40"/>
    </row>
    <row r="22" spans="2:24" ht="7.25" customHeight="1" x14ac:dyDescent="0.35">
      <c r="Q22" s="54"/>
      <c r="R22" s="40"/>
      <c r="S22" s="66"/>
      <c r="T22" s="66"/>
      <c r="U22" s="66"/>
      <c r="V22" s="66"/>
      <c r="W22" s="40"/>
      <c r="X22" s="40"/>
    </row>
    <row r="23" spans="2:24" x14ac:dyDescent="0.35">
      <c r="B23" s="2" t="s">
        <v>69</v>
      </c>
      <c r="E23" s="56"/>
      <c r="F23" s="56"/>
      <c r="G23" s="57"/>
      <c r="H23" s="56"/>
      <c r="I23" s="59"/>
      <c r="J23" s="59"/>
      <c r="K23" s="59"/>
      <c r="L23" s="59"/>
      <c r="M23" s="59"/>
      <c r="N23" s="59"/>
      <c r="O23" s="59"/>
      <c r="P23" s="59"/>
      <c r="Q23" s="67"/>
      <c r="R23" s="55"/>
      <c r="S23" s="68"/>
      <c r="T23" s="68"/>
      <c r="U23" s="68"/>
      <c r="V23" s="68"/>
      <c r="W23" s="40"/>
      <c r="X23" s="40"/>
    </row>
    <row r="24" spans="2:24" x14ac:dyDescent="0.35">
      <c r="C24" s="1" t="s">
        <v>70</v>
      </c>
      <c r="E24" s="69"/>
      <c r="G24" s="70">
        <v>402050000</v>
      </c>
      <c r="H24" s="70"/>
      <c r="I24" s="70"/>
      <c r="J24" s="70"/>
      <c r="K24" s="70"/>
      <c r="L24" s="70"/>
      <c r="M24" s="70"/>
      <c r="N24" s="70"/>
      <c r="O24" s="70"/>
      <c r="P24" s="70"/>
      <c r="Q24" s="71">
        <f>SUM(G24:K24)</f>
        <v>402050000</v>
      </c>
      <c r="R24" s="55"/>
      <c r="S24" s="53"/>
      <c r="T24" s="53"/>
      <c r="U24" s="53"/>
      <c r="V24" s="53"/>
      <c r="W24" s="72"/>
      <c r="X24" s="40"/>
    </row>
    <row r="25" spans="2:24" x14ac:dyDescent="0.35">
      <c r="C25" s="1" t="s">
        <v>209</v>
      </c>
      <c r="F25" s="73"/>
      <c r="G25" s="184">
        <f>110000000-(40000000*68%)</f>
        <v>82800000</v>
      </c>
      <c r="H25" s="184">
        <f>G25</f>
        <v>82800000</v>
      </c>
      <c r="I25" s="184">
        <f>H25</f>
        <v>82800000</v>
      </c>
      <c r="J25" s="184">
        <f>I25</f>
        <v>82800000</v>
      </c>
      <c r="K25" s="184">
        <f>J25</f>
        <v>82800000</v>
      </c>
      <c r="L25" s="70"/>
      <c r="M25" s="70"/>
      <c r="N25" s="70"/>
      <c r="O25" s="70"/>
      <c r="P25" s="70"/>
      <c r="Q25" s="71">
        <f>SUM(G25:K25)</f>
        <v>414000000</v>
      </c>
      <c r="R25" s="179"/>
      <c r="S25" s="74"/>
      <c r="T25" s="74"/>
      <c r="U25" s="74"/>
      <c r="V25" s="74"/>
      <c r="W25" s="72"/>
      <c r="X25" s="40"/>
    </row>
    <row r="26" spans="2:24" x14ac:dyDescent="0.35">
      <c r="C26" s="1" t="s">
        <v>71</v>
      </c>
      <c r="G26" s="75">
        <f>7000000*3</f>
        <v>21000000</v>
      </c>
      <c r="H26" s="75">
        <f>G26</f>
        <v>21000000</v>
      </c>
      <c r="I26" s="75">
        <f t="shared" ref="I26:K26" si="3">H26</f>
        <v>21000000</v>
      </c>
      <c r="J26" s="75">
        <f>I26</f>
        <v>21000000</v>
      </c>
      <c r="K26" s="75">
        <f t="shared" si="3"/>
        <v>21000000</v>
      </c>
      <c r="L26" s="75"/>
      <c r="M26" s="75"/>
      <c r="N26" s="75"/>
      <c r="O26" s="75"/>
      <c r="P26" s="75"/>
      <c r="Q26" s="71">
        <f t="shared" ref="Q26:Q27" si="4">SUM(G26:K26)</f>
        <v>105000000</v>
      </c>
      <c r="R26" s="53"/>
      <c r="S26" s="74"/>
      <c r="T26" s="74"/>
      <c r="U26" s="74"/>
      <c r="V26" s="74"/>
      <c r="W26" s="72"/>
      <c r="X26" s="40"/>
    </row>
    <row r="27" spans="2:24" x14ac:dyDescent="0.35">
      <c r="B27" s="76"/>
      <c r="C27" s="76" t="s">
        <v>49</v>
      </c>
      <c r="D27" s="76"/>
      <c r="E27" s="76"/>
      <c r="F27" s="76"/>
      <c r="G27" s="167">
        <f>G21*$E$5</f>
        <v>10448995.688000001</v>
      </c>
      <c r="H27" s="167">
        <f>H21*$E$5</f>
        <v>10448995.688000001</v>
      </c>
      <c r="I27" s="167">
        <f>I21*$E$5</f>
        <v>10448995.688000001</v>
      </c>
      <c r="J27" s="167">
        <f>J21*$E$5</f>
        <v>10448995.688000001</v>
      </c>
      <c r="K27" s="167">
        <f>K21*$E$5</f>
        <v>10448995.688000001</v>
      </c>
      <c r="L27" s="158"/>
      <c r="M27" s="158"/>
      <c r="N27" s="158"/>
      <c r="O27" s="158"/>
      <c r="P27" s="158"/>
      <c r="Q27" s="71">
        <f t="shared" si="4"/>
        <v>52244978.440000005</v>
      </c>
      <c r="R27" s="62"/>
      <c r="S27" s="74"/>
      <c r="T27" s="74"/>
      <c r="U27" s="74"/>
      <c r="V27" s="74"/>
      <c r="W27" s="72"/>
      <c r="X27" s="40"/>
    </row>
    <row r="28" spans="2:24" s="2" customFormat="1" x14ac:dyDescent="0.35">
      <c r="B28" s="63" t="s">
        <v>72</v>
      </c>
      <c r="C28" s="63"/>
      <c r="D28" s="63"/>
      <c r="E28" s="63"/>
      <c r="F28" s="63"/>
      <c r="G28" s="64">
        <f>SUM(G24:G27)</f>
        <v>516298995.68800002</v>
      </c>
      <c r="H28" s="64">
        <f>SUM(H24:H27)</f>
        <v>114248995.68799999</v>
      </c>
      <c r="I28" s="64">
        <f>SUM(I24:I27)</f>
        <v>114248995.68799999</v>
      </c>
      <c r="J28" s="64">
        <f>SUM(J24:J27)</f>
        <v>114248995.68799999</v>
      </c>
      <c r="K28" s="64">
        <f>SUM(K24:K27)</f>
        <v>114248995.68799999</v>
      </c>
      <c r="L28" s="64"/>
      <c r="M28" s="64"/>
      <c r="N28" s="64"/>
      <c r="O28" s="64"/>
      <c r="P28" s="64"/>
      <c r="Q28" s="77">
        <f>SUM(Q24:Q27)</f>
        <v>973294978.44000006</v>
      </c>
      <c r="R28" s="66"/>
      <c r="S28" s="78"/>
      <c r="T28" s="78"/>
      <c r="U28" s="78"/>
      <c r="V28" s="78"/>
      <c r="W28" s="66"/>
      <c r="X28" s="79"/>
    </row>
    <row r="29" spans="2:24" s="2" customFormat="1" x14ac:dyDescent="0.35">
      <c r="B29" s="2" t="s">
        <v>73</v>
      </c>
      <c r="G29" s="160">
        <f>G21-G28</f>
        <v>-98339168.168000042</v>
      </c>
      <c r="H29" s="80">
        <f>H21-H28</f>
        <v>303710831.83200002</v>
      </c>
      <c r="I29" s="80">
        <f>I21-I28</f>
        <v>303710831.83200002</v>
      </c>
      <c r="J29" s="80">
        <f>J21-J28</f>
        <v>303710831.83200002</v>
      </c>
      <c r="K29" s="80">
        <f>K21-K28</f>
        <v>303710831.83200002</v>
      </c>
      <c r="L29" s="80"/>
      <c r="M29" s="80"/>
      <c r="N29" s="80"/>
      <c r="O29" s="80"/>
      <c r="P29" s="80"/>
      <c r="Q29" s="81">
        <f>Q21-Q28</f>
        <v>1116504159.1599998</v>
      </c>
      <c r="R29" s="66"/>
      <c r="S29" s="74"/>
      <c r="T29" s="74"/>
      <c r="U29" s="74"/>
      <c r="V29" s="74"/>
      <c r="W29" s="66"/>
      <c r="X29" s="79"/>
    </row>
    <row r="30" spans="2:24" s="2" customFormat="1" x14ac:dyDescent="0.35">
      <c r="B30" s="82" t="s">
        <v>74</v>
      </c>
      <c r="C30" s="83"/>
      <c r="D30" s="83"/>
      <c r="E30" s="83"/>
      <c r="F30" s="83"/>
      <c r="G30" s="84">
        <v>0</v>
      </c>
      <c r="H30" s="84">
        <f>H29/H21</f>
        <v>0.72665077319534255</v>
      </c>
      <c r="I30" s="84">
        <f>I29/I21</f>
        <v>0.72665077319534255</v>
      </c>
      <c r="J30" s="84">
        <f>J29/J21</f>
        <v>0.72665077319534255</v>
      </c>
      <c r="K30" s="84">
        <f>K29/K21</f>
        <v>0.72665077319534255</v>
      </c>
      <c r="L30" s="84"/>
      <c r="M30" s="84"/>
      <c r="N30" s="84"/>
      <c r="O30" s="84"/>
      <c r="P30" s="84"/>
      <c r="Q30" s="85">
        <f>Q29/Q21</f>
        <v>0.53426386252711022</v>
      </c>
      <c r="R30" s="68"/>
      <c r="S30" s="40"/>
      <c r="T30" s="40"/>
      <c r="U30" s="40"/>
      <c r="V30" s="40"/>
      <c r="W30" s="68"/>
      <c r="X30" s="79"/>
    </row>
    <row r="31" spans="2:24" x14ac:dyDescent="0.35">
      <c r="B31" s="76" t="s">
        <v>75</v>
      </c>
      <c r="C31" s="76"/>
      <c r="D31" s="76"/>
      <c r="E31" s="76"/>
      <c r="F31" s="76"/>
      <c r="G31" s="86">
        <f>G53</f>
        <v>35148219.399999999</v>
      </c>
      <c r="H31" s="86">
        <f>H53</f>
        <v>35148219.399999999</v>
      </c>
      <c r="I31" s="86">
        <f>I53</f>
        <v>35148219.399999999</v>
      </c>
      <c r="J31" s="86">
        <f>J53</f>
        <v>35148219.399999999</v>
      </c>
      <c r="K31" s="86">
        <f>K53</f>
        <v>35148219.399999999</v>
      </c>
      <c r="L31" s="86"/>
      <c r="M31" s="86"/>
      <c r="N31" s="86"/>
      <c r="O31" s="86"/>
      <c r="P31" s="86"/>
      <c r="Q31" s="87">
        <f>SUM(G31:K31)</f>
        <v>175741097</v>
      </c>
      <c r="R31" s="53"/>
      <c r="S31" s="88"/>
      <c r="T31" s="88"/>
      <c r="U31" s="88"/>
      <c r="V31" s="88"/>
      <c r="W31" s="53"/>
      <c r="X31" s="40"/>
    </row>
    <row r="32" spans="2:24" x14ac:dyDescent="0.35">
      <c r="B32" s="1" t="s">
        <v>76</v>
      </c>
      <c r="G32" s="89">
        <f t="shared" ref="G32:Q32" si="5">G29-G31</f>
        <v>-133487387.56800005</v>
      </c>
      <c r="H32" s="89">
        <f t="shared" si="5"/>
        <v>268562612.43200004</v>
      </c>
      <c r="I32" s="89">
        <f t="shared" si="5"/>
        <v>268562612.43200004</v>
      </c>
      <c r="J32" s="89">
        <f t="shared" si="5"/>
        <v>268562612.43200004</v>
      </c>
      <c r="K32" s="89">
        <f t="shared" si="5"/>
        <v>268562612.43200004</v>
      </c>
      <c r="L32" s="89"/>
      <c r="M32" s="89"/>
      <c r="N32" s="89"/>
      <c r="O32" s="89"/>
      <c r="P32" s="89"/>
      <c r="Q32" s="90">
        <f t="shared" si="5"/>
        <v>940763062.15999985</v>
      </c>
      <c r="R32" s="74"/>
      <c r="S32" s="88"/>
      <c r="T32" s="88"/>
      <c r="U32" s="88"/>
      <c r="V32" s="88"/>
      <c r="W32" s="74"/>
      <c r="X32" s="40"/>
    </row>
    <row r="33" spans="2:24" x14ac:dyDescent="0.35">
      <c r="B33" s="1" t="s">
        <v>77</v>
      </c>
      <c r="G33" s="91">
        <f>Parameter!K34</f>
        <v>5113179.07</v>
      </c>
      <c r="H33" s="91">
        <f>Parameter!L34</f>
        <v>1888503.7599999998</v>
      </c>
      <c r="I33" s="91">
        <f>Parameter!M34</f>
        <v>620424.9</v>
      </c>
      <c r="J33" s="91">
        <f>Parameter!N34</f>
        <v>185433.30000000002</v>
      </c>
      <c r="K33" s="91">
        <f>Parameter!O34</f>
        <v>0</v>
      </c>
      <c r="L33" s="91"/>
      <c r="M33" s="91"/>
      <c r="N33" s="91"/>
      <c r="O33" s="91"/>
      <c r="P33" s="91"/>
      <c r="Q33" s="92">
        <f>SUM(G33:K33)</f>
        <v>7807541.0300000003</v>
      </c>
      <c r="R33" s="74"/>
      <c r="S33" s="88"/>
      <c r="T33" s="88"/>
      <c r="U33" s="88"/>
      <c r="V33" s="88"/>
      <c r="W33" s="74"/>
      <c r="X33" s="40"/>
    </row>
    <row r="34" spans="2:24" x14ac:dyDescent="0.35">
      <c r="B34" s="1" t="s">
        <v>78</v>
      </c>
      <c r="G34" s="168">
        <f t="shared" ref="G34:K34" si="6">G32-G33</f>
        <v>-138600566.63800004</v>
      </c>
      <c r="H34" s="91">
        <f t="shared" si="6"/>
        <v>266674108.67200005</v>
      </c>
      <c r="I34" s="91">
        <f t="shared" si="6"/>
        <v>267942187.53200004</v>
      </c>
      <c r="J34" s="91">
        <f t="shared" si="6"/>
        <v>268377179.13200003</v>
      </c>
      <c r="K34" s="91">
        <f t="shared" si="6"/>
        <v>268562612.43200004</v>
      </c>
      <c r="L34" s="91"/>
      <c r="M34" s="91"/>
      <c r="N34" s="91"/>
      <c r="O34" s="91"/>
      <c r="P34" s="91"/>
      <c r="Q34" s="92">
        <f>SUM(G34:K34)</f>
        <v>932955521.13000011</v>
      </c>
      <c r="R34" s="74"/>
      <c r="S34" s="93"/>
      <c r="T34" s="93"/>
      <c r="U34" s="93"/>
      <c r="V34" s="93"/>
      <c r="W34" s="74"/>
      <c r="X34" s="40"/>
    </row>
    <row r="35" spans="2:24" x14ac:dyDescent="0.35">
      <c r="B35" s="76" t="s">
        <v>79</v>
      </c>
      <c r="C35" s="76"/>
      <c r="D35" s="76"/>
      <c r="E35" s="76"/>
      <c r="F35" s="76"/>
      <c r="G35" s="94">
        <f>IF(G34&lt;0,0,G34*$E$3)</f>
        <v>0</v>
      </c>
      <c r="H35" s="94">
        <f>IF(H34&lt;0,0,H34*$E$3)</f>
        <v>5333482.173440001</v>
      </c>
      <c r="I35" s="94">
        <f>IF(I34&lt;0,0,I34*$E$3)</f>
        <v>5358843.7506400011</v>
      </c>
      <c r="J35" s="94">
        <f>IF(J34&lt;0,0,J34*$E$3)</f>
        <v>5367543.5826400006</v>
      </c>
      <c r="K35" s="94">
        <f>IF(K34&lt;0,0,K34*$E$3)</f>
        <v>5371252.2486400008</v>
      </c>
      <c r="L35" s="94"/>
      <c r="M35" s="94"/>
      <c r="N35" s="94"/>
      <c r="O35" s="94"/>
      <c r="P35" s="94"/>
      <c r="Q35" s="95">
        <f>SUM(G35:K35)</f>
        <v>21431121.755360004</v>
      </c>
      <c r="R35" s="78"/>
      <c r="W35" s="88"/>
      <c r="X35" s="40"/>
    </row>
    <row r="36" spans="2:24" ht="16" thickBot="1" x14ac:dyDescent="0.4">
      <c r="B36" s="96" t="s">
        <v>80</v>
      </c>
      <c r="C36" s="96"/>
      <c r="D36" s="96"/>
      <c r="E36" s="96"/>
      <c r="F36" s="96"/>
      <c r="G36" s="97">
        <f>G34-G35</f>
        <v>-138600566.63800004</v>
      </c>
      <c r="H36" s="97">
        <f t="shared" ref="H36:J36" si="7">H34-H35</f>
        <v>261340626.49856004</v>
      </c>
      <c r="I36" s="97">
        <f t="shared" si="7"/>
        <v>262583343.78136003</v>
      </c>
      <c r="J36" s="97">
        <f t="shared" si="7"/>
        <v>263009635.54936004</v>
      </c>
      <c r="K36" s="97">
        <f>K34-K35</f>
        <v>263191360.18336004</v>
      </c>
      <c r="L36" s="97"/>
      <c r="M36" s="97"/>
      <c r="N36" s="97"/>
      <c r="O36" s="97"/>
      <c r="P36" s="97"/>
      <c r="Q36" s="98">
        <f>Q34-Q35</f>
        <v>911524399.37464011</v>
      </c>
      <c r="R36" s="74"/>
      <c r="W36" s="74"/>
      <c r="X36" s="40"/>
    </row>
    <row r="37" spans="2:24" ht="5.4" customHeight="1" x14ac:dyDescent="0.35">
      <c r="Q37" s="54"/>
      <c r="R37" s="40"/>
      <c r="W37" s="40"/>
      <c r="X37" s="40"/>
    </row>
    <row r="38" spans="2:24" x14ac:dyDescent="0.35">
      <c r="B38" s="76" t="s">
        <v>81</v>
      </c>
      <c r="C38" s="76"/>
      <c r="D38" s="76"/>
      <c r="E38" s="76"/>
      <c r="F38" s="99"/>
      <c r="G38" s="99">
        <f>-G11</f>
        <v>-175741097</v>
      </c>
      <c r="H38" s="99">
        <f>-I9+-I11</f>
        <v>0</v>
      </c>
      <c r="I38" s="99">
        <f>-J9+-J11</f>
        <v>0</v>
      </c>
      <c r="J38" s="99">
        <f>-K9+-K11</f>
        <v>0</v>
      </c>
      <c r="K38" s="99">
        <f>-L9+-L11</f>
        <v>0</v>
      </c>
      <c r="L38" s="99"/>
      <c r="M38" s="99"/>
      <c r="N38" s="99"/>
      <c r="O38" s="99"/>
      <c r="P38" s="99"/>
      <c r="Q38" s="100"/>
      <c r="R38" s="88"/>
      <c r="W38" s="88"/>
      <c r="X38" s="40"/>
    </row>
    <row r="39" spans="2:24" x14ac:dyDescent="0.35">
      <c r="B39" s="1" t="s">
        <v>82</v>
      </c>
      <c r="F39" s="101">
        <f>F38</f>
        <v>0</v>
      </c>
      <c r="G39" s="101">
        <f>G38+G36+G31</f>
        <v>-279193444.23800004</v>
      </c>
      <c r="H39" s="101">
        <f t="shared" ref="H39:J39" si="8">H38+H36+H31</f>
        <v>296488845.89856005</v>
      </c>
      <c r="I39" s="101">
        <f t="shared" si="8"/>
        <v>297731563.18136001</v>
      </c>
      <c r="J39" s="101">
        <f t="shared" si="8"/>
        <v>298157854.94936001</v>
      </c>
      <c r="K39" s="101">
        <f>K38+K36+K31</f>
        <v>298339579.58336002</v>
      </c>
      <c r="L39" s="101"/>
      <c r="M39" s="101"/>
      <c r="N39" s="101"/>
      <c r="O39" s="101"/>
      <c r="P39" s="101"/>
      <c r="Q39" s="102">
        <f>SUM(F39:K39)</f>
        <v>911524399.37463999</v>
      </c>
      <c r="R39" s="88"/>
      <c r="S39" s="37"/>
      <c r="T39" s="48"/>
      <c r="U39" s="37"/>
      <c r="V39" s="48"/>
      <c r="W39" s="88"/>
      <c r="X39" s="40"/>
    </row>
    <row r="40" spans="2:24" x14ac:dyDescent="0.35">
      <c r="B40" s="1" t="s">
        <v>83</v>
      </c>
      <c r="F40" s="101">
        <f>F39</f>
        <v>0</v>
      </c>
      <c r="G40" s="101">
        <f>F40+G39</f>
        <v>-279193444.23800004</v>
      </c>
      <c r="H40" s="101">
        <f t="shared" ref="H40:K40" si="9">G40+H39</f>
        <v>17295401.660560012</v>
      </c>
      <c r="I40" s="101">
        <f t="shared" si="9"/>
        <v>315026964.84192002</v>
      </c>
      <c r="J40" s="101">
        <f t="shared" si="9"/>
        <v>613184819.79128003</v>
      </c>
      <c r="K40" s="101">
        <f t="shared" si="9"/>
        <v>911524399.37463999</v>
      </c>
      <c r="L40" s="101"/>
      <c r="M40" s="101"/>
      <c r="N40" s="101"/>
      <c r="O40" s="101"/>
      <c r="P40" s="101"/>
      <c r="Q40" s="102"/>
      <c r="R40" s="88"/>
      <c r="S40" s="103"/>
      <c r="T40" s="103"/>
      <c r="U40" s="103"/>
      <c r="V40" s="103"/>
      <c r="W40" s="88"/>
      <c r="X40" s="40"/>
    </row>
    <row r="41" spans="2:24" x14ac:dyDescent="0.35">
      <c r="B41" s="1" t="s">
        <v>84</v>
      </c>
      <c r="F41" s="101"/>
      <c r="G41" s="93">
        <f>IF(AND(F40&lt;0,G40&gt;0),G46-(G40/G39),0)</f>
        <v>0</v>
      </c>
      <c r="H41" s="93">
        <f>IF(AND(G40&lt;0,H40&gt;0),H46-(H40/H39),0)</f>
        <v>1.9416659280785307</v>
      </c>
      <c r="I41" s="93">
        <f t="shared" ref="I41:K41" si="10">IF(AND(H40&lt;0,I40&gt;0),I46-(I40/I39),0)</f>
        <v>0</v>
      </c>
      <c r="J41" s="93">
        <f t="shared" si="10"/>
        <v>0</v>
      </c>
      <c r="K41" s="93">
        <f t="shared" si="10"/>
        <v>0</v>
      </c>
      <c r="L41" s="93"/>
      <c r="M41" s="93"/>
      <c r="N41" s="93"/>
      <c r="O41" s="93"/>
      <c r="P41" s="93"/>
      <c r="Q41" s="104"/>
      <c r="R41" s="93"/>
      <c r="S41" s="105"/>
      <c r="T41" s="105"/>
      <c r="U41" s="105"/>
      <c r="V41" s="105"/>
      <c r="W41" s="93"/>
    </row>
    <row r="42" spans="2:24" x14ac:dyDescent="0.35">
      <c r="B42" s="106" t="s">
        <v>33</v>
      </c>
      <c r="C42" s="107"/>
      <c r="D42" s="107"/>
      <c r="E42" s="107"/>
      <c r="F42" s="108">
        <f>IRR(G39:K39)</f>
        <v>0.99752236699542429</v>
      </c>
      <c r="S42" s="105"/>
      <c r="T42" s="105"/>
      <c r="U42" s="105"/>
      <c r="V42" s="105"/>
    </row>
    <row r="43" spans="2:24" x14ac:dyDescent="0.35">
      <c r="B43" s="109" t="s">
        <v>34</v>
      </c>
      <c r="C43" s="44"/>
      <c r="D43" s="44"/>
      <c r="E43" s="44"/>
      <c r="F43" s="110">
        <f>NPV(E4,H39:K39)+G39</f>
        <v>664181369.89224017</v>
      </c>
      <c r="H43" s="111"/>
      <c r="I43" s="112"/>
      <c r="S43" s="105"/>
      <c r="T43" s="105"/>
      <c r="U43" s="105"/>
      <c r="V43" s="105"/>
    </row>
    <row r="44" spans="2:24" x14ac:dyDescent="0.35">
      <c r="B44" s="109" t="s">
        <v>35</v>
      </c>
      <c r="C44" s="44"/>
      <c r="D44" s="44"/>
      <c r="E44" s="44"/>
      <c r="F44" s="113">
        <f>Q30</f>
        <v>0.53426386252711022</v>
      </c>
      <c r="H44" s="61"/>
      <c r="S44" s="105"/>
      <c r="T44" s="105"/>
      <c r="U44" s="105"/>
      <c r="V44" s="105"/>
    </row>
    <row r="45" spans="2:24" x14ac:dyDescent="0.35">
      <c r="B45" s="114" t="s">
        <v>85</v>
      </c>
      <c r="C45" s="115"/>
      <c r="D45" s="115"/>
      <c r="E45" s="115"/>
      <c r="F45" s="116">
        <f>SUM(F41:K41)</f>
        <v>1.9416659280785307</v>
      </c>
      <c r="S45" s="105"/>
      <c r="T45" s="105"/>
      <c r="U45" s="105"/>
      <c r="V45" s="105"/>
    </row>
    <row r="46" spans="2:24" ht="9.65" customHeight="1" x14ac:dyDescent="0.35">
      <c r="G46" s="48">
        <v>1</v>
      </c>
      <c r="H46" s="37">
        <v>2</v>
      </c>
      <c r="I46" s="48">
        <v>3</v>
      </c>
      <c r="J46" s="37">
        <v>4</v>
      </c>
      <c r="K46" s="48">
        <v>5</v>
      </c>
      <c r="L46" s="48"/>
      <c r="M46" s="48"/>
      <c r="N46" s="48"/>
      <c r="O46" s="48"/>
      <c r="P46" s="48"/>
      <c r="Q46" s="37"/>
      <c r="R46" s="48"/>
      <c r="S46" s="117"/>
      <c r="T46" s="117"/>
      <c r="U46" s="117"/>
      <c r="V46" s="117"/>
    </row>
    <row r="47" spans="2:24" x14ac:dyDescent="0.35">
      <c r="B47" s="118" t="s">
        <v>86</v>
      </c>
      <c r="E47" s="103" t="s">
        <v>87</v>
      </c>
      <c r="G47" s="103" t="str">
        <f>G13</f>
        <v>Year 1</v>
      </c>
      <c r="H47" s="103" t="str">
        <f>H13</f>
        <v>Year 2</v>
      </c>
      <c r="I47" s="103" t="str">
        <f>I13</f>
        <v>Year 3</v>
      </c>
      <c r="J47" s="103" t="str">
        <f>J13</f>
        <v>Year 4</v>
      </c>
      <c r="K47" s="103" t="str">
        <f>K13</f>
        <v>Year 5</v>
      </c>
      <c r="L47" s="103"/>
      <c r="M47" s="103"/>
      <c r="N47" s="103"/>
      <c r="O47" s="103"/>
      <c r="P47" s="103"/>
      <c r="Q47" s="103"/>
      <c r="R47" s="103"/>
      <c r="W47" s="103"/>
    </row>
    <row r="48" spans="2:24" x14ac:dyDescent="0.35">
      <c r="D48" s="1" t="s">
        <v>59</v>
      </c>
      <c r="E48" s="1">
        <v>5</v>
      </c>
      <c r="G48" s="119">
        <f>SUM(G9:G10)/$E48</f>
        <v>35148219.399999999</v>
      </c>
      <c r="H48" s="105">
        <f>G48</f>
        <v>35148219.399999999</v>
      </c>
      <c r="I48" s="105">
        <f t="shared" ref="I48:K49" si="11">H48</f>
        <v>35148219.399999999</v>
      </c>
      <c r="J48" s="105">
        <f>I48</f>
        <v>35148219.399999999</v>
      </c>
      <c r="K48" s="105">
        <f t="shared" si="11"/>
        <v>35148219.399999999</v>
      </c>
      <c r="L48" s="105"/>
      <c r="M48" s="105"/>
      <c r="N48" s="105"/>
      <c r="O48" s="105"/>
      <c r="P48" s="105"/>
      <c r="Q48" s="105">
        <f>SUM(G48:K48)</f>
        <v>175741097</v>
      </c>
      <c r="R48" s="105"/>
      <c r="W48" s="120"/>
    </row>
    <row r="49" spans="2:23" hidden="1" x14ac:dyDescent="0.35">
      <c r="D49" s="1" t="s">
        <v>61</v>
      </c>
      <c r="E49" s="1">
        <v>4</v>
      </c>
      <c r="H49" s="119">
        <f>I$11/$E49</f>
        <v>0</v>
      </c>
      <c r="J49" s="105">
        <f>H49</f>
        <v>0</v>
      </c>
      <c r="K49" s="105">
        <f t="shared" si="11"/>
        <v>0</v>
      </c>
      <c r="L49" s="105"/>
      <c r="M49" s="105"/>
      <c r="N49" s="105"/>
      <c r="O49" s="105"/>
      <c r="P49" s="105"/>
      <c r="Q49" s="105"/>
      <c r="R49" s="105"/>
      <c r="W49" s="120"/>
    </row>
    <row r="50" spans="2:23" hidden="1" x14ac:dyDescent="0.35">
      <c r="D50" s="1" t="s">
        <v>62</v>
      </c>
      <c r="E50" s="1">
        <v>3</v>
      </c>
      <c r="I50" s="119">
        <f>J$9/$E50</f>
        <v>0</v>
      </c>
      <c r="K50" s="105">
        <f>I50</f>
        <v>0</v>
      </c>
      <c r="L50" s="105"/>
      <c r="M50" s="105"/>
      <c r="N50" s="105"/>
      <c r="O50" s="105"/>
      <c r="P50" s="105"/>
      <c r="Q50" s="105"/>
      <c r="R50" s="105"/>
      <c r="W50" s="120"/>
    </row>
    <row r="51" spans="2:23" hidden="1" x14ac:dyDescent="0.35">
      <c r="D51" s="1" t="s">
        <v>63</v>
      </c>
      <c r="E51" s="1">
        <v>2</v>
      </c>
      <c r="J51" s="119"/>
      <c r="Q51" s="105"/>
      <c r="R51" s="105"/>
      <c r="W51" s="120"/>
    </row>
    <row r="52" spans="2:23" hidden="1" x14ac:dyDescent="0.35">
      <c r="D52" s="1" t="s">
        <v>88</v>
      </c>
      <c r="E52" s="1">
        <v>1</v>
      </c>
      <c r="K52" s="119"/>
      <c r="L52" s="119"/>
      <c r="M52" s="119"/>
      <c r="N52" s="119"/>
      <c r="O52" s="119"/>
      <c r="P52" s="119"/>
      <c r="Q52" s="105"/>
      <c r="R52" s="105"/>
      <c r="W52" s="120"/>
    </row>
    <row r="53" spans="2:23" ht="16" thickBot="1" x14ac:dyDescent="0.4">
      <c r="B53" s="121" t="s">
        <v>89</v>
      </c>
      <c r="C53" s="122"/>
      <c r="D53" s="122"/>
      <c r="E53" s="122"/>
      <c r="F53" s="122"/>
      <c r="G53" s="123">
        <f>SUM(G48:G51)</f>
        <v>35148219.399999999</v>
      </c>
      <c r="H53" s="123">
        <f>SUM(H48:H51)</f>
        <v>35148219.399999999</v>
      </c>
      <c r="I53" s="123">
        <f>SUM(I48:I51)</f>
        <v>35148219.399999999</v>
      </c>
      <c r="J53" s="123">
        <f>SUM(J48:J51)</f>
        <v>35148219.399999999</v>
      </c>
      <c r="K53" s="123">
        <f>SUM(K48:K51)</f>
        <v>35148219.399999999</v>
      </c>
      <c r="L53" s="159"/>
      <c r="M53" s="159"/>
      <c r="N53" s="159"/>
      <c r="O53" s="159"/>
      <c r="P53" s="159"/>
      <c r="Q53" s="123">
        <f>SUM(G53:K53)</f>
        <v>175741097</v>
      </c>
      <c r="R53" s="117"/>
      <c r="W53" s="117"/>
    </row>
    <row r="54" spans="2:23" ht="5.4" customHeight="1" thickTop="1" x14ac:dyDescent="0.35">
      <c r="W54" s="112"/>
    </row>
    <row r="55" spans="2:23" ht="3.65" customHeight="1" x14ac:dyDescent="0.35"/>
    <row r="56" spans="2:23" x14ac:dyDescent="0.35">
      <c r="B56" s="176"/>
      <c r="F56" s="1" t="s">
        <v>36</v>
      </c>
    </row>
    <row r="57" spans="2:23" x14ac:dyDescent="0.35">
      <c r="B57" s="177"/>
    </row>
    <row r="58" spans="2:23" x14ac:dyDescent="0.35">
      <c r="B58" s="181"/>
    </row>
    <row r="59" spans="2:23" x14ac:dyDescent="0.35">
      <c r="B59" s="177"/>
    </row>
  </sheetData>
  <mergeCells count="1">
    <mergeCell ref="E21:F21"/>
  </mergeCells>
  <phoneticPr fontId="25" type="noConversion"/>
  <pageMargins left="0.93" right="0.25" top="0.2" bottom="0.16" header="0.3" footer="0.3"/>
  <pageSetup paperSize="9" scale="1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101"/>
  <sheetViews>
    <sheetView workbookViewId="0">
      <pane xSplit="2" ySplit="2" topLeftCell="H27" activePane="bottomRight" state="frozen"/>
      <selection pane="topRight" activeCell="C1" sqref="C1"/>
      <selection pane="bottomLeft" activeCell="A3" sqref="A3"/>
      <selection pane="bottomRight" activeCell="H45" sqref="H45"/>
    </sheetView>
  </sheetViews>
  <sheetFormatPr defaultRowHeight="14.5" x14ac:dyDescent="0.35"/>
  <cols>
    <col min="1" max="1" width="18" customWidth="1"/>
    <col min="2" max="2" width="17.6328125" bestFit="1" customWidth="1"/>
    <col min="3" max="4" width="15.1796875" bestFit="1" customWidth="1"/>
    <col min="5" max="5" width="16.54296875" customWidth="1"/>
    <col min="6" max="6" width="16.6328125" customWidth="1"/>
    <col min="7" max="7" width="13.81640625" bestFit="1" customWidth="1"/>
    <col min="8" max="8" width="18.54296875" customWidth="1"/>
    <col min="9" max="9" width="17.08984375" customWidth="1"/>
    <col min="10" max="11" width="15.1796875" bestFit="1" customWidth="1"/>
    <col min="12" max="12" width="13.54296875" bestFit="1" customWidth="1"/>
    <col min="13" max="13" width="15.54296875" bestFit="1" customWidth="1"/>
    <col min="14" max="14" width="13.54296875" bestFit="1" customWidth="1"/>
    <col min="15" max="15" width="15.54296875" bestFit="1" customWidth="1"/>
    <col min="16" max="18" width="13.54296875" bestFit="1" customWidth="1"/>
    <col min="19" max="19" width="14.08984375" bestFit="1" customWidth="1"/>
  </cols>
  <sheetData>
    <row r="1" spans="1:20" x14ac:dyDescent="0.35">
      <c r="A1" s="125" t="s">
        <v>102</v>
      </c>
    </row>
    <row r="2" spans="1:20" x14ac:dyDescent="0.35">
      <c r="A2" s="126" t="s">
        <v>103</v>
      </c>
      <c r="B2" s="127">
        <v>5</v>
      </c>
      <c r="C2" s="128">
        <v>2017</v>
      </c>
      <c r="D2" s="128">
        <f>C2+1</f>
        <v>2018</v>
      </c>
      <c r="E2" s="128">
        <f t="shared" ref="E2:M2" si="0">D2+1</f>
        <v>2019</v>
      </c>
      <c r="F2" s="128">
        <f t="shared" si="0"/>
        <v>2020</v>
      </c>
      <c r="G2" s="128">
        <f t="shared" si="0"/>
        <v>2021</v>
      </c>
      <c r="H2" s="128">
        <f t="shared" si="0"/>
        <v>2022</v>
      </c>
      <c r="I2" s="128">
        <f t="shared" si="0"/>
        <v>2023</v>
      </c>
      <c r="J2" s="128">
        <f t="shared" si="0"/>
        <v>2024</v>
      </c>
      <c r="K2" s="128">
        <f t="shared" si="0"/>
        <v>2025</v>
      </c>
      <c r="L2" s="128">
        <f t="shared" si="0"/>
        <v>2026</v>
      </c>
      <c r="M2" s="128">
        <f t="shared" si="0"/>
        <v>2027</v>
      </c>
      <c r="N2" s="128">
        <f t="shared" ref="N2" si="1">M2+1</f>
        <v>2028</v>
      </c>
      <c r="O2" s="128">
        <f t="shared" ref="O2" si="2">N2+1</f>
        <v>2029</v>
      </c>
      <c r="P2" s="128">
        <f t="shared" ref="P2" si="3">O2+1</f>
        <v>2030</v>
      </c>
      <c r="Q2" s="128">
        <f t="shared" ref="Q2:R2" si="4">P2+1</f>
        <v>2031</v>
      </c>
      <c r="R2" s="128">
        <f t="shared" si="4"/>
        <v>2032</v>
      </c>
    </row>
    <row r="3" spans="1:20" x14ac:dyDescent="0.35">
      <c r="A3" s="129">
        <f>C2</f>
        <v>2017</v>
      </c>
      <c r="B3" t="s">
        <v>104</v>
      </c>
      <c r="C3" s="130">
        <v>746946207</v>
      </c>
      <c r="D3" s="131">
        <f>C3-C4</f>
        <v>597556965.60000002</v>
      </c>
      <c r="E3" s="131">
        <f>D3-C4</f>
        <v>448167724.20000005</v>
      </c>
      <c r="F3" s="131">
        <f>E3-C4</f>
        <v>298778482.80000007</v>
      </c>
      <c r="G3" s="131">
        <f>F3-C4</f>
        <v>149389241.40000007</v>
      </c>
      <c r="H3" s="131">
        <f>G3-C4</f>
        <v>0</v>
      </c>
      <c r="I3" s="131">
        <f>H3-$E$4</f>
        <v>0</v>
      </c>
      <c r="J3" s="131">
        <f>I3-$E$4</f>
        <v>0</v>
      </c>
      <c r="K3" s="131"/>
      <c r="P3" s="131"/>
      <c r="Q3" s="131"/>
      <c r="R3">
        <v>2013</v>
      </c>
      <c r="S3" s="130">
        <v>1726670811.6800001</v>
      </c>
    </row>
    <row r="4" spans="1:20" x14ac:dyDescent="0.35">
      <c r="A4" s="132"/>
      <c r="B4" t="s">
        <v>105</v>
      </c>
      <c r="C4" s="130">
        <f>C3/B2</f>
        <v>149389241.40000001</v>
      </c>
      <c r="D4" s="130"/>
      <c r="E4" s="130"/>
      <c r="R4">
        <v>2014</v>
      </c>
      <c r="S4" s="130">
        <v>422342499</v>
      </c>
    </row>
    <row r="5" spans="1:20" x14ac:dyDescent="0.35">
      <c r="A5" s="132"/>
      <c r="B5" t="s">
        <v>106</v>
      </c>
      <c r="C5" s="130">
        <f>(($C$3*IRR!E4*6)/12)</f>
        <v>37347310.350000001</v>
      </c>
      <c r="D5" s="131">
        <f>AVERAGE(C3:D3)*IRR!E4</f>
        <v>67225158.629999995</v>
      </c>
      <c r="E5" s="131">
        <f>AVERAGE(D3:E3)*IRR!E4</f>
        <v>52286234.49000001</v>
      </c>
      <c r="F5" s="131">
        <f>AVERAGE(E3:F3)*IRR!E4</f>
        <v>37347310.350000009</v>
      </c>
      <c r="G5" s="131">
        <f>AVERAGE(F3:G3)*IRR!E4</f>
        <v>22408386.210000008</v>
      </c>
      <c r="H5" s="131">
        <f>AVERAGE(G3:H3)*IRR!E4</f>
        <v>7469462.070000004</v>
      </c>
      <c r="I5" s="131">
        <f>AVERAGE($H$3:$I$3)*[3]IRR!$G$4</f>
        <v>0</v>
      </c>
      <c r="J5" s="131">
        <f>AVERAGE($I$3:$J$3)*[3]IRR!$G$4</f>
        <v>0</v>
      </c>
      <c r="K5" s="131"/>
      <c r="P5" s="131"/>
      <c r="Q5" s="131"/>
      <c r="R5">
        <v>2016</v>
      </c>
      <c r="S5" s="130">
        <v>10773000</v>
      </c>
      <c r="T5" s="131"/>
    </row>
    <row r="6" spans="1:20" x14ac:dyDescent="0.35">
      <c r="A6" s="129">
        <f>A3+1</f>
        <v>2018</v>
      </c>
      <c r="B6" t="s">
        <v>104</v>
      </c>
      <c r="C6" s="130"/>
      <c r="D6" s="131"/>
      <c r="E6" s="131">
        <f>D6-D7</f>
        <v>0</v>
      </c>
      <c r="F6" s="131">
        <f>E6-D7</f>
        <v>0</v>
      </c>
      <c r="G6" s="131">
        <f>F6-D7</f>
        <v>0</v>
      </c>
      <c r="H6" s="131">
        <f>G6-D7</f>
        <v>0</v>
      </c>
      <c r="I6" s="131"/>
      <c r="J6" s="131"/>
      <c r="K6" s="131"/>
      <c r="R6">
        <v>2017</v>
      </c>
      <c r="S6" s="130">
        <v>102210600</v>
      </c>
    </row>
    <row r="7" spans="1:20" x14ac:dyDescent="0.35">
      <c r="A7" s="132"/>
      <c r="B7" t="s">
        <v>105</v>
      </c>
      <c r="C7" s="130"/>
      <c r="D7" s="131">
        <f>D6/B2</f>
        <v>0</v>
      </c>
      <c r="E7" s="131"/>
      <c r="F7" s="131"/>
      <c r="G7" s="131"/>
      <c r="H7" s="131"/>
      <c r="I7" s="131"/>
      <c r="J7" s="131"/>
      <c r="K7" s="131"/>
    </row>
    <row r="8" spans="1:20" x14ac:dyDescent="0.35">
      <c r="A8" s="132"/>
      <c r="B8" t="s">
        <v>106</v>
      </c>
      <c r="C8" s="130"/>
      <c r="D8" s="130">
        <f>((D6*IRR!E4*6)/12)</f>
        <v>0</v>
      </c>
      <c r="E8" s="131">
        <f>AVERAGE(D6:E6)*IRR!E4</f>
        <v>0</v>
      </c>
      <c r="F8" s="131">
        <f>AVERAGE(E6:F6)*IRR!E4</f>
        <v>0</v>
      </c>
      <c r="G8" s="131">
        <f>AVERAGE(F6:G6)*IRR!E4</f>
        <v>0</v>
      </c>
      <c r="H8" s="131">
        <f>AVERAGE(G6:H6)*IRR!E4</f>
        <v>0</v>
      </c>
      <c r="I8" s="131">
        <f>AVERAGE(H6:I6)*IRR!E4</f>
        <v>0</v>
      </c>
      <c r="J8" s="131"/>
      <c r="K8" s="131"/>
    </row>
    <row r="9" spans="1:20" x14ac:dyDescent="0.35">
      <c r="A9" s="129">
        <f>A6+1</f>
        <v>2019</v>
      </c>
      <c r="B9" t="s">
        <v>104</v>
      </c>
      <c r="C9" s="130"/>
      <c r="D9" s="131"/>
      <c r="E9" s="131"/>
      <c r="F9" s="131">
        <f>E9-E10</f>
        <v>0</v>
      </c>
      <c r="G9" s="131">
        <f>F9-E10</f>
        <v>0</v>
      </c>
      <c r="H9" s="131">
        <f>G9-E10</f>
        <v>0</v>
      </c>
      <c r="I9" s="131">
        <f>H9-E10</f>
        <v>0</v>
      </c>
      <c r="J9" s="131">
        <f>I9-E10</f>
        <v>0</v>
      </c>
    </row>
    <row r="10" spans="1:20" x14ac:dyDescent="0.35">
      <c r="A10" s="132"/>
      <c r="B10" t="s">
        <v>105</v>
      </c>
      <c r="C10" s="130"/>
      <c r="D10" s="131"/>
      <c r="E10" s="131">
        <f>E9/B2</f>
        <v>0</v>
      </c>
      <c r="F10" s="131"/>
      <c r="G10" s="131"/>
      <c r="H10" s="131"/>
      <c r="I10" s="131"/>
      <c r="J10" s="131"/>
    </row>
    <row r="11" spans="1:20" x14ac:dyDescent="0.35">
      <c r="A11" s="132"/>
      <c r="B11" t="s">
        <v>106</v>
      </c>
      <c r="C11" s="130"/>
      <c r="D11" s="131"/>
      <c r="E11" s="130">
        <f>((E9*IRR!E4*6)/12)</f>
        <v>0</v>
      </c>
      <c r="F11" s="131">
        <f>AVERAGE(E9:F9)*IRR!$E$4</f>
        <v>0</v>
      </c>
      <c r="G11" s="131">
        <f>AVERAGE(F9:G9)*IRR!$E$4</f>
        <v>0</v>
      </c>
      <c r="H11" s="131">
        <f>AVERAGE(G9:H9)*IRR!$E$4</f>
        <v>0</v>
      </c>
      <c r="I11" s="131">
        <f>AVERAGE(H9:I9)*IRR!$E$4</f>
        <v>0</v>
      </c>
      <c r="J11" s="131">
        <f>AVERAGE(I9:J9)*IRR!$E$4</f>
        <v>0</v>
      </c>
    </row>
    <row r="12" spans="1:20" x14ac:dyDescent="0.35">
      <c r="A12" s="129">
        <f>A9+1</f>
        <v>2020</v>
      </c>
      <c r="B12" t="s">
        <v>104</v>
      </c>
      <c r="C12" s="130"/>
      <c r="D12" s="131"/>
      <c r="E12" s="131"/>
      <c r="F12" s="131">
        <v>118763419</v>
      </c>
      <c r="G12" s="131">
        <f>F12-F13</f>
        <v>95010735.200000003</v>
      </c>
      <c r="H12" s="131">
        <f>G12-F13</f>
        <v>71258051.400000006</v>
      </c>
      <c r="I12" s="131">
        <f>H12-F13</f>
        <v>47505367.600000009</v>
      </c>
      <c r="J12" s="131">
        <f>I12-F13</f>
        <v>23752683.800000008</v>
      </c>
      <c r="K12" s="131">
        <f>J12-F13</f>
        <v>0</v>
      </c>
    </row>
    <row r="13" spans="1:20" x14ac:dyDescent="0.35">
      <c r="B13" t="s">
        <v>105</v>
      </c>
      <c r="C13" s="130"/>
      <c r="D13" s="131"/>
      <c r="E13" s="131"/>
      <c r="F13" s="131">
        <f>F12/B2</f>
        <v>23752683.800000001</v>
      </c>
      <c r="G13" s="131"/>
      <c r="H13" s="131"/>
      <c r="I13" s="131"/>
      <c r="J13" s="131"/>
      <c r="K13" s="131"/>
    </row>
    <row r="14" spans="1:20" x14ac:dyDescent="0.35">
      <c r="B14" t="s">
        <v>106</v>
      </c>
      <c r="C14" s="130"/>
      <c r="D14" s="131"/>
      <c r="E14" s="130"/>
      <c r="F14" s="130">
        <f>((F12*IRR!E4*6)/12)</f>
        <v>5938170.9500000002</v>
      </c>
      <c r="G14" s="131">
        <f>AVERAGE(F12:G12)*IRR!$E$4</f>
        <v>10688707.710000001</v>
      </c>
      <c r="H14" s="131">
        <f>AVERAGE(G12:H12)*IRR!$E$4</f>
        <v>8313439.3300000019</v>
      </c>
      <c r="I14" s="131">
        <f>AVERAGE(H12:I12)*IRR!$E$4</f>
        <v>5938170.9500000011</v>
      </c>
      <c r="J14" s="131">
        <f>AVERAGE(I12:J12)*IRR!$E$4</f>
        <v>3562902.5700000012</v>
      </c>
      <c r="K14" s="131">
        <f>AVERAGE(J12:K12)*IRR!$E$4</f>
        <v>1187634.1900000004</v>
      </c>
    </row>
    <row r="15" spans="1:20" x14ac:dyDescent="0.35">
      <c r="A15" s="129">
        <f>A12+1</f>
        <v>2021</v>
      </c>
      <c r="B15" t="s">
        <v>104</v>
      </c>
      <c r="C15" s="130"/>
      <c r="D15" s="131"/>
      <c r="E15" s="131"/>
      <c r="F15" s="131"/>
      <c r="G15" s="131">
        <v>76896226</v>
      </c>
      <c r="H15" s="131">
        <f>G15-G16</f>
        <v>61516980.799999997</v>
      </c>
      <c r="I15" s="131">
        <f>H15-G16</f>
        <v>46137735.599999994</v>
      </c>
      <c r="J15" s="131">
        <f>I15-G16</f>
        <v>30758490.399999995</v>
      </c>
      <c r="K15" s="131">
        <f>J15-G16</f>
        <v>15379245.199999996</v>
      </c>
      <c r="L15" s="131">
        <f>K15-G16</f>
        <v>0</v>
      </c>
    </row>
    <row r="16" spans="1:20" x14ac:dyDescent="0.35">
      <c r="B16" t="s">
        <v>105</v>
      </c>
      <c r="C16" s="130"/>
      <c r="D16" s="131"/>
      <c r="E16" s="131"/>
      <c r="F16" s="131"/>
      <c r="G16" s="131">
        <f>G15/B2</f>
        <v>15379245.199999999</v>
      </c>
      <c r="H16" s="131"/>
      <c r="I16" s="131"/>
      <c r="J16" s="131"/>
      <c r="K16" s="131"/>
      <c r="L16" s="131"/>
    </row>
    <row r="17" spans="1:18" x14ac:dyDescent="0.35">
      <c r="B17" t="s">
        <v>106</v>
      </c>
      <c r="C17" s="130"/>
      <c r="D17" s="131"/>
      <c r="E17" s="130"/>
      <c r="F17" s="131"/>
      <c r="G17" s="130">
        <f>((G15*IRR!E4*6)/12)</f>
        <v>3844811.3000000003</v>
      </c>
      <c r="H17" s="131">
        <f>AVERAGE(G15:H15)*IRR!$E$4</f>
        <v>6920660.3400000008</v>
      </c>
      <c r="I17" s="131">
        <f>AVERAGE(H15:I15)*IRR!$E$4</f>
        <v>5382735.8200000003</v>
      </c>
      <c r="J17" s="131">
        <f>AVERAGE(I15:J15)*IRR!$E$4</f>
        <v>3844811.2999999993</v>
      </c>
      <c r="K17" s="131">
        <f>AVERAGE(J15:K15)*IRR!$E$4</f>
        <v>2306886.7799999998</v>
      </c>
      <c r="L17" s="131">
        <f>AVERAGE(K15:L15)*IRR!$E$4</f>
        <v>768962.25999999978</v>
      </c>
    </row>
    <row r="18" spans="1:18" x14ac:dyDescent="0.35">
      <c r="A18" s="129">
        <f>A15+1</f>
        <v>2022</v>
      </c>
      <c r="B18" t="s">
        <v>104</v>
      </c>
      <c r="C18" s="130"/>
      <c r="D18" s="131"/>
      <c r="E18" s="131"/>
      <c r="F18" s="131"/>
      <c r="H18" s="131">
        <v>6412500</v>
      </c>
      <c r="I18" s="131">
        <f>H18-H19</f>
        <v>5130000</v>
      </c>
      <c r="J18" s="131">
        <f>I18-H19</f>
        <v>3847500</v>
      </c>
      <c r="K18" s="131">
        <f>J18-H19</f>
        <v>2565000</v>
      </c>
      <c r="L18" s="131">
        <f>K18-H19</f>
        <v>1282500</v>
      </c>
      <c r="M18" s="131">
        <f>L18-H19</f>
        <v>0</v>
      </c>
    </row>
    <row r="19" spans="1:18" x14ac:dyDescent="0.35">
      <c r="B19" t="s">
        <v>105</v>
      </c>
      <c r="C19" s="130"/>
      <c r="D19" s="131"/>
      <c r="E19" s="131"/>
      <c r="F19" s="131"/>
      <c r="H19" s="131">
        <f>H18/B2</f>
        <v>1282500</v>
      </c>
      <c r="I19" s="131"/>
      <c r="J19" s="131"/>
      <c r="K19" s="131"/>
      <c r="L19" s="131"/>
      <c r="M19" s="131"/>
    </row>
    <row r="20" spans="1:18" x14ac:dyDescent="0.35">
      <c r="B20" t="s">
        <v>106</v>
      </c>
      <c r="C20" s="130"/>
      <c r="D20" s="131"/>
      <c r="E20" s="130"/>
      <c r="F20" s="131"/>
      <c r="H20" s="130">
        <f>((H18*IRR!E4*6)/12)</f>
        <v>320625</v>
      </c>
      <c r="I20" s="131">
        <f>AVERAGE(H18:I18)*IRR!$E$4</f>
        <v>577125</v>
      </c>
      <c r="J20" s="131">
        <f>AVERAGE(I18:J18)*IRR!$E$4</f>
        <v>448875</v>
      </c>
      <c r="K20" s="131">
        <f>AVERAGE(J18:K18)*IRR!$E$4</f>
        <v>320625</v>
      </c>
      <c r="L20" s="131">
        <f>AVERAGE(K18:L18)*IRR!$E$4</f>
        <v>192375</v>
      </c>
      <c r="M20" s="131">
        <f>AVERAGE(L18:M18)*IRR!$E$4</f>
        <v>64125</v>
      </c>
    </row>
    <row r="21" spans="1:18" x14ac:dyDescent="0.35">
      <c r="A21" s="129">
        <f>A18+1</f>
        <v>2023</v>
      </c>
      <c r="B21" t="s">
        <v>104</v>
      </c>
      <c r="C21" s="130"/>
      <c r="D21" s="131"/>
      <c r="E21" s="131"/>
      <c r="F21" s="131"/>
      <c r="I21" s="131">
        <v>18543330</v>
      </c>
      <c r="J21" s="131">
        <f>I21-I22</f>
        <v>14834664</v>
      </c>
      <c r="K21" s="131">
        <f>J21-I22</f>
        <v>11125998</v>
      </c>
      <c r="L21" s="131">
        <f>K21-I22</f>
        <v>7417332</v>
      </c>
      <c r="M21" s="131">
        <f>L21-I22</f>
        <v>3708666</v>
      </c>
      <c r="N21" s="131">
        <f>M21-I22</f>
        <v>0</v>
      </c>
    </row>
    <row r="22" spans="1:18" x14ac:dyDescent="0.35">
      <c r="B22" t="s">
        <v>105</v>
      </c>
      <c r="C22" s="130"/>
      <c r="D22" s="131"/>
      <c r="E22" s="131"/>
      <c r="F22" s="131"/>
      <c r="I22" s="131">
        <f>I21/B2</f>
        <v>3708666</v>
      </c>
      <c r="J22" s="131"/>
      <c r="K22" s="131"/>
      <c r="L22" s="131"/>
      <c r="M22" s="131"/>
      <c r="N22" s="131"/>
    </row>
    <row r="23" spans="1:18" x14ac:dyDescent="0.35">
      <c r="B23" t="s">
        <v>106</v>
      </c>
      <c r="C23" s="130"/>
      <c r="D23" s="131"/>
      <c r="E23" s="130"/>
      <c r="F23" s="131"/>
      <c r="I23" s="130">
        <f>((I21*IRR!E4*6)/12)</f>
        <v>927166.5</v>
      </c>
      <c r="J23" s="131">
        <f>AVERAGE(I21:J21)*IRR!$E$4</f>
        <v>1668899.7000000002</v>
      </c>
      <c r="K23" s="131">
        <f>AVERAGE(J21:K21)*IRR!$E$4</f>
        <v>1298033.1000000001</v>
      </c>
      <c r="L23" s="131">
        <f>AVERAGE(K21:L21)*IRR!$E$4</f>
        <v>927166.5</v>
      </c>
      <c r="M23" s="131">
        <f>AVERAGE(L21:M21)*IRR!$E$4</f>
        <v>556299.9</v>
      </c>
      <c r="N23" s="131">
        <f>AVERAGE(M21:N21)*IRR!$E$4</f>
        <v>185433.30000000002</v>
      </c>
    </row>
    <row r="24" spans="1:18" x14ac:dyDescent="0.35">
      <c r="A24" s="129">
        <f>A21+1</f>
        <v>2024</v>
      </c>
      <c r="B24" t="s">
        <v>104</v>
      </c>
      <c r="C24" s="130"/>
      <c r="D24" s="131"/>
      <c r="E24" s="131"/>
      <c r="F24" s="131"/>
      <c r="J24" s="131"/>
      <c r="K24" s="131">
        <f>J24-J25</f>
        <v>0</v>
      </c>
      <c r="L24" s="131">
        <f>K24-J25</f>
        <v>0</v>
      </c>
      <c r="M24" s="131">
        <f>L24-J25</f>
        <v>0</v>
      </c>
      <c r="N24" s="131">
        <f>M24-J25</f>
        <v>0</v>
      </c>
      <c r="O24" s="131">
        <f>N24-J25</f>
        <v>0</v>
      </c>
    </row>
    <row r="25" spans="1:18" x14ac:dyDescent="0.35">
      <c r="B25" t="s">
        <v>105</v>
      </c>
      <c r="C25" s="130"/>
      <c r="D25" s="131"/>
      <c r="E25" s="131"/>
      <c r="F25" s="131"/>
      <c r="J25" s="131">
        <f>J24/B2</f>
        <v>0</v>
      </c>
      <c r="K25" s="131"/>
      <c r="L25" s="131"/>
      <c r="M25" s="131"/>
      <c r="N25" s="131"/>
      <c r="O25" s="131"/>
    </row>
    <row r="26" spans="1:18" x14ac:dyDescent="0.35">
      <c r="B26" t="s">
        <v>106</v>
      </c>
      <c r="C26" s="130"/>
      <c r="D26" s="131"/>
      <c r="E26" s="130"/>
      <c r="F26" s="131"/>
      <c r="J26" s="130">
        <f>((J24*IRR!E4*6)/12)</f>
        <v>0</v>
      </c>
      <c r="K26" s="131">
        <f>AVERAGE(J24:K24)*IRR!$E$4</f>
        <v>0</v>
      </c>
      <c r="L26" s="131">
        <f>AVERAGE(K24:L24)*IRR!$E$4</f>
        <v>0</v>
      </c>
      <c r="M26" s="131">
        <f>AVERAGE(L24:M24)*IRR!$E$4</f>
        <v>0</v>
      </c>
      <c r="N26" s="131">
        <f>AVERAGE(M24:N24)*IRR!$E$4</f>
        <v>0</v>
      </c>
      <c r="O26" s="131">
        <f>AVERAGE(N24:O24)*IRR!$E$4</f>
        <v>0</v>
      </c>
    </row>
    <row r="27" spans="1:18" x14ac:dyDescent="0.35">
      <c r="A27" s="129">
        <f>A24+1</f>
        <v>2025</v>
      </c>
      <c r="B27" t="s">
        <v>104</v>
      </c>
      <c r="C27" s="130"/>
      <c r="D27" s="131"/>
      <c r="E27" s="131"/>
      <c r="F27" s="131"/>
      <c r="L27" s="131"/>
      <c r="M27" s="131">
        <f>L27-L28</f>
        <v>0</v>
      </c>
      <c r="N27" s="131">
        <f>M27-L28</f>
        <v>0</v>
      </c>
      <c r="O27" s="131">
        <f>N27-L28</f>
        <v>0</v>
      </c>
      <c r="P27" s="131">
        <f>O27-L28</f>
        <v>0</v>
      </c>
      <c r="Q27" s="131">
        <f>P27-L28</f>
        <v>0</v>
      </c>
    </row>
    <row r="28" spans="1:18" x14ac:dyDescent="0.35">
      <c r="B28" t="s">
        <v>105</v>
      </c>
      <c r="C28" s="130"/>
      <c r="D28" s="131"/>
      <c r="E28" s="131"/>
      <c r="F28" s="131"/>
      <c r="L28" s="131">
        <f>L27/B2</f>
        <v>0</v>
      </c>
      <c r="M28" s="131"/>
      <c r="N28" s="131"/>
      <c r="O28" s="131"/>
      <c r="P28" s="131"/>
      <c r="Q28" s="131"/>
    </row>
    <row r="29" spans="1:18" x14ac:dyDescent="0.35">
      <c r="B29" t="s">
        <v>106</v>
      </c>
      <c r="C29" s="130"/>
      <c r="D29" s="131"/>
      <c r="E29" s="130"/>
      <c r="F29" s="131"/>
      <c r="L29" s="130">
        <f>((L27*IRR!E4*6)/12)</f>
        <v>0</v>
      </c>
      <c r="M29" s="131">
        <f>AVERAGE(L27:M27)*IRR!$E$4</f>
        <v>0</v>
      </c>
      <c r="N29" s="131">
        <f>AVERAGE(M27:N27)*IRR!$E$4</f>
        <v>0</v>
      </c>
      <c r="O29" s="131">
        <f>AVERAGE(N27:O27)*IRR!$E$4</f>
        <v>0</v>
      </c>
      <c r="P29" s="131">
        <f>AVERAGE(O27:P27)*IRR!$E$4</f>
        <v>0</v>
      </c>
      <c r="Q29" s="131">
        <f>AVERAGE(P27:Q27)*IRR!$E$4</f>
        <v>0</v>
      </c>
    </row>
    <row r="30" spans="1:18" x14ac:dyDescent="0.35">
      <c r="A30">
        <f>A27+1</f>
        <v>2026</v>
      </c>
      <c r="B30" t="s">
        <v>104</v>
      </c>
      <c r="C30" s="130"/>
      <c r="D30" s="131"/>
      <c r="E30" s="130"/>
      <c r="F30" s="131"/>
      <c r="L30" s="130"/>
      <c r="M30" s="131"/>
      <c r="N30" s="131">
        <f>M30-M31</f>
        <v>0</v>
      </c>
      <c r="O30" s="131">
        <f>N30-M31</f>
        <v>0</v>
      </c>
      <c r="P30" s="131">
        <f>O30-M31</f>
        <v>0</v>
      </c>
      <c r="Q30" s="131">
        <f>P30-M31</f>
        <v>0</v>
      </c>
      <c r="R30" s="131">
        <f>Q30-M31</f>
        <v>0</v>
      </c>
    </row>
    <row r="31" spans="1:18" x14ac:dyDescent="0.35">
      <c r="B31" t="s">
        <v>105</v>
      </c>
      <c r="C31" s="130"/>
      <c r="D31" s="131"/>
      <c r="E31" s="130"/>
      <c r="F31" s="131"/>
      <c r="L31" s="130"/>
      <c r="M31" s="131">
        <f>M30/B2</f>
        <v>0</v>
      </c>
      <c r="N31" s="131"/>
      <c r="O31" s="131"/>
      <c r="P31" s="131"/>
      <c r="Q31" s="131"/>
    </row>
    <row r="32" spans="1:18" x14ac:dyDescent="0.35">
      <c r="B32" t="s">
        <v>106</v>
      </c>
      <c r="C32" s="130"/>
      <c r="D32" s="131"/>
      <c r="E32" s="130"/>
      <c r="F32" s="131"/>
      <c r="L32" s="130"/>
      <c r="M32" s="130">
        <f>((M30*IRR!E4*6)/12)</f>
        <v>0</v>
      </c>
      <c r="N32" s="131">
        <f>AVERAGE(M30:N30)*IRR!$E$4</f>
        <v>0</v>
      </c>
      <c r="O32" s="131">
        <f>AVERAGE(N30:O30)*IRR!$E$4</f>
        <v>0</v>
      </c>
      <c r="P32" s="131">
        <f>AVERAGE(O30:P30)*IRR!$E$4</f>
        <v>0</v>
      </c>
      <c r="Q32" s="131">
        <f>AVERAGE(P30:Q30)*IRR!$E$4</f>
        <v>0</v>
      </c>
      <c r="R32" s="131">
        <f>AVERAGE(Q30:R30)*IRR!$E$4</f>
        <v>0</v>
      </c>
    </row>
    <row r="33" spans="1:18" x14ac:dyDescent="0.35">
      <c r="C33" s="130"/>
      <c r="D33" s="131"/>
      <c r="E33" s="131"/>
      <c r="F33" s="131"/>
      <c r="G33" s="131"/>
      <c r="H33" s="131"/>
      <c r="I33" s="131"/>
      <c r="J33" s="131"/>
      <c r="K33" s="131"/>
    </row>
    <row r="34" spans="1:18" x14ac:dyDescent="0.35">
      <c r="A34" s="126"/>
      <c r="B34" s="133" t="s">
        <v>107</v>
      </c>
      <c r="C34" s="134">
        <f t="shared" ref="C34:L34" si="5">C5+C8+C11+C14+C17+C20+C23+C26+C29+C32</f>
        <v>37347310.350000001</v>
      </c>
      <c r="D34" s="134">
        <f t="shared" si="5"/>
        <v>67225158.629999995</v>
      </c>
      <c r="E34" s="134">
        <f t="shared" si="5"/>
        <v>52286234.49000001</v>
      </c>
      <c r="F34" s="134">
        <f t="shared" si="5"/>
        <v>43285481.300000012</v>
      </c>
      <c r="G34" s="134">
        <f t="shared" si="5"/>
        <v>36941905.220000006</v>
      </c>
      <c r="H34" s="134">
        <f t="shared" si="5"/>
        <v>23024186.740000006</v>
      </c>
      <c r="I34" s="134">
        <f t="shared" si="5"/>
        <v>12825198.270000001</v>
      </c>
      <c r="J34" s="134">
        <f t="shared" si="5"/>
        <v>9525488.5700000003</v>
      </c>
      <c r="K34" s="134">
        <f t="shared" si="5"/>
        <v>5113179.07</v>
      </c>
      <c r="L34" s="134">
        <f t="shared" si="5"/>
        <v>1888503.7599999998</v>
      </c>
      <c r="M34" s="134">
        <f t="shared" ref="M34:Q34" si="6">M5+M8+M11+M14+M17+M20+M23+M26+M29+M32</f>
        <v>620424.9</v>
      </c>
      <c r="N34" s="134">
        <f t="shared" si="6"/>
        <v>185433.30000000002</v>
      </c>
      <c r="O34" s="134">
        <f t="shared" si="6"/>
        <v>0</v>
      </c>
      <c r="P34" s="134">
        <f t="shared" si="6"/>
        <v>0</v>
      </c>
      <c r="Q34" s="134">
        <f t="shared" si="6"/>
        <v>0</v>
      </c>
      <c r="R34" s="134">
        <f>R5+R8+R11+R14+R17+R20+R23+R26+R29+R32</f>
        <v>2016</v>
      </c>
    </row>
    <row r="35" spans="1:18" x14ac:dyDescent="0.35">
      <c r="B35" s="130"/>
      <c r="C35" s="131"/>
      <c r="D35" s="131"/>
      <c r="E35" s="131"/>
      <c r="F35" s="131"/>
      <c r="G35" s="131"/>
      <c r="H35" s="131"/>
      <c r="I35" s="131"/>
      <c r="J35" s="131"/>
      <c r="K35" s="131"/>
    </row>
    <row r="36" spans="1:18" x14ac:dyDescent="0.35">
      <c r="A36" s="135"/>
      <c r="B36" s="135"/>
      <c r="C36" s="135"/>
      <c r="D36" s="135"/>
      <c r="E36" s="135"/>
      <c r="F36" s="135"/>
      <c r="G36" s="135"/>
      <c r="H36" s="135"/>
      <c r="I36" s="135"/>
      <c r="J36" s="135"/>
      <c r="K36" s="135"/>
      <c r="L36" s="135"/>
      <c r="M36" s="135"/>
      <c r="N36" s="135"/>
      <c r="O36" s="135"/>
    </row>
    <row r="37" spans="1:18" x14ac:dyDescent="0.35">
      <c r="A37" s="125" t="s">
        <v>108</v>
      </c>
    </row>
    <row r="38" spans="1:18" x14ac:dyDescent="0.35">
      <c r="A38" t="s">
        <v>109</v>
      </c>
      <c r="B38" t="s">
        <v>110</v>
      </c>
      <c r="C38" s="136">
        <v>50000000</v>
      </c>
    </row>
    <row r="39" spans="1:18" x14ac:dyDescent="0.35">
      <c r="A39" t="s">
        <v>111</v>
      </c>
      <c r="B39" t="s">
        <v>110</v>
      </c>
      <c r="C39" s="136">
        <v>20000000</v>
      </c>
    </row>
    <row r="40" spans="1:18" x14ac:dyDescent="0.35">
      <c r="A40" t="s">
        <v>112</v>
      </c>
      <c r="B40" s="137" t="s">
        <v>113</v>
      </c>
      <c r="C40" s="136"/>
    </row>
    <row r="41" spans="1:18" x14ac:dyDescent="0.35">
      <c r="A41" t="s">
        <v>114</v>
      </c>
      <c r="B41" s="137" t="s">
        <v>113</v>
      </c>
      <c r="C41" s="136"/>
    </row>
    <row r="43" spans="1:18" x14ac:dyDescent="0.35">
      <c r="A43" s="138" t="s">
        <v>49</v>
      </c>
      <c r="B43" s="134">
        <f>C38</f>
        <v>50000000</v>
      </c>
      <c r="C43" s="139">
        <f>B43+C44</f>
        <v>51000000</v>
      </c>
      <c r="D43" s="139">
        <f>C43+D45</f>
        <v>52020000</v>
      </c>
      <c r="E43" s="139">
        <f t="shared" ref="E43:K43" si="7">D43+E45</f>
        <v>53060400</v>
      </c>
      <c r="F43" s="139">
        <f t="shared" si="7"/>
        <v>54121608</v>
      </c>
      <c r="G43" s="139">
        <f t="shared" si="7"/>
        <v>55204040.159999996</v>
      </c>
      <c r="H43" s="139">
        <f t="shared" si="7"/>
        <v>56308120.963199995</v>
      </c>
      <c r="I43" s="139">
        <f t="shared" si="7"/>
        <v>57434283.382463992</v>
      </c>
      <c r="J43" s="139">
        <f t="shared" si="7"/>
        <v>58582969.050113268</v>
      </c>
      <c r="K43" s="139">
        <f t="shared" si="7"/>
        <v>59754628.43111553</v>
      </c>
    </row>
    <row r="44" spans="1:18" x14ac:dyDescent="0.35">
      <c r="A44" s="140">
        <v>0.02</v>
      </c>
      <c r="B44" s="138"/>
      <c r="C44" s="139">
        <f>C45</f>
        <v>1000000</v>
      </c>
      <c r="D44" s="139">
        <f>C44+D45</f>
        <v>2020000</v>
      </c>
      <c r="E44" s="139">
        <f t="shared" ref="E44:K44" si="8">D44+E45</f>
        <v>3060400</v>
      </c>
      <c r="F44" s="139">
        <f t="shared" si="8"/>
        <v>4121608</v>
      </c>
      <c r="G44" s="139">
        <f t="shared" si="8"/>
        <v>5204040.16</v>
      </c>
      <c r="H44" s="139">
        <f t="shared" si="8"/>
        <v>6308120.9632000001</v>
      </c>
      <c r="I44" s="139">
        <f t="shared" si="8"/>
        <v>7434283.382464</v>
      </c>
      <c r="J44" s="139">
        <f t="shared" si="8"/>
        <v>8582969.0501132794</v>
      </c>
      <c r="K44" s="139">
        <f t="shared" si="8"/>
        <v>9754628.4311155453</v>
      </c>
    </row>
    <row r="45" spans="1:18" x14ac:dyDescent="0.35">
      <c r="A45" s="138"/>
      <c r="B45" s="138"/>
      <c r="C45" s="139">
        <f t="shared" ref="C45:K45" si="9">B43*$A$44</f>
        <v>1000000</v>
      </c>
      <c r="D45" s="139">
        <f t="shared" si="9"/>
        <v>1020000</v>
      </c>
      <c r="E45" s="139">
        <f t="shared" si="9"/>
        <v>1040400</v>
      </c>
      <c r="F45" s="139">
        <f t="shared" si="9"/>
        <v>1061208</v>
      </c>
      <c r="G45" s="139">
        <f t="shared" si="9"/>
        <v>1082432.1599999999</v>
      </c>
      <c r="H45" s="139">
        <f t="shared" si="9"/>
        <v>1104080.8032</v>
      </c>
      <c r="I45" s="139">
        <f t="shared" si="9"/>
        <v>1126162.4192639999</v>
      </c>
      <c r="J45" s="139">
        <f t="shared" si="9"/>
        <v>1148685.6676492798</v>
      </c>
      <c r="K45" s="139">
        <f t="shared" si="9"/>
        <v>1171659.3810022655</v>
      </c>
    </row>
    <row r="46" spans="1:18" x14ac:dyDescent="0.35">
      <c r="C46" s="131"/>
      <c r="D46" s="131"/>
      <c r="E46" s="131"/>
      <c r="F46" s="131"/>
      <c r="G46" s="131"/>
      <c r="H46" s="131"/>
      <c r="I46" s="131"/>
      <c r="J46" s="131"/>
      <c r="K46" s="131"/>
    </row>
    <row r="47" spans="1:18" x14ac:dyDescent="0.35">
      <c r="A47" s="135"/>
      <c r="B47" s="135"/>
      <c r="C47" s="141"/>
      <c r="D47" s="141"/>
      <c r="E47" s="141"/>
      <c r="F47" s="141"/>
      <c r="G47" s="141"/>
      <c r="H47" s="141"/>
      <c r="I47" s="141"/>
      <c r="J47" s="141"/>
      <c r="K47" s="141"/>
      <c r="L47" s="135"/>
      <c r="M47" s="135"/>
      <c r="N47" s="135"/>
      <c r="O47" s="135"/>
    </row>
    <row r="48" spans="1:18" x14ac:dyDescent="0.35">
      <c r="A48" s="125" t="s">
        <v>115</v>
      </c>
      <c r="C48" s="131"/>
      <c r="D48" s="131"/>
      <c r="E48" s="131"/>
      <c r="F48" s="131"/>
      <c r="G48" s="131"/>
      <c r="H48" s="131"/>
      <c r="I48" s="131"/>
      <c r="J48" s="131"/>
      <c r="K48" s="131"/>
    </row>
    <row r="49" spans="1:11" x14ac:dyDescent="0.35">
      <c r="A49" t="s">
        <v>116</v>
      </c>
      <c r="C49" s="131"/>
      <c r="D49" s="131"/>
      <c r="E49" s="131"/>
      <c r="F49" s="131"/>
      <c r="G49" s="131"/>
      <c r="H49" s="131"/>
      <c r="I49" s="131"/>
      <c r="J49" s="131"/>
      <c r="K49" s="131"/>
    </row>
    <row r="50" spans="1:11" x14ac:dyDescent="0.35">
      <c r="A50" t="s">
        <v>117</v>
      </c>
      <c r="C50" s="131"/>
      <c r="D50" s="131"/>
      <c r="E50" s="131"/>
      <c r="F50" s="131"/>
      <c r="G50" s="131"/>
      <c r="H50" s="131"/>
      <c r="I50" s="131"/>
      <c r="J50" s="131"/>
      <c r="K50" s="131"/>
    </row>
    <row r="51" spans="1:11" x14ac:dyDescent="0.35">
      <c r="A51" t="s">
        <v>118</v>
      </c>
      <c r="C51" s="131"/>
      <c r="D51" s="131"/>
      <c r="E51" s="131"/>
      <c r="F51" s="131"/>
      <c r="G51" s="131"/>
      <c r="H51" s="131"/>
      <c r="I51" s="131"/>
      <c r="J51" s="131"/>
      <c r="K51" s="131"/>
    </row>
    <row r="52" spans="1:11" x14ac:dyDescent="0.35">
      <c r="A52" t="s">
        <v>119</v>
      </c>
      <c r="C52" s="131"/>
      <c r="D52" s="131"/>
      <c r="E52" s="131"/>
      <c r="F52" s="131"/>
      <c r="G52" s="131"/>
      <c r="H52" s="131"/>
      <c r="I52" s="131"/>
      <c r="J52" s="131"/>
      <c r="K52" s="131"/>
    </row>
    <row r="53" spans="1:11" x14ac:dyDescent="0.35">
      <c r="A53" s="142" t="s">
        <v>120</v>
      </c>
      <c r="B53" s="143"/>
      <c r="C53" s="144"/>
      <c r="D53" s="131"/>
      <c r="E53" s="131"/>
      <c r="F53" s="131"/>
      <c r="G53" s="131"/>
      <c r="H53" s="131"/>
      <c r="I53" s="131"/>
      <c r="J53" s="131"/>
      <c r="K53" s="131"/>
    </row>
    <row r="54" spans="1:11" x14ac:dyDescent="0.35">
      <c r="C54" s="131"/>
      <c r="D54" s="131"/>
      <c r="E54" s="131"/>
      <c r="F54" s="131"/>
      <c r="G54" s="131"/>
      <c r="H54" s="131"/>
      <c r="I54" s="131"/>
      <c r="J54" s="131"/>
      <c r="K54" s="131"/>
    </row>
    <row r="55" spans="1:11" x14ac:dyDescent="0.35">
      <c r="A55" s="145" t="s">
        <v>121</v>
      </c>
      <c r="B55" s="128" t="s">
        <v>122</v>
      </c>
      <c r="D55" s="145" t="s">
        <v>123</v>
      </c>
      <c r="E55" s="128" t="s">
        <v>124</v>
      </c>
      <c r="G55" s="221" t="s">
        <v>119</v>
      </c>
      <c r="H55" s="222"/>
      <c r="J55" s="128" t="s">
        <v>125</v>
      </c>
      <c r="K55" s="128" t="s">
        <v>126</v>
      </c>
    </row>
    <row r="56" spans="1:11" x14ac:dyDescent="0.35">
      <c r="A56" t="s">
        <v>127</v>
      </c>
      <c r="B56" s="130">
        <v>16800000</v>
      </c>
      <c r="D56" t="s">
        <v>128</v>
      </c>
      <c r="E56" s="130">
        <v>7000000</v>
      </c>
      <c r="G56" t="s">
        <v>129</v>
      </c>
      <c r="H56" s="130">
        <v>10000000</v>
      </c>
      <c r="J56" t="s">
        <v>127</v>
      </c>
      <c r="K56" s="130">
        <v>4000000</v>
      </c>
    </row>
    <row r="57" spans="1:11" x14ac:dyDescent="0.35">
      <c r="A57" t="s">
        <v>130</v>
      </c>
      <c r="B57" s="130"/>
      <c r="G57" t="s">
        <v>131</v>
      </c>
      <c r="H57" s="130">
        <v>12000000</v>
      </c>
      <c r="J57" t="s">
        <v>130</v>
      </c>
      <c r="K57" s="130">
        <v>3000000</v>
      </c>
    </row>
    <row r="58" spans="1:11" x14ac:dyDescent="0.35">
      <c r="A58" t="s">
        <v>132</v>
      </c>
      <c r="B58" s="130">
        <v>15600000</v>
      </c>
      <c r="G58" t="s">
        <v>133</v>
      </c>
      <c r="H58" s="130">
        <v>14000000</v>
      </c>
      <c r="J58" t="s">
        <v>132</v>
      </c>
      <c r="K58" s="130">
        <v>2500000</v>
      </c>
    </row>
    <row r="59" spans="1:11" x14ac:dyDescent="0.35">
      <c r="A59" t="s">
        <v>134</v>
      </c>
      <c r="B59" s="130">
        <v>15000000</v>
      </c>
      <c r="G59" t="s">
        <v>135</v>
      </c>
      <c r="H59" s="130">
        <v>14000000</v>
      </c>
      <c r="J59" t="s">
        <v>134</v>
      </c>
      <c r="K59" s="130">
        <v>2000000</v>
      </c>
    </row>
    <row r="60" spans="1:11" x14ac:dyDescent="0.35">
      <c r="A60" t="s">
        <v>136</v>
      </c>
      <c r="B60" s="130">
        <v>15000000</v>
      </c>
      <c r="G60" t="s">
        <v>127</v>
      </c>
      <c r="H60" s="130">
        <v>17000000</v>
      </c>
      <c r="J60" t="s">
        <v>136</v>
      </c>
      <c r="K60" s="130">
        <v>1850000</v>
      </c>
    </row>
    <row r="61" spans="1:11" x14ac:dyDescent="0.35">
      <c r="A61" t="s">
        <v>137</v>
      </c>
      <c r="B61" s="130">
        <v>12000000</v>
      </c>
      <c r="G61" t="s">
        <v>138</v>
      </c>
      <c r="H61" s="130">
        <v>14000000</v>
      </c>
      <c r="J61" t="s">
        <v>137</v>
      </c>
      <c r="K61" s="130">
        <v>1200000</v>
      </c>
    </row>
    <row r="62" spans="1:11" x14ac:dyDescent="0.35">
      <c r="A62" t="s">
        <v>138</v>
      </c>
      <c r="B62" s="130">
        <v>16800000</v>
      </c>
      <c r="J62" t="s">
        <v>138</v>
      </c>
      <c r="K62" s="130">
        <v>2000000</v>
      </c>
    </row>
    <row r="63" spans="1:11" x14ac:dyDescent="0.35">
      <c r="A63" t="s">
        <v>139</v>
      </c>
      <c r="B63" s="130">
        <v>15720000</v>
      </c>
      <c r="J63" t="s">
        <v>139</v>
      </c>
      <c r="K63" s="130">
        <v>3500000</v>
      </c>
    </row>
    <row r="64" spans="1:11" x14ac:dyDescent="0.35">
      <c r="A64" t="s">
        <v>140</v>
      </c>
      <c r="J64" t="s">
        <v>140</v>
      </c>
      <c r="K64" s="130">
        <v>2800000</v>
      </c>
    </row>
    <row r="65" spans="1:15" x14ac:dyDescent="0.35">
      <c r="A65" t="s">
        <v>141</v>
      </c>
      <c r="B65">
        <v>0</v>
      </c>
    </row>
    <row r="67" spans="1:15" x14ac:dyDescent="0.35">
      <c r="C67" s="131"/>
      <c r="D67" s="131"/>
      <c r="E67" s="131"/>
      <c r="F67" s="131"/>
      <c r="G67" s="131"/>
      <c r="H67" s="131"/>
      <c r="I67" s="131"/>
      <c r="J67" s="131"/>
      <c r="K67" s="131"/>
    </row>
    <row r="68" spans="1:15" ht="14.4" customHeight="1" x14ac:dyDescent="0.35">
      <c r="A68" s="223" t="s">
        <v>118</v>
      </c>
      <c r="B68" s="225" t="s">
        <v>92</v>
      </c>
      <c r="C68" s="225" t="s">
        <v>142</v>
      </c>
      <c r="D68" s="226" t="s">
        <v>143</v>
      </c>
      <c r="E68" s="146" t="s">
        <v>144</v>
      </c>
      <c r="F68" s="146" t="s">
        <v>145</v>
      </c>
      <c r="G68" s="146" t="s">
        <v>146</v>
      </c>
      <c r="H68" s="147" t="s">
        <v>147</v>
      </c>
      <c r="I68" s="216" t="s">
        <v>148</v>
      </c>
      <c r="J68" s="216" t="s">
        <v>149</v>
      </c>
    </row>
    <row r="69" spans="1:15" x14ac:dyDescent="0.35">
      <c r="A69" s="224"/>
      <c r="B69" s="225"/>
      <c r="C69" s="225"/>
      <c r="D69" s="226"/>
      <c r="E69" s="148">
        <v>1</v>
      </c>
      <c r="F69" s="149">
        <v>1</v>
      </c>
      <c r="G69" s="149">
        <v>1</v>
      </c>
      <c r="H69" s="150">
        <f>Summary!H9</f>
        <v>83</v>
      </c>
      <c r="I69" s="217"/>
      <c r="J69" s="217"/>
    </row>
    <row r="70" spans="1:15" x14ac:dyDescent="0.35">
      <c r="A70" s="218" t="s">
        <v>150</v>
      </c>
      <c r="B70" s="138" t="s">
        <v>125</v>
      </c>
      <c r="C70" s="151">
        <f>K63</f>
        <v>3500000</v>
      </c>
      <c r="D70" s="138" t="s">
        <v>144</v>
      </c>
      <c r="E70" s="128">
        <f>E69</f>
        <v>1</v>
      </c>
      <c r="F70" s="128"/>
      <c r="G70" s="128"/>
      <c r="H70" s="152"/>
      <c r="I70" s="153">
        <f>E70*C70</f>
        <v>3500000</v>
      </c>
    </row>
    <row r="71" spans="1:15" x14ac:dyDescent="0.35">
      <c r="A71" s="219"/>
      <c r="B71" s="138" t="s">
        <v>151</v>
      </c>
      <c r="C71" s="154">
        <v>600000</v>
      </c>
      <c r="D71" s="138" t="s">
        <v>144</v>
      </c>
      <c r="E71" s="128">
        <f>E69</f>
        <v>1</v>
      </c>
      <c r="F71" s="128"/>
      <c r="G71" s="128"/>
      <c r="H71" s="152"/>
      <c r="I71" s="154">
        <f>C71*E71</f>
        <v>600000</v>
      </c>
    </row>
    <row r="72" spans="1:15" x14ac:dyDescent="0.35">
      <c r="A72" s="220"/>
      <c r="B72" s="138" t="s">
        <v>150</v>
      </c>
      <c r="C72" s="154">
        <v>200000</v>
      </c>
      <c r="D72" s="138" t="s">
        <v>152</v>
      </c>
      <c r="E72" s="128"/>
      <c r="F72" s="128">
        <f>F69</f>
        <v>1</v>
      </c>
      <c r="G72" s="128"/>
      <c r="H72" s="152"/>
      <c r="I72" s="154">
        <f>F72*C72</f>
        <v>200000</v>
      </c>
    </row>
    <row r="73" spans="1:15" x14ac:dyDescent="0.35">
      <c r="A73" s="138" t="s">
        <v>153</v>
      </c>
      <c r="B73" s="138" t="s">
        <v>153</v>
      </c>
      <c r="C73" s="154">
        <v>450000</v>
      </c>
      <c r="D73" s="138" t="s">
        <v>146</v>
      </c>
      <c r="E73" s="128">
        <f>E69</f>
        <v>1</v>
      </c>
      <c r="F73" s="128"/>
      <c r="G73" s="128">
        <f>G69</f>
        <v>1</v>
      </c>
      <c r="H73" s="152">
        <f>IF($H$69&lt;=120,2,IF($H$69&gt;220,4,3))</f>
        <v>2</v>
      </c>
      <c r="I73" s="154">
        <f>G73*C73*H73</f>
        <v>900000</v>
      </c>
    </row>
    <row r="74" spans="1:15" x14ac:dyDescent="0.35">
      <c r="A74" s="138" t="s">
        <v>154</v>
      </c>
      <c r="B74" s="138" t="s">
        <v>154</v>
      </c>
      <c r="C74" s="154">
        <v>120000</v>
      </c>
      <c r="D74" s="138" t="s">
        <v>144</v>
      </c>
      <c r="E74" s="128">
        <f>E69</f>
        <v>1</v>
      </c>
      <c r="F74" s="128"/>
      <c r="G74" s="128"/>
      <c r="H74" s="152">
        <f>IF($H$69&lt;=120,2,IF($H$69&gt;220,4,3))</f>
        <v>2</v>
      </c>
      <c r="I74" s="154">
        <f>H74*C74*E74</f>
        <v>240000</v>
      </c>
    </row>
    <row r="75" spans="1:15" x14ac:dyDescent="0.35">
      <c r="I75" s="155">
        <f>SUM(I70:I74)</f>
        <v>5440000</v>
      </c>
      <c r="J75" s="156">
        <f>I75*2</f>
        <v>10880000</v>
      </c>
      <c r="K75" t="s">
        <v>155</v>
      </c>
    </row>
    <row r="76" spans="1:15" x14ac:dyDescent="0.35">
      <c r="J76" s="155">
        <f>I75*4</f>
        <v>21760000</v>
      </c>
      <c r="K76" t="s">
        <v>156</v>
      </c>
      <c r="L76" s="166">
        <f>J76+B63+E56</f>
        <v>44480000</v>
      </c>
    </row>
    <row r="77" spans="1:15" x14ac:dyDescent="0.35">
      <c r="K77" s="131"/>
      <c r="L77" s="166">
        <f>I75+B63+E56*1</f>
        <v>28160000</v>
      </c>
    </row>
    <row r="79" spans="1:15" x14ac:dyDescent="0.35">
      <c r="A79" s="135"/>
      <c r="B79" s="135"/>
      <c r="C79" s="141"/>
      <c r="D79" s="141"/>
      <c r="E79" s="141"/>
      <c r="F79" s="141"/>
      <c r="G79" s="141"/>
      <c r="H79" s="141"/>
      <c r="I79" s="141"/>
      <c r="J79" s="141"/>
      <c r="K79" s="141"/>
      <c r="L79" s="135"/>
      <c r="M79" s="135"/>
      <c r="N79" s="135"/>
      <c r="O79" s="135"/>
    </row>
    <row r="80" spans="1:15" x14ac:dyDescent="0.35">
      <c r="A80" s="125" t="s">
        <v>157</v>
      </c>
    </row>
    <row r="82" spans="1:15" x14ac:dyDescent="0.35">
      <c r="A82" s="138" t="s">
        <v>157</v>
      </c>
      <c r="B82" s="131"/>
    </row>
    <row r="83" spans="1:15" x14ac:dyDescent="0.35">
      <c r="A83" t="s">
        <v>158</v>
      </c>
    </row>
    <row r="84" spans="1:15" x14ac:dyDescent="0.35">
      <c r="A84" t="s">
        <v>159</v>
      </c>
      <c r="B84" s="130">
        <v>36000000</v>
      </c>
    </row>
    <row r="85" spans="1:15" x14ac:dyDescent="0.35">
      <c r="A85" t="s">
        <v>160</v>
      </c>
      <c r="B85" s="130">
        <v>42000000</v>
      </c>
    </row>
    <row r="86" spans="1:15" x14ac:dyDescent="0.35">
      <c r="A86" t="s">
        <v>161</v>
      </c>
      <c r="B86" s="130">
        <v>48000000</v>
      </c>
    </row>
    <row r="88" spans="1:15" x14ac:dyDescent="0.35">
      <c r="A88" t="s">
        <v>162</v>
      </c>
    </row>
    <row r="89" spans="1:15" x14ac:dyDescent="0.35">
      <c r="A89" t="s">
        <v>163</v>
      </c>
      <c r="B89" s="130">
        <v>75000000</v>
      </c>
    </row>
    <row r="90" spans="1:15" x14ac:dyDescent="0.35">
      <c r="A90" t="s">
        <v>161</v>
      </c>
      <c r="B90" s="130">
        <v>95000000</v>
      </c>
    </row>
    <row r="92" spans="1:15" x14ac:dyDescent="0.35">
      <c r="A92" s="135"/>
      <c r="B92" s="135"/>
      <c r="C92" s="141"/>
      <c r="D92" s="141"/>
      <c r="E92" s="141"/>
      <c r="F92" s="141"/>
      <c r="G92" s="141"/>
      <c r="H92" s="141"/>
      <c r="I92" s="141"/>
      <c r="J92" s="141"/>
      <c r="K92" s="141"/>
      <c r="L92" s="135"/>
      <c r="M92" s="135"/>
      <c r="N92" s="135"/>
      <c r="O92" s="135"/>
    </row>
    <row r="93" spans="1:15" x14ac:dyDescent="0.35">
      <c r="A93" s="125" t="s">
        <v>164</v>
      </c>
    </row>
    <row r="95" spans="1:15" x14ac:dyDescent="0.35">
      <c r="A95" t="s">
        <v>165</v>
      </c>
      <c r="C95" s="157">
        <v>150000000</v>
      </c>
    </row>
    <row r="96" spans="1:15" x14ac:dyDescent="0.35">
      <c r="A96" t="s">
        <v>166</v>
      </c>
      <c r="C96" s="157">
        <v>200000000</v>
      </c>
    </row>
    <row r="97" spans="1:15" x14ac:dyDescent="0.35">
      <c r="A97" t="s">
        <v>167</v>
      </c>
      <c r="C97" s="157">
        <v>85000000</v>
      </c>
    </row>
    <row r="98" spans="1:15" x14ac:dyDescent="0.35">
      <c r="A98" t="s">
        <v>168</v>
      </c>
      <c r="C98" s="157">
        <v>150000000</v>
      </c>
    </row>
    <row r="99" spans="1:15" x14ac:dyDescent="0.35">
      <c r="A99" t="s">
        <v>169</v>
      </c>
      <c r="C99" s="157">
        <v>50000000</v>
      </c>
    </row>
    <row r="101" spans="1:15" x14ac:dyDescent="0.35">
      <c r="A101" s="135"/>
      <c r="B101" s="135"/>
      <c r="C101" s="141"/>
      <c r="D101" s="141"/>
      <c r="E101" s="141"/>
      <c r="F101" s="141"/>
      <c r="G101" s="141"/>
      <c r="H101" s="141"/>
      <c r="I101" s="141"/>
      <c r="J101" s="141"/>
      <c r="K101" s="141"/>
      <c r="L101" s="135"/>
      <c r="M101" s="135"/>
      <c r="N101" s="135"/>
      <c r="O101" s="135"/>
    </row>
  </sheetData>
  <mergeCells count="8">
    <mergeCell ref="J68:J69"/>
    <mergeCell ref="A70:A72"/>
    <mergeCell ref="G55:H55"/>
    <mergeCell ref="A68:A69"/>
    <mergeCell ref="B68:B69"/>
    <mergeCell ref="C68:C69"/>
    <mergeCell ref="D68:D69"/>
    <mergeCell ref="I68:I69"/>
  </mergeCells>
  <conditionalFormatting sqref="B35:K35 C33:K33 C5:K8 C9:J11 P5:Q5 S5 C34:R34">
    <cfRule type="cellIs" dxfId="13" priority="14" operator="lessThan">
      <formula>0</formula>
    </cfRule>
  </conditionalFormatting>
  <conditionalFormatting sqref="T5">
    <cfRule type="cellIs" dxfId="12" priority="13" operator="lessThan">
      <formula>0</formula>
    </cfRule>
  </conditionalFormatting>
  <conditionalFormatting sqref="C12:E14">
    <cfRule type="cellIs" dxfId="11" priority="12" operator="lessThan">
      <formula>0</formula>
    </cfRule>
  </conditionalFormatting>
  <conditionalFormatting sqref="F12:K14">
    <cfRule type="cellIs" dxfId="10" priority="11" operator="lessThan">
      <formula>0</formula>
    </cfRule>
  </conditionalFormatting>
  <conditionalFormatting sqref="C15:F17">
    <cfRule type="cellIs" dxfId="9" priority="10" operator="lessThan">
      <formula>0</formula>
    </cfRule>
  </conditionalFormatting>
  <conditionalFormatting sqref="G15:L17">
    <cfRule type="cellIs" dxfId="8" priority="9" operator="lessThan">
      <formula>0</formula>
    </cfRule>
  </conditionalFormatting>
  <conditionalFormatting sqref="C18:F20">
    <cfRule type="cellIs" dxfId="7" priority="8" operator="lessThan">
      <formula>0</formula>
    </cfRule>
  </conditionalFormatting>
  <conditionalFormatting sqref="H18:M20">
    <cfRule type="cellIs" dxfId="6" priority="7" operator="lessThan">
      <formula>0</formula>
    </cfRule>
  </conditionalFormatting>
  <conditionalFormatting sqref="C21:F23">
    <cfRule type="cellIs" dxfId="5" priority="6" operator="lessThan">
      <formula>0</formula>
    </cfRule>
  </conditionalFormatting>
  <conditionalFormatting sqref="I21:N23">
    <cfRule type="cellIs" dxfId="4" priority="5" operator="lessThan">
      <formula>0</formula>
    </cfRule>
  </conditionalFormatting>
  <conditionalFormatting sqref="C24:F26">
    <cfRule type="cellIs" dxfId="3" priority="4" operator="lessThan">
      <formula>0</formula>
    </cfRule>
  </conditionalFormatting>
  <conditionalFormatting sqref="J24:O26">
    <cfRule type="cellIs" dxfId="2" priority="3" operator="lessThan">
      <formula>0</formula>
    </cfRule>
  </conditionalFormatting>
  <conditionalFormatting sqref="C27:F32">
    <cfRule type="cellIs" dxfId="1" priority="2" operator="lessThan">
      <formula>0</formula>
    </cfRule>
  </conditionalFormatting>
  <conditionalFormatting sqref="L27:Q31 L32:R32 R30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EB683-62C6-47DA-B18B-CBD137945955}">
  <dimension ref="A4:D22"/>
  <sheetViews>
    <sheetView zoomScaleNormal="100" zoomScaleSheetLayoutView="100" workbookViewId="0">
      <selection activeCell="C5" sqref="C5"/>
    </sheetView>
  </sheetViews>
  <sheetFormatPr defaultRowHeight="14.5" x14ac:dyDescent="0.35"/>
  <cols>
    <col min="1" max="1" width="3.36328125" customWidth="1"/>
    <col min="2" max="2" width="23.6328125" customWidth="1"/>
    <col min="3" max="3" width="76.81640625" customWidth="1"/>
    <col min="4" max="4" width="70.1796875" customWidth="1"/>
  </cols>
  <sheetData>
    <row r="4" spans="1:4" ht="21" x14ac:dyDescent="0.5">
      <c r="A4" s="169"/>
      <c r="B4" s="169"/>
      <c r="C4" s="124" t="s">
        <v>90</v>
      </c>
      <c r="D4" s="169"/>
    </row>
    <row r="5" spans="1:4" ht="14.5" customHeight="1" x14ac:dyDescent="0.35">
      <c r="A5" s="185" t="s">
        <v>183</v>
      </c>
      <c r="B5" s="185"/>
      <c r="C5" s="186" t="s">
        <v>190</v>
      </c>
      <c r="D5" s="187"/>
    </row>
    <row r="6" spans="1:4" x14ac:dyDescent="0.35">
      <c r="A6" s="185" t="s">
        <v>184</v>
      </c>
      <c r="B6" s="185"/>
      <c r="C6" s="186" t="s">
        <v>191</v>
      </c>
      <c r="D6" s="187"/>
    </row>
    <row r="7" spans="1:4" x14ac:dyDescent="0.35">
      <c r="A7" s="185" t="s">
        <v>185</v>
      </c>
      <c r="B7" s="185"/>
      <c r="C7" s="186" t="s">
        <v>192</v>
      </c>
      <c r="D7" s="187"/>
    </row>
    <row r="8" spans="1:4" x14ac:dyDescent="0.35">
      <c r="A8" s="185" t="s">
        <v>186</v>
      </c>
      <c r="B8" s="185"/>
      <c r="C8" s="186" t="s">
        <v>193</v>
      </c>
      <c r="D8" s="187"/>
    </row>
    <row r="9" spans="1:4" ht="15" x14ac:dyDescent="0.35">
      <c r="A9" s="185" t="s">
        <v>187</v>
      </c>
      <c r="B9" s="185"/>
      <c r="C9" s="186" t="s">
        <v>194</v>
      </c>
      <c r="D9" s="187"/>
    </row>
    <row r="10" spans="1:4" x14ac:dyDescent="0.35">
      <c r="A10" s="169"/>
      <c r="B10" s="169"/>
      <c r="C10" s="169"/>
      <c r="D10" s="169"/>
    </row>
    <row r="11" spans="1:4" x14ac:dyDescent="0.35">
      <c r="A11" s="228" t="s">
        <v>91</v>
      </c>
      <c r="B11" s="229" t="s">
        <v>92</v>
      </c>
      <c r="C11" s="229" t="s">
        <v>93</v>
      </c>
      <c r="D11" s="229" t="s">
        <v>23</v>
      </c>
    </row>
    <row r="12" spans="1:4" x14ac:dyDescent="0.35">
      <c r="A12" s="228"/>
      <c r="B12" s="229"/>
      <c r="C12" s="229"/>
      <c r="D12" s="229"/>
    </row>
    <row r="13" spans="1:4" x14ac:dyDescent="0.35">
      <c r="A13" s="170" t="s">
        <v>94</v>
      </c>
      <c r="B13" s="188" t="s">
        <v>95</v>
      </c>
      <c r="C13" s="188" t="s">
        <v>9</v>
      </c>
      <c r="D13" s="188" t="s">
        <v>9</v>
      </c>
    </row>
    <row r="14" spans="1:4" x14ac:dyDescent="0.35">
      <c r="A14" s="170" t="s">
        <v>96</v>
      </c>
      <c r="B14" s="188" t="s">
        <v>97</v>
      </c>
      <c r="C14" s="188" t="str">
        <f>C9</f>
        <v xml:space="preserve"> 85 Omni,lahan +  45m2, max 10 Unit Pole (max 6 meter, min 3 meter), terpasang 5 Pole</v>
      </c>
      <c r="D14" s="188" t="str">
        <f>C9</f>
        <v xml:space="preserve"> 85 Omni,lahan +  45m2, max 10 Unit Pole (max 6 meter, min 3 meter), terpasang 5 Pole</v>
      </c>
    </row>
    <row r="15" spans="1:4" x14ac:dyDescent="0.35">
      <c r="A15" s="170" t="s">
        <v>98</v>
      </c>
      <c r="B15" s="188" t="s">
        <v>99</v>
      </c>
      <c r="C15" s="188" t="s">
        <v>195</v>
      </c>
      <c r="D15" s="188" t="s">
        <v>196</v>
      </c>
    </row>
    <row r="16" spans="1:4" x14ac:dyDescent="0.35">
      <c r="A16" s="230">
        <v>4</v>
      </c>
      <c r="B16" s="188" t="s">
        <v>181</v>
      </c>
      <c r="C16" s="189">
        <v>365500000</v>
      </c>
      <c r="D16" s="189">
        <v>402050000</v>
      </c>
    </row>
    <row r="17" spans="1:4" x14ac:dyDescent="0.35">
      <c r="A17" s="230"/>
      <c r="B17" s="188" t="s">
        <v>182</v>
      </c>
      <c r="C17" s="190">
        <f>C16/5</f>
        <v>73100000</v>
      </c>
      <c r="D17" s="190">
        <f>D16/5</f>
        <v>80410000</v>
      </c>
    </row>
    <row r="18" spans="1:4" x14ac:dyDescent="0.35">
      <c r="A18" s="170">
        <v>5</v>
      </c>
      <c r="B18" s="191" t="s">
        <v>100</v>
      </c>
      <c r="C18" s="188" t="s">
        <v>197</v>
      </c>
      <c r="D18" s="188" t="s">
        <v>198</v>
      </c>
    </row>
    <row r="19" spans="1:4" x14ac:dyDescent="0.35">
      <c r="A19" s="170"/>
      <c r="B19" s="188"/>
      <c r="C19" s="188" t="s">
        <v>199</v>
      </c>
      <c r="D19" s="188" t="s">
        <v>200</v>
      </c>
    </row>
    <row r="20" spans="1:4" x14ac:dyDescent="0.35">
      <c r="A20" s="170"/>
      <c r="B20" s="188"/>
      <c r="C20" s="188" t="s">
        <v>201</v>
      </c>
      <c r="D20" s="188" t="s">
        <v>202</v>
      </c>
    </row>
    <row r="21" spans="1:4" x14ac:dyDescent="0.35">
      <c r="A21" s="170"/>
      <c r="B21" s="188"/>
      <c r="C21" s="188"/>
      <c r="D21" s="188"/>
    </row>
    <row r="22" spans="1:4" x14ac:dyDescent="0.35">
      <c r="A22" s="171" t="s">
        <v>188</v>
      </c>
      <c r="B22" s="188" t="s">
        <v>101</v>
      </c>
      <c r="C22" s="227" t="s">
        <v>203</v>
      </c>
      <c r="D22" s="227"/>
    </row>
  </sheetData>
  <mergeCells count="6">
    <mergeCell ref="C22:D22"/>
    <mergeCell ref="A11:A12"/>
    <mergeCell ref="B11:B12"/>
    <mergeCell ref="C11:C12"/>
    <mergeCell ref="D11:D12"/>
    <mergeCell ref="A16:A17"/>
  </mergeCells>
  <pageMargins left="0.34" right="0.70866141732283472" top="0.74803149606299213" bottom="0.74803149606299213" header="0.31496062992125984" footer="0.31496062992125984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Summary</vt:lpstr>
      <vt:lpstr>IRR</vt:lpstr>
      <vt:lpstr>Parameter</vt:lpstr>
      <vt:lpstr>Summary review QBIG</vt:lpstr>
      <vt:lpstr>IRR!Print_Area</vt:lpstr>
      <vt:lpstr>Summary!Print_Area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2024-09-11T01:41:42Z</cp:lastPrinted>
  <dcterms:created xsi:type="dcterms:W3CDTF">2024-01-30T02:49:52Z</dcterms:created>
  <dcterms:modified xsi:type="dcterms:W3CDTF">2025-02-11T08:14:34Z</dcterms:modified>
</cp:coreProperties>
</file>