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Z:\2020 strategic planning\PnL\OPENET\Plaza Indonesia\"/>
    </mc:Choice>
  </mc:AlternateContent>
  <xr:revisionPtr revIDLastSave="0" documentId="13_ncr:1_{526A7EBD-8F07-4E0A-8370-94DFBEC37258}" xr6:coauthVersionLast="47" xr6:coauthVersionMax="47" xr10:uidLastSave="{00000000-0000-0000-0000-000000000000}"/>
  <bookViews>
    <workbookView xWindow="-110" yWindow="-110" windowWidth="19420" windowHeight="10420" activeTab="1" xr2:uid="{00000000-000D-0000-FFFF-FFFF00000000}"/>
  </bookViews>
  <sheets>
    <sheet name="Summary" sheetId="6" r:id="rId1"/>
    <sheet name="IRR" sheetId="1" r:id="rId2"/>
    <sheet name="PARAMETER" sheetId="2" r:id="rId3"/>
    <sheet name="Revenue" sheetId="13" r:id="rId4"/>
    <sheet name="SummaryBR" sheetId="12" r:id="rId5"/>
  </sheets>
  <externalReferences>
    <externalReference r:id="rId6"/>
    <externalReference r:id="rId7"/>
    <externalReference r:id="rId8"/>
  </externalReferences>
  <definedNames>
    <definedName name="jk" localSheetId="4">#REF!</definedName>
    <definedName name="jk">#REF!</definedName>
    <definedName name="_xlnm.Print_Area" localSheetId="1">IRR!$A$2:$K$47</definedName>
    <definedName name="_xlnm.Print_Area" localSheetId="0">Summary!$A$2:$N$27</definedName>
    <definedName name="_xlnm.Print_Area" localSheetId="4">SummaryBR!$A$1:$D$20</definedName>
    <definedName name="years_contract">[1]Kerlink!$D$5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17" i="1" l="1"/>
  <c r="K23" i="1"/>
  <c r="K21" i="1"/>
  <c r="K29" i="1"/>
  <c r="I37" i="1"/>
  <c r="I38" i="1" s="1"/>
  <c r="I31" i="1"/>
  <c r="I30" i="1"/>
  <c r="I32" i="1" s="1"/>
  <c r="I29" i="1"/>
  <c r="I25" i="1"/>
  <c r="I24" i="1"/>
  <c r="I23" i="1"/>
  <c r="I21" i="1"/>
  <c r="I26" i="1" s="1"/>
  <c r="I27" i="1" s="1"/>
  <c r="I28" i="1" s="1"/>
  <c r="I17" i="1"/>
  <c r="I18" i="1" s="1"/>
  <c r="I12" i="1"/>
  <c r="J12" i="1" s="1"/>
  <c r="G21" i="1"/>
  <c r="H21" i="1" s="1"/>
  <c r="J21" i="1" s="1"/>
  <c r="G17" i="1"/>
  <c r="H17" i="1" s="1"/>
  <c r="J17" i="1" s="1"/>
  <c r="U25" i="13"/>
  <c r="U24" i="13"/>
  <c r="V16" i="13"/>
  <c r="V17" i="13"/>
  <c r="U8" i="13"/>
  <c r="U7" i="13"/>
  <c r="U17" i="13" a="1"/>
  <c r="U17" i="13" s="1"/>
  <c r="U16" i="13" a="1"/>
  <c r="U16" i="13" s="1"/>
  <c r="D6" i="6"/>
  <c r="K26" i="1" l="1"/>
  <c r="I33" i="1"/>
  <c r="I34" i="1" s="1"/>
  <c r="U26" i="13"/>
  <c r="U18" i="13"/>
  <c r="T17" i="13"/>
  <c r="T25" i="13" s="1"/>
  <c r="S17" i="13"/>
  <c r="S25" i="13" s="1"/>
  <c r="R17" i="13"/>
  <c r="R25" i="13" s="1"/>
  <c r="Q17" i="13"/>
  <c r="Q25" i="13" s="1"/>
  <c r="P17" i="13"/>
  <c r="P25" i="13" s="1"/>
  <c r="O17" i="13"/>
  <c r="O25" i="13" s="1"/>
  <c r="N17" i="13"/>
  <c r="N25" i="13" s="1"/>
  <c r="M17" i="13"/>
  <c r="M25" i="13" s="1"/>
  <c r="L17" i="13"/>
  <c r="L25" i="13" s="1"/>
  <c r="K17" i="13"/>
  <c r="K25" i="13" s="1"/>
  <c r="J17" i="13"/>
  <c r="J25" i="13" s="1"/>
  <c r="I17" i="13"/>
  <c r="I25" i="13" s="1"/>
  <c r="H17" i="13"/>
  <c r="H25" i="13" s="1"/>
  <c r="G17" i="13"/>
  <c r="G25" i="13" s="1"/>
  <c r="F17" i="13"/>
  <c r="F25" i="13" s="1"/>
  <c r="E17" i="13"/>
  <c r="E25" i="13" s="1"/>
  <c r="D17" i="13"/>
  <c r="D25" i="13" s="1"/>
  <c r="C17" i="13"/>
  <c r="C25" i="13" s="1"/>
  <c r="B17" i="13"/>
  <c r="B25" i="13" s="1"/>
  <c r="T16" i="13"/>
  <c r="T24" i="13" s="1"/>
  <c r="S16" i="13"/>
  <c r="R16" i="13"/>
  <c r="Q16" i="13"/>
  <c r="P16" i="13"/>
  <c r="O16" i="13"/>
  <c r="O18" i="13" s="1"/>
  <c r="N16" i="13"/>
  <c r="N24" i="13" s="1"/>
  <c r="M16" i="13"/>
  <c r="M24" i="13" s="1"/>
  <c r="L16" i="13"/>
  <c r="L24" i="13" s="1"/>
  <c r="K16" i="13"/>
  <c r="K24" i="13" s="1"/>
  <c r="J16" i="13"/>
  <c r="J24" i="13" s="1"/>
  <c r="I16" i="13"/>
  <c r="I24" i="13" s="1"/>
  <c r="H16" i="13"/>
  <c r="G16" i="13"/>
  <c r="G18" i="13" s="1"/>
  <c r="F16" i="13"/>
  <c r="F24" i="13" s="1"/>
  <c r="E16" i="13"/>
  <c r="E24" i="13" s="1"/>
  <c r="D16" i="13"/>
  <c r="D24" i="13" s="1"/>
  <c r="C16" i="13"/>
  <c r="C24" i="13" s="1"/>
  <c r="B16" i="13"/>
  <c r="B24" i="13" s="1"/>
  <c r="U9" i="13"/>
  <c r="T9" i="13"/>
  <c r="S9" i="13"/>
  <c r="R9" i="13"/>
  <c r="Q9" i="13"/>
  <c r="P9" i="13"/>
  <c r="O9" i="13"/>
  <c r="N9" i="13"/>
  <c r="M9" i="13"/>
  <c r="L9" i="13"/>
  <c r="K9" i="13"/>
  <c r="J9" i="13"/>
  <c r="I9" i="13"/>
  <c r="H9" i="13"/>
  <c r="G9" i="13"/>
  <c r="F9" i="13"/>
  <c r="E9" i="13"/>
  <c r="D9" i="13"/>
  <c r="C9" i="13"/>
  <c r="B9" i="13"/>
  <c r="V8" i="13"/>
  <c r="V7" i="13"/>
  <c r="H18" i="13" l="1"/>
  <c r="P18" i="13"/>
  <c r="I18" i="13"/>
  <c r="Q18" i="13"/>
  <c r="F26" i="13"/>
  <c r="F28" i="13" s="1"/>
  <c r="E26" i="13"/>
  <c r="E28" i="13" s="1"/>
  <c r="U28" i="13"/>
  <c r="V9" i="13"/>
  <c r="N26" i="13"/>
  <c r="N28" i="13" s="1"/>
  <c r="O24" i="13"/>
  <c r="O26" i="13" s="1"/>
  <c r="O28" i="13" s="1"/>
  <c r="P24" i="13"/>
  <c r="B18" i="13"/>
  <c r="B30" i="13"/>
  <c r="J18" i="13"/>
  <c r="R18" i="13"/>
  <c r="C26" i="13"/>
  <c r="C28" i="13" s="1"/>
  <c r="Q24" i="13"/>
  <c r="C18" i="13"/>
  <c r="K18" i="13"/>
  <c r="S18" i="13"/>
  <c r="G24" i="13"/>
  <c r="G26" i="13" s="1"/>
  <c r="G28" i="13" s="1"/>
  <c r="R24" i="13"/>
  <c r="R26" i="13" s="1"/>
  <c r="R28" i="13" s="1"/>
  <c r="R29" i="13" s="1"/>
  <c r="M26" i="13"/>
  <c r="M28" i="13" s="1"/>
  <c r="J26" i="13"/>
  <c r="J28" i="13" s="1"/>
  <c r="K26" i="13"/>
  <c r="K28" i="13" s="1"/>
  <c r="D26" i="13"/>
  <c r="D28" i="13" s="1"/>
  <c r="L26" i="13"/>
  <c r="L28" i="13" s="1"/>
  <c r="T26" i="13"/>
  <c r="T28" i="13" s="1"/>
  <c r="H24" i="13"/>
  <c r="H26" i="13" s="1"/>
  <c r="H28" i="13" s="1"/>
  <c r="S24" i="13"/>
  <c r="S26" i="13" s="1"/>
  <c r="S28" i="13" s="1"/>
  <c r="V25" i="13"/>
  <c r="I26" i="13"/>
  <c r="I28" i="13" s="1"/>
  <c r="N29" i="13"/>
  <c r="P26" i="13"/>
  <c r="P28" i="13" s="1"/>
  <c r="Q26" i="13"/>
  <c r="Q28" i="13" s="1"/>
  <c r="D18" i="13"/>
  <c r="L18" i="13"/>
  <c r="T18" i="13"/>
  <c r="E18" i="13"/>
  <c r="M18" i="13"/>
  <c r="F18" i="13"/>
  <c r="N18" i="13"/>
  <c r="B26" i="13"/>
  <c r="V18" i="13" l="1"/>
  <c r="V24" i="13"/>
  <c r="V26" i="13"/>
  <c r="V28" i="13" s="1"/>
  <c r="B28" i="13"/>
  <c r="M14" i="6" l="1"/>
  <c r="K22" i="1"/>
  <c r="G36" i="1" l="1"/>
  <c r="H12" i="1"/>
  <c r="I6" i="2"/>
  <c r="J6" i="2"/>
  <c r="H18" i="1" l="1"/>
  <c r="J18" i="1"/>
  <c r="J24" i="1" s="1"/>
  <c r="H24" i="1" l="1"/>
  <c r="H23" i="1"/>
  <c r="J25" i="1"/>
  <c r="H25" i="1"/>
  <c r="J23" i="1"/>
  <c r="J26" i="1" s="1"/>
  <c r="J27" i="1" s="1"/>
  <c r="J28" i="1" s="1"/>
  <c r="G18" i="1"/>
  <c r="I14" i="2"/>
  <c r="F13" i="2"/>
  <c r="H26" i="1" l="1"/>
  <c r="H27" i="1" s="1"/>
  <c r="H28" i="1" s="1"/>
  <c r="G23" i="1"/>
  <c r="G24" i="1"/>
  <c r="G25" i="1"/>
  <c r="K24" i="1"/>
  <c r="K18" i="1"/>
  <c r="M11" i="6"/>
  <c r="G46" i="1"/>
  <c r="H46" i="1" s="1"/>
  <c r="H47" i="1" l="1"/>
  <c r="J46" i="1"/>
  <c r="G47" i="1"/>
  <c r="K25" i="1"/>
  <c r="M12" i="6" s="1"/>
  <c r="J47" i="1" l="1"/>
  <c r="J29" i="1" s="1"/>
  <c r="J30" i="1" s="1"/>
  <c r="H29" i="1"/>
  <c r="H30" i="1" s="1"/>
  <c r="G26" i="1"/>
  <c r="M10" i="6"/>
  <c r="I17" i="2"/>
  <c r="F17" i="2"/>
  <c r="I16" i="2"/>
  <c r="H16" i="2"/>
  <c r="F16" i="2"/>
  <c r="G15" i="2"/>
  <c r="J15" i="2" s="1"/>
  <c r="F14" i="2"/>
  <c r="J14" i="2" s="1"/>
  <c r="D13" i="2"/>
  <c r="J13" i="2" s="1"/>
  <c r="J16" i="2" l="1"/>
  <c r="J17" i="2"/>
  <c r="J18" i="2" l="1"/>
  <c r="K18" i="2" s="1"/>
  <c r="K47" i="1"/>
  <c r="M8" i="6"/>
  <c r="B5" i="2" l="1"/>
  <c r="C3" i="2" s="1"/>
  <c r="B6" i="2"/>
  <c r="C6" i="2" l="1"/>
  <c r="D3" i="2"/>
  <c r="D6" i="2" l="1"/>
  <c r="E3" i="2"/>
  <c r="E6" i="2" l="1"/>
  <c r="F3" i="2"/>
  <c r="F6" i="2" l="1"/>
  <c r="G31" i="1" s="1"/>
  <c r="G3" i="2"/>
  <c r="G6" i="2" l="1"/>
  <c r="H31" i="1" s="1"/>
  <c r="H32" i="1" s="1"/>
  <c r="H33" i="1" s="1"/>
  <c r="H34" i="1" s="1"/>
  <c r="H37" i="1" s="1"/>
  <c r="H6" i="2"/>
  <c r="J31" i="1" s="1"/>
  <c r="J32" i="1" s="1"/>
  <c r="J33" i="1" s="1"/>
  <c r="J34" i="1" s="1"/>
  <c r="J37" i="1" s="1"/>
  <c r="K6" i="2"/>
  <c r="G29" i="1" l="1"/>
  <c r="M13" i="6" l="1"/>
  <c r="F37" i="1" l="1"/>
  <c r="F38" i="1" l="1"/>
  <c r="G27" i="1" l="1"/>
  <c r="G28" i="1" s="1"/>
  <c r="K27" i="1" l="1"/>
  <c r="K28" i="1" s="1"/>
  <c r="G30" i="1"/>
  <c r="G45" i="1"/>
  <c r="G32" i="1" l="1"/>
  <c r="G33" i="1" s="1"/>
  <c r="K30" i="1"/>
  <c r="K32" i="1" l="1"/>
  <c r="F42" i="1"/>
  <c r="M16" i="6" s="1"/>
  <c r="G34" i="1"/>
  <c r="G37" i="1" s="1"/>
  <c r="G38" i="1" s="1"/>
  <c r="K33" i="1"/>
  <c r="K34" i="1" s="1"/>
  <c r="H38" i="1" l="1"/>
  <c r="H39" i="1" s="1"/>
  <c r="G39" i="1"/>
  <c r="F43" i="1" s="1"/>
  <c r="K37" i="1"/>
  <c r="F41" i="1"/>
  <c r="K31" i="1"/>
  <c r="J38" i="1" l="1"/>
  <c r="J39" i="1" s="1"/>
  <c r="M15" i="6"/>
  <c r="M17" i="6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 xml:space="preserve"> Subianto  Kasmun </author>
  </authors>
  <commentList>
    <comment ref="I12" authorId="0" shapeId="0" xr:uid="{00000000-0006-0000-0300-000001000000}">
      <text>
        <r>
          <rPr>
            <b/>
            <sz val="9"/>
            <color indexed="81"/>
            <rFont val="Tahoma"/>
            <family val="2"/>
          </rPr>
          <t xml:space="preserve"> Subianto  Kasmun :</t>
        </r>
        <r>
          <rPr>
            <sz val="9"/>
            <color indexed="81"/>
            <rFont val="Tahoma"/>
            <family val="2"/>
          </rPr>
          <t xml:space="preserve">
Isi Jumlah Omni</t>
        </r>
      </text>
    </comment>
  </commentList>
</comments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<sst xmlns="http://schemas.openxmlformats.org/spreadsheetml/2006/main" count="292" uniqueCount="188">
  <si>
    <t>General</t>
  </si>
  <si>
    <t>Tax Rate</t>
  </si>
  <si>
    <t>SG&amp;A</t>
  </si>
  <si>
    <t>from Revenues</t>
  </si>
  <si>
    <t>BHPUSO</t>
  </si>
  <si>
    <t>Year 1</t>
  </si>
  <si>
    <t>Year 2</t>
  </si>
  <si>
    <t>Year 3</t>
  </si>
  <si>
    <t>Year 4</t>
  </si>
  <si>
    <t>Year 5</t>
  </si>
  <si>
    <t>IRR Calculation</t>
  </si>
  <si>
    <t>Total</t>
  </si>
  <si>
    <t>Months of Service</t>
  </si>
  <si>
    <t>OPEX</t>
  </si>
  <si>
    <t>Electricity</t>
  </si>
  <si>
    <t>Total OPEX</t>
  </si>
  <si>
    <t>Total EBITDA</t>
  </si>
  <si>
    <t>Ebitda margin</t>
  </si>
  <si>
    <t>Depreciation Expense</t>
  </si>
  <si>
    <t>Total EBIT</t>
  </si>
  <si>
    <t>Tax Expense</t>
  </si>
  <si>
    <t>Capex</t>
  </si>
  <si>
    <t>FCFF</t>
  </si>
  <si>
    <t>Accumulated FCF</t>
  </si>
  <si>
    <t>PBP</t>
  </si>
  <si>
    <t>IRR</t>
  </si>
  <si>
    <t>NPV</t>
  </si>
  <si>
    <t>EBITDA margin</t>
  </si>
  <si>
    <t>Payback</t>
  </si>
  <si>
    <t>Depreciation Calculation</t>
  </si>
  <si>
    <t>no of Year depreciated</t>
  </si>
  <si>
    <t>Total Depreciation</t>
  </si>
  <si>
    <t>Interest Expense</t>
  </si>
  <si>
    <t>EBT</t>
  </si>
  <si>
    <t>Y1</t>
  </si>
  <si>
    <t>Interest Rate</t>
  </si>
  <si>
    <t>Year 6</t>
  </si>
  <si>
    <t>Year 7</t>
  </si>
  <si>
    <t>Year 8</t>
  </si>
  <si>
    <t>Year 9</t>
  </si>
  <si>
    <t>Year 10</t>
  </si>
  <si>
    <t>Total CAPEX</t>
  </si>
  <si>
    <t>Net Income</t>
  </si>
  <si>
    <t xml:space="preserve"> </t>
  </si>
  <si>
    <t>loan</t>
  </si>
  <si>
    <t>Period  (thn)</t>
  </si>
  <si>
    <t>Installment/thn</t>
  </si>
  <si>
    <t>Interest</t>
  </si>
  <si>
    <t>Product :</t>
  </si>
  <si>
    <t>Status P&amp;L</t>
  </si>
  <si>
    <t>Site Information</t>
  </si>
  <si>
    <t xml:space="preserve">Technical Information </t>
  </si>
  <si>
    <t>Financial Summary</t>
  </si>
  <si>
    <t>Site Name</t>
  </si>
  <si>
    <t>IBC</t>
  </si>
  <si>
    <t>Capex /antenna</t>
  </si>
  <si>
    <t>Address</t>
  </si>
  <si>
    <t>Antena PKS BM</t>
  </si>
  <si>
    <t>Contract Period (thn)</t>
  </si>
  <si>
    <t>Area building</t>
  </si>
  <si>
    <t>Antena Asset</t>
  </si>
  <si>
    <t>Type of building</t>
  </si>
  <si>
    <t>Jumlah Pole Makro</t>
  </si>
  <si>
    <t>Kurs 1USD</t>
  </si>
  <si>
    <t>Status</t>
  </si>
  <si>
    <t>OPENET</t>
  </si>
  <si>
    <t>Total floor</t>
  </si>
  <si>
    <t>Cable FO (Core)</t>
  </si>
  <si>
    <t>No of building tower</t>
  </si>
  <si>
    <t>Cable FO (meter)</t>
  </si>
  <si>
    <t>Total Revenue</t>
  </si>
  <si>
    <t>Drop Wire (meter)</t>
  </si>
  <si>
    <t>OTHERS</t>
  </si>
  <si>
    <t>Interest rate /year</t>
  </si>
  <si>
    <t>Payback (year)</t>
  </si>
  <si>
    <t>Price Adjustment after 5 years</t>
  </si>
  <si>
    <t>Revenue</t>
  </si>
  <si>
    <t>Target Achieved by Commercial:</t>
  </si>
  <si>
    <t xml:space="preserve">Tanggal P&amp;L:  </t>
  </si>
  <si>
    <t>Prepared by</t>
  </si>
  <si>
    <t>Approved  by</t>
  </si>
  <si>
    <t>person</t>
  </si>
  <si>
    <t>trip</t>
  </si>
  <si>
    <t>kamar</t>
  </si>
  <si>
    <t>Days by Omni</t>
  </si>
  <si>
    <t>Biaya walktest inhouse/visit</t>
  </si>
  <si>
    <t>Biaya walktest inhouse/thn</t>
  </si>
  <si>
    <t>Diisikan</t>
  </si>
  <si>
    <t>Transport</t>
  </si>
  <si>
    <t>Pesawat</t>
  </si>
  <si>
    <t>Bandara</t>
  </si>
  <si>
    <t>Trip</t>
  </si>
  <si>
    <t>Hotel</t>
  </si>
  <si>
    <t>Uang Saku</t>
  </si>
  <si>
    <t>PM/Year/Site</t>
  </si>
  <si>
    <t>Asumsi:</t>
  </si>
  <si>
    <t>Sulut</t>
  </si>
  <si>
    <t>Walktest 4x dalam setahun semua operator sekaligus</t>
  </si>
  <si>
    <t>Makasar</t>
  </si>
  <si>
    <t>Walktest pertama oleh vendor</t>
  </si>
  <si>
    <t>Bali</t>
  </si>
  <si>
    <t>Pekanbaru</t>
  </si>
  <si>
    <t>Jatim</t>
  </si>
  <si>
    <t>Sumut</t>
  </si>
  <si>
    <t>Jateng</t>
  </si>
  <si>
    <t>Sulsel</t>
  </si>
  <si>
    <t>Jabar</t>
  </si>
  <si>
    <t>Kalimantan</t>
  </si>
  <si>
    <t>Sumatera</t>
  </si>
  <si>
    <t>Palembang</t>
  </si>
  <si>
    <t>Jabodetabek</t>
  </si>
  <si>
    <t>Inhouse</t>
  </si>
  <si>
    <t>CM /Year/Oprt</t>
  </si>
  <si>
    <t>LISTRIK</t>
  </si>
  <si>
    <t>Listrik/Oprt/year DAS+1Pole 3sektor</t>
  </si>
  <si>
    <t>0-100</t>
  </si>
  <si>
    <t>101-200</t>
  </si>
  <si>
    <t>201-</t>
  </si>
  <si>
    <t>Listrik/Oprt/year  DAS+2Pole 6sektor</t>
  </si>
  <si>
    <t>0-200</t>
  </si>
  <si>
    <t xml:space="preserve">: </t>
  </si>
  <si>
    <t>Monthly Charge</t>
  </si>
  <si>
    <t>Renewal</t>
  </si>
  <si>
    <t>renewal</t>
  </si>
  <si>
    <t>Total Revenues</t>
  </si>
  <si>
    <t>Share to BM</t>
  </si>
  <si>
    <t>SUMMARY REVIEW</t>
  </si>
  <si>
    <t xml:space="preserve">Nama Site                          </t>
  </si>
  <si>
    <t xml:space="preserve">Nama Pemilik      </t>
  </si>
  <si>
    <t xml:space="preserve">Alamat Pemilik      </t>
  </si>
  <si>
    <t xml:space="preserve">Telp                                            </t>
  </si>
  <si>
    <t xml:space="preserve">No. </t>
  </si>
  <si>
    <t>Keterangan</t>
  </si>
  <si>
    <t>Existing</t>
  </si>
  <si>
    <t>Scope Of Lease</t>
  </si>
  <si>
    <t>Opennet</t>
  </si>
  <si>
    <t>Periode Sewa</t>
  </si>
  <si>
    <t>Persentase Revshare IBS to BM</t>
  </si>
  <si>
    <t>Nama ISP Join</t>
  </si>
  <si>
    <t>Periode ISP Join</t>
  </si>
  <si>
    <t>Revenue ISP / tahun</t>
  </si>
  <si>
    <t>Jumlah Tenant ISP</t>
  </si>
  <si>
    <t>Persentase Revshare ISP</t>
  </si>
  <si>
    <t>OLT &amp; ONT</t>
  </si>
  <si>
    <t>OLT dari BM</t>
  </si>
  <si>
    <t>Year2</t>
  </si>
  <si>
    <t>Year3</t>
  </si>
  <si>
    <t>Year4</t>
  </si>
  <si>
    <t>IBS / Openet</t>
  </si>
  <si>
    <t>BHP</t>
  </si>
  <si>
    <t>from revenues</t>
  </si>
  <si>
    <t>Fixed operational cost</t>
  </si>
  <si>
    <t>Total BV 28Feb 25</t>
  </si>
  <si>
    <t>Total COGS Rent</t>
  </si>
  <si>
    <t>Total COGS Other</t>
  </si>
  <si>
    <t>NO</t>
  </si>
  <si>
    <t>Positip</t>
  </si>
  <si>
    <t>PLAZA INDONESIA</t>
  </si>
  <si>
    <t xml:space="preserve">Data Revenue Sharing </t>
  </si>
  <si>
    <t>Plaza Indonesia Realty</t>
  </si>
  <si>
    <t>REVENUE TO BM 20% FROM TOTAL REVENUE IBS-ISP</t>
  </si>
  <si>
    <t>Nama Site</t>
  </si>
  <si>
    <t>2018 - 2019</t>
  </si>
  <si>
    <t>Sep 18 - Mar 19</t>
  </si>
  <si>
    <t>Apr - Jun</t>
  </si>
  <si>
    <t>Jul - Sep</t>
  </si>
  <si>
    <t>Okt - Des</t>
  </si>
  <si>
    <t>Jan - Mar</t>
  </si>
  <si>
    <t>PI Office Tower</t>
  </si>
  <si>
    <t>PI Shopping Center</t>
  </si>
  <si>
    <t>REVENUE TOTAL IBS-ISP (100% FROM TENANT)</t>
  </si>
  <si>
    <t>REVENUE TOTAL IBS (50% FROM TENANT)</t>
  </si>
  <si>
    <t>NET REVENUE</t>
  </si>
  <si>
    <t>: Plaza Indonesia</t>
  </si>
  <si>
    <t>: Jakarta</t>
  </si>
  <si>
    <t>:</t>
  </si>
  <si>
    <t>7 November 2023 s/d 6 November 2026 (3 tahun)</t>
  </si>
  <si>
    <t>Moratel dan Bali Fiber</t>
  </si>
  <si>
    <t>7 November 2018 s/d 6 November 2023 (5 tahun)</t>
  </si>
  <si>
    <t>IBS 40 % ISP 60 %</t>
  </si>
  <si>
    <t>Plaza Indonesia</t>
  </si>
  <si>
    <t>Jalan M.H. Thamrin No.28-30</t>
  </si>
  <si>
    <t>Jakarta</t>
  </si>
  <si>
    <t>Mall</t>
  </si>
  <si>
    <t>Cosmas CW</t>
  </si>
  <si>
    <t>Nomer</t>
  </si>
  <si>
    <t>Trend</t>
  </si>
  <si>
    <t>Revenues Bali Tower - IBS (30% - 20%)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</si>
</sst>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1" formatCode="_-* #,##0_-;\-* #,##0_-;_-* &quot;-&quot;_-;_-@_-"/>
    <numFmt numFmtId="43" formatCode="_-* #,##0.00_-;\-* #,##0.00_-;_-* &quot;-&quot;??_-;_-@_-"/>
    <numFmt numFmtId="164" formatCode="_(&quot;Rp&quot;* #,##0_);_(&quot;Rp&quot;* \(#,##0\);_(&quot;Rp&quot;* &quot;-&quot;_);_(@_)"/>
    <numFmt numFmtId="165" formatCode="_(* #,##0_);_(* \(#,##0\);_(* &quot;-&quot;_);_(@_)"/>
    <numFmt numFmtId="166" formatCode="_(* #,##0.00_);_(* \(#,##0.00\);_(* &quot;-&quot;??_);_(@_)"/>
    <numFmt numFmtId="167" formatCode="_(* #,##0_);_(* \(#,##0\);_(* &quot;-&quot;??_);_(@_)"/>
    <numFmt numFmtId="168" formatCode="_(* #,##0.0_);_(* \(#,##0.0\);_(* &quot;-&quot;??_);_(@_)"/>
    <numFmt numFmtId="169" formatCode="_-* #,##0.0_-;\-* #,##0.0_-;_-* &quot;-&quot;_-;_-@_-"/>
    <numFmt numFmtId="170" formatCode="_(&quot;$&quot;* #,##0.00_);_(&quot;$&quot;* \(#,##0.00\);_(&quot;$&quot;* &quot;-&quot;??_);_(@_)"/>
    <numFmt numFmtId="172" formatCode="&quot;Rp&quot;#,##0"/>
  </numFmts>
  <fonts count="41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  <font>
      <sz val="12"/>
      <color rgb="FF3366FF"/>
      <name val="Calibri"/>
      <family val="2"/>
      <scheme val="minor"/>
    </font>
    <font>
      <sz val="12"/>
      <name val="Calibri"/>
      <family val="2"/>
      <scheme val="minor"/>
    </font>
    <font>
      <b/>
      <sz val="12"/>
      <color rgb="FF3366FF"/>
      <name val="Calibri"/>
      <family val="2"/>
      <scheme val="minor"/>
    </font>
    <font>
      <sz val="9"/>
      <color theme="1"/>
      <name val="Calibri"/>
      <family val="2"/>
      <scheme val="minor"/>
    </font>
    <font>
      <i/>
      <sz val="8"/>
      <color rgb="FF0070C0"/>
      <name val="Calibri"/>
      <family val="2"/>
      <scheme val="minor"/>
    </font>
    <font>
      <b/>
      <i/>
      <sz val="10"/>
      <color rgb="FF0070C0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i/>
      <sz val="8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b/>
      <sz val="16"/>
      <color theme="1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b/>
      <i/>
      <sz val="11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rgb="FF0070C0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4" tint="0.79998168889431442"/>
        <bgColor indexed="64"/>
      </patternFill>
    </fill>
  </fills>
  <borders count="29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7">
    <xf numFmtId="0" fontId="0" fillId="0" borderId="0"/>
    <xf numFmtId="166" fontId="10" fillId="0" borderId="0" applyFont="0" applyFill="0" applyBorder="0" applyAlignment="0" applyProtection="0"/>
    <xf numFmtId="41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9" fillId="0" borderId="0"/>
    <xf numFmtId="0" fontId="24" fillId="0" borderId="0"/>
    <xf numFmtId="166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165" fontId="1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11" fillId="0" borderId="0"/>
    <xf numFmtId="166" fontId="7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30" fillId="0" borderId="0"/>
    <xf numFmtId="0" fontId="30" fillId="0" borderId="0"/>
    <xf numFmtId="166" fontId="30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4" fillId="0" borderId="0"/>
    <xf numFmtId="17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70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24" fillId="0" borderId="0"/>
    <xf numFmtId="164" fontId="24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1" fillId="0" borderId="0"/>
    <xf numFmtId="41" fontId="1" fillId="0" borderId="0" applyFont="0" applyFill="0" applyBorder="0" applyAlignment="0" applyProtection="0"/>
  </cellStyleXfs>
  <cellXfs count="227">
    <xf numFmtId="0" fontId="0" fillId="0" borderId="0" xfId="0"/>
    <xf numFmtId="0" fontId="12" fillId="0" borderId="0" xfId="0" applyFont="1"/>
    <xf numFmtId="0" fontId="0" fillId="0" borderId="0" xfId="0" applyAlignment="1">
      <alignment vertical="center"/>
    </xf>
    <xf numFmtId="0" fontId="13" fillId="0" borderId="0" xfId="0" applyFont="1"/>
    <xf numFmtId="0" fontId="0" fillId="3" borderId="0" xfId="0" applyFill="1"/>
    <xf numFmtId="9" fontId="14" fillId="0" borderId="0" xfId="2" applyNumberFormat="1" applyFont="1"/>
    <xf numFmtId="10" fontId="14" fillId="0" borderId="0" xfId="2" applyNumberFormat="1" applyFont="1"/>
    <xf numFmtId="0" fontId="0" fillId="0" borderId="1" xfId="0" applyBorder="1"/>
    <xf numFmtId="0" fontId="12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41" fontId="14" fillId="0" borderId="0" xfId="0" applyNumberFormat="1" applyFont="1" applyBorder="1"/>
    <xf numFmtId="0" fontId="12" fillId="0" borderId="1" xfId="0" applyFont="1" applyBorder="1"/>
    <xf numFmtId="41" fontId="0" fillId="0" borderId="0" xfId="0" applyNumberFormat="1" applyAlignment="1">
      <alignment vertical="center"/>
    </xf>
    <xf numFmtId="41" fontId="0" fillId="0" borderId="0" xfId="0" applyNumberFormat="1"/>
    <xf numFmtId="0" fontId="0" fillId="0" borderId="2" xfId="0" applyBorder="1"/>
    <xf numFmtId="41" fontId="0" fillId="0" borderId="2" xfId="0" applyNumberFormat="1" applyBorder="1" applyAlignment="1">
      <alignment vertical="center"/>
    </xf>
    <xf numFmtId="0" fontId="18" fillId="0" borderId="0" xfId="0" applyFont="1"/>
    <xf numFmtId="0" fontId="18" fillId="0" borderId="0" xfId="0" applyFont="1" applyAlignment="1">
      <alignment vertical="center"/>
    </xf>
    <xf numFmtId="41" fontId="0" fillId="0" borderId="2" xfId="2" applyFont="1" applyBorder="1" applyAlignment="1">
      <alignment vertical="center"/>
    </xf>
    <xf numFmtId="41" fontId="12" fillId="0" borderId="0" xfId="0" applyNumberFormat="1" applyFont="1" applyAlignment="1">
      <alignment vertical="center"/>
    </xf>
    <xf numFmtId="0" fontId="19" fillId="0" borderId="0" xfId="0" applyFont="1"/>
    <xf numFmtId="0" fontId="20" fillId="0" borderId="0" xfId="0" applyFont="1"/>
    <xf numFmtId="9" fontId="19" fillId="0" borderId="0" xfId="3" applyFont="1" applyAlignment="1">
      <alignment vertical="center"/>
    </xf>
    <xf numFmtId="0" fontId="0" fillId="0" borderId="0" xfId="0" applyFill="1" applyBorder="1"/>
    <xf numFmtId="38" fontId="15" fillId="0" borderId="0" xfId="0" applyNumberFormat="1" applyFont="1" applyAlignment="1">
      <alignment vertical="center"/>
    </xf>
    <xf numFmtId="38" fontId="0" fillId="0" borderId="0" xfId="0" applyNumberFormat="1"/>
    <xf numFmtId="0" fontId="0" fillId="2" borderId="5" xfId="0" applyFill="1" applyBorder="1"/>
    <xf numFmtId="38" fontId="0" fillId="2" borderId="5" xfId="0" applyNumberFormat="1" applyFill="1" applyBorder="1" applyAlignment="1">
      <alignment vertical="center"/>
    </xf>
    <xf numFmtId="38" fontId="0" fillId="0" borderId="2" xfId="0" applyNumberFormat="1" applyBorder="1"/>
    <xf numFmtId="167" fontId="17" fillId="0" borderId="0" xfId="1" applyNumberFormat="1" applyFont="1"/>
    <xf numFmtId="0" fontId="0" fillId="0" borderId="0" xfId="0" applyAlignment="1">
      <alignment horizontal="center"/>
    </xf>
    <xf numFmtId="0" fontId="21" fillId="0" borderId="0" xfId="0" applyFont="1"/>
    <xf numFmtId="0" fontId="21" fillId="0" borderId="0" xfId="0" applyFont="1" applyAlignment="1">
      <alignment horizontal="center" vertical="center"/>
    </xf>
    <xf numFmtId="167" fontId="0" fillId="0" borderId="0" xfId="0" applyNumberFormat="1" applyAlignment="1">
      <alignment vertical="center"/>
    </xf>
    <xf numFmtId="167" fontId="0" fillId="0" borderId="0" xfId="0" applyNumberFormat="1"/>
    <xf numFmtId="0" fontId="12" fillId="0" borderId="4" xfId="0" applyFont="1" applyBorder="1"/>
    <xf numFmtId="0" fontId="0" fillId="0" borderId="4" xfId="0" applyBorder="1"/>
    <xf numFmtId="167" fontId="12" fillId="0" borderId="4" xfId="0" applyNumberFormat="1" applyFont="1" applyBorder="1" applyAlignment="1">
      <alignment vertical="center"/>
    </xf>
    <xf numFmtId="0" fontId="0" fillId="0" borderId="0" xfId="0" applyBorder="1"/>
    <xf numFmtId="41" fontId="16" fillId="0" borderId="0" xfId="0" applyNumberFormat="1" applyFont="1" applyBorder="1"/>
    <xf numFmtId="167" fontId="12" fillId="0" borderId="0" xfId="0" applyNumberFormat="1" applyFont="1" applyBorder="1" applyAlignment="1">
      <alignment vertical="center"/>
    </xf>
    <xf numFmtId="41" fontId="0" fillId="3" borderId="0" xfId="0" applyNumberFormat="1" applyFill="1" applyBorder="1" applyAlignment="1">
      <alignment vertical="center"/>
    </xf>
    <xf numFmtId="41" fontId="0" fillId="3" borderId="0" xfId="0" applyNumberFormat="1" applyFill="1" applyBorder="1"/>
    <xf numFmtId="0" fontId="0" fillId="3" borderId="0" xfId="0" applyFill="1" applyBorder="1"/>
    <xf numFmtId="166" fontId="18" fillId="3" borderId="0" xfId="1" applyFont="1" applyFill="1" applyBorder="1"/>
    <xf numFmtId="41" fontId="0" fillId="3" borderId="0" xfId="2" applyFont="1" applyFill="1" applyBorder="1" applyAlignment="1">
      <alignment vertical="center"/>
    </xf>
    <xf numFmtId="41" fontId="12" fillId="3" borderId="0" xfId="0" applyNumberFormat="1" applyFont="1" applyFill="1" applyBorder="1" applyAlignment="1">
      <alignment vertical="center"/>
    </xf>
    <xf numFmtId="0" fontId="12" fillId="3" borderId="0" xfId="0" applyFont="1" applyFill="1" applyBorder="1"/>
    <xf numFmtId="9" fontId="19" fillId="3" borderId="0" xfId="3" applyFont="1" applyFill="1" applyBorder="1" applyAlignment="1">
      <alignment vertical="center"/>
    </xf>
    <xf numFmtId="38" fontId="0" fillId="3" borderId="0" xfId="0" applyNumberFormat="1" applyFill="1" applyBorder="1" applyAlignment="1">
      <alignment vertical="center"/>
    </xf>
    <xf numFmtId="38" fontId="0" fillId="3" borderId="0" xfId="0" applyNumberFormat="1" applyFill="1" applyBorder="1"/>
    <xf numFmtId="41" fontId="0" fillId="3" borderId="0" xfId="2" applyFont="1" applyFill="1" applyBorder="1"/>
    <xf numFmtId="0" fontId="12" fillId="0" borderId="0" xfId="0" applyFont="1" applyBorder="1" applyAlignment="1">
      <alignment horizontal="center"/>
    </xf>
    <xf numFmtId="0" fontId="22" fillId="0" borderId="6" xfId="0" applyFont="1" applyBorder="1"/>
    <xf numFmtId="0" fontId="22" fillId="0" borderId="3" xfId="0" applyFont="1" applyBorder="1"/>
    <xf numFmtId="0" fontId="22" fillId="0" borderId="8" xfId="0" applyFont="1" applyBorder="1"/>
    <xf numFmtId="0" fontId="22" fillId="0" borderId="0" xfId="0" applyFont="1" applyBorder="1"/>
    <xf numFmtId="41" fontId="22" fillId="0" borderId="9" xfId="0" applyNumberFormat="1" applyFont="1" applyBorder="1"/>
    <xf numFmtId="9" fontId="22" fillId="0" borderId="9" xfId="3" applyFont="1" applyBorder="1"/>
    <xf numFmtId="0" fontId="22" fillId="0" borderId="10" xfId="0" applyFont="1" applyBorder="1"/>
    <xf numFmtId="0" fontId="22" fillId="0" borderId="2" xfId="0" applyFont="1" applyBorder="1"/>
    <xf numFmtId="168" fontId="22" fillId="0" borderId="11" xfId="1" applyNumberFormat="1" applyFont="1" applyBorder="1"/>
    <xf numFmtId="0" fontId="12" fillId="0" borderId="12" xfId="0" applyFont="1" applyBorder="1"/>
    <xf numFmtId="41" fontId="12" fillId="0" borderId="12" xfId="0" applyNumberFormat="1" applyFont="1" applyBorder="1" applyAlignment="1">
      <alignment vertical="center"/>
    </xf>
    <xf numFmtId="167" fontId="11" fillId="0" borderId="0" xfId="17" applyNumberFormat="1" applyFont="1"/>
    <xf numFmtId="41" fontId="11" fillId="0" borderId="0" xfId="2" applyFont="1" applyFill="1"/>
    <xf numFmtId="167" fontId="0" fillId="4" borderId="0" xfId="0" applyNumberFormat="1" applyFill="1" applyAlignment="1">
      <alignment vertical="center"/>
    </xf>
    <xf numFmtId="0" fontId="22" fillId="5" borderId="1" xfId="0" applyFont="1" applyFill="1" applyBorder="1" applyAlignment="1">
      <alignment horizontal="center"/>
    </xf>
    <xf numFmtId="0" fontId="15" fillId="5" borderId="0" xfId="0" applyFont="1" applyFill="1"/>
    <xf numFmtId="41" fontId="22" fillId="5" borderId="12" xfId="0" applyNumberFormat="1" applyFont="1" applyFill="1" applyBorder="1" applyAlignment="1">
      <alignment vertical="center"/>
    </xf>
    <xf numFmtId="166" fontId="23" fillId="5" borderId="0" xfId="1" applyFont="1" applyFill="1"/>
    <xf numFmtId="41" fontId="15" fillId="5" borderId="0" xfId="0" applyNumberFormat="1" applyFont="1" applyFill="1" applyBorder="1" applyAlignment="1">
      <alignment vertical="center"/>
    </xf>
    <xf numFmtId="41" fontId="12" fillId="5" borderId="0" xfId="0" applyNumberFormat="1" applyFont="1" applyFill="1" applyAlignment="1">
      <alignment vertical="center"/>
    </xf>
    <xf numFmtId="9" fontId="19" fillId="5" borderId="0" xfId="3" applyFont="1" applyFill="1" applyAlignment="1">
      <alignment vertical="center"/>
    </xf>
    <xf numFmtId="41" fontId="15" fillId="5" borderId="2" xfId="0" applyNumberFormat="1" applyFont="1" applyFill="1" applyBorder="1" applyAlignment="1">
      <alignment vertical="center"/>
    </xf>
    <xf numFmtId="38" fontId="0" fillId="5" borderId="0" xfId="0" applyNumberFormat="1" applyFill="1" applyAlignment="1">
      <alignment vertical="center"/>
    </xf>
    <xf numFmtId="41" fontId="0" fillId="5" borderId="2" xfId="2" applyFont="1" applyFill="1" applyBorder="1"/>
    <xf numFmtId="38" fontId="0" fillId="5" borderId="5" xfId="0" applyNumberFormat="1" applyFill="1" applyBorder="1" applyAlignment="1">
      <alignment vertical="center"/>
    </xf>
    <xf numFmtId="166" fontId="0" fillId="5" borderId="2" xfId="1" applyFont="1" applyFill="1" applyBorder="1"/>
    <xf numFmtId="38" fontId="0" fillId="5" borderId="0" xfId="0" applyNumberFormat="1" applyFill="1"/>
    <xf numFmtId="167" fontId="17" fillId="5" borderId="0" xfId="1" applyNumberFormat="1" applyFont="1" applyFill="1"/>
    <xf numFmtId="0" fontId="15" fillId="0" borderId="0" xfId="0" applyFont="1"/>
    <xf numFmtId="41" fontId="22" fillId="0" borderId="4" xfId="0" applyNumberFormat="1" applyFont="1" applyBorder="1"/>
    <xf numFmtId="41" fontId="22" fillId="0" borderId="0" xfId="0" applyNumberFormat="1" applyFont="1" applyBorder="1"/>
    <xf numFmtId="41" fontId="12" fillId="5" borderId="12" xfId="0" applyNumberFormat="1" applyFont="1" applyFill="1" applyBorder="1" applyAlignment="1">
      <alignment vertical="center"/>
    </xf>
    <xf numFmtId="41" fontId="22" fillId="0" borderId="0" xfId="0" applyNumberFormat="1" applyFont="1" applyFill="1" applyBorder="1"/>
    <xf numFmtId="41" fontId="22" fillId="0" borderId="0" xfId="0" applyNumberFormat="1" applyFont="1"/>
    <xf numFmtId="0" fontId="22" fillId="0" borderId="0" xfId="0" applyFont="1"/>
    <xf numFmtId="41" fontId="0" fillId="5" borderId="0" xfId="2" applyFont="1" applyFill="1" applyBorder="1"/>
    <xf numFmtId="41" fontId="0" fillId="0" borderId="0" xfId="2" applyFont="1"/>
    <xf numFmtId="0" fontId="0" fillId="0" borderId="0" xfId="0" applyFont="1"/>
    <xf numFmtId="0" fontId="12" fillId="0" borderId="0" xfId="0" applyFont="1" applyBorder="1"/>
    <xf numFmtId="0" fontId="27" fillId="0" borderId="0" xfId="0" applyFont="1"/>
    <xf numFmtId="0" fontId="0" fillId="0" borderId="0" xfId="0" applyFont="1" applyBorder="1"/>
    <xf numFmtId="0" fontId="26" fillId="0" borderId="0" xfId="0" applyFont="1" applyBorder="1"/>
    <xf numFmtId="0" fontId="0" fillId="0" borderId="18" xfId="0" applyFont="1" applyBorder="1"/>
    <xf numFmtId="0" fontId="0" fillId="0" borderId="18" xfId="2" applyNumberFormat="1" applyFont="1" applyBorder="1" applyAlignment="1">
      <alignment horizontal="left"/>
    </xf>
    <xf numFmtId="0" fontId="0" fillId="0" borderId="20" xfId="0" applyFont="1" applyBorder="1"/>
    <xf numFmtId="9" fontId="12" fillId="0" borderId="18" xfId="2" applyNumberFormat="1" applyFont="1" applyBorder="1"/>
    <xf numFmtId="0" fontId="0" fillId="0" borderId="21" xfId="0" applyFont="1" applyBorder="1"/>
    <xf numFmtId="0" fontId="0" fillId="0" borderId="1" xfId="0" applyFont="1" applyBorder="1"/>
    <xf numFmtId="0" fontId="0" fillId="0" borderId="22" xfId="0" applyFont="1" applyBorder="1"/>
    <xf numFmtId="0" fontId="0" fillId="0" borderId="1" xfId="0" applyFont="1" applyBorder="1" applyAlignment="1">
      <alignment horizontal="left" indent="1"/>
    </xf>
    <xf numFmtId="41" fontId="0" fillId="0" borderId="0" xfId="0" quotePrefix="1" applyNumberFormat="1" applyAlignment="1">
      <alignment vertical="center"/>
    </xf>
    <xf numFmtId="0" fontId="12" fillId="0" borderId="16" xfId="0" applyFont="1" applyBorder="1"/>
    <xf numFmtId="0" fontId="0" fillId="0" borderId="17" xfId="0" applyFont="1" applyBorder="1"/>
    <xf numFmtId="0" fontId="0" fillId="0" borderId="19" xfId="0" applyFont="1" applyBorder="1"/>
    <xf numFmtId="43" fontId="0" fillId="0" borderId="0" xfId="0" applyNumberFormat="1"/>
    <xf numFmtId="0" fontId="12" fillId="0" borderId="16" xfId="0" applyFont="1" applyBorder="1" applyAlignment="1">
      <alignment horizontal="left"/>
    </xf>
    <xf numFmtId="0" fontId="0" fillId="0" borderId="20" xfId="0" applyFont="1" applyBorder="1" applyAlignment="1">
      <alignment horizontal="left" vertical="center" indent="1"/>
    </xf>
    <xf numFmtId="0" fontId="0" fillId="0" borderId="0" xfId="0" applyFont="1" applyBorder="1" applyAlignment="1">
      <alignment horizontal="left" vertical="center" indent="1"/>
    </xf>
    <xf numFmtId="0" fontId="0" fillId="0" borderId="20" xfId="0" applyFont="1" applyBorder="1" applyAlignment="1">
      <alignment horizontal="left" indent="1"/>
    </xf>
    <xf numFmtId="0" fontId="0" fillId="0" borderId="0" xfId="0" applyFont="1" applyBorder="1" applyAlignment="1">
      <alignment horizontal="left" indent="1"/>
    </xf>
    <xf numFmtId="0" fontId="12" fillId="0" borderId="20" xfId="0" applyFont="1" applyBorder="1" applyAlignment="1">
      <alignment horizontal="left"/>
    </xf>
    <xf numFmtId="0" fontId="0" fillId="0" borderId="20" xfId="0" applyFont="1" applyFill="1" applyBorder="1" applyAlignment="1" applyProtection="1">
      <alignment horizontal="left" indent="1"/>
    </xf>
    <xf numFmtId="0" fontId="0" fillId="0" borderId="0" xfId="0" applyFont="1" applyFill="1" applyBorder="1" applyAlignment="1" applyProtection="1">
      <alignment horizontal="left" indent="1"/>
    </xf>
    <xf numFmtId="0" fontId="26" fillId="0" borderId="0" xfId="0" applyFont="1" applyBorder="1" applyAlignment="1"/>
    <xf numFmtId="14" fontId="26" fillId="0" borderId="0" xfId="0" applyNumberFormat="1" applyFont="1" applyBorder="1" applyAlignment="1"/>
    <xf numFmtId="41" fontId="0" fillId="0" borderId="0" xfId="2" applyFont="1" applyBorder="1"/>
    <xf numFmtId="0" fontId="0" fillId="0" borderId="18" xfId="0" applyFont="1" applyBorder="1" applyAlignment="1">
      <alignment horizontal="left" vertical="justify" wrapText="1"/>
    </xf>
    <xf numFmtId="167" fontId="0" fillId="0" borderId="0" xfId="19" applyNumberFormat="1" applyFont="1" applyFill="1" applyBorder="1" applyAlignment="1" applyProtection="1">
      <alignment horizontal="right"/>
      <protection locked="0"/>
    </xf>
    <xf numFmtId="41" fontId="0" fillId="0" borderId="0" xfId="2" applyFont="1" applyFill="1" applyBorder="1"/>
    <xf numFmtId="9" fontId="0" fillId="0" borderId="0" xfId="2" applyNumberFormat="1" applyFont="1" applyBorder="1"/>
    <xf numFmtId="167" fontId="0" fillId="0" borderId="0" xfId="19" applyNumberFormat="1" applyFont="1" applyFill="1" applyBorder="1" applyAlignment="1" applyProtection="1">
      <alignment horizontal="center"/>
      <protection locked="0"/>
    </xf>
    <xf numFmtId="167" fontId="0" fillId="0" borderId="0" xfId="19" applyNumberFormat="1" applyFont="1" applyBorder="1"/>
    <xf numFmtId="0" fontId="12" fillId="0" borderId="23" xfId="0" applyFont="1" applyBorder="1" applyAlignment="1">
      <alignment horizontal="left"/>
    </xf>
    <xf numFmtId="0" fontId="0" fillId="0" borderId="23" xfId="0" applyFont="1" applyBorder="1"/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6" borderId="24" xfId="0" applyFill="1" applyBorder="1"/>
    <xf numFmtId="0" fontId="0" fillId="6" borderId="0" xfId="0" applyFill="1" applyAlignment="1">
      <alignment horizontal="center"/>
    </xf>
    <xf numFmtId="0" fontId="0" fillId="6" borderId="24" xfId="0" applyFill="1" applyBorder="1" applyAlignment="1">
      <alignment horizontal="center"/>
    </xf>
    <xf numFmtId="0" fontId="0" fillId="7" borderId="0" xfId="0" applyFill="1" applyAlignment="1">
      <alignment horizontal="center"/>
    </xf>
    <xf numFmtId="0" fontId="0" fillId="0" borderId="24" xfId="0" applyBorder="1"/>
    <xf numFmtId="167" fontId="0" fillId="7" borderId="24" xfId="0" applyNumberFormat="1" applyFill="1" applyBorder="1"/>
    <xf numFmtId="167" fontId="0" fillId="0" borderId="24" xfId="0" applyNumberFormat="1" applyBorder="1" applyAlignment="1">
      <alignment horizontal="center"/>
    </xf>
    <xf numFmtId="167" fontId="0" fillId="0" borderId="24" xfId="1" applyNumberFormat="1" applyFont="1" applyBorder="1"/>
    <xf numFmtId="167" fontId="0" fillId="0" borderId="24" xfId="0" applyNumberFormat="1" applyBorder="1"/>
    <xf numFmtId="167" fontId="0" fillId="8" borderId="24" xfId="1" applyNumberFormat="1" applyFont="1" applyFill="1" applyBorder="1"/>
    <xf numFmtId="41" fontId="12" fillId="0" borderId="18" xfId="2" applyFont="1" applyBorder="1"/>
    <xf numFmtId="169" fontId="12" fillId="0" borderId="22" xfId="2" applyNumberFormat="1" applyFont="1" applyBorder="1"/>
    <xf numFmtId="41" fontId="15" fillId="0" borderId="0" xfId="2" applyFont="1" applyAlignment="1">
      <alignment vertical="center"/>
    </xf>
    <xf numFmtId="41" fontId="14" fillId="0" borderId="0" xfId="2" applyFont="1"/>
    <xf numFmtId="9" fontId="0" fillId="0" borderId="0" xfId="3" applyFont="1" applyAlignment="1">
      <alignment vertical="center"/>
    </xf>
    <xf numFmtId="41" fontId="18" fillId="0" borderId="0" xfId="0" applyNumberFormat="1" applyFont="1" applyAlignment="1">
      <alignment vertical="center"/>
    </xf>
    <xf numFmtId="0" fontId="24" fillId="0" borderId="0" xfId="32" applyFont="1"/>
    <xf numFmtId="0" fontId="31" fillId="0" borderId="0" xfId="32" applyFont="1" applyAlignment="1">
      <alignment horizontal="center"/>
    </xf>
    <xf numFmtId="0" fontId="32" fillId="0" borderId="0" xfId="32" applyFont="1" applyAlignment="1">
      <alignment horizontal="left" vertical="top"/>
    </xf>
    <xf numFmtId="0" fontId="32" fillId="0" borderId="0" xfId="32" applyFont="1"/>
    <xf numFmtId="0" fontId="24" fillId="0" borderId="24" xfId="32" applyFont="1" applyBorder="1" applyAlignment="1">
      <alignment horizontal="center" vertical="center"/>
    </xf>
    <xf numFmtId="0" fontId="24" fillId="0" borderId="24" xfId="32" applyFont="1" applyBorder="1"/>
    <xf numFmtId="0" fontId="0" fillId="0" borderId="24" xfId="32" applyFont="1" applyBorder="1"/>
    <xf numFmtId="9" fontId="0" fillId="0" borderId="24" xfId="33" applyNumberFormat="1" applyFont="1" applyBorder="1" applyAlignment="1">
      <alignment horizontal="left"/>
    </xf>
    <xf numFmtId="164" fontId="0" fillId="0" borderId="24" xfId="33" applyFont="1" applyBorder="1" applyAlignment="1">
      <alignment horizontal="left"/>
    </xf>
    <xf numFmtId="172" fontId="0" fillId="0" borderId="24" xfId="34" applyNumberFormat="1" applyFont="1" applyBorder="1" applyAlignment="1">
      <alignment horizontal="left"/>
    </xf>
    <xf numFmtId="0" fontId="24" fillId="0" borderId="24" xfId="32" applyFont="1" applyFill="1" applyBorder="1"/>
    <xf numFmtId="0" fontId="0" fillId="0" borderId="24" xfId="32" applyFont="1" applyBorder="1" applyAlignment="1">
      <alignment horizontal="left"/>
    </xf>
    <xf numFmtId="0" fontId="8" fillId="0" borderId="0" xfId="13"/>
    <xf numFmtId="0" fontId="12" fillId="0" borderId="0" xfId="13" applyFont="1"/>
    <xf numFmtId="0" fontId="11" fillId="0" borderId="0" xfId="17"/>
    <xf numFmtId="9" fontId="0" fillId="0" borderId="0" xfId="0" applyNumberFormat="1"/>
    <xf numFmtId="10" fontId="0" fillId="0" borderId="0" xfId="0" applyNumberFormat="1"/>
    <xf numFmtId="41" fontId="0" fillId="0" borderId="0" xfId="0" applyNumberFormat="1" applyFont="1"/>
    <xf numFmtId="0" fontId="35" fillId="0" borderId="0" xfId="0" applyFont="1" applyBorder="1" applyAlignment="1">
      <alignment horizontal="right"/>
    </xf>
    <xf numFmtId="0" fontId="0" fillId="0" borderId="19" xfId="0" applyFont="1" applyBorder="1" applyAlignment="1">
      <alignment wrapText="1"/>
    </xf>
    <xf numFmtId="0" fontId="0" fillId="0" borderId="18" xfId="0" applyFont="1" applyBorder="1" applyAlignment="1">
      <alignment wrapText="1"/>
    </xf>
    <xf numFmtId="41" fontId="15" fillId="5" borderId="0" xfId="0" applyNumberFormat="1" applyFont="1" applyFill="1"/>
    <xf numFmtId="0" fontId="0" fillId="0" borderId="0" xfId="0" applyAlignment="1">
      <alignment horizontal="right"/>
    </xf>
    <xf numFmtId="0" fontId="35" fillId="0" borderId="0" xfId="0" applyFont="1" applyAlignment="1">
      <alignment horizontal="right"/>
    </xf>
    <xf numFmtId="0" fontId="36" fillId="0" borderId="0" xfId="0" applyFont="1"/>
    <xf numFmtId="9" fontId="12" fillId="0" borderId="19" xfId="2" applyNumberFormat="1" applyFont="1" applyBorder="1" applyAlignment="1">
      <alignment horizontal="right"/>
    </xf>
    <xf numFmtId="0" fontId="37" fillId="0" borderId="0" xfId="35" applyFont="1"/>
    <xf numFmtId="0" fontId="38" fillId="0" borderId="0" xfId="35" applyFont="1"/>
    <xf numFmtId="0" fontId="38" fillId="0" borderId="24" xfId="35" applyFont="1" applyBorder="1" applyAlignment="1">
      <alignment horizontal="center" vertical="center"/>
    </xf>
    <xf numFmtId="0" fontId="38" fillId="0" borderId="24" xfId="35" applyFont="1" applyBorder="1"/>
    <xf numFmtId="41" fontId="38" fillId="0" borderId="24" xfId="36" applyFont="1" applyBorder="1" applyAlignment="1">
      <alignment horizontal="right"/>
    </xf>
    <xf numFmtId="41" fontId="37" fillId="0" borderId="24" xfId="35" applyNumberFormat="1" applyFont="1" applyBorder="1"/>
    <xf numFmtId="0" fontId="37" fillId="2" borderId="24" xfId="35" applyFont="1" applyFill="1" applyBorder="1" applyAlignment="1">
      <alignment horizontal="right"/>
    </xf>
    <xf numFmtId="41" fontId="37" fillId="2" borderId="24" xfId="36" applyFont="1" applyFill="1" applyBorder="1" applyAlignment="1">
      <alignment horizontal="right"/>
    </xf>
    <xf numFmtId="0" fontId="37" fillId="2" borderId="0" xfId="35" applyFont="1" applyFill="1" applyAlignment="1">
      <alignment horizontal="right"/>
    </xf>
    <xf numFmtId="41" fontId="37" fillId="2" borderId="0" xfId="36" applyFont="1" applyFill="1" applyBorder="1" applyAlignment="1">
      <alignment horizontal="right"/>
    </xf>
    <xf numFmtId="41" fontId="37" fillId="0" borderId="0" xfId="35" applyNumberFormat="1" applyFont="1"/>
    <xf numFmtId="41" fontId="38" fillId="0" borderId="0" xfId="35" applyNumberFormat="1" applyFont="1"/>
    <xf numFmtId="41" fontId="39" fillId="8" borderId="0" xfId="35" applyNumberFormat="1" applyFont="1" applyFill="1"/>
    <xf numFmtId="41" fontId="37" fillId="8" borderId="0" xfId="35" applyNumberFormat="1" applyFont="1" applyFill="1"/>
    <xf numFmtId="0" fontId="37" fillId="2" borderId="0" xfId="35" applyFont="1" applyFill="1" applyBorder="1" applyAlignment="1">
      <alignment horizontal="right"/>
    </xf>
    <xf numFmtId="41" fontId="37" fillId="0" borderId="0" xfId="35" applyNumberFormat="1" applyFont="1" applyBorder="1"/>
    <xf numFmtId="0" fontId="38" fillId="0" borderId="24" xfId="35" applyFont="1" applyBorder="1" applyAlignment="1">
      <alignment horizontal="left" vertical="center"/>
    </xf>
    <xf numFmtId="0" fontId="37" fillId="10" borderId="24" xfId="35" applyFont="1" applyFill="1" applyBorder="1" applyAlignment="1">
      <alignment horizontal="center" vertical="center"/>
    </xf>
    <xf numFmtId="0" fontId="40" fillId="0" borderId="24" xfId="35" applyFont="1" applyBorder="1" applyAlignment="1">
      <alignment horizontal="center" vertical="center"/>
    </xf>
    <xf numFmtId="0" fontId="40" fillId="8" borderId="24" xfId="35" applyFont="1" applyFill="1" applyBorder="1" applyAlignment="1">
      <alignment horizontal="center" vertical="center"/>
    </xf>
    <xf numFmtId="41" fontId="40" fillId="8" borderId="24" xfId="36" applyFont="1" applyFill="1" applyBorder="1" applyAlignment="1">
      <alignment horizontal="right"/>
    </xf>
    <xf numFmtId="9" fontId="0" fillId="0" borderId="0" xfId="0" applyNumberFormat="1" applyAlignment="1">
      <alignment vertical="center"/>
    </xf>
    <xf numFmtId="9" fontId="22" fillId="0" borderId="7" xfId="0" applyNumberFormat="1" applyFont="1" applyBorder="1" applyAlignment="1">
      <alignment horizontal="right"/>
    </xf>
    <xf numFmtId="0" fontId="12" fillId="0" borderId="20" xfId="0" applyFont="1" applyFill="1" applyBorder="1" applyAlignment="1" applyProtection="1">
      <alignment horizontal="left" indent="1"/>
    </xf>
    <xf numFmtId="0" fontId="12" fillId="0" borderId="0" xfId="0" applyFont="1" applyFill="1" applyBorder="1" applyAlignment="1" applyProtection="1">
      <alignment horizontal="left" indent="1"/>
    </xf>
    <xf numFmtId="0" fontId="12" fillId="0" borderId="21" xfId="0" applyFont="1" applyFill="1" applyBorder="1" applyAlignment="1" applyProtection="1">
      <alignment horizontal="left" indent="1"/>
    </xf>
    <xf numFmtId="0" fontId="12" fillId="0" borderId="1" xfId="0" applyFont="1" applyFill="1" applyBorder="1" applyAlignment="1" applyProtection="1">
      <alignment horizontal="left" indent="1"/>
    </xf>
    <xf numFmtId="0" fontId="12" fillId="0" borderId="0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0" borderId="0" xfId="0" quotePrefix="1" applyFont="1" applyBorder="1" applyAlignment="1">
      <alignment horizontal="left" indent="1"/>
    </xf>
    <xf numFmtId="0" fontId="0" fillId="0" borderId="0" xfId="0" applyFont="1" applyFill="1" applyBorder="1" applyAlignment="1" applyProtection="1">
      <alignment horizontal="left" indent="1"/>
    </xf>
    <xf numFmtId="0" fontId="12" fillId="0" borderId="0" xfId="0" applyFont="1" applyBorder="1" applyAlignment="1">
      <alignment horizontal="left"/>
    </xf>
    <xf numFmtId="0" fontId="12" fillId="0" borderId="16" xfId="0" applyFont="1" applyFill="1" applyBorder="1" applyAlignment="1" applyProtection="1">
      <alignment horizontal="left" indent="1"/>
    </xf>
    <xf numFmtId="0" fontId="12" fillId="0" borderId="17" xfId="0" applyFont="1" applyFill="1" applyBorder="1" applyAlignment="1" applyProtection="1">
      <alignment horizontal="left" indent="1"/>
    </xf>
    <xf numFmtId="0" fontId="12" fillId="0" borderId="17" xfId="0" applyFont="1" applyBorder="1" applyAlignment="1">
      <alignment horizontal="center"/>
    </xf>
    <xf numFmtId="0" fontId="0" fillId="0" borderId="0" xfId="0" applyFont="1" applyBorder="1" applyAlignment="1">
      <alignment horizontal="left" indent="1"/>
    </xf>
    <xf numFmtId="0" fontId="0" fillId="0" borderId="20" xfId="0" applyFont="1" applyBorder="1" applyAlignment="1">
      <alignment horizontal="left" vertical="center" indent="1"/>
    </xf>
    <xf numFmtId="0" fontId="0" fillId="0" borderId="0" xfId="0" applyFont="1" applyBorder="1" applyAlignment="1">
      <alignment horizontal="left" vertical="center" indent="1"/>
    </xf>
    <xf numFmtId="0" fontId="26" fillId="0" borderId="13" xfId="0" applyFont="1" applyBorder="1" applyAlignment="1">
      <alignment horizontal="center"/>
    </xf>
    <xf numFmtId="0" fontId="26" fillId="0" borderId="14" xfId="0" applyFont="1" applyBorder="1" applyAlignment="1">
      <alignment horizontal="center"/>
    </xf>
    <xf numFmtId="0" fontId="26" fillId="0" borderId="15" xfId="0" applyFont="1" applyBorder="1" applyAlignment="1">
      <alignment horizontal="center"/>
    </xf>
    <xf numFmtId="0" fontId="0" fillId="0" borderId="16" xfId="0" applyFont="1" applyBorder="1" applyAlignment="1">
      <alignment horizontal="left" indent="1"/>
    </xf>
    <xf numFmtId="0" fontId="0" fillId="0" borderId="17" xfId="0" applyFont="1" applyBorder="1" applyAlignment="1">
      <alignment horizontal="left" indent="1"/>
    </xf>
    <xf numFmtId="0" fontId="12" fillId="0" borderId="17" xfId="0" applyFont="1" applyBorder="1" applyAlignment="1">
      <alignment horizontal="left"/>
    </xf>
    <xf numFmtId="41" fontId="12" fillId="0" borderId="12" xfId="0" applyNumberFormat="1" applyFont="1" applyBorder="1" applyAlignment="1">
      <alignment horizontal="center"/>
    </xf>
    <xf numFmtId="0" fontId="12" fillId="0" borderId="12" xfId="0" applyFont="1" applyBorder="1" applyAlignment="1">
      <alignment horizontal="center"/>
    </xf>
    <xf numFmtId="0" fontId="0" fillId="0" borderId="24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37" fillId="0" borderId="26" xfId="35" applyFont="1" applyBorder="1" applyAlignment="1">
      <alignment horizontal="center" vertical="center"/>
    </xf>
    <xf numFmtId="0" fontId="37" fillId="0" borderId="28" xfId="35" applyFont="1" applyBorder="1" applyAlignment="1">
      <alignment horizontal="center" vertical="center"/>
    </xf>
    <xf numFmtId="0" fontId="38" fillId="0" borderId="24" xfId="35" applyFont="1" applyBorder="1" applyAlignment="1">
      <alignment horizontal="center" vertical="center"/>
    </xf>
    <xf numFmtId="0" fontId="33" fillId="9" borderId="24" xfId="32" applyFont="1" applyFill="1" applyBorder="1" applyAlignment="1">
      <alignment horizontal="center" vertical="center"/>
    </xf>
    <xf numFmtId="0" fontId="34" fillId="9" borderId="26" xfId="32" applyFont="1" applyFill="1" applyBorder="1" applyAlignment="1">
      <alignment horizontal="center" vertical="center"/>
    </xf>
    <xf numFmtId="0" fontId="34" fillId="9" borderId="28" xfId="32" applyFont="1" applyFill="1" applyBorder="1" applyAlignment="1">
      <alignment horizontal="center" vertical="center"/>
    </xf>
  </cellXfs>
  <cellStyles count="37">
    <cellStyle name="Comma" xfId="1" builtinId="3"/>
    <cellStyle name="Comma [0]" xfId="2" builtinId="6"/>
    <cellStyle name="Comma [0] 2" xfId="9" xr:uid="{00000000-0005-0000-0000-000002000000}"/>
    <cellStyle name="Comma [0] 3" xfId="31" xr:uid="{00000000-0005-0000-0000-000003000000}"/>
    <cellStyle name="Comma [0] 4" xfId="34" xr:uid="{3040434A-A10E-4154-ACFA-8D21DC82CDAA}"/>
    <cellStyle name="Comma [0] 5" xfId="36" xr:uid="{6641F847-D0FF-43EA-8A87-3E6DD242284A}"/>
    <cellStyle name="Comma 2" xfId="7" xr:uid="{00000000-0005-0000-0000-000004000000}"/>
    <cellStyle name="Comma 2 3" xfId="22" xr:uid="{00000000-0005-0000-0000-000005000000}"/>
    <cellStyle name="Comma 3" xfId="10" xr:uid="{00000000-0005-0000-0000-000006000000}"/>
    <cellStyle name="Comma 3 2" xfId="11" xr:uid="{00000000-0005-0000-0000-000007000000}"/>
    <cellStyle name="Comma 4" xfId="12" xr:uid="{00000000-0005-0000-0000-000008000000}"/>
    <cellStyle name="Comma 5" xfId="18" xr:uid="{00000000-0005-0000-0000-000009000000}"/>
    <cellStyle name="Comma 5 2" xfId="19" xr:uid="{00000000-0005-0000-0000-00000A000000}"/>
    <cellStyle name="Currency [0] 2" xfId="23" xr:uid="{00000000-0005-0000-0000-00000B000000}"/>
    <cellStyle name="Currency [0] 2 2" xfId="33" xr:uid="{43817D0E-3C73-45FA-A8FD-9451697B7D94}"/>
    <cellStyle name="Currency [0] 3" xfId="27" xr:uid="{00000000-0005-0000-0000-00000C000000}"/>
    <cellStyle name="Currency [0] 4" xfId="30" xr:uid="{00000000-0005-0000-0000-00000D000000}"/>
    <cellStyle name="Currency 2" xfId="26" xr:uid="{00000000-0005-0000-0000-00000E000000}"/>
    <cellStyle name="Currency 3" xfId="28" xr:uid="{00000000-0005-0000-0000-00000F000000}"/>
    <cellStyle name="Normal" xfId="0" builtinId="0"/>
    <cellStyle name="Normal 2" xfId="5" xr:uid="{00000000-0005-0000-0000-000011000000}"/>
    <cellStyle name="Normal 2 2" xfId="6" xr:uid="{00000000-0005-0000-0000-000012000000}"/>
    <cellStyle name="Normal 2 2 2 2 3" xfId="17" xr:uid="{00000000-0005-0000-0000-000013000000}"/>
    <cellStyle name="Normal 2 7" xfId="20" xr:uid="{00000000-0005-0000-0000-000014000000}"/>
    <cellStyle name="Normal 3" xfId="13" xr:uid="{00000000-0005-0000-0000-000015000000}"/>
    <cellStyle name="Normal 3 2" xfId="14" xr:uid="{00000000-0005-0000-0000-000016000000}"/>
    <cellStyle name="Normal 3 3" xfId="21" xr:uid="{00000000-0005-0000-0000-000017000000}"/>
    <cellStyle name="Normal 4" xfId="24" xr:uid="{00000000-0005-0000-0000-000018000000}"/>
    <cellStyle name="Normal 5" xfId="25" xr:uid="{00000000-0005-0000-0000-000019000000}"/>
    <cellStyle name="Normal 6" xfId="29" xr:uid="{00000000-0005-0000-0000-00001A000000}"/>
    <cellStyle name="Normal 7" xfId="32" xr:uid="{921BC7D5-6068-4B2B-B126-A6FE82464466}"/>
    <cellStyle name="Normal 8" xfId="35" xr:uid="{52F99FD5-8EC1-4A4E-BACC-D8CC844227A5}"/>
    <cellStyle name="Percent" xfId="3" builtinId="5"/>
    <cellStyle name="Percent 2" xfId="8" xr:uid="{00000000-0005-0000-0000-00001C000000}"/>
    <cellStyle name="Percent 2 2" xfId="4" xr:uid="{00000000-0005-0000-0000-00001D000000}"/>
    <cellStyle name="Percent 3" xfId="15" xr:uid="{00000000-0005-0000-0000-00001E000000}"/>
    <cellStyle name="Percent 3 2" xfId="16" xr:uid="{00000000-0005-0000-0000-00001F000000}"/>
  </cellStyles>
  <dxfs count="1"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3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12" Type="http://schemas.openxmlformats.org/officeDocument/2006/relationships/sheetMetadata" Target="metadata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612786</xdr:colOff>
      <xdr:row>23</xdr:row>
      <xdr:rowOff>79365</xdr:rowOff>
    </xdr:from>
    <xdr:to>
      <xdr:col>12</xdr:col>
      <xdr:colOff>791094</xdr:colOff>
      <xdr:row>23</xdr:row>
      <xdr:rowOff>79365</xdr:rowOff>
    </xdr:to>
    <xdr:cxnSp macro="">
      <xdr:nvCxnSpPr>
        <xdr:cNvPr id="16" name="Straight Connector 15">
          <a:extLst>
            <a:ext uri="{FF2B5EF4-FFF2-40B4-BE49-F238E27FC236}">
              <a16:creationId xmlns:a16="http://schemas.microsoft.com/office/drawing/2014/main" id="{2F0916B7-1815-47AF-8F4E-CF6613B02838}"/>
            </a:ext>
          </a:extLst>
        </xdr:cNvPr>
        <xdr:cNvCxnSpPr/>
      </xdr:nvCxnSpPr>
      <xdr:spPr>
        <a:xfrm flipV="1">
          <a:off x="6924686" y="4670415"/>
          <a:ext cx="1581658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76201</xdr:colOff>
      <xdr:row>26</xdr:row>
      <xdr:rowOff>20069</xdr:rowOff>
    </xdr:from>
    <xdr:to>
      <xdr:col>12</xdr:col>
      <xdr:colOff>1208314</xdr:colOff>
      <xdr:row>26</xdr:row>
      <xdr:rowOff>185057</xdr:rowOff>
    </xdr:to>
    <xdr:grpSp>
      <xdr:nvGrpSpPr>
        <xdr:cNvPr id="17" name="Group 16">
          <a:extLst>
            <a:ext uri="{FF2B5EF4-FFF2-40B4-BE49-F238E27FC236}">
              <a16:creationId xmlns:a16="http://schemas.microsoft.com/office/drawing/2014/main" id="{A0E06204-05F9-4AC5-BCA6-153C2B4F1A63}"/>
            </a:ext>
          </a:extLst>
        </xdr:cNvPr>
        <xdr:cNvGrpSpPr/>
      </xdr:nvGrpSpPr>
      <xdr:grpSpPr>
        <a:xfrm>
          <a:off x="612423" y="4980125"/>
          <a:ext cx="8815613" cy="164988"/>
          <a:chOff x="570986" y="5042917"/>
          <a:chExt cx="14774690" cy="343744"/>
        </a:xfrm>
      </xdr:grpSpPr>
      <xdr:sp macro="" textlink="">
        <xdr:nvSpPr>
          <xdr:cNvPr id="18" name="TextBox 17">
            <a:extLst>
              <a:ext uri="{FF2B5EF4-FFF2-40B4-BE49-F238E27FC236}">
                <a16:creationId xmlns:a16="http://schemas.microsoft.com/office/drawing/2014/main" id="{F15AEF08-226E-464A-A744-3BFC7F7BE8BD}"/>
              </a:ext>
            </a:extLst>
          </xdr:cNvPr>
          <xdr:cNvSpPr txBox="1"/>
        </xdr:nvSpPr>
        <xdr:spPr>
          <a:xfrm>
            <a:off x="5746462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Nelson  F.H.</a:t>
            </a:r>
          </a:p>
        </xdr:txBody>
      </xdr:sp>
      <xdr:sp macro="" textlink="">
        <xdr:nvSpPr>
          <xdr:cNvPr id="19" name="TextBox 18">
            <a:extLst>
              <a:ext uri="{FF2B5EF4-FFF2-40B4-BE49-F238E27FC236}">
                <a16:creationId xmlns:a16="http://schemas.microsoft.com/office/drawing/2014/main" id="{C830347B-0308-4B35-B56A-1031BD5CA092}"/>
              </a:ext>
            </a:extLst>
          </xdr:cNvPr>
          <xdr:cNvSpPr txBox="1"/>
        </xdr:nvSpPr>
        <xdr:spPr>
          <a:xfrm>
            <a:off x="570986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Lilis S.</a:t>
            </a:r>
          </a:p>
        </xdr:txBody>
      </xdr:sp>
      <xdr:sp macro="" textlink="">
        <xdr:nvSpPr>
          <xdr:cNvPr id="20" name="TextBox 19">
            <a:extLst>
              <a:ext uri="{FF2B5EF4-FFF2-40B4-BE49-F238E27FC236}">
                <a16:creationId xmlns:a16="http://schemas.microsoft.com/office/drawing/2014/main" id="{3A2635AE-9E87-42D0-9ADA-5E612F151E72}"/>
              </a:ext>
            </a:extLst>
          </xdr:cNvPr>
          <xdr:cNvSpPr txBox="1"/>
        </xdr:nvSpPr>
        <xdr:spPr>
          <a:xfrm>
            <a:off x="8334200" y="5042917"/>
            <a:ext cx="1836000" cy="32560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Cosmas C. W.</a:t>
            </a:r>
          </a:p>
        </xdr:txBody>
      </xdr:sp>
      <xdr:sp macro="" textlink="">
        <xdr:nvSpPr>
          <xdr:cNvPr id="21" name="TextBox 20">
            <a:extLst>
              <a:ext uri="{FF2B5EF4-FFF2-40B4-BE49-F238E27FC236}">
                <a16:creationId xmlns:a16="http://schemas.microsoft.com/office/drawing/2014/main" id="{F2FD207E-0F76-4E67-97ED-58EDB2013FA0}"/>
              </a:ext>
            </a:extLst>
          </xdr:cNvPr>
          <xdr:cNvSpPr txBox="1"/>
        </xdr:nvSpPr>
        <xdr:spPr>
          <a:xfrm>
            <a:off x="10921938" y="5042917"/>
            <a:ext cx="1836000" cy="32890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Anni</a:t>
            </a:r>
            <a:r>
              <a:rPr lang="en-US" sz="1200" b="1" baseline="0"/>
              <a:t> S</a:t>
            </a:r>
            <a:endParaRPr lang="en-US" sz="1200" b="1"/>
          </a:p>
        </xdr:txBody>
      </xdr:sp>
      <xdr:sp macro="" textlink="">
        <xdr:nvSpPr>
          <xdr:cNvPr id="22" name="TextBox 21">
            <a:extLst>
              <a:ext uri="{FF2B5EF4-FFF2-40B4-BE49-F238E27FC236}">
                <a16:creationId xmlns:a16="http://schemas.microsoft.com/office/drawing/2014/main" id="{F98C6B37-E1E9-447D-9C4B-AD6507D1102B}"/>
              </a:ext>
            </a:extLst>
          </xdr:cNvPr>
          <xdr:cNvSpPr txBox="1"/>
        </xdr:nvSpPr>
        <xdr:spPr>
          <a:xfrm>
            <a:off x="13509676" y="5042917"/>
            <a:ext cx="1836000" cy="33797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Makmur J</a:t>
            </a:r>
          </a:p>
        </xdr:txBody>
      </xdr:sp>
      <xdr:sp macro="" textlink="">
        <xdr:nvSpPr>
          <xdr:cNvPr id="23" name="TextBox 22">
            <a:extLst>
              <a:ext uri="{FF2B5EF4-FFF2-40B4-BE49-F238E27FC236}">
                <a16:creationId xmlns:a16="http://schemas.microsoft.com/office/drawing/2014/main" id="{DA76572D-F76A-4DDA-AAD5-2FE8B36AA340}"/>
              </a:ext>
            </a:extLst>
          </xdr:cNvPr>
          <xdr:cNvSpPr txBox="1"/>
        </xdr:nvSpPr>
        <xdr:spPr>
          <a:xfrm>
            <a:off x="3158724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Gaga H.</a:t>
            </a:r>
          </a:p>
        </xdr:txBody>
      </xdr:sp>
    </xdr:grpSp>
    <xdr:clientData/>
  </xdr:twoCellAnchor>
  <xdr:twoCellAnchor>
    <xdr:from>
      <xdr:col>2</xdr:col>
      <xdr:colOff>76201</xdr:colOff>
      <xdr:row>26</xdr:row>
      <xdr:rowOff>20069</xdr:rowOff>
    </xdr:from>
    <xdr:to>
      <xdr:col>12</xdr:col>
      <xdr:colOff>1208314</xdr:colOff>
      <xdr:row>26</xdr:row>
      <xdr:rowOff>185057</xdr:rowOff>
    </xdr:to>
    <xdr:grpSp>
      <xdr:nvGrpSpPr>
        <xdr:cNvPr id="31" name="Group 30">
          <a:extLst>
            <a:ext uri="{FF2B5EF4-FFF2-40B4-BE49-F238E27FC236}">
              <a16:creationId xmlns:a16="http://schemas.microsoft.com/office/drawing/2014/main" id="{7923E6C7-DBEC-4362-8E94-5BFB7B8DEAC3}"/>
            </a:ext>
          </a:extLst>
        </xdr:cNvPr>
        <xdr:cNvGrpSpPr/>
      </xdr:nvGrpSpPr>
      <xdr:grpSpPr>
        <a:xfrm>
          <a:off x="612423" y="4980125"/>
          <a:ext cx="8815613" cy="164988"/>
          <a:chOff x="570986" y="5042917"/>
          <a:chExt cx="14774690" cy="343744"/>
        </a:xfrm>
      </xdr:grpSpPr>
      <xdr:sp macro="" textlink="">
        <xdr:nvSpPr>
          <xdr:cNvPr id="32" name="TextBox 31">
            <a:extLst>
              <a:ext uri="{FF2B5EF4-FFF2-40B4-BE49-F238E27FC236}">
                <a16:creationId xmlns:a16="http://schemas.microsoft.com/office/drawing/2014/main" id="{AC2646C7-F1C5-40A1-B14B-F42831637987}"/>
              </a:ext>
            </a:extLst>
          </xdr:cNvPr>
          <xdr:cNvSpPr txBox="1"/>
        </xdr:nvSpPr>
        <xdr:spPr>
          <a:xfrm>
            <a:off x="5746462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Nelson  F.H.</a:t>
            </a:r>
          </a:p>
        </xdr:txBody>
      </xdr:sp>
      <xdr:sp macro="" textlink="">
        <xdr:nvSpPr>
          <xdr:cNvPr id="33" name="TextBox 32">
            <a:extLst>
              <a:ext uri="{FF2B5EF4-FFF2-40B4-BE49-F238E27FC236}">
                <a16:creationId xmlns:a16="http://schemas.microsoft.com/office/drawing/2014/main" id="{C9717D48-C6D0-4915-8FED-87BFCB41FBB5}"/>
              </a:ext>
            </a:extLst>
          </xdr:cNvPr>
          <xdr:cNvSpPr txBox="1"/>
        </xdr:nvSpPr>
        <xdr:spPr>
          <a:xfrm>
            <a:off x="570986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Lilis S.</a:t>
            </a:r>
          </a:p>
        </xdr:txBody>
      </xdr:sp>
      <xdr:sp macro="" textlink="">
        <xdr:nvSpPr>
          <xdr:cNvPr id="34" name="TextBox 33">
            <a:extLst>
              <a:ext uri="{FF2B5EF4-FFF2-40B4-BE49-F238E27FC236}">
                <a16:creationId xmlns:a16="http://schemas.microsoft.com/office/drawing/2014/main" id="{B9DDAC15-80C6-40E8-B278-2A0614DD937C}"/>
              </a:ext>
            </a:extLst>
          </xdr:cNvPr>
          <xdr:cNvSpPr txBox="1"/>
        </xdr:nvSpPr>
        <xdr:spPr>
          <a:xfrm>
            <a:off x="8334200" y="5042917"/>
            <a:ext cx="1836000" cy="32560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Cosmas C. W.</a:t>
            </a:r>
          </a:p>
        </xdr:txBody>
      </xdr:sp>
      <xdr:sp macro="" textlink="">
        <xdr:nvSpPr>
          <xdr:cNvPr id="35" name="TextBox 34">
            <a:extLst>
              <a:ext uri="{FF2B5EF4-FFF2-40B4-BE49-F238E27FC236}">
                <a16:creationId xmlns:a16="http://schemas.microsoft.com/office/drawing/2014/main" id="{8B28EB1E-FE87-4526-B28F-ABD8193E4E22}"/>
              </a:ext>
            </a:extLst>
          </xdr:cNvPr>
          <xdr:cNvSpPr txBox="1"/>
        </xdr:nvSpPr>
        <xdr:spPr>
          <a:xfrm>
            <a:off x="10921938" y="5042917"/>
            <a:ext cx="1836000" cy="32890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Anni</a:t>
            </a:r>
            <a:r>
              <a:rPr lang="en-US" sz="1200" b="1" baseline="0"/>
              <a:t> S</a:t>
            </a:r>
            <a:endParaRPr lang="en-US" sz="1200" b="1"/>
          </a:p>
        </xdr:txBody>
      </xdr:sp>
      <xdr:sp macro="" textlink="">
        <xdr:nvSpPr>
          <xdr:cNvPr id="36" name="TextBox 35">
            <a:extLst>
              <a:ext uri="{FF2B5EF4-FFF2-40B4-BE49-F238E27FC236}">
                <a16:creationId xmlns:a16="http://schemas.microsoft.com/office/drawing/2014/main" id="{DB99C3B9-7199-4AB3-BE7C-11ED54E33F91}"/>
              </a:ext>
            </a:extLst>
          </xdr:cNvPr>
          <xdr:cNvSpPr txBox="1"/>
        </xdr:nvSpPr>
        <xdr:spPr>
          <a:xfrm>
            <a:off x="13509676" y="5042917"/>
            <a:ext cx="1836000" cy="33797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Makmur J</a:t>
            </a:r>
          </a:p>
        </xdr:txBody>
      </xdr:sp>
      <xdr:sp macro="" textlink="">
        <xdr:nvSpPr>
          <xdr:cNvPr id="37" name="TextBox 36">
            <a:extLst>
              <a:ext uri="{FF2B5EF4-FFF2-40B4-BE49-F238E27FC236}">
                <a16:creationId xmlns:a16="http://schemas.microsoft.com/office/drawing/2014/main" id="{D217C271-3AF5-4C54-8E14-85F75B3B9D3D}"/>
              </a:ext>
            </a:extLst>
          </xdr:cNvPr>
          <xdr:cNvSpPr txBox="1"/>
        </xdr:nvSpPr>
        <xdr:spPr>
          <a:xfrm>
            <a:off x="3158724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Gaga H.</a:t>
            </a:r>
          </a:p>
        </xdr:txBody>
      </xdr:sp>
    </xdr:grpSp>
    <xdr:clientData/>
  </xdr:twoCellAnchor>
  <xdr:twoCellAnchor>
    <xdr:from>
      <xdr:col>2</xdr:col>
      <xdr:colOff>87947</xdr:colOff>
      <xdr:row>31</xdr:row>
      <xdr:rowOff>104251</xdr:rowOff>
    </xdr:from>
    <xdr:to>
      <xdr:col>13</xdr:col>
      <xdr:colOff>156845</xdr:colOff>
      <xdr:row>32</xdr:row>
      <xdr:rowOff>79374</xdr:rowOff>
    </xdr:to>
    <xdr:grpSp>
      <xdr:nvGrpSpPr>
        <xdr:cNvPr id="38" name="Group 37">
          <a:extLst>
            <a:ext uri="{FF2B5EF4-FFF2-40B4-BE49-F238E27FC236}">
              <a16:creationId xmlns:a16="http://schemas.microsoft.com/office/drawing/2014/main" id="{CBED36BA-B673-47FB-8496-7DF56C29EEC3}"/>
            </a:ext>
          </a:extLst>
        </xdr:cNvPr>
        <xdr:cNvGrpSpPr/>
      </xdr:nvGrpSpPr>
      <xdr:grpSpPr>
        <a:xfrm>
          <a:off x="624169" y="6052084"/>
          <a:ext cx="9008287" cy="172679"/>
          <a:chOff x="722947" y="7327377"/>
          <a:chExt cx="10285884" cy="0"/>
        </a:xfrm>
      </xdr:grpSpPr>
      <xdr:cxnSp macro="">
        <xdr:nvCxnSpPr>
          <xdr:cNvPr id="39" name="Straight Connector 38">
            <a:extLst>
              <a:ext uri="{FF2B5EF4-FFF2-40B4-BE49-F238E27FC236}">
                <a16:creationId xmlns:a16="http://schemas.microsoft.com/office/drawing/2014/main" id="{82FFAE22-5EB8-4CD5-8434-BB05E0B438AF}"/>
              </a:ext>
            </a:extLst>
          </xdr:cNvPr>
          <xdr:cNvCxnSpPr/>
        </xdr:nvCxnSpPr>
        <xdr:spPr>
          <a:xfrm flipV="1">
            <a:off x="722947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40" name="Straight Connector 39">
            <a:extLst>
              <a:ext uri="{FF2B5EF4-FFF2-40B4-BE49-F238E27FC236}">
                <a16:creationId xmlns:a16="http://schemas.microsoft.com/office/drawing/2014/main" id="{46461347-19DD-45F7-A227-78B34A58710E}"/>
              </a:ext>
            </a:extLst>
          </xdr:cNvPr>
          <xdr:cNvCxnSpPr/>
        </xdr:nvCxnSpPr>
        <xdr:spPr>
          <a:xfrm flipV="1">
            <a:off x="2492124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41" name="Straight Connector 40">
            <a:extLst>
              <a:ext uri="{FF2B5EF4-FFF2-40B4-BE49-F238E27FC236}">
                <a16:creationId xmlns:a16="http://schemas.microsoft.com/office/drawing/2014/main" id="{495BCF46-04A4-440E-AE02-C925EA34F7C5}"/>
              </a:ext>
            </a:extLst>
          </xdr:cNvPr>
          <xdr:cNvCxnSpPr/>
        </xdr:nvCxnSpPr>
        <xdr:spPr>
          <a:xfrm>
            <a:off x="426130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42" name="Straight Connector 41">
            <a:extLst>
              <a:ext uri="{FF2B5EF4-FFF2-40B4-BE49-F238E27FC236}">
                <a16:creationId xmlns:a16="http://schemas.microsoft.com/office/drawing/2014/main" id="{70182A0A-0E03-49ED-8F18-94543239CCC8}"/>
              </a:ext>
            </a:extLst>
          </xdr:cNvPr>
          <xdr:cNvCxnSpPr/>
        </xdr:nvCxnSpPr>
        <xdr:spPr>
          <a:xfrm flipV="1">
            <a:off x="6030478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43" name="Straight Connector 42">
            <a:extLst>
              <a:ext uri="{FF2B5EF4-FFF2-40B4-BE49-F238E27FC236}">
                <a16:creationId xmlns:a16="http://schemas.microsoft.com/office/drawing/2014/main" id="{507B1064-C574-402D-BF1B-470D6D76D2D7}"/>
              </a:ext>
            </a:extLst>
          </xdr:cNvPr>
          <xdr:cNvCxnSpPr/>
        </xdr:nvCxnSpPr>
        <xdr:spPr>
          <a:xfrm flipV="1">
            <a:off x="7799655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44" name="Straight Connector 43">
            <a:extLst>
              <a:ext uri="{FF2B5EF4-FFF2-40B4-BE49-F238E27FC236}">
                <a16:creationId xmlns:a16="http://schemas.microsoft.com/office/drawing/2014/main" id="{3311252E-DCB6-427C-A19B-05A78BC79115}"/>
              </a:ext>
            </a:extLst>
          </xdr:cNvPr>
          <xdr:cNvCxnSpPr/>
        </xdr:nvCxnSpPr>
        <xdr:spPr>
          <a:xfrm flipV="1">
            <a:off x="956883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lfredo.setiadi\Downloads\Worksheet%20in%20IoT%20technical%20partners%20Negotiation.ppt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LDO%20IBSW\IBS%20-%20IBC%20-%20OPENET\LIWO%20CIBUBUR\PnL%20LIWO%20Cibubur%2010y%20calculation%20v3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LDO%20IBSW\IBS%20-%20IBC%20-%20OPENET\AEON\PNL%20AEON%20Deltamas%20v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erlink"/>
      <sheetName val="PnL Sensor Base"/>
      <sheetName val="ABIMATA"/>
      <sheetName val="Modelling Kerlink gateway only"/>
    </sheetNames>
    <sheetDataSet>
      <sheetData sheetId="0">
        <row r="5">
          <cell r="D5">
            <v>2</v>
          </cell>
        </row>
      </sheetData>
      <sheetData sheetId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IRR"/>
      <sheetName val="Sheet1"/>
      <sheetName val="PARAMETER"/>
    </sheetNames>
    <sheetDataSet>
      <sheetData sheetId="0"/>
      <sheetData sheetId="1">
        <row r="3">
          <cell r="F3">
            <v>0.1</v>
          </cell>
        </row>
      </sheetData>
      <sheetData sheetId="2"/>
      <sheetData sheetId="3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RR (3)"/>
      <sheetName val="IRR (2)"/>
      <sheetName val="Summary"/>
      <sheetName val="IRR"/>
      <sheetName val="PARAMETER"/>
    </sheetNames>
    <sheetDataSet>
      <sheetData sheetId="0"/>
      <sheetData sheetId="1"/>
      <sheetData sheetId="2"/>
      <sheetData sheetId="3">
        <row r="4">
          <cell r="G4">
            <v>0.1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R32"/>
  <sheetViews>
    <sheetView showGridLines="0" zoomScale="90" zoomScaleNormal="90" workbookViewId="0">
      <selection activeCell="Q9" sqref="Q9"/>
    </sheetView>
  </sheetViews>
  <sheetFormatPr defaultColWidth="8.58203125" defaultRowHeight="15.5" x14ac:dyDescent="0.35"/>
  <cols>
    <col min="1" max="1" width="4.08203125" style="90" customWidth="1"/>
    <col min="2" max="2" width="3" style="90" customWidth="1"/>
    <col min="3" max="3" width="16.58203125" style="90" customWidth="1"/>
    <col min="4" max="4" width="25.5" style="90" customWidth="1"/>
    <col min="5" max="5" width="4.1640625" style="90" customWidth="1"/>
    <col min="6" max="6" width="4.83203125" style="90" customWidth="1"/>
    <col min="7" max="7" width="10.58203125" style="90" customWidth="1"/>
    <col min="8" max="8" width="8.33203125" style="90" customWidth="1"/>
    <col min="9" max="9" width="5.33203125" style="90" customWidth="1"/>
    <col min="10" max="10" width="2.08203125" style="90" customWidth="1"/>
    <col min="11" max="11" width="5.08203125" style="90" customWidth="1"/>
    <col min="12" max="12" width="18.33203125" style="90" bestFit="1" customWidth="1"/>
    <col min="13" max="13" width="16.5" style="90" customWidth="1"/>
    <col min="14" max="14" width="2.08203125" style="90" customWidth="1"/>
    <col min="15" max="15" width="3.58203125" style="90" customWidth="1"/>
    <col min="16" max="16384" width="8.58203125" style="90"/>
  </cols>
  <sheetData>
    <row r="1" spans="2:18" ht="18.649999999999999" customHeight="1" x14ac:dyDescent="0.55000000000000004">
      <c r="B1" s="93" t="s">
        <v>155</v>
      </c>
      <c r="C1" s="93"/>
      <c r="D1" s="93"/>
      <c r="E1" s="93"/>
      <c r="F1" s="93"/>
      <c r="G1" s="93"/>
      <c r="H1" s="93"/>
      <c r="I1" s="93"/>
      <c r="J1" s="93"/>
      <c r="K1" s="93"/>
      <c r="L1" s="93"/>
      <c r="M1" s="163" t="s">
        <v>180</v>
      </c>
      <c r="N1" s="93"/>
    </row>
    <row r="2" spans="2:18" ht="18.5" x14ac:dyDescent="0.45">
      <c r="B2" s="93"/>
      <c r="C2" s="94" t="s">
        <v>48</v>
      </c>
      <c r="D2" s="91" t="s">
        <v>148</v>
      </c>
      <c r="E2" s="93"/>
      <c r="F2" s="93"/>
      <c r="G2" s="93"/>
      <c r="H2" s="93"/>
      <c r="J2" s="116" t="s">
        <v>78</v>
      </c>
      <c r="K2" s="116"/>
      <c r="L2" s="116"/>
      <c r="M2" s="117">
        <v>45811</v>
      </c>
      <c r="N2" s="93"/>
    </row>
    <row r="3" spans="2:18" ht="18.5" x14ac:dyDescent="0.45">
      <c r="B3" s="93"/>
      <c r="C3" s="94" t="s">
        <v>49</v>
      </c>
      <c r="D3" s="91" t="s">
        <v>122</v>
      </c>
      <c r="E3" s="93"/>
      <c r="F3" s="93"/>
      <c r="G3" s="93"/>
      <c r="H3" s="93"/>
      <c r="M3" s="93"/>
      <c r="N3" s="93"/>
    </row>
    <row r="4" spans="2:18" ht="1" customHeight="1" thickBot="1" x14ac:dyDescent="0.4">
      <c r="B4" s="93"/>
      <c r="C4" s="91"/>
      <c r="D4" s="93"/>
      <c r="E4" s="93"/>
      <c r="F4" s="93"/>
      <c r="G4" s="93"/>
      <c r="H4" s="93"/>
      <c r="I4" s="93"/>
      <c r="J4" s="93"/>
      <c r="K4" s="93"/>
      <c r="L4" s="93"/>
      <c r="M4" s="93"/>
      <c r="N4" s="93"/>
    </row>
    <row r="5" spans="2:18" s="92" customFormat="1" ht="19" thickBot="1" x14ac:dyDescent="0.5">
      <c r="B5" s="209" t="s">
        <v>50</v>
      </c>
      <c r="C5" s="210"/>
      <c r="D5" s="211"/>
      <c r="E5" s="209" t="s">
        <v>51</v>
      </c>
      <c r="F5" s="210"/>
      <c r="G5" s="210"/>
      <c r="H5" s="210"/>
      <c r="I5" s="210"/>
      <c r="J5" s="209" t="s">
        <v>52</v>
      </c>
      <c r="K5" s="210"/>
      <c r="L5" s="210"/>
      <c r="M5" s="210"/>
      <c r="N5" s="211"/>
    </row>
    <row r="6" spans="2:18" x14ac:dyDescent="0.35">
      <c r="B6" s="212" t="s">
        <v>53</v>
      </c>
      <c r="C6" s="213"/>
      <c r="D6" s="164" t="str">
        <f>M1</f>
        <v>Plaza Indonesia</v>
      </c>
      <c r="E6" s="214" t="s">
        <v>54</v>
      </c>
      <c r="F6" s="214"/>
      <c r="G6" s="214"/>
      <c r="H6" s="214"/>
      <c r="I6" s="214"/>
      <c r="J6" s="108"/>
      <c r="K6" s="213" t="s">
        <v>55</v>
      </c>
      <c r="L6" s="213"/>
      <c r="M6" s="118">
        <v>0</v>
      </c>
      <c r="N6" s="106"/>
    </row>
    <row r="7" spans="2:18" x14ac:dyDescent="0.35">
      <c r="B7" s="97"/>
      <c r="C7" s="93"/>
      <c r="D7" s="165"/>
      <c r="E7" s="206" t="s">
        <v>57</v>
      </c>
      <c r="F7" s="206"/>
      <c r="G7" s="206"/>
      <c r="H7" s="120"/>
      <c r="I7" s="93"/>
      <c r="J7" s="97"/>
      <c r="K7" s="206" t="s">
        <v>58</v>
      </c>
      <c r="L7" s="206"/>
      <c r="M7" s="121">
        <v>3</v>
      </c>
      <c r="N7" s="95"/>
    </row>
    <row r="8" spans="2:18" x14ac:dyDescent="0.35">
      <c r="B8" s="207" t="s">
        <v>56</v>
      </c>
      <c r="C8" s="208"/>
      <c r="D8" s="119" t="s">
        <v>181</v>
      </c>
      <c r="E8" s="206" t="s">
        <v>60</v>
      </c>
      <c r="F8" s="206"/>
      <c r="G8" s="206"/>
      <c r="H8" s="120">
        <v>0</v>
      </c>
      <c r="I8" s="93"/>
      <c r="J8" s="97"/>
      <c r="K8" s="206" t="s">
        <v>73</v>
      </c>
      <c r="L8" s="206"/>
      <c r="M8" s="122">
        <f>[2]IRR!F3</f>
        <v>0.1</v>
      </c>
      <c r="N8" s="95"/>
    </row>
    <row r="9" spans="2:18" x14ac:dyDescent="0.35">
      <c r="B9" s="109" t="s">
        <v>59</v>
      </c>
      <c r="C9" s="110"/>
      <c r="D9" s="95" t="s">
        <v>182</v>
      </c>
      <c r="E9" s="206" t="s">
        <v>62</v>
      </c>
      <c r="F9" s="206"/>
      <c r="G9" s="206"/>
      <c r="H9" s="123"/>
      <c r="I9" s="93"/>
      <c r="J9" s="97"/>
      <c r="K9" s="206" t="s">
        <v>63</v>
      </c>
      <c r="L9" s="206"/>
      <c r="M9" s="118">
        <v>0</v>
      </c>
      <c r="N9" s="95"/>
    </row>
    <row r="10" spans="2:18" x14ac:dyDescent="0.35">
      <c r="B10" s="111" t="s">
        <v>61</v>
      </c>
      <c r="C10" s="112"/>
      <c r="D10" s="95" t="s">
        <v>183</v>
      </c>
      <c r="E10" s="202" t="s">
        <v>65</v>
      </c>
      <c r="F10" s="202"/>
      <c r="G10" s="202"/>
      <c r="H10" s="202"/>
      <c r="I10" s="202"/>
      <c r="J10" s="113"/>
      <c r="K10" s="201" t="s">
        <v>152</v>
      </c>
      <c r="L10" s="201"/>
      <c r="M10" s="118">
        <f>SUM(IRR!G10:G11)</f>
        <v>0</v>
      </c>
      <c r="N10" s="95"/>
    </row>
    <row r="11" spans="2:18" x14ac:dyDescent="0.35">
      <c r="B11" s="111" t="s">
        <v>64</v>
      </c>
      <c r="C11" s="112"/>
      <c r="D11" s="95" t="s">
        <v>123</v>
      </c>
      <c r="E11" s="200" t="s">
        <v>67</v>
      </c>
      <c r="F11" s="200"/>
      <c r="G11" s="200"/>
      <c r="H11" s="124">
        <v>0</v>
      </c>
      <c r="I11" s="93"/>
      <c r="J11" s="97"/>
      <c r="K11" s="201" t="s">
        <v>153</v>
      </c>
      <c r="L11" s="201"/>
      <c r="M11" s="118">
        <f>IRR!K21</f>
        <v>763761625.71428561</v>
      </c>
      <c r="N11" s="95"/>
    </row>
    <row r="12" spans="2:18" x14ac:dyDescent="0.35">
      <c r="B12" s="114" t="s">
        <v>66</v>
      </c>
      <c r="C12" s="115"/>
      <c r="D12" s="96"/>
      <c r="E12" s="200" t="s">
        <v>69</v>
      </c>
      <c r="F12" s="200"/>
      <c r="G12" s="200"/>
      <c r="H12" s="124">
        <v>0</v>
      </c>
      <c r="I12" s="93"/>
      <c r="J12" s="97"/>
      <c r="K12" s="201" t="s">
        <v>154</v>
      </c>
      <c r="L12" s="201"/>
      <c r="M12" s="162">
        <f>SUM(IRR!K23:K25)</f>
        <v>167072855.625</v>
      </c>
      <c r="N12" s="95"/>
    </row>
    <row r="13" spans="2:18" ht="16" thickBot="1" x14ac:dyDescent="0.4">
      <c r="B13" s="114" t="s">
        <v>68</v>
      </c>
      <c r="C13" s="115"/>
      <c r="D13" s="96"/>
      <c r="E13" s="200" t="s">
        <v>71</v>
      </c>
      <c r="F13" s="200"/>
      <c r="G13" s="200"/>
      <c r="H13" s="124">
        <v>0</v>
      </c>
      <c r="I13" s="93"/>
      <c r="J13" s="97"/>
      <c r="K13" s="201" t="s">
        <v>70</v>
      </c>
      <c r="L13" s="201"/>
      <c r="M13" s="118">
        <f>IRR!K18</f>
        <v>1909404064.2857141</v>
      </c>
      <c r="N13" s="95"/>
    </row>
    <row r="14" spans="2:18" x14ac:dyDescent="0.35">
      <c r="B14" s="97"/>
      <c r="C14" s="93"/>
      <c r="D14" s="95"/>
      <c r="E14" s="202" t="s">
        <v>72</v>
      </c>
      <c r="F14" s="202"/>
      <c r="G14" s="202"/>
      <c r="H14" s="202"/>
      <c r="I14" s="202"/>
      <c r="J14" s="125"/>
      <c r="K14" s="203" t="s">
        <v>25</v>
      </c>
      <c r="L14" s="204"/>
      <c r="M14" s="170" t="str">
        <f>IRR!F40</f>
        <v>Positip</v>
      </c>
      <c r="N14" s="95"/>
    </row>
    <row r="15" spans="2:18" x14ac:dyDescent="0.35">
      <c r="B15" s="97"/>
      <c r="C15" s="93"/>
      <c r="D15" s="95"/>
      <c r="E15" s="93"/>
      <c r="F15" s="93"/>
      <c r="G15" s="93"/>
      <c r="H15" s="93"/>
      <c r="I15" s="93"/>
      <c r="J15" s="126"/>
      <c r="K15" s="194" t="s">
        <v>26</v>
      </c>
      <c r="L15" s="195"/>
      <c r="M15" s="139">
        <f>IRR!F41</f>
        <v>835971188.16027176</v>
      </c>
      <c r="N15" s="95"/>
    </row>
    <row r="16" spans="2:18" x14ac:dyDescent="0.35">
      <c r="B16" s="97"/>
      <c r="C16" s="93"/>
      <c r="D16" s="95"/>
      <c r="E16" s="93"/>
      <c r="F16" s="93"/>
      <c r="G16" s="93"/>
      <c r="H16" s="93"/>
      <c r="I16" s="93"/>
      <c r="J16" s="126"/>
      <c r="K16" s="194" t="s">
        <v>27</v>
      </c>
      <c r="L16" s="195"/>
      <c r="M16" s="98">
        <f>IRR!F42</f>
        <v>0.51250000000000007</v>
      </c>
      <c r="N16" s="95"/>
      <c r="R16" s="90" t="s">
        <v>43</v>
      </c>
    </row>
    <row r="17" spans="2:17" ht="16" thickBot="1" x14ac:dyDescent="0.4">
      <c r="B17" s="97"/>
      <c r="C17" s="93"/>
      <c r="D17" s="95"/>
      <c r="E17" s="93"/>
      <c r="F17" s="93"/>
      <c r="G17" s="93"/>
      <c r="H17" s="93"/>
      <c r="I17" s="93"/>
      <c r="J17" s="126"/>
      <c r="K17" s="196" t="s">
        <v>74</v>
      </c>
      <c r="L17" s="197"/>
      <c r="M17" s="140">
        <f>IRR!F43</f>
        <v>0</v>
      </c>
      <c r="N17" s="95"/>
      <c r="Q17" s="90" t="s">
        <v>43</v>
      </c>
    </row>
    <row r="18" spans="2:17" ht="16" thickBot="1" x14ac:dyDescent="0.4">
      <c r="B18" s="99"/>
      <c r="C18" s="100"/>
      <c r="D18" s="101"/>
      <c r="E18" s="100"/>
      <c r="F18" s="100" t="s">
        <v>43</v>
      </c>
      <c r="G18" s="100"/>
      <c r="H18" s="100"/>
      <c r="I18" s="100"/>
      <c r="J18" s="97"/>
      <c r="K18" s="102"/>
      <c r="L18" s="112"/>
      <c r="M18" s="112"/>
      <c r="N18" s="95"/>
    </row>
    <row r="19" spans="2:17" x14ac:dyDescent="0.35">
      <c r="B19" s="104" t="s">
        <v>77</v>
      </c>
      <c r="C19" s="105"/>
      <c r="D19" s="105"/>
      <c r="E19" s="105"/>
      <c r="F19" s="105"/>
      <c r="G19" s="105"/>
      <c r="H19" s="105"/>
      <c r="I19" s="105"/>
      <c r="J19" s="105"/>
      <c r="L19" s="205" t="s">
        <v>79</v>
      </c>
      <c r="M19" s="205"/>
      <c r="N19" s="106"/>
    </row>
    <row r="20" spans="2:17" x14ac:dyDescent="0.35">
      <c r="B20" s="97" t="s">
        <v>76</v>
      </c>
      <c r="C20" s="93"/>
      <c r="D20" s="93"/>
      <c r="E20" s="93"/>
      <c r="F20" s="93"/>
      <c r="G20" s="93"/>
      <c r="H20" s="93"/>
      <c r="I20" s="93"/>
      <c r="J20" s="93"/>
      <c r="K20" s="93"/>
      <c r="L20" s="198" t="s">
        <v>184</v>
      </c>
      <c r="M20" s="199"/>
      <c r="N20" s="95"/>
    </row>
    <row r="21" spans="2:17" x14ac:dyDescent="0.35">
      <c r="B21" s="97"/>
      <c r="C21" s="93"/>
      <c r="D21" s="93"/>
      <c r="E21" s="93"/>
      <c r="F21" s="93"/>
      <c r="G21" s="93"/>
      <c r="H21" s="93"/>
      <c r="I21" s="93"/>
      <c r="J21" s="93"/>
      <c r="K21" s="93"/>
      <c r="L21" s="93"/>
      <c r="M21" s="93"/>
      <c r="N21" s="95"/>
    </row>
    <row r="22" spans="2:17" x14ac:dyDescent="0.35">
      <c r="B22" s="97"/>
      <c r="C22" s="93"/>
      <c r="D22" s="93" t="s">
        <v>120</v>
      </c>
      <c r="E22" s="93"/>
      <c r="F22" s="93"/>
      <c r="G22" s="93"/>
      <c r="H22" s="93"/>
      <c r="I22" s="93"/>
      <c r="J22" s="93"/>
      <c r="K22" s="93"/>
      <c r="L22" s="93"/>
      <c r="M22" s="93"/>
      <c r="N22" s="95"/>
    </row>
    <row r="23" spans="2:17" x14ac:dyDescent="0.35">
      <c r="B23" s="97"/>
      <c r="C23" s="93"/>
      <c r="E23" s="93"/>
      <c r="F23" s="93"/>
      <c r="G23" s="93"/>
      <c r="H23" s="93"/>
      <c r="I23" s="93"/>
      <c r="J23" s="93"/>
      <c r="K23" s="93"/>
      <c r="L23" s="93"/>
      <c r="M23" s="93"/>
      <c r="N23" s="95"/>
    </row>
    <row r="24" spans="2:17" ht="16" thickBot="1" x14ac:dyDescent="0.4">
      <c r="B24" s="99"/>
      <c r="C24" s="100"/>
      <c r="D24" s="100"/>
      <c r="E24" s="100"/>
      <c r="F24" s="100"/>
      <c r="G24" s="100"/>
      <c r="H24" s="100"/>
      <c r="I24" s="100"/>
      <c r="J24" s="100"/>
      <c r="K24" s="100"/>
      <c r="L24" s="100"/>
      <c r="M24" s="100"/>
      <c r="N24" s="101"/>
    </row>
    <row r="25" spans="2:17" ht="2.4" customHeight="1" x14ac:dyDescent="0.35"/>
    <row r="26" spans="2:17" s="157" customFormat="1" x14ac:dyDescent="0.35">
      <c r="B26" s="158" t="s">
        <v>80</v>
      </c>
    </row>
    <row r="27" spans="2:17" s="157" customFormat="1" x14ac:dyDescent="0.35">
      <c r="B27" s="159"/>
      <c r="C27" s="159"/>
      <c r="D27" s="159"/>
      <c r="E27" s="159"/>
      <c r="F27" s="159"/>
      <c r="G27" s="159"/>
      <c r="H27" s="159"/>
      <c r="I27" s="159"/>
      <c r="J27" s="159"/>
      <c r="K27" s="159"/>
      <c r="L27" s="159"/>
      <c r="M27" s="159"/>
      <c r="N27" s="159"/>
      <c r="O27" s="159"/>
    </row>
    <row r="28" spans="2:17" s="157" customFormat="1" x14ac:dyDescent="0.35">
      <c r="B28" s="159"/>
      <c r="C28" s="159"/>
      <c r="D28" s="159"/>
      <c r="E28" s="159"/>
      <c r="F28" s="159"/>
      <c r="G28" s="159"/>
      <c r="H28" s="159"/>
      <c r="I28" s="159"/>
      <c r="J28" s="159"/>
      <c r="K28" s="159"/>
      <c r="L28" s="159"/>
      <c r="M28" s="159"/>
      <c r="N28" s="159"/>
      <c r="O28" s="159"/>
    </row>
    <row r="29" spans="2:17" s="157" customFormat="1" x14ac:dyDescent="0.35">
      <c r="B29" s="159"/>
      <c r="C29" s="159"/>
      <c r="D29" s="159"/>
      <c r="E29" s="159"/>
      <c r="F29" s="159"/>
      <c r="G29" s="159"/>
      <c r="H29" s="159"/>
      <c r="I29" s="159"/>
      <c r="J29" s="159"/>
      <c r="K29" s="159"/>
      <c r="L29" s="159"/>
      <c r="M29" s="159"/>
      <c r="N29" s="159"/>
      <c r="O29" s="159"/>
    </row>
    <row r="30" spans="2:17" s="157" customFormat="1" x14ac:dyDescent="0.35">
      <c r="B30" s="159"/>
      <c r="C30" s="159"/>
      <c r="D30" s="159"/>
      <c r="E30" s="159"/>
      <c r="F30" s="159"/>
      <c r="G30" s="159"/>
      <c r="H30" s="159"/>
      <c r="I30" s="159"/>
      <c r="J30" s="159"/>
      <c r="K30" s="159"/>
      <c r="L30" s="159"/>
      <c r="M30" s="159"/>
      <c r="N30" s="159"/>
      <c r="O30" s="159"/>
    </row>
    <row r="31" spans="2:17" s="157" customFormat="1" x14ac:dyDescent="0.35">
      <c r="B31" s="159"/>
      <c r="C31" s="159"/>
      <c r="D31" s="159"/>
      <c r="E31" s="159"/>
      <c r="F31" s="159"/>
      <c r="G31" s="159"/>
      <c r="H31" s="159"/>
      <c r="I31" s="159"/>
      <c r="J31" s="159"/>
      <c r="K31" s="159"/>
      <c r="L31" s="159"/>
      <c r="M31" s="159"/>
      <c r="N31" s="159"/>
      <c r="O31" s="159"/>
    </row>
    <row r="32" spans="2:17" s="157" customFormat="1" x14ac:dyDescent="0.35">
      <c r="B32" s="159"/>
      <c r="C32" s="159"/>
      <c r="D32" s="159"/>
      <c r="E32" s="159"/>
      <c r="F32" s="159"/>
      <c r="G32" s="159"/>
      <c r="H32" s="159"/>
      <c r="I32" s="159"/>
      <c r="J32" s="159"/>
      <c r="K32" s="159"/>
      <c r="L32" s="159"/>
      <c r="M32" s="159"/>
      <c r="N32" s="159"/>
      <c r="O32" s="159"/>
    </row>
  </sheetData>
  <mergeCells count="28">
    <mergeCell ref="B5:D5"/>
    <mergeCell ref="E5:I5"/>
    <mergeCell ref="J5:N5"/>
    <mergeCell ref="B6:C6"/>
    <mergeCell ref="E6:I6"/>
    <mergeCell ref="K6:L6"/>
    <mergeCell ref="B8:C8"/>
    <mergeCell ref="E7:G7"/>
    <mergeCell ref="K7:L7"/>
    <mergeCell ref="E8:G8"/>
    <mergeCell ref="K8:L8"/>
    <mergeCell ref="E9:G9"/>
    <mergeCell ref="K9:L9"/>
    <mergeCell ref="E10:I10"/>
    <mergeCell ref="K10:L10"/>
    <mergeCell ref="E11:G11"/>
    <mergeCell ref="K11:L11"/>
    <mergeCell ref="K16:L16"/>
    <mergeCell ref="K17:L17"/>
    <mergeCell ref="L20:M20"/>
    <mergeCell ref="E12:G12"/>
    <mergeCell ref="K13:L13"/>
    <mergeCell ref="E13:G13"/>
    <mergeCell ref="E14:I14"/>
    <mergeCell ref="K14:L14"/>
    <mergeCell ref="K15:L15"/>
    <mergeCell ref="K12:L12"/>
    <mergeCell ref="L19:M19"/>
  </mergeCells>
  <pageMargins left="0.7" right="0.7" top="0.75" bottom="0.75" header="0.3" footer="0.3"/>
  <pageSetup paperSize="9" scale="92" fitToWidth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Q50"/>
  <sheetViews>
    <sheetView showGridLines="0" tabSelected="1" topLeftCell="A7" zoomScale="90" zoomScaleNormal="90" workbookViewId="0">
      <selection activeCell="L18" sqref="L18"/>
    </sheetView>
  </sheetViews>
  <sheetFormatPr defaultColWidth="10.58203125" defaultRowHeight="15.5" x14ac:dyDescent="0.35"/>
  <cols>
    <col min="1" max="1" width="4.08203125" customWidth="1"/>
    <col min="2" max="2" width="3.58203125" customWidth="1"/>
    <col min="3" max="3" width="4.58203125" customWidth="1"/>
    <col min="4" max="4" width="18.83203125" customWidth="1"/>
    <col min="5" max="5" width="7.1640625" bestFit="1" customWidth="1"/>
    <col min="6" max="6" width="16.83203125" customWidth="1"/>
    <col min="7" max="10" width="17.58203125" style="2" customWidth="1"/>
    <col min="11" max="11" width="16.58203125" bestFit="1" customWidth="1"/>
    <col min="12" max="12" width="15.83203125" customWidth="1"/>
    <col min="13" max="13" width="15" bestFit="1" customWidth="1"/>
    <col min="14" max="14" width="15.58203125" bestFit="1" customWidth="1"/>
    <col min="15" max="15" width="11.6640625" bestFit="1" customWidth="1"/>
  </cols>
  <sheetData>
    <row r="1" spans="2:17" ht="23.5" x14ac:dyDescent="0.55000000000000004">
      <c r="B1" s="169"/>
      <c r="K1" s="168" t="s">
        <v>157</v>
      </c>
    </row>
    <row r="2" spans="2:17" x14ac:dyDescent="0.35">
      <c r="B2" s="3" t="s">
        <v>0</v>
      </c>
      <c r="K2" s="167"/>
    </row>
    <row r="3" spans="2:17" x14ac:dyDescent="0.35">
      <c r="C3" t="s">
        <v>1</v>
      </c>
      <c r="F3" s="5">
        <v>0.02</v>
      </c>
      <c r="K3" s="4"/>
      <c r="L3" s="4"/>
      <c r="M3" s="4"/>
    </row>
    <row r="4" spans="2:17" x14ac:dyDescent="0.35">
      <c r="C4" t="s">
        <v>35</v>
      </c>
      <c r="F4" s="5">
        <v>0.1</v>
      </c>
      <c r="K4" s="4"/>
      <c r="L4" s="4"/>
      <c r="M4" s="4"/>
    </row>
    <row r="5" spans="2:17" x14ac:dyDescent="0.35">
      <c r="C5" t="s">
        <v>2</v>
      </c>
      <c r="F5" s="5">
        <v>0.02</v>
      </c>
      <c r="G5" s="2" t="s">
        <v>3</v>
      </c>
    </row>
    <row r="6" spans="2:17" x14ac:dyDescent="0.35">
      <c r="C6" t="s">
        <v>4</v>
      </c>
      <c r="F6" s="6">
        <v>0</v>
      </c>
      <c r="G6" s="2" t="s">
        <v>3</v>
      </c>
    </row>
    <row r="7" spans="2:17" x14ac:dyDescent="0.35">
      <c r="C7" t="s">
        <v>75</v>
      </c>
      <c r="F7" s="5">
        <v>0.15</v>
      </c>
    </row>
    <row r="8" spans="2:17" x14ac:dyDescent="0.35">
      <c r="C8" t="s">
        <v>121</v>
      </c>
      <c r="F8" s="142"/>
    </row>
    <row r="9" spans="2:17" ht="4.75" customHeight="1" x14ac:dyDescent="0.35">
      <c r="B9" s="1"/>
      <c r="G9" s="30" t="s">
        <v>34</v>
      </c>
      <c r="H9" s="30"/>
      <c r="I9" s="30"/>
      <c r="J9" s="30"/>
      <c r="K9" s="23"/>
      <c r="L9" s="39"/>
      <c r="M9" s="39"/>
      <c r="N9" s="39"/>
      <c r="O9" s="39"/>
      <c r="P9" s="39"/>
    </row>
    <row r="10" spans="2:17" s="81" customFormat="1" ht="16" thickBot="1" x14ac:dyDescent="0.4">
      <c r="B10" s="87" t="s">
        <v>41</v>
      </c>
      <c r="F10" s="86"/>
      <c r="G10" s="82">
        <v>0</v>
      </c>
      <c r="H10" s="83"/>
      <c r="I10" s="83"/>
      <c r="J10" s="83"/>
      <c r="K10" s="85"/>
      <c r="L10" s="83"/>
      <c r="M10" s="83"/>
      <c r="N10" s="83"/>
      <c r="O10" s="83"/>
      <c r="P10" s="83"/>
    </row>
    <row r="11" spans="2:17" s="81" customFormat="1" ht="6.65" customHeight="1" thickTop="1" x14ac:dyDescent="0.35">
      <c r="B11" s="87"/>
      <c r="F11" s="86"/>
      <c r="G11" s="83"/>
      <c r="H11" s="83"/>
      <c r="I11" s="83"/>
      <c r="J11" s="83"/>
      <c r="K11" s="85"/>
      <c r="L11" s="83"/>
      <c r="M11" s="83"/>
      <c r="N11" s="83"/>
      <c r="O11" s="83"/>
      <c r="P11" s="83"/>
    </row>
    <row r="12" spans="2:17" x14ac:dyDescent="0.35">
      <c r="F12" s="10"/>
      <c r="G12" s="9">
        <v>2023</v>
      </c>
      <c r="H12" s="9">
        <f>G12+1</f>
        <v>2024</v>
      </c>
      <c r="I12" s="9">
        <f>H12+1</f>
        <v>2025</v>
      </c>
      <c r="J12" s="9">
        <f>I12+1</f>
        <v>2026</v>
      </c>
      <c r="K12" s="23"/>
      <c r="N12" s="38"/>
      <c r="O12" s="38"/>
      <c r="P12" s="38"/>
      <c r="Q12" s="38"/>
    </row>
    <row r="13" spans="2:17" ht="16" thickBot="1" x14ac:dyDescent="0.4">
      <c r="B13" s="11" t="s">
        <v>10</v>
      </c>
      <c r="C13" s="7"/>
      <c r="D13" s="7"/>
      <c r="E13" s="7"/>
      <c r="F13" s="7"/>
      <c r="G13" s="8" t="s">
        <v>5</v>
      </c>
      <c r="H13" s="8" t="s">
        <v>6</v>
      </c>
      <c r="I13" s="8" t="s">
        <v>7</v>
      </c>
      <c r="J13" s="8" t="s">
        <v>8</v>
      </c>
      <c r="K13" s="67" t="s">
        <v>11</v>
      </c>
      <c r="L13" s="52"/>
      <c r="M13" s="52"/>
      <c r="N13" s="52"/>
      <c r="O13" s="38"/>
      <c r="P13" s="38"/>
      <c r="Q13" s="38"/>
    </row>
    <row r="14" spans="2:17" x14ac:dyDescent="0.35">
      <c r="B14" t="s">
        <v>12</v>
      </c>
      <c r="G14" s="9">
        <v>12</v>
      </c>
      <c r="H14" s="9"/>
      <c r="I14" s="9"/>
      <c r="J14" s="9"/>
      <c r="K14" s="68"/>
    </row>
    <row r="15" spans="2:17" ht="3" customHeight="1" x14ac:dyDescent="0.35">
      <c r="K15" s="68"/>
    </row>
    <row r="16" spans="2:17" ht="2.4" customHeight="1" x14ac:dyDescent="0.35">
      <c r="E16" s="16"/>
      <c r="G16" s="144"/>
      <c r="H16" s="17"/>
      <c r="I16" s="17"/>
      <c r="J16" s="17"/>
      <c r="K16" s="68"/>
    </row>
    <row r="17" spans="2:15" x14ac:dyDescent="0.35">
      <c r="B17" s="1" t="s">
        <v>187</v>
      </c>
      <c r="E17" s="16"/>
      <c r="G17" s="141">
        <f>Revenue!U26</f>
        <v>477351016.07142854</v>
      </c>
      <c r="H17" s="141">
        <f>G17</f>
        <v>477351016.07142854</v>
      </c>
      <c r="I17" s="141">
        <f>H17</f>
        <v>477351016.07142854</v>
      </c>
      <c r="J17" s="141">
        <f>H17</f>
        <v>477351016.07142854</v>
      </c>
      <c r="K17" s="166">
        <f>SUM(G17:J17)</f>
        <v>1909404064.2857141</v>
      </c>
    </row>
    <row r="18" spans="2:15" x14ac:dyDescent="0.35">
      <c r="B18" s="62" t="s">
        <v>124</v>
      </c>
      <c r="C18" s="62"/>
      <c r="D18" s="62"/>
      <c r="E18" s="215"/>
      <c r="F18" s="216"/>
      <c r="G18" s="63">
        <f>SUM(G17:G17)</f>
        <v>477351016.07142854</v>
      </c>
      <c r="H18" s="63">
        <f t="shared" ref="H18:J18" si="0">SUM(H17:H17)</f>
        <v>477351016.07142854</v>
      </c>
      <c r="I18" s="63">
        <f t="shared" ref="I18" si="1">SUM(I17:I17)</f>
        <v>477351016.07142854</v>
      </c>
      <c r="J18" s="63">
        <f t="shared" si="0"/>
        <v>477351016.07142854</v>
      </c>
      <c r="K18" s="69">
        <f>SUM(G18:J18)</f>
        <v>1909404064.2857141</v>
      </c>
      <c r="L18" s="41"/>
      <c r="M18" s="41"/>
      <c r="N18" s="41"/>
      <c r="O18" s="43"/>
    </row>
    <row r="19" spans="2:15" ht="3" customHeight="1" x14ac:dyDescent="0.35">
      <c r="K19" s="68"/>
      <c r="L19" s="43"/>
      <c r="M19" s="43"/>
      <c r="N19" s="43"/>
    </row>
    <row r="20" spans="2:15" x14ac:dyDescent="0.35">
      <c r="B20" s="1" t="s">
        <v>13</v>
      </c>
      <c r="E20" s="16"/>
      <c r="F20" s="16"/>
      <c r="G20" s="17"/>
      <c r="H20" s="17"/>
      <c r="I20" s="17"/>
      <c r="J20" s="17"/>
      <c r="K20" s="70"/>
      <c r="L20" s="44"/>
      <c r="M20" s="44"/>
      <c r="N20" s="43"/>
    </row>
    <row r="21" spans="2:15" x14ac:dyDescent="0.35">
      <c r="B21" s="1"/>
      <c r="C21" t="s">
        <v>125</v>
      </c>
      <c r="E21" s="143">
        <v>0.2</v>
      </c>
      <c r="F21" s="16" t="s">
        <v>150</v>
      </c>
      <c r="G21" s="12">
        <f>Revenue!U9</f>
        <v>190940406.4285714</v>
      </c>
      <c r="H21" s="141">
        <f>G21</f>
        <v>190940406.4285714</v>
      </c>
      <c r="I21" s="141">
        <f>H21</f>
        <v>190940406.4285714</v>
      </c>
      <c r="J21" s="141">
        <f>H21</f>
        <v>190940406.4285714</v>
      </c>
      <c r="K21" s="71">
        <f>SUM(G21:J21)</f>
        <v>763761625.71428561</v>
      </c>
      <c r="L21" s="44"/>
      <c r="M21" s="44"/>
      <c r="N21" s="43"/>
    </row>
    <row r="22" spans="2:15" ht="2.4" customHeight="1" x14ac:dyDescent="0.35">
      <c r="C22" t="s">
        <v>14</v>
      </c>
      <c r="F22" s="107"/>
      <c r="G22" s="12">
        <v>0</v>
      </c>
      <c r="H22" s="12"/>
      <c r="I22" s="12"/>
      <c r="J22" s="12"/>
      <c r="K22" s="71">
        <f>SUM(G22:J22)</f>
        <v>0</v>
      </c>
      <c r="L22" s="41"/>
      <c r="M22" s="41"/>
      <c r="N22" s="42"/>
    </row>
    <row r="23" spans="2:15" x14ac:dyDescent="0.35">
      <c r="C23" t="s">
        <v>151</v>
      </c>
      <c r="E23" s="160">
        <v>0.05</v>
      </c>
      <c r="F23" s="16" t="s">
        <v>150</v>
      </c>
      <c r="G23" s="103">
        <f>G18*$E$23</f>
        <v>23867550.803571429</v>
      </c>
      <c r="H23" s="103">
        <f>H18*$E$23</f>
        <v>23867550.803571429</v>
      </c>
      <c r="I23" s="103">
        <f>I18*$E$23</f>
        <v>23867550.803571429</v>
      </c>
      <c r="J23" s="103">
        <f t="shared" ref="J23" si="2">J18*$E$23</f>
        <v>23867550.803571429</v>
      </c>
      <c r="K23" s="71">
        <f>SUM(G23:J23)</f>
        <v>95470203.214285716</v>
      </c>
      <c r="L23" s="41"/>
      <c r="M23" s="41"/>
      <c r="N23" s="42"/>
      <c r="O23" s="43"/>
    </row>
    <row r="24" spans="2:15" x14ac:dyDescent="0.35">
      <c r="C24" t="s">
        <v>149</v>
      </c>
      <c r="E24" s="161">
        <v>1.7500000000000002E-2</v>
      </c>
      <c r="F24" s="16" t="s">
        <v>150</v>
      </c>
      <c r="G24" s="103">
        <f>G18*$E$24</f>
        <v>8353642.78125</v>
      </c>
      <c r="H24" s="103">
        <f t="shared" ref="H24:J24" si="3">H18*$E$24</f>
        <v>8353642.78125</v>
      </c>
      <c r="I24" s="103">
        <f t="shared" ref="I24" si="4">I18*$E$24</f>
        <v>8353642.78125</v>
      </c>
      <c r="J24" s="103">
        <f t="shared" si="3"/>
        <v>8353642.78125</v>
      </c>
      <c r="K24" s="71">
        <f>SUM(G24:J24)</f>
        <v>33414571.125</v>
      </c>
      <c r="L24" s="41"/>
      <c r="M24" s="41"/>
      <c r="N24" s="42"/>
      <c r="O24" s="43"/>
    </row>
    <row r="25" spans="2:15" x14ac:dyDescent="0.35">
      <c r="B25" s="14"/>
      <c r="C25" s="14" t="s">
        <v>2</v>
      </c>
      <c r="D25" s="14"/>
      <c r="E25" s="14"/>
      <c r="F25" s="14"/>
      <c r="G25" s="18">
        <f>G18*$F$5</f>
        <v>9547020.3214285709</v>
      </c>
      <c r="H25" s="18">
        <f t="shared" ref="H25:J25" si="5">H18*$F$5</f>
        <v>9547020.3214285709</v>
      </c>
      <c r="I25" s="18">
        <f t="shared" ref="I25" si="6">I18*$F$5</f>
        <v>9547020.3214285709</v>
      </c>
      <c r="J25" s="18">
        <f t="shared" si="5"/>
        <v>9547020.3214285709</v>
      </c>
      <c r="K25" s="71">
        <f>SUM(G25:J25)</f>
        <v>38188081.285714284</v>
      </c>
      <c r="L25" s="45"/>
      <c r="M25" s="45"/>
      <c r="N25" s="42"/>
      <c r="O25" s="43"/>
    </row>
    <row r="26" spans="2:15" s="1" customFormat="1" x14ac:dyDescent="0.35">
      <c r="B26" s="62" t="s">
        <v>15</v>
      </c>
      <c r="C26" s="62"/>
      <c r="D26" s="62"/>
      <c r="E26" s="62"/>
      <c r="F26" s="62"/>
      <c r="G26" s="63">
        <f>SUM(G21:G25)</f>
        <v>232708620.3348214</v>
      </c>
      <c r="H26" s="63">
        <f t="shared" ref="H26:J26" si="7">SUM(H21:H25)</f>
        <v>232708620.3348214</v>
      </c>
      <c r="I26" s="63">
        <f t="shared" ref="I26" si="8">SUM(I21:I25)</f>
        <v>232708620.3348214</v>
      </c>
      <c r="J26" s="63">
        <f t="shared" si="7"/>
        <v>232708620.3348214</v>
      </c>
      <c r="K26" s="84">
        <f>SUM(K21:K25)</f>
        <v>930834481.33928561</v>
      </c>
      <c r="L26" s="46"/>
      <c r="M26" s="46"/>
      <c r="N26" s="46"/>
      <c r="O26" s="47"/>
    </row>
    <row r="27" spans="2:15" s="1" customFormat="1" x14ac:dyDescent="0.35">
      <c r="B27" s="1" t="s">
        <v>16</v>
      </c>
      <c r="G27" s="19">
        <f t="shared" ref="G27:K27" si="9">G18-G26</f>
        <v>244642395.73660713</v>
      </c>
      <c r="H27" s="19">
        <f t="shared" si="9"/>
        <v>244642395.73660713</v>
      </c>
      <c r="I27" s="19">
        <f t="shared" ref="I27" si="10">I18-I26</f>
        <v>244642395.73660713</v>
      </c>
      <c r="J27" s="19">
        <f t="shared" si="9"/>
        <v>244642395.73660713</v>
      </c>
      <c r="K27" s="72">
        <f t="shared" si="9"/>
        <v>978569582.94642854</v>
      </c>
      <c r="L27" s="46"/>
      <c r="M27" s="46"/>
      <c r="N27" s="46"/>
      <c r="O27" s="47"/>
    </row>
    <row r="28" spans="2:15" s="1" customFormat="1" x14ac:dyDescent="0.35">
      <c r="B28" s="20" t="s">
        <v>17</v>
      </c>
      <c r="C28" s="21"/>
      <c r="D28" s="21"/>
      <c r="E28" s="21"/>
      <c r="F28" s="21"/>
      <c r="G28" s="22">
        <f t="shared" ref="G28:J28" si="11">G27/G18</f>
        <v>0.51250000000000007</v>
      </c>
      <c r="H28" s="22">
        <f t="shared" si="11"/>
        <v>0.51250000000000007</v>
      </c>
      <c r="I28" s="22">
        <f t="shared" ref="I28" si="12">I27/I18</f>
        <v>0.51250000000000007</v>
      </c>
      <c r="J28" s="22">
        <f t="shared" si="11"/>
        <v>0.51250000000000007</v>
      </c>
      <c r="K28" s="73">
        <f>K27/K18</f>
        <v>0.51250000000000007</v>
      </c>
      <c r="L28" s="48"/>
      <c r="M28" s="48"/>
      <c r="N28" s="48"/>
      <c r="O28" s="47"/>
    </row>
    <row r="29" spans="2:15" x14ac:dyDescent="0.35">
      <c r="B29" s="14" t="s">
        <v>18</v>
      </c>
      <c r="C29" s="14"/>
      <c r="D29" s="14"/>
      <c r="E29" s="14"/>
      <c r="F29" s="14"/>
      <c r="G29" s="15">
        <f>G47</f>
        <v>0</v>
      </c>
      <c r="H29" s="15">
        <f t="shared" ref="H29:J29" si="13">H47</f>
        <v>0</v>
      </c>
      <c r="I29" s="15">
        <f t="shared" ref="I29" si="14">I47</f>
        <v>0</v>
      </c>
      <c r="J29" s="15">
        <f t="shared" si="13"/>
        <v>0</v>
      </c>
      <c r="K29" s="74">
        <f>SUM(G29:J29)</f>
        <v>0</v>
      </c>
      <c r="L29" s="41"/>
      <c r="M29" s="41"/>
      <c r="N29" s="41"/>
      <c r="O29" s="43"/>
    </row>
    <row r="30" spans="2:15" x14ac:dyDescent="0.35">
      <c r="B30" s="23" t="s">
        <v>19</v>
      </c>
      <c r="G30" s="24">
        <f t="shared" ref="G30:J30" si="15">G27-G29</f>
        <v>244642395.73660713</v>
      </c>
      <c r="H30" s="24">
        <f t="shared" si="15"/>
        <v>244642395.73660713</v>
      </c>
      <c r="I30" s="24">
        <f t="shared" ref="I30" si="16">I27-I29</f>
        <v>244642395.73660713</v>
      </c>
      <c r="J30" s="24">
        <f t="shared" si="15"/>
        <v>244642395.73660713</v>
      </c>
      <c r="K30" s="75">
        <f>K27-K29</f>
        <v>978569582.94642854</v>
      </c>
      <c r="L30" s="49"/>
      <c r="M30" s="49"/>
      <c r="N30" s="49"/>
      <c r="O30" s="43"/>
    </row>
    <row r="31" spans="2:15" x14ac:dyDescent="0.35">
      <c r="B31" s="23" t="s">
        <v>32</v>
      </c>
      <c r="G31" s="65">
        <f>PARAMETER!F6</f>
        <v>0</v>
      </c>
      <c r="H31" s="65">
        <f>PARAMETER!G6</f>
        <v>0</v>
      </c>
      <c r="I31" s="65">
        <f>PARAMETER!H6</f>
        <v>0</v>
      </c>
      <c r="J31" s="65">
        <f>PARAMETER!H6</f>
        <v>0</v>
      </c>
      <c r="K31" s="88">
        <f>SUM(G31:G31)</f>
        <v>0</v>
      </c>
      <c r="L31" s="49"/>
      <c r="M31" s="49"/>
      <c r="N31" s="49"/>
      <c r="O31" s="43"/>
    </row>
    <row r="32" spans="2:15" x14ac:dyDescent="0.35">
      <c r="B32" s="23" t="s">
        <v>33</v>
      </c>
      <c r="G32" s="65">
        <f>G30-G31</f>
        <v>244642395.73660713</v>
      </c>
      <c r="H32" s="65">
        <f t="shared" ref="H32:J32" si="17">H30-H31</f>
        <v>244642395.73660713</v>
      </c>
      <c r="I32" s="65">
        <f t="shared" ref="I32" si="18">I30-I31</f>
        <v>244642395.73660713</v>
      </c>
      <c r="J32" s="65">
        <f t="shared" si="17"/>
        <v>244642395.73660713</v>
      </c>
      <c r="K32" s="88">
        <f>SUM(G32:J32)</f>
        <v>978569582.94642854</v>
      </c>
      <c r="L32" s="49"/>
      <c r="M32" s="49"/>
      <c r="N32" s="49"/>
      <c r="O32" s="43"/>
    </row>
    <row r="33" spans="2:17" x14ac:dyDescent="0.35">
      <c r="B33" s="14" t="s">
        <v>20</v>
      </c>
      <c r="C33" s="14"/>
      <c r="D33" s="14"/>
      <c r="E33" s="14"/>
      <c r="F33" s="14"/>
      <c r="G33" s="64">
        <f>IF(G32&lt;0,0,G32*$F$3)</f>
        <v>4892847.9147321424</v>
      </c>
      <c r="H33" s="64">
        <f t="shared" ref="H33:J33" si="19">IF(H32&lt;0,0,H32*$F$3)</f>
        <v>4892847.9147321424</v>
      </c>
      <c r="I33" s="64">
        <f t="shared" ref="I33" si="20">IF(I32&lt;0,0,I32*$F$3)</f>
        <v>4892847.9147321424</v>
      </c>
      <c r="J33" s="64">
        <f t="shared" si="19"/>
        <v>4892847.9147321424</v>
      </c>
      <c r="K33" s="76">
        <f>SUM(G33:J33)</f>
        <v>19571391.658928569</v>
      </c>
      <c r="L33" s="51"/>
      <c r="M33" s="51"/>
      <c r="N33" s="50"/>
      <c r="O33" s="43"/>
    </row>
    <row r="34" spans="2:17" ht="16" thickBot="1" x14ac:dyDescent="0.4">
      <c r="B34" s="26" t="s">
        <v>42</v>
      </c>
      <c r="C34" s="26"/>
      <c r="D34" s="26"/>
      <c r="E34" s="26"/>
      <c r="F34" s="26"/>
      <c r="G34" s="27">
        <f>G32-G33</f>
        <v>239749547.82187501</v>
      </c>
      <c r="H34" s="27">
        <f t="shared" ref="H34:J34" si="21">H32-H33</f>
        <v>239749547.82187501</v>
      </c>
      <c r="I34" s="27">
        <f t="shared" ref="I34" si="22">I32-I33</f>
        <v>239749547.82187501</v>
      </c>
      <c r="J34" s="27">
        <f t="shared" si="21"/>
        <v>239749547.82187501</v>
      </c>
      <c r="K34" s="77">
        <f>K32-K33</f>
        <v>958998191.28750002</v>
      </c>
      <c r="L34" s="49"/>
      <c r="M34" s="49"/>
      <c r="N34" s="49"/>
      <c r="O34" s="43"/>
    </row>
    <row r="35" spans="2:17" x14ac:dyDescent="0.35">
      <c r="K35" s="68"/>
      <c r="L35" s="43"/>
      <c r="M35" s="43"/>
      <c r="N35" s="43"/>
      <c r="O35" s="43"/>
    </row>
    <row r="36" spans="2:17" x14ac:dyDescent="0.35">
      <c r="B36" s="14" t="s">
        <v>21</v>
      </c>
      <c r="C36" s="14"/>
      <c r="D36" s="14"/>
      <c r="E36" s="14"/>
      <c r="F36" s="28"/>
      <c r="G36" s="28">
        <f>-G10+-G11</f>
        <v>0</v>
      </c>
      <c r="H36" s="28"/>
      <c r="I36" s="28"/>
      <c r="J36" s="28"/>
      <c r="K36" s="78"/>
      <c r="L36" s="50"/>
      <c r="M36" s="50"/>
      <c r="N36" s="50"/>
      <c r="O36" s="43"/>
    </row>
    <row r="37" spans="2:17" x14ac:dyDescent="0.35">
      <c r="B37" t="s">
        <v>22</v>
      </c>
      <c r="F37" s="25">
        <f>F36</f>
        <v>0</v>
      </c>
      <c r="G37" s="25">
        <f t="shared" ref="G37:J37" si="23">G36+G34+G29</f>
        <v>239749547.82187501</v>
      </c>
      <c r="H37" s="25">
        <f t="shared" si="23"/>
        <v>239749547.82187501</v>
      </c>
      <c r="I37" s="25">
        <f t="shared" ref="I37" si="24">I36+I34+I29</f>
        <v>239749547.82187501</v>
      </c>
      <c r="J37" s="25">
        <f t="shared" si="23"/>
        <v>239749547.82187501</v>
      </c>
      <c r="K37" s="79">
        <f>SUM(G37:J37)</f>
        <v>958998191.28750002</v>
      </c>
      <c r="L37" s="50"/>
      <c r="M37" s="50"/>
      <c r="N37" s="50"/>
      <c r="O37" s="43"/>
    </row>
    <row r="38" spans="2:17" x14ac:dyDescent="0.35">
      <c r="B38" t="s">
        <v>23</v>
      </c>
      <c r="F38" s="25">
        <f>F37</f>
        <v>0</v>
      </c>
      <c r="G38" s="25">
        <f>F38+G37</f>
        <v>239749547.82187501</v>
      </c>
      <c r="H38" s="25">
        <f t="shared" ref="H38:I38" si="25">G38+H37</f>
        <v>479499095.64375001</v>
      </c>
      <c r="I38" s="25">
        <f t="shared" si="25"/>
        <v>719248643.46562505</v>
      </c>
      <c r="J38" s="25">
        <f>H38+J37</f>
        <v>719248643.46562505</v>
      </c>
      <c r="K38" s="79"/>
      <c r="L38" s="50"/>
      <c r="M38" s="50"/>
      <c r="N38" s="50"/>
      <c r="O38" s="43"/>
    </row>
    <row r="39" spans="2:17" x14ac:dyDescent="0.35">
      <c r="B39" t="s">
        <v>24</v>
      </c>
      <c r="F39" s="25"/>
      <c r="G39" s="29">
        <f>IF(AND(F38&lt;0,G38&gt;0),G44-(G38/G37),0)</f>
        <v>0</v>
      </c>
      <c r="H39" s="29">
        <f>IF(AND(G38&lt;0,H38&gt;0),H44-(H38/H37),0)</f>
        <v>0</v>
      </c>
      <c r="I39" s="29"/>
      <c r="J39" s="29">
        <f>IF(AND(H38&lt;0,J38&gt;0),J44-(J38/J37),0)</f>
        <v>0</v>
      </c>
      <c r="K39" s="80"/>
      <c r="L39" s="29"/>
      <c r="M39" s="29"/>
      <c r="N39" s="29"/>
    </row>
    <row r="40" spans="2:17" x14ac:dyDescent="0.35">
      <c r="B40" s="53" t="s">
        <v>25</v>
      </c>
      <c r="C40" s="54"/>
      <c r="D40" s="54"/>
      <c r="E40" s="54"/>
      <c r="F40" s="193" t="s">
        <v>156</v>
      </c>
      <c r="H40" s="192"/>
      <c r="I40" s="192"/>
    </row>
    <row r="41" spans="2:17" x14ac:dyDescent="0.35">
      <c r="B41" s="55" t="s">
        <v>26</v>
      </c>
      <c r="C41" s="56"/>
      <c r="D41" s="56"/>
      <c r="E41" s="56"/>
      <c r="F41" s="57">
        <f>NPV(F4,H37:J37)+G37</f>
        <v>835971188.16027176</v>
      </c>
    </row>
    <row r="42" spans="2:17" x14ac:dyDescent="0.35">
      <c r="B42" s="55" t="s">
        <v>27</v>
      </c>
      <c r="C42" s="56"/>
      <c r="D42" s="56"/>
      <c r="E42" s="56"/>
      <c r="F42" s="58">
        <f>K28</f>
        <v>0.51250000000000007</v>
      </c>
    </row>
    <row r="43" spans="2:17" x14ac:dyDescent="0.35">
      <c r="B43" s="59" t="s">
        <v>28</v>
      </c>
      <c r="C43" s="60"/>
      <c r="D43" s="60"/>
      <c r="E43" s="60"/>
      <c r="F43" s="61">
        <f>SUM(F39:G39)</f>
        <v>0</v>
      </c>
    </row>
    <row r="44" spans="2:17" x14ac:dyDescent="0.35">
      <c r="G44" s="9">
        <v>1</v>
      </c>
      <c r="H44" s="9">
        <v>2</v>
      </c>
      <c r="I44" s="9">
        <v>3</v>
      </c>
      <c r="J44" s="9">
        <v>4</v>
      </c>
      <c r="K44" s="30"/>
      <c r="L44" s="9"/>
      <c r="M44" s="30"/>
    </row>
    <row r="45" spans="2:17" x14ac:dyDescent="0.35">
      <c r="B45" s="31" t="s">
        <v>29</v>
      </c>
      <c r="E45" s="32" t="s">
        <v>30</v>
      </c>
      <c r="G45" s="32" t="str">
        <f>G13</f>
        <v>Year 1</v>
      </c>
      <c r="H45" s="32" t="s">
        <v>145</v>
      </c>
      <c r="I45" s="32" t="s">
        <v>146</v>
      </c>
      <c r="J45" s="32" t="s">
        <v>147</v>
      </c>
      <c r="K45" s="32"/>
      <c r="L45" s="32"/>
      <c r="M45" s="32"/>
      <c r="N45" s="32"/>
    </row>
    <row r="46" spans="2:17" x14ac:dyDescent="0.35">
      <c r="D46" t="s">
        <v>5</v>
      </c>
      <c r="E46">
        <v>5</v>
      </c>
      <c r="G46" s="66">
        <f>SUM(G10:G11)/$E46</f>
        <v>0</v>
      </c>
      <c r="H46" s="66">
        <f>G46</f>
        <v>0</v>
      </c>
      <c r="I46" s="66"/>
      <c r="J46" s="66">
        <f>H46</f>
        <v>0</v>
      </c>
      <c r="K46" s="33"/>
      <c r="L46" s="33"/>
      <c r="M46" s="33"/>
      <c r="N46" s="34"/>
    </row>
    <row r="47" spans="2:17" ht="16" thickBot="1" x14ac:dyDescent="0.4">
      <c r="B47" s="35" t="s">
        <v>31</v>
      </c>
      <c r="C47" s="36"/>
      <c r="D47" s="36"/>
      <c r="E47" s="36"/>
      <c r="F47" s="36"/>
      <c r="G47" s="37">
        <f>SUM(G46:G46)</f>
        <v>0</v>
      </c>
      <c r="H47" s="37">
        <f t="shared" ref="H47:J47" si="26">SUM(H46:H46)</f>
        <v>0</v>
      </c>
      <c r="I47" s="37"/>
      <c r="J47" s="37">
        <f t="shared" si="26"/>
        <v>0</v>
      </c>
      <c r="K47" s="40">
        <f>SUM(G47:J47)</f>
        <v>0</v>
      </c>
      <c r="L47" s="40"/>
      <c r="M47" s="40"/>
      <c r="N47" s="40"/>
      <c r="O47" s="38"/>
      <c r="P47" s="38"/>
      <c r="Q47" s="38"/>
    </row>
    <row r="48" spans="2:17" ht="16" thickTop="1" x14ac:dyDescent="0.35">
      <c r="N48" s="13"/>
    </row>
    <row r="50" spans="6:6" x14ac:dyDescent="0.35">
      <c r="F50" t="s">
        <v>43</v>
      </c>
    </row>
  </sheetData>
  <mergeCells count="1">
    <mergeCell ref="E18:F18"/>
  </mergeCells>
  <phoneticPr fontId="25" type="noConversion"/>
  <pageMargins left="0.25" right="0.25" top="0.75" bottom="0.75" header="0.3" footer="0.3"/>
  <pageSetup paperSize="9" scale="6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45"/>
  <sheetViews>
    <sheetView zoomScale="90" zoomScaleNormal="70" workbookViewId="0">
      <selection activeCell="B4" sqref="B4"/>
    </sheetView>
  </sheetViews>
  <sheetFormatPr defaultRowHeight="15.5" x14ac:dyDescent="0.35"/>
  <cols>
    <col min="1" max="1" width="13.5" bestFit="1" customWidth="1"/>
    <col min="2" max="2" width="15.83203125" bestFit="1" customWidth="1"/>
    <col min="3" max="4" width="13.6640625" bestFit="1" customWidth="1"/>
    <col min="5" max="5" width="14.83203125" customWidth="1"/>
    <col min="6" max="6" width="14" customWidth="1"/>
    <col min="7" max="7" width="12.08203125" bestFit="1" customWidth="1"/>
    <col min="8" max="8" width="16.6640625" customWidth="1"/>
    <col min="9" max="9" width="15.33203125" customWidth="1"/>
    <col min="10" max="11" width="13.6640625" bestFit="1" customWidth="1"/>
  </cols>
  <sheetData>
    <row r="1" spans="1:11" x14ac:dyDescent="0.35">
      <c r="B1">
        <v>2021</v>
      </c>
      <c r="C1">
        <v>2022</v>
      </c>
      <c r="D1">
        <v>2023</v>
      </c>
      <c r="E1">
        <v>2024</v>
      </c>
      <c r="F1">
        <v>2025</v>
      </c>
      <c r="G1">
        <v>2026</v>
      </c>
    </row>
    <row r="2" spans="1:11" x14ac:dyDescent="0.35">
      <c r="B2" t="s">
        <v>5</v>
      </c>
      <c r="C2" t="s">
        <v>6</v>
      </c>
      <c r="D2" t="s">
        <v>7</v>
      </c>
      <c r="E2" t="s">
        <v>8</v>
      </c>
      <c r="F2" t="s">
        <v>9</v>
      </c>
      <c r="G2" t="s">
        <v>36</v>
      </c>
      <c r="H2" t="s">
        <v>37</v>
      </c>
      <c r="I2" t="s">
        <v>38</v>
      </c>
      <c r="J2" t="s">
        <v>39</v>
      </c>
      <c r="K2" t="s">
        <v>40</v>
      </c>
    </row>
    <row r="3" spans="1:11" x14ac:dyDescent="0.35">
      <c r="A3" t="s">
        <v>44</v>
      </c>
      <c r="B3" s="89">
        <v>0</v>
      </c>
      <c r="C3" s="13">
        <f>$B$3-$B$5</f>
        <v>0</v>
      </c>
      <c r="D3" s="13">
        <f>$C$3-$B$5</f>
        <v>0</v>
      </c>
      <c r="E3" s="13">
        <f>$D$3-$B$5</f>
        <v>0</v>
      </c>
      <c r="F3" s="13">
        <f>$E$3-$B$5</f>
        <v>0</v>
      </c>
      <c r="G3" s="13">
        <f>$F$3-$B$5</f>
        <v>0</v>
      </c>
      <c r="H3" s="13">
        <v>0</v>
      </c>
      <c r="I3" s="13"/>
      <c r="J3" s="13"/>
      <c r="K3" s="13"/>
    </row>
    <row r="4" spans="1:11" x14ac:dyDescent="0.35">
      <c r="A4" t="s">
        <v>45</v>
      </c>
      <c r="B4" s="89">
        <v>5</v>
      </c>
    </row>
    <row r="5" spans="1:11" x14ac:dyDescent="0.35">
      <c r="A5" t="s">
        <v>46</v>
      </c>
      <c r="B5" s="89">
        <f>$B$3/$B$4</f>
        <v>0</v>
      </c>
    </row>
    <row r="6" spans="1:11" x14ac:dyDescent="0.35">
      <c r="A6" t="s">
        <v>47</v>
      </c>
      <c r="B6" s="89">
        <f>(($B$3*IRR!$F$4)*6)/12</f>
        <v>0</v>
      </c>
      <c r="C6" s="13">
        <f>AVERAGE(B3:C3)*IRR!$F$4</f>
        <v>0</v>
      </c>
      <c r="D6" s="13">
        <f>AVERAGE(C3:D3)*IRR!$F$4</f>
        <v>0</v>
      </c>
      <c r="E6" s="13">
        <f>AVERAGE(D3:E3)*IRR!$F$4</f>
        <v>0</v>
      </c>
      <c r="F6" s="13">
        <f>AVERAGE(E3:F3)*IRR!$F$4</f>
        <v>0</v>
      </c>
      <c r="G6" s="13">
        <f>AVERAGE(F3:G3)*IRR!$F$4</f>
        <v>0</v>
      </c>
      <c r="H6" s="13">
        <f>AVERAGE(G3:H3)*IRR!$F$4</f>
        <v>0</v>
      </c>
      <c r="I6" s="13">
        <f>AVERAGE(H3:I3)*IRR!$F$4</f>
        <v>0</v>
      </c>
      <c r="J6" s="13" t="e">
        <f>AVERAGE(I3:J3)*IRR!$F$4</f>
        <v>#DIV/0!</v>
      </c>
      <c r="K6" s="13" t="e">
        <f>AVERAGE($J$3:$K$3)*[3]IRR!$G$4</f>
        <v>#DIV/0!</v>
      </c>
    </row>
    <row r="11" spans="1:11" x14ac:dyDescent="0.35">
      <c r="F11" s="127" t="s">
        <v>81</v>
      </c>
      <c r="G11" s="127" t="s">
        <v>82</v>
      </c>
      <c r="H11" s="127" t="s">
        <v>83</v>
      </c>
      <c r="I11" s="128" t="s">
        <v>84</v>
      </c>
      <c r="J11" s="217" t="s">
        <v>85</v>
      </c>
      <c r="K11" s="217" t="s">
        <v>86</v>
      </c>
    </row>
    <row r="12" spans="1:11" x14ac:dyDescent="0.35">
      <c r="E12" s="129" t="s">
        <v>87</v>
      </c>
      <c r="F12" s="130">
        <v>2</v>
      </c>
      <c r="G12" s="131">
        <v>1</v>
      </c>
      <c r="H12" s="131">
        <v>1</v>
      </c>
      <c r="I12" s="132">
        <v>186</v>
      </c>
      <c r="J12" s="217"/>
      <c r="K12" s="217"/>
    </row>
    <row r="13" spans="1:11" x14ac:dyDescent="0.35">
      <c r="B13" s="218" t="s">
        <v>88</v>
      </c>
      <c r="C13" s="133" t="s">
        <v>89</v>
      </c>
      <c r="D13" s="134">
        <f>C24</f>
        <v>3000000</v>
      </c>
      <c r="E13" s="133" t="s">
        <v>81</v>
      </c>
      <c r="F13" s="127">
        <f>F12</f>
        <v>2</v>
      </c>
      <c r="G13" s="127"/>
      <c r="H13" s="127"/>
      <c r="I13" s="128"/>
      <c r="J13" s="135">
        <f>F13*D13</f>
        <v>6000000</v>
      </c>
    </row>
    <row r="14" spans="1:11" x14ac:dyDescent="0.35">
      <c r="B14" s="219"/>
      <c r="C14" s="133" t="s">
        <v>90</v>
      </c>
      <c r="D14" s="136">
        <v>600000</v>
      </c>
      <c r="E14" s="133" t="s">
        <v>81</v>
      </c>
      <c r="F14" s="127">
        <f>F12</f>
        <v>2</v>
      </c>
      <c r="G14" s="127"/>
      <c r="H14" s="127"/>
      <c r="I14" s="128">
        <f>IF($I$11&lt;=120,2,IF($I$11&gt;220,4,3))</f>
        <v>4</v>
      </c>
      <c r="J14" s="136">
        <f>D14*F14</f>
        <v>1200000</v>
      </c>
    </row>
    <row r="15" spans="1:11" x14ac:dyDescent="0.35">
      <c r="B15" s="220"/>
      <c r="C15" s="133" t="s">
        <v>88</v>
      </c>
      <c r="D15" s="136">
        <v>200000</v>
      </c>
      <c r="E15" s="133" t="s">
        <v>91</v>
      </c>
      <c r="F15" s="127"/>
      <c r="G15" s="127">
        <f>G12</f>
        <v>1</v>
      </c>
      <c r="H15" s="127"/>
      <c r="I15" s="128"/>
      <c r="J15" s="136">
        <f>G15*D15</f>
        <v>200000</v>
      </c>
    </row>
    <row r="16" spans="1:11" x14ac:dyDescent="0.35">
      <c r="B16" s="133" t="s">
        <v>92</v>
      </c>
      <c r="C16" s="133" t="s">
        <v>92</v>
      </c>
      <c r="D16" s="136">
        <v>450000</v>
      </c>
      <c r="E16" s="133" t="s">
        <v>83</v>
      </c>
      <c r="F16" s="127">
        <f>F12</f>
        <v>2</v>
      </c>
      <c r="G16" s="127"/>
      <c r="H16" s="127">
        <f>H12</f>
        <v>1</v>
      </c>
      <c r="I16" s="128">
        <f t="shared" ref="I16:I17" si="0">IF($I$11&lt;=120,2,IF($I$11&gt;220,4,3))</f>
        <v>4</v>
      </c>
      <c r="J16" s="136">
        <f>H16*D16*I16</f>
        <v>1800000</v>
      </c>
    </row>
    <row r="17" spans="1:11" x14ac:dyDescent="0.35">
      <c r="B17" s="133" t="s">
        <v>93</v>
      </c>
      <c r="C17" s="133" t="s">
        <v>93</v>
      </c>
      <c r="D17" s="136">
        <v>120000</v>
      </c>
      <c r="E17" s="133" t="s">
        <v>81</v>
      </c>
      <c r="F17" s="127">
        <f>F12</f>
        <v>2</v>
      </c>
      <c r="G17" s="127"/>
      <c r="H17" s="127"/>
      <c r="I17" s="128">
        <f t="shared" si="0"/>
        <v>4</v>
      </c>
      <c r="J17" s="136">
        <f>I17*D17*F17</f>
        <v>960000</v>
      </c>
    </row>
    <row r="18" spans="1:11" x14ac:dyDescent="0.35">
      <c r="J18" s="137">
        <f>SUM(J13:J17)</f>
        <v>10160000</v>
      </c>
      <c r="K18" s="138">
        <f>J18*2</f>
        <v>20320000</v>
      </c>
    </row>
    <row r="21" spans="1:11" x14ac:dyDescent="0.35">
      <c r="K21" s="13"/>
    </row>
    <row r="22" spans="1:11" x14ac:dyDescent="0.35">
      <c r="B22" s="127" t="s">
        <v>94</v>
      </c>
      <c r="C22" s="127" t="s">
        <v>89</v>
      </c>
      <c r="E22" s="133" t="s">
        <v>95</v>
      </c>
      <c r="K22" s="34"/>
    </row>
    <row r="23" spans="1:11" x14ac:dyDescent="0.35">
      <c r="A23" t="s">
        <v>96</v>
      </c>
      <c r="B23" s="89">
        <v>16800000</v>
      </c>
      <c r="C23" s="89">
        <v>4000000</v>
      </c>
      <c r="E23" t="s">
        <v>97</v>
      </c>
      <c r="K23" s="13"/>
    </row>
    <row r="24" spans="1:11" x14ac:dyDescent="0.35">
      <c r="A24" t="s">
        <v>98</v>
      </c>
      <c r="B24" s="89"/>
      <c r="C24" s="89">
        <v>3000000</v>
      </c>
      <c r="E24" t="s">
        <v>99</v>
      </c>
      <c r="I24" s="89">
        <v>10000000</v>
      </c>
    </row>
    <row r="25" spans="1:11" x14ac:dyDescent="0.35">
      <c r="A25" t="s">
        <v>100</v>
      </c>
      <c r="B25" s="89">
        <v>15600000</v>
      </c>
      <c r="C25" s="89">
        <v>2500000</v>
      </c>
      <c r="E25" t="s">
        <v>99</v>
      </c>
      <c r="H25" t="s">
        <v>101</v>
      </c>
      <c r="I25" s="89">
        <v>12000000</v>
      </c>
    </row>
    <row r="26" spans="1:11" x14ac:dyDescent="0.35">
      <c r="A26" t="s">
        <v>102</v>
      </c>
      <c r="B26" s="89">
        <v>15000000</v>
      </c>
      <c r="C26" s="89">
        <v>2000000</v>
      </c>
      <c r="E26" t="s">
        <v>99</v>
      </c>
      <c r="H26" t="s">
        <v>103</v>
      </c>
      <c r="I26" s="89">
        <v>14000000</v>
      </c>
    </row>
    <row r="27" spans="1:11" x14ac:dyDescent="0.35">
      <c r="A27" t="s">
        <v>104</v>
      </c>
      <c r="B27" s="89">
        <v>15000000</v>
      </c>
      <c r="C27" s="89">
        <v>1850000</v>
      </c>
      <c r="E27" t="s">
        <v>99</v>
      </c>
      <c r="H27" t="s">
        <v>105</v>
      </c>
      <c r="I27" s="89">
        <v>14000000</v>
      </c>
    </row>
    <row r="28" spans="1:11" x14ac:dyDescent="0.35">
      <c r="A28" t="s">
        <v>106</v>
      </c>
      <c r="B28" s="89">
        <v>12000000</v>
      </c>
      <c r="C28" s="89">
        <v>1200000</v>
      </c>
      <c r="E28" t="s">
        <v>99</v>
      </c>
      <c r="H28" t="s">
        <v>96</v>
      </c>
      <c r="I28" s="89">
        <v>17000000</v>
      </c>
    </row>
    <row r="29" spans="1:11" x14ac:dyDescent="0.35">
      <c r="A29" t="s">
        <v>107</v>
      </c>
      <c r="B29" s="89">
        <v>16800000</v>
      </c>
      <c r="C29" s="89">
        <v>2000000</v>
      </c>
      <c r="E29" t="s">
        <v>99</v>
      </c>
      <c r="H29" t="s">
        <v>107</v>
      </c>
      <c r="I29" s="89">
        <v>14000000</v>
      </c>
    </row>
    <row r="30" spans="1:11" x14ac:dyDescent="0.35">
      <c r="A30" t="s">
        <v>108</v>
      </c>
      <c r="B30" s="89">
        <v>15720000</v>
      </c>
      <c r="C30" s="89">
        <v>3500000</v>
      </c>
    </row>
    <row r="31" spans="1:11" x14ac:dyDescent="0.35">
      <c r="A31" t="s">
        <v>109</v>
      </c>
      <c r="C31" s="89">
        <v>2800000</v>
      </c>
    </row>
    <row r="32" spans="1:11" x14ac:dyDescent="0.35">
      <c r="A32" t="s">
        <v>110</v>
      </c>
      <c r="B32">
        <v>0</v>
      </c>
      <c r="C32" s="89">
        <v>0</v>
      </c>
      <c r="D32" t="s">
        <v>111</v>
      </c>
    </row>
    <row r="34" spans="1:3" x14ac:dyDescent="0.35">
      <c r="B34" s="127" t="s">
        <v>112</v>
      </c>
      <c r="C34" s="127"/>
    </row>
    <row r="35" spans="1:3" x14ac:dyDescent="0.35">
      <c r="B35" s="89">
        <v>7000000</v>
      </c>
    </row>
    <row r="37" spans="1:3" x14ac:dyDescent="0.35">
      <c r="A37" s="133" t="s">
        <v>113</v>
      </c>
      <c r="B37" s="13"/>
    </row>
    <row r="38" spans="1:3" x14ac:dyDescent="0.35">
      <c r="A38" t="s">
        <v>114</v>
      </c>
    </row>
    <row r="39" spans="1:3" x14ac:dyDescent="0.35">
      <c r="A39" t="s">
        <v>115</v>
      </c>
      <c r="B39" s="89">
        <v>36000000</v>
      </c>
    </row>
    <row r="40" spans="1:3" x14ac:dyDescent="0.35">
      <c r="A40" t="s">
        <v>116</v>
      </c>
      <c r="B40" s="89">
        <v>42000000</v>
      </c>
    </row>
    <row r="41" spans="1:3" x14ac:dyDescent="0.35">
      <c r="A41" t="s">
        <v>117</v>
      </c>
      <c r="B41" s="89">
        <v>48000000</v>
      </c>
    </row>
    <row r="43" spans="1:3" x14ac:dyDescent="0.35">
      <c r="A43" t="s">
        <v>118</v>
      </c>
    </row>
    <row r="44" spans="1:3" x14ac:dyDescent="0.35">
      <c r="A44" t="s">
        <v>119</v>
      </c>
      <c r="B44" s="89">
        <v>75000000</v>
      </c>
    </row>
    <row r="45" spans="1:3" x14ac:dyDescent="0.35">
      <c r="A45" t="s">
        <v>117</v>
      </c>
      <c r="B45" s="89">
        <v>95000000</v>
      </c>
    </row>
  </sheetData>
  <mergeCells count="3">
    <mergeCell ref="J11:J12"/>
    <mergeCell ref="K11:K12"/>
    <mergeCell ref="B13:B15"/>
  </mergeCells>
  <conditionalFormatting sqref="B6:K6">
    <cfRule type="cellIs" dxfId="0" priority="1" operator="lessThan">
      <formula>0</formula>
    </cfRule>
  </conditionalFormatting>
  <pageMargins left="0.7" right="0.7" top="0.75" bottom="0.75" header="0.3" footer="0.3"/>
  <pageSetup paperSize="9"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5F5960-EAF9-4B26-B564-63722A6E19F8}">
  <dimension ref="A1:V30"/>
  <sheetViews>
    <sheetView showGridLines="0" topLeftCell="O5" workbookViewId="0">
      <selection activeCell="AC18" sqref="AC18"/>
    </sheetView>
  </sheetViews>
  <sheetFormatPr defaultRowHeight="13" x14ac:dyDescent="0.3"/>
  <cols>
    <col min="1" max="1" width="19.25" style="172" bestFit="1" customWidth="1"/>
    <col min="2" max="2" width="13.08203125" style="172" bestFit="1" customWidth="1"/>
    <col min="3" max="3" width="11.1640625" style="172" bestFit="1" customWidth="1"/>
    <col min="4" max="20" width="11.5" style="172" bestFit="1" customWidth="1"/>
    <col min="21" max="21" width="11.5" style="172" customWidth="1"/>
    <col min="22" max="22" width="13.58203125" style="172" bestFit="1" customWidth="1"/>
    <col min="23" max="16384" width="8.6640625" style="172"/>
  </cols>
  <sheetData>
    <row r="1" spans="1:22" x14ac:dyDescent="0.3">
      <c r="A1" s="171" t="s">
        <v>158</v>
      </c>
    </row>
    <row r="2" spans="1:22" x14ac:dyDescent="0.3">
      <c r="A2" s="171" t="s">
        <v>159</v>
      </c>
    </row>
    <row r="3" spans="1:22" x14ac:dyDescent="0.3">
      <c r="A3" s="171"/>
    </row>
    <row r="4" spans="1:22" x14ac:dyDescent="0.3">
      <c r="A4" s="171" t="s">
        <v>160</v>
      </c>
    </row>
    <row r="5" spans="1:22" x14ac:dyDescent="0.3">
      <c r="A5" s="223" t="s">
        <v>161</v>
      </c>
      <c r="B5" s="223" t="s">
        <v>162</v>
      </c>
      <c r="C5" s="223"/>
      <c r="D5" s="223"/>
      <c r="E5" s="223"/>
      <c r="F5" s="223">
        <v>2020</v>
      </c>
      <c r="G5" s="223"/>
      <c r="H5" s="223"/>
      <c r="I5" s="223"/>
      <c r="J5" s="223">
        <v>2021</v>
      </c>
      <c r="K5" s="223"/>
      <c r="L5" s="223"/>
      <c r="M5" s="223"/>
      <c r="N5" s="223">
        <v>2022</v>
      </c>
      <c r="O5" s="223"/>
      <c r="P5" s="223"/>
      <c r="Q5" s="223"/>
      <c r="R5" s="223">
        <v>2023</v>
      </c>
      <c r="S5" s="223"/>
      <c r="T5" s="223"/>
      <c r="U5" s="223"/>
      <c r="V5" s="221" t="s">
        <v>11</v>
      </c>
    </row>
    <row r="6" spans="1:22" x14ac:dyDescent="0.3">
      <c r="A6" s="223"/>
      <c r="B6" s="173" t="s">
        <v>163</v>
      </c>
      <c r="C6" s="173" t="s">
        <v>164</v>
      </c>
      <c r="D6" s="173" t="s">
        <v>165</v>
      </c>
      <c r="E6" s="173" t="s">
        <v>166</v>
      </c>
      <c r="F6" s="173" t="s">
        <v>167</v>
      </c>
      <c r="G6" s="173" t="s">
        <v>164</v>
      </c>
      <c r="H6" s="173" t="s">
        <v>165</v>
      </c>
      <c r="I6" s="173" t="s">
        <v>166</v>
      </c>
      <c r="J6" s="173" t="s">
        <v>167</v>
      </c>
      <c r="K6" s="173" t="s">
        <v>164</v>
      </c>
      <c r="L6" s="173" t="s">
        <v>165</v>
      </c>
      <c r="M6" s="173" t="s">
        <v>166</v>
      </c>
      <c r="N6" s="173" t="s">
        <v>167</v>
      </c>
      <c r="O6" s="173" t="s">
        <v>164</v>
      </c>
      <c r="P6" s="173" t="s">
        <v>165</v>
      </c>
      <c r="Q6" s="173" t="s">
        <v>166</v>
      </c>
      <c r="R6" s="173" t="s">
        <v>167</v>
      </c>
      <c r="S6" s="173" t="s">
        <v>164</v>
      </c>
      <c r="T6" s="173" t="s">
        <v>165</v>
      </c>
      <c r="U6" s="189" t="s">
        <v>186</v>
      </c>
      <c r="V6" s="222"/>
    </row>
    <row r="7" spans="1:22" x14ac:dyDescent="0.3">
      <c r="A7" s="174" t="s">
        <v>168</v>
      </c>
      <c r="B7" s="175">
        <v>32498986</v>
      </c>
      <c r="C7" s="175">
        <v>39760645</v>
      </c>
      <c r="D7" s="175">
        <v>48441290</v>
      </c>
      <c r="E7" s="175">
        <v>45407581</v>
      </c>
      <c r="F7" s="175">
        <v>72612787</v>
      </c>
      <c r="G7" s="175">
        <v>68951344</v>
      </c>
      <c r="H7" s="175">
        <v>66005323</v>
      </c>
      <c r="I7" s="175">
        <v>76732473</v>
      </c>
      <c r="J7" s="175">
        <v>118860000</v>
      </c>
      <c r="K7" s="175">
        <v>132199130</v>
      </c>
      <c r="L7" s="175">
        <v>152594391</v>
      </c>
      <c r="M7" s="175">
        <v>159031026</v>
      </c>
      <c r="N7" s="175">
        <v>156380373</v>
      </c>
      <c r="O7" s="175">
        <v>146610169</v>
      </c>
      <c r="P7" s="175">
        <v>157257041</v>
      </c>
      <c r="Q7" s="175">
        <v>163954746</v>
      </c>
      <c r="R7" s="175">
        <v>164190151</v>
      </c>
      <c r="S7" s="175">
        <v>155712956</v>
      </c>
      <c r="T7" s="175">
        <v>134191894</v>
      </c>
      <c r="U7" s="191">
        <f>U16*20%</f>
        <v>148124368.14285713</v>
      </c>
      <c r="V7" s="176">
        <f>SUM(B7:U7)</f>
        <v>2239516674.1428571</v>
      </c>
    </row>
    <row r="8" spans="1:22" x14ac:dyDescent="0.3">
      <c r="A8" s="174" t="s">
        <v>169</v>
      </c>
      <c r="B8" s="175">
        <v>9746452</v>
      </c>
      <c r="C8" s="175">
        <v>1350000</v>
      </c>
      <c r="D8" s="175">
        <v>3232150</v>
      </c>
      <c r="E8" s="175">
        <v>5650333</v>
      </c>
      <c r="F8" s="175">
        <v>7375573</v>
      </c>
      <c r="G8" s="175">
        <v>7401667</v>
      </c>
      <c r="H8" s="175">
        <v>9594086</v>
      </c>
      <c r="I8" s="175">
        <v>11087957</v>
      </c>
      <c r="J8" s="175">
        <v>13911532</v>
      </c>
      <c r="K8" s="175">
        <v>14993548</v>
      </c>
      <c r="L8" s="175">
        <v>14914516</v>
      </c>
      <c r="M8" s="175">
        <v>15897473</v>
      </c>
      <c r="N8" s="175">
        <v>19051717</v>
      </c>
      <c r="O8" s="175">
        <v>21964839</v>
      </c>
      <c r="P8" s="175">
        <v>23896452</v>
      </c>
      <c r="Q8" s="175">
        <v>31376090</v>
      </c>
      <c r="R8" s="175">
        <v>31232753</v>
      </c>
      <c r="S8" s="175">
        <v>35903167</v>
      </c>
      <c r="T8" s="175">
        <v>39557361</v>
      </c>
      <c r="U8" s="191">
        <f>U17*20%</f>
        <v>42816038.285714284</v>
      </c>
      <c r="V8" s="176">
        <f t="shared" ref="V8" si="0">SUM(B8:U8)</f>
        <v>360953704.28571427</v>
      </c>
    </row>
    <row r="9" spans="1:22" x14ac:dyDescent="0.3">
      <c r="A9" s="177" t="s">
        <v>11</v>
      </c>
      <c r="B9" s="178">
        <f>B7+B8</f>
        <v>42245438</v>
      </c>
      <c r="C9" s="178">
        <f t="shared" ref="C9:U9" si="1">C7+C8</f>
        <v>41110645</v>
      </c>
      <c r="D9" s="178">
        <f t="shared" si="1"/>
        <v>51673440</v>
      </c>
      <c r="E9" s="178">
        <f t="shared" si="1"/>
        <v>51057914</v>
      </c>
      <c r="F9" s="178">
        <f t="shared" si="1"/>
        <v>79988360</v>
      </c>
      <c r="G9" s="178">
        <f t="shared" si="1"/>
        <v>76353011</v>
      </c>
      <c r="H9" s="178">
        <f t="shared" si="1"/>
        <v>75599409</v>
      </c>
      <c r="I9" s="178">
        <f t="shared" si="1"/>
        <v>87820430</v>
      </c>
      <c r="J9" s="178">
        <f t="shared" si="1"/>
        <v>132771532</v>
      </c>
      <c r="K9" s="178">
        <f t="shared" si="1"/>
        <v>147192678</v>
      </c>
      <c r="L9" s="178">
        <f t="shared" si="1"/>
        <v>167508907</v>
      </c>
      <c r="M9" s="178">
        <f t="shared" si="1"/>
        <v>174928499</v>
      </c>
      <c r="N9" s="178">
        <f t="shared" si="1"/>
        <v>175432090</v>
      </c>
      <c r="O9" s="178">
        <f t="shared" si="1"/>
        <v>168575008</v>
      </c>
      <c r="P9" s="178">
        <f t="shared" si="1"/>
        <v>181153493</v>
      </c>
      <c r="Q9" s="178">
        <f t="shared" si="1"/>
        <v>195330836</v>
      </c>
      <c r="R9" s="178">
        <f t="shared" si="1"/>
        <v>195422904</v>
      </c>
      <c r="S9" s="178">
        <f t="shared" si="1"/>
        <v>191616123</v>
      </c>
      <c r="T9" s="178">
        <f t="shared" si="1"/>
        <v>173749255</v>
      </c>
      <c r="U9" s="191">
        <f t="shared" si="1"/>
        <v>190940406.4285714</v>
      </c>
      <c r="V9" s="176">
        <f>SUM(B9:U9)</f>
        <v>2600470378.4285712</v>
      </c>
    </row>
    <row r="10" spans="1:22" x14ac:dyDescent="0.3">
      <c r="A10" s="179"/>
      <c r="B10" s="180"/>
      <c r="C10" s="180"/>
      <c r="D10" s="180"/>
      <c r="E10" s="180"/>
      <c r="F10" s="180"/>
      <c r="G10" s="180"/>
      <c r="H10" s="180"/>
      <c r="I10" s="180"/>
      <c r="J10" s="180"/>
      <c r="K10" s="180"/>
      <c r="L10" s="180"/>
      <c r="M10" s="180"/>
      <c r="N10" s="180"/>
      <c r="O10" s="180"/>
      <c r="P10" s="180"/>
      <c r="Q10" s="180"/>
      <c r="R10" s="180"/>
      <c r="S10" s="180"/>
      <c r="T10" s="180"/>
      <c r="U10" s="180"/>
      <c r="V10" s="181"/>
    </row>
    <row r="11" spans="1:22" x14ac:dyDescent="0.3">
      <c r="B11" s="182"/>
    </row>
    <row r="12" spans="1:22" x14ac:dyDescent="0.3">
      <c r="A12" s="171" t="s">
        <v>170</v>
      </c>
      <c r="T12" s="182"/>
    </row>
    <row r="13" spans="1:22" x14ac:dyDescent="0.3">
      <c r="A13" s="223" t="s">
        <v>161</v>
      </c>
      <c r="B13" s="223" t="s">
        <v>162</v>
      </c>
      <c r="C13" s="223"/>
      <c r="D13" s="223"/>
      <c r="E13" s="223"/>
      <c r="F13" s="223">
        <v>2020</v>
      </c>
      <c r="G13" s="223"/>
      <c r="H13" s="223"/>
      <c r="I13" s="223"/>
      <c r="J13" s="223">
        <v>2021</v>
      </c>
      <c r="K13" s="223"/>
      <c r="L13" s="223"/>
      <c r="M13" s="223"/>
      <c r="N13" s="223">
        <v>2022</v>
      </c>
      <c r="O13" s="223"/>
      <c r="P13" s="223"/>
      <c r="Q13" s="223"/>
      <c r="R13" s="223">
        <v>2023</v>
      </c>
      <c r="S13" s="223"/>
      <c r="T13" s="223"/>
      <c r="U13" s="223"/>
      <c r="V13" s="221" t="s">
        <v>11</v>
      </c>
    </row>
    <row r="14" spans="1:22" x14ac:dyDescent="0.3">
      <c r="A14" s="223"/>
      <c r="B14" s="173" t="s">
        <v>163</v>
      </c>
      <c r="C14" s="173" t="s">
        <v>164</v>
      </c>
      <c r="D14" s="173" t="s">
        <v>165</v>
      </c>
      <c r="E14" s="173" t="s">
        <v>166</v>
      </c>
      <c r="F14" s="173" t="s">
        <v>167</v>
      </c>
      <c r="G14" s="173" t="s">
        <v>164</v>
      </c>
      <c r="H14" s="173" t="s">
        <v>165</v>
      </c>
      <c r="I14" s="173" t="s">
        <v>166</v>
      </c>
      <c r="J14" s="173" t="s">
        <v>167</v>
      </c>
      <c r="K14" s="173" t="s">
        <v>164</v>
      </c>
      <c r="L14" s="173" t="s">
        <v>165</v>
      </c>
      <c r="M14" s="173" t="s">
        <v>166</v>
      </c>
      <c r="N14" s="173" t="s">
        <v>167</v>
      </c>
      <c r="O14" s="173" t="s">
        <v>164</v>
      </c>
      <c r="P14" s="173" t="s">
        <v>165</v>
      </c>
      <c r="Q14" s="173" t="s">
        <v>166</v>
      </c>
      <c r="R14" s="173" t="s">
        <v>167</v>
      </c>
      <c r="S14" s="173" t="s">
        <v>164</v>
      </c>
      <c r="T14" s="173" t="s">
        <v>165</v>
      </c>
      <c r="U14" s="189" t="s">
        <v>186</v>
      </c>
      <c r="V14" s="222"/>
    </row>
    <row r="15" spans="1:22" x14ac:dyDescent="0.3">
      <c r="A15" s="187" t="s">
        <v>185</v>
      </c>
      <c r="B15" s="173"/>
      <c r="C15" s="173"/>
      <c r="D15" s="173"/>
      <c r="E15" s="173"/>
      <c r="F15" s="173"/>
      <c r="G15" s="173"/>
      <c r="H15" s="173"/>
      <c r="I15" s="173"/>
      <c r="J15" s="173"/>
      <c r="K15" s="173"/>
      <c r="L15" s="173"/>
      <c r="M15" s="173"/>
      <c r="N15" s="188">
        <v>1</v>
      </c>
      <c r="O15" s="188">
        <v>2</v>
      </c>
      <c r="P15" s="188">
        <v>3</v>
      </c>
      <c r="Q15" s="188">
        <v>4</v>
      </c>
      <c r="R15" s="188">
        <v>5</v>
      </c>
      <c r="S15" s="188">
        <v>6</v>
      </c>
      <c r="T15" s="188">
        <v>7</v>
      </c>
      <c r="U15" s="190">
        <v>8</v>
      </c>
      <c r="V15" s="176"/>
    </row>
    <row r="16" spans="1:22" x14ac:dyDescent="0.3">
      <c r="A16" s="174" t="s">
        <v>168</v>
      </c>
      <c r="B16" s="175">
        <f t="shared" ref="B16:T16" si="2">100/20*B7</f>
        <v>162494930</v>
      </c>
      <c r="C16" s="175">
        <f t="shared" si="2"/>
        <v>198803225</v>
      </c>
      <c r="D16" s="175">
        <f t="shared" si="2"/>
        <v>242206450</v>
      </c>
      <c r="E16" s="175">
        <f t="shared" si="2"/>
        <v>227037905</v>
      </c>
      <c r="F16" s="175">
        <f t="shared" si="2"/>
        <v>363063935</v>
      </c>
      <c r="G16" s="175">
        <f t="shared" si="2"/>
        <v>344756720</v>
      </c>
      <c r="H16" s="175">
        <f t="shared" si="2"/>
        <v>330026615</v>
      </c>
      <c r="I16" s="175">
        <f t="shared" si="2"/>
        <v>383662365</v>
      </c>
      <c r="J16" s="175">
        <f t="shared" si="2"/>
        <v>594300000</v>
      </c>
      <c r="K16" s="175">
        <f t="shared" si="2"/>
        <v>660995650</v>
      </c>
      <c r="L16" s="175">
        <f t="shared" si="2"/>
        <v>762971955</v>
      </c>
      <c r="M16" s="175">
        <f t="shared" si="2"/>
        <v>795155130</v>
      </c>
      <c r="N16" s="175">
        <f t="shared" si="2"/>
        <v>781901865</v>
      </c>
      <c r="O16" s="175">
        <f t="shared" si="2"/>
        <v>733050845</v>
      </c>
      <c r="P16" s="175">
        <f t="shared" si="2"/>
        <v>786285205</v>
      </c>
      <c r="Q16" s="175">
        <f t="shared" si="2"/>
        <v>819773730</v>
      </c>
      <c r="R16" s="175">
        <f t="shared" si="2"/>
        <v>820950755</v>
      </c>
      <c r="S16" s="175">
        <f t="shared" si="2"/>
        <v>778564780</v>
      </c>
      <c r="T16" s="175">
        <f t="shared" si="2"/>
        <v>670959470</v>
      </c>
      <c r="U16" s="191" cm="1">
        <f t="array" ref="U16">TREND(N16:T16,N15:T15,U15,TRUE)</f>
        <v>740621840.71428561</v>
      </c>
      <c r="V16" s="176">
        <f>SUM(B16:U16)</f>
        <v>11197583370.714285</v>
      </c>
    </row>
    <row r="17" spans="1:22" x14ac:dyDescent="0.3">
      <c r="A17" s="174" t="s">
        <v>169</v>
      </c>
      <c r="B17" s="175">
        <f t="shared" ref="B17:T17" si="3">100/20*B8</f>
        <v>48732260</v>
      </c>
      <c r="C17" s="175">
        <f t="shared" si="3"/>
        <v>6750000</v>
      </c>
      <c r="D17" s="175">
        <f t="shared" si="3"/>
        <v>16160750</v>
      </c>
      <c r="E17" s="175">
        <f t="shared" si="3"/>
        <v>28251665</v>
      </c>
      <c r="F17" s="175">
        <f t="shared" si="3"/>
        <v>36877865</v>
      </c>
      <c r="G17" s="175">
        <f t="shared" si="3"/>
        <v>37008335</v>
      </c>
      <c r="H17" s="175">
        <f t="shared" si="3"/>
        <v>47970430</v>
      </c>
      <c r="I17" s="175">
        <f t="shared" si="3"/>
        <v>55439785</v>
      </c>
      <c r="J17" s="175">
        <f t="shared" si="3"/>
        <v>69557660</v>
      </c>
      <c r="K17" s="175">
        <f t="shared" si="3"/>
        <v>74967740</v>
      </c>
      <c r="L17" s="175">
        <f t="shared" si="3"/>
        <v>74572580</v>
      </c>
      <c r="M17" s="175">
        <f t="shared" si="3"/>
        <v>79487365</v>
      </c>
      <c r="N17" s="175">
        <f t="shared" si="3"/>
        <v>95258585</v>
      </c>
      <c r="O17" s="175">
        <f t="shared" si="3"/>
        <v>109824195</v>
      </c>
      <c r="P17" s="175">
        <f t="shared" si="3"/>
        <v>119482260</v>
      </c>
      <c r="Q17" s="175">
        <f t="shared" si="3"/>
        <v>156880450</v>
      </c>
      <c r="R17" s="175">
        <f t="shared" si="3"/>
        <v>156163765</v>
      </c>
      <c r="S17" s="175">
        <f t="shared" si="3"/>
        <v>179515835</v>
      </c>
      <c r="T17" s="175">
        <f t="shared" si="3"/>
        <v>197786805</v>
      </c>
      <c r="U17" s="191" cm="1">
        <f t="array" ref="U17">TREND(N17:T17,N15:T15,U15,TRUE)</f>
        <v>214080191.4285714</v>
      </c>
      <c r="V17" s="176">
        <f>SUM(B17:U17)</f>
        <v>1804768521.4285715</v>
      </c>
    </row>
    <row r="18" spans="1:22" x14ac:dyDescent="0.3">
      <c r="A18" s="177" t="s">
        <v>11</v>
      </c>
      <c r="B18" s="178">
        <f>B16+B17</f>
        <v>211227190</v>
      </c>
      <c r="C18" s="178">
        <f t="shared" ref="C18:U18" si="4">C16+C17</f>
        <v>205553225</v>
      </c>
      <c r="D18" s="178">
        <f t="shared" si="4"/>
        <v>258367200</v>
      </c>
      <c r="E18" s="178">
        <f t="shared" si="4"/>
        <v>255289570</v>
      </c>
      <c r="F18" s="178">
        <f t="shared" si="4"/>
        <v>399941800</v>
      </c>
      <c r="G18" s="178">
        <f t="shared" si="4"/>
        <v>381765055</v>
      </c>
      <c r="H18" s="178">
        <f t="shared" si="4"/>
        <v>377997045</v>
      </c>
      <c r="I18" s="178">
        <f t="shared" si="4"/>
        <v>439102150</v>
      </c>
      <c r="J18" s="178">
        <f t="shared" si="4"/>
        <v>663857660</v>
      </c>
      <c r="K18" s="178">
        <f t="shared" si="4"/>
        <v>735963390</v>
      </c>
      <c r="L18" s="178">
        <f t="shared" si="4"/>
        <v>837544535</v>
      </c>
      <c r="M18" s="178">
        <f t="shared" si="4"/>
        <v>874642495</v>
      </c>
      <c r="N18" s="178">
        <f t="shared" si="4"/>
        <v>877160450</v>
      </c>
      <c r="O18" s="178">
        <f t="shared" si="4"/>
        <v>842875040</v>
      </c>
      <c r="P18" s="178">
        <f t="shared" si="4"/>
        <v>905767465</v>
      </c>
      <c r="Q18" s="178">
        <f t="shared" si="4"/>
        <v>976654180</v>
      </c>
      <c r="R18" s="178">
        <f t="shared" si="4"/>
        <v>977114520</v>
      </c>
      <c r="S18" s="178">
        <f t="shared" si="4"/>
        <v>958080615</v>
      </c>
      <c r="T18" s="178">
        <f t="shared" si="4"/>
        <v>868746275</v>
      </c>
      <c r="U18" s="191">
        <f t="shared" si="4"/>
        <v>954702032.14285707</v>
      </c>
      <c r="V18" s="176">
        <f>SUM(B18:U18)</f>
        <v>13002351892.142857</v>
      </c>
    </row>
    <row r="19" spans="1:22" x14ac:dyDescent="0.3">
      <c r="A19" s="185"/>
      <c r="B19" s="180"/>
      <c r="C19" s="180"/>
      <c r="D19" s="180"/>
      <c r="E19" s="180"/>
      <c r="F19" s="180"/>
      <c r="G19" s="180"/>
      <c r="H19" s="180"/>
      <c r="I19" s="180"/>
      <c r="J19" s="180"/>
      <c r="K19" s="180"/>
      <c r="L19" s="180"/>
      <c r="M19" s="180"/>
      <c r="N19" s="180"/>
      <c r="O19" s="180"/>
      <c r="P19" s="180"/>
      <c r="Q19" s="180"/>
      <c r="R19" s="180"/>
      <c r="S19" s="180"/>
      <c r="T19" s="180"/>
      <c r="U19" s="180"/>
      <c r="V19" s="186"/>
    </row>
    <row r="21" spans="1:22" x14ac:dyDescent="0.3">
      <c r="A21" s="171" t="s">
        <v>171</v>
      </c>
      <c r="T21" s="182"/>
    </row>
    <row r="22" spans="1:22" x14ac:dyDescent="0.3">
      <c r="A22" s="223" t="s">
        <v>161</v>
      </c>
      <c r="B22" s="223" t="s">
        <v>162</v>
      </c>
      <c r="C22" s="223"/>
      <c r="D22" s="223"/>
      <c r="E22" s="223"/>
      <c r="F22" s="223">
        <v>2020</v>
      </c>
      <c r="G22" s="223"/>
      <c r="H22" s="223"/>
      <c r="I22" s="223"/>
      <c r="J22" s="223">
        <v>2021</v>
      </c>
      <c r="K22" s="223"/>
      <c r="L22" s="223"/>
      <c r="M22" s="223"/>
      <c r="N22" s="223">
        <v>2022</v>
      </c>
      <c r="O22" s="223"/>
      <c r="P22" s="223"/>
      <c r="Q22" s="223"/>
      <c r="R22" s="223">
        <v>2023</v>
      </c>
      <c r="S22" s="223"/>
      <c r="T22" s="223"/>
      <c r="U22" s="223"/>
      <c r="V22" s="221" t="s">
        <v>11</v>
      </c>
    </row>
    <row r="23" spans="1:22" x14ac:dyDescent="0.3">
      <c r="A23" s="223"/>
      <c r="B23" s="173" t="s">
        <v>163</v>
      </c>
      <c r="C23" s="173" t="s">
        <v>164</v>
      </c>
      <c r="D23" s="173" t="s">
        <v>165</v>
      </c>
      <c r="E23" s="173" t="s">
        <v>166</v>
      </c>
      <c r="F23" s="173" t="s">
        <v>167</v>
      </c>
      <c r="G23" s="173" t="s">
        <v>164</v>
      </c>
      <c r="H23" s="173" t="s">
        <v>165</v>
      </c>
      <c r="I23" s="173" t="s">
        <v>166</v>
      </c>
      <c r="J23" s="173" t="s">
        <v>167</v>
      </c>
      <c r="K23" s="173" t="s">
        <v>164</v>
      </c>
      <c r="L23" s="173" t="s">
        <v>165</v>
      </c>
      <c r="M23" s="173" t="s">
        <v>166</v>
      </c>
      <c r="N23" s="173" t="s">
        <v>167</v>
      </c>
      <c r="O23" s="173" t="s">
        <v>164</v>
      </c>
      <c r="P23" s="173" t="s">
        <v>165</v>
      </c>
      <c r="Q23" s="173" t="s">
        <v>166</v>
      </c>
      <c r="R23" s="173" t="s">
        <v>167</v>
      </c>
      <c r="S23" s="173" t="s">
        <v>164</v>
      </c>
      <c r="T23" s="173" t="s">
        <v>165</v>
      </c>
      <c r="U23" s="189" t="s">
        <v>186</v>
      </c>
      <c r="V23" s="222"/>
    </row>
    <row r="24" spans="1:22" x14ac:dyDescent="0.3">
      <c r="A24" s="174" t="s">
        <v>168</v>
      </c>
      <c r="B24" s="175">
        <f t="shared" ref="B24:T24" si="5">50%*B16</f>
        <v>81247465</v>
      </c>
      <c r="C24" s="175">
        <f t="shared" si="5"/>
        <v>99401612.5</v>
      </c>
      <c r="D24" s="175">
        <f t="shared" si="5"/>
        <v>121103225</v>
      </c>
      <c r="E24" s="175">
        <f t="shared" si="5"/>
        <v>113518952.5</v>
      </c>
      <c r="F24" s="175">
        <f t="shared" si="5"/>
        <v>181531967.5</v>
      </c>
      <c r="G24" s="175">
        <f t="shared" si="5"/>
        <v>172378360</v>
      </c>
      <c r="H24" s="175">
        <f t="shared" si="5"/>
        <v>165013307.5</v>
      </c>
      <c r="I24" s="175">
        <f t="shared" si="5"/>
        <v>191831182.5</v>
      </c>
      <c r="J24" s="175">
        <f t="shared" si="5"/>
        <v>297150000</v>
      </c>
      <c r="K24" s="175">
        <f t="shared" si="5"/>
        <v>330497825</v>
      </c>
      <c r="L24" s="175">
        <f t="shared" si="5"/>
        <v>381485977.5</v>
      </c>
      <c r="M24" s="175">
        <f t="shared" si="5"/>
        <v>397577565</v>
      </c>
      <c r="N24" s="175">
        <f t="shared" si="5"/>
        <v>390950932.5</v>
      </c>
      <c r="O24" s="175">
        <f t="shared" si="5"/>
        <v>366525422.5</v>
      </c>
      <c r="P24" s="175">
        <f t="shared" si="5"/>
        <v>393142602.5</v>
      </c>
      <c r="Q24" s="175">
        <f t="shared" si="5"/>
        <v>409886865</v>
      </c>
      <c r="R24" s="175">
        <f t="shared" si="5"/>
        <v>410475377.5</v>
      </c>
      <c r="S24" s="175">
        <f t="shared" si="5"/>
        <v>389282390</v>
      </c>
      <c r="T24" s="175">
        <f t="shared" si="5"/>
        <v>335479735</v>
      </c>
      <c r="U24" s="191">
        <f>U16*50%</f>
        <v>370310920.35714281</v>
      </c>
      <c r="V24" s="176">
        <f>SUM(B24:U24)</f>
        <v>5598791685.3571424</v>
      </c>
    </row>
    <row r="25" spans="1:22" x14ac:dyDescent="0.3">
      <c r="A25" s="174" t="s">
        <v>169</v>
      </c>
      <c r="B25" s="175">
        <f t="shared" ref="B25:T25" si="6">50%*B17</f>
        <v>24366130</v>
      </c>
      <c r="C25" s="175">
        <f t="shared" si="6"/>
        <v>3375000</v>
      </c>
      <c r="D25" s="175">
        <f t="shared" si="6"/>
        <v>8080375</v>
      </c>
      <c r="E25" s="175">
        <f t="shared" si="6"/>
        <v>14125832.5</v>
      </c>
      <c r="F25" s="175">
        <f t="shared" si="6"/>
        <v>18438932.5</v>
      </c>
      <c r="G25" s="175">
        <f t="shared" si="6"/>
        <v>18504167.5</v>
      </c>
      <c r="H25" s="175">
        <f t="shared" si="6"/>
        <v>23985215</v>
      </c>
      <c r="I25" s="175">
        <f t="shared" si="6"/>
        <v>27719892.5</v>
      </c>
      <c r="J25" s="175">
        <f t="shared" si="6"/>
        <v>34778830</v>
      </c>
      <c r="K25" s="175">
        <f t="shared" si="6"/>
        <v>37483870</v>
      </c>
      <c r="L25" s="175">
        <f t="shared" si="6"/>
        <v>37286290</v>
      </c>
      <c r="M25" s="175">
        <f t="shared" si="6"/>
        <v>39743682.5</v>
      </c>
      <c r="N25" s="175">
        <f t="shared" si="6"/>
        <v>47629292.5</v>
      </c>
      <c r="O25" s="175">
        <f t="shared" si="6"/>
        <v>54912097.5</v>
      </c>
      <c r="P25" s="175">
        <f t="shared" si="6"/>
        <v>59741130</v>
      </c>
      <c r="Q25" s="175">
        <f t="shared" si="6"/>
        <v>78440225</v>
      </c>
      <c r="R25" s="175">
        <f t="shared" si="6"/>
        <v>78081882.5</v>
      </c>
      <c r="S25" s="175">
        <f t="shared" si="6"/>
        <v>89757917.5</v>
      </c>
      <c r="T25" s="175">
        <f t="shared" si="6"/>
        <v>98893402.5</v>
      </c>
      <c r="U25" s="191">
        <f>U17*50%</f>
        <v>107040095.7142857</v>
      </c>
      <c r="V25" s="176">
        <f t="shared" ref="V25" si="7">SUM(B25:U25)</f>
        <v>902384260.71428573</v>
      </c>
    </row>
    <row r="26" spans="1:22" x14ac:dyDescent="0.3">
      <c r="A26" s="177" t="s">
        <v>11</v>
      </c>
      <c r="B26" s="178">
        <f>B24+B25</f>
        <v>105613595</v>
      </c>
      <c r="C26" s="178">
        <f t="shared" ref="C26:U26" si="8">C24+C25</f>
        <v>102776612.5</v>
      </c>
      <c r="D26" s="178">
        <f t="shared" si="8"/>
        <v>129183600</v>
      </c>
      <c r="E26" s="178">
        <f t="shared" si="8"/>
        <v>127644785</v>
      </c>
      <c r="F26" s="178">
        <f t="shared" si="8"/>
        <v>199970900</v>
      </c>
      <c r="G26" s="178">
        <f t="shared" si="8"/>
        <v>190882527.5</v>
      </c>
      <c r="H26" s="178">
        <f t="shared" si="8"/>
        <v>188998522.5</v>
      </c>
      <c r="I26" s="178">
        <f t="shared" si="8"/>
        <v>219551075</v>
      </c>
      <c r="J26" s="178">
        <f t="shared" si="8"/>
        <v>331928830</v>
      </c>
      <c r="K26" s="178">
        <f t="shared" si="8"/>
        <v>367981695</v>
      </c>
      <c r="L26" s="178">
        <f t="shared" si="8"/>
        <v>418772267.5</v>
      </c>
      <c r="M26" s="178">
        <f t="shared" si="8"/>
        <v>437321247.5</v>
      </c>
      <c r="N26" s="178">
        <f t="shared" si="8"/>
        <v>438580225</v>
      </c>
      <c r="O26" s="178">
        <f t="shared" si="8"/>
        <v>421437520</v>
      </c>
      <c r="P26" s="178">
        <f t="shared" si="8"/>
        <v>452883732.5</v>
      </c>
      <c r="Q26" s="178">
        <f t="shared" si="8"/>
        <v>488327090</v>
      </c>
      <c r="R26" s="178">
        <f t="shared" si="8"/>
        <v>488557260</v>
      </c>
      <c r="S26" s="178">
        <f t="shared" si="8"/>
        <v>479040307.5</v>
      </c>
      <c r="T26" s="178">
        <f t="shared" si="8"/>
        <v>434373137.5</v>
      </c>
      <c r="U26" s="191">
        <f t="shared" si="8"/>
        <v>477351016.07142854</v>
      </c>
      <c r="V26" s="176">
        <f>SUM(B26:U26)</f>
        <v>6501175946.0714283</v>
      </c>
    </row>
    <row r="27" spans="1:22" x14ac:dyDescent="0.3">
      <c r="B27" s="182"/>
    </row>
    <row r="28" spans="1:22" x14ac:dyDescent="0.3">
      <c r="A28" s="177" t="s">
        <v>172</v>
      </c>
      <c r="B28" s="178">
        <f t="shared" ref="B28:V28" si="9">B26-B9</f>
        <v>63368157</v>
      </c>
      <c r="C28" s="178">
        <f t="shared" si="9"/>
        <v>61665967.5</v>
      </c>
      <c r="D28" s="178">
        <f t="shared" si="9"/>
        <v>77510160</v>
      </c>
      <c r="E28" s="178">
        <f t="shared" si="9"/>
        <v>76586871</v>
      </c>
      <c r="F28" s="178">
        <f t="shared" si="9"/>
        <v>119982540</v>
      </c>
      <c r="G28" s="178">
        <f t="shared" si="9"/>
        <v>114529516.5</v>
      </c>
      <c r="H28" s="178">
        <f t="shared" si="9"/>
        <v>113399113.5</v>
      </c>
      <c r="I28" s="178">
        <f t="shared" si="9"/>
        <v>131730645</v>
      </c>
      <c r="J28" s="178">
        <f t="shared" si="9"/>
        <v>199157298</v>
      </c>
      <c r="K28" s="178">
        <f t="shared" si="9"/>
        <v>220789017</v>
      </c>
      <c r="L28" s="178">
        <f t="shared" si="9"/>
        <v>251263360.5</v>
      </c>
      <c r="M28" s="178">
        <f t="shared" si="9"/>
        <v>262392748.5</v>
      </c>
      <c r="N28" s="178">
        <f t="shared" si="9"/>
        <v>263148135</v>
      </c>
      <c r="O28" s="178">
        <f t="shared" si="9"/>
        <v>252862512</v>
      </c>
      <c r="P28" s="178">
        <f t="shared" si="9"/>
        <v>271730239.5</v>
      </c>
      <c r="Q28" s="178">
        <f t="shared" si="9"/>
        <v>292996254</v>
      </c>
      <c r="R28" s="178">
        <f t="shared" si="9"/>
        <v>293134356</v>
      </c>
      <c r="S28" s="178">
        <f t="shared" si="9"/>
        <v>287424184.5</v>
      </c>
      <c r="T28" s="178">
        <f t="shared" si="9"/>
        <v>260623882.5</v>
      </c>
      <c r="U28" s="178">
        <f t="shared" si="9"/>
        <v>286410609.64285713</v>
      </c>
      <c r="V28" s="176">
        <f t="shared" si="9"/>
        <v>3900705567.6428571</v>
      </c>
    </row>
    <row r="29" spans="1:22" x14ac:dyDescent="0.3">
      <c r="N29" s="183">
        <f>AVERAGE(N28:Q28)</f>
        <v>270184285.125</v>
      </c>
      <c r="R29" s="184">
        <f>AVERAGE(R28:T28)</f>
        <v>280394141</v>
      </c>
    </row>
    <row r="30" spans="1:22" x14ac:dyDescent="0.3">
      <c r="B30" s="182">
        <f>B16-B24-B7</f>
        <v>48748479</v>
      </c>
    </row>
  </sheetData>
  <mergeCells count="21">
    <mergeCell ref="V22:V23"/>
    <mergeCell ref="A22:A23"/>
    <mergeCell ref="B22:E22"/>
    <mergeCell ref="F22:I22"/>
    <mergeCell ref="J22:M22"/>
    <mergeCell ref="N22:Q22"/>
    <mergeCell ref="R22:U22"/>
    <mergeCell ref="V5:V6"/>
    <mergeCell ref="A13:A14"/>
    <mergeCell ref="B13:E13"/>
    <mergeCell ref="F13:I13"/>
    <mergeCell ref="J13:M13"/>
    <mergeCell ref="N13:Q13"/>
    <mergeCell ref="R13:U13"/>
    <mergeCell ref="V13:V14"/>
    <mergeCell ref="A5:A6"/>
    <mergeCell ref="B5:E5"/>
    <mergeCell ref="F5:I5"/>
    <mergeCell ref="J5:M5"/>
    <mergeCell ref="N5:Q5"/>
    <mergeCell ref="R5:U5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211E66-FD9F-4F95-A51B-FB87FA90E173}">
  <dimension ref="A1:D19"/>
  <sheetViews>
    <sheetView zoomScale="82" zoomScaleNormal="82" workbookViewId="0">
      <selection activeCell="G17" sqref="G17"/>
    </sheetView>
  </sheetViews>
  <sheetFormatPr defaultColWidth="8.4140625" defaultRowHeight="14.5" x14ac:dyDescent="0.35"/>
  <cols>
    <col min="1" max="1" width="5.08203125" style="145" customWidth="1"/>
    <col min="2" max="2" width="30" style="145" customWidth="1"/>
    <col min="3" max="3" width="45.08203125" style="145" customWidth="1"/>
    <col min="4" max="4" width="45.33203125" style="145" customWidth="1"/>
    <col min="5" max="16384" width="8.4140625" style="145"/>
  </cols>
  <sheetData>
    <row r="1" spans="1:4" ht="21" x14ac:dyDescent="0.5">
      <c r="C1" s="146" t="s">
        <v>126</v>
      </c>
    </row>
    <row r="3" spans="1:4" x14ac:dyDescent="0.35">
      <c r="A3" s="147" t="s">
        <v>127</v>
      </c>
      <c r="B3" s="147"/>
      <c r="C3" s="148" t="s">
        <v>173</v>
      </c>
    </row>
    <row r="4" spans="1:4" x14ac:dyDescent="0.35">
      <c r="A4" s="147" t="s">
        <v>128</v>
      </c>
      <c r="B4" s="147"/>
      <c r="C4" s="148" t="s">
        <v>175</v>
      </c>
    </row>
    <row r="5" spans="1:4" x14ac:dyDescent="0.35">
      <c r="A5" s="147" t="s">
        <v>129</v>
      </c>
      <c r="B5" s="147"/>
      <c r="C5" s="148" t="s">
        <v>174</v>
      </c>
    </row>
    <row r="6" spans="1:4" x14ac:dyDescent="0.35">
      <c r="A6" s="147" t="s">
        <v>130</v>
      </c>
      <c r="B6" s="147"/>
      <c r="C6" s="148" t="s">
        <v>120</v>
      </c>
    </row>
    <row r="8" spans="1:4" ht="15" customHeight="1" x14ac:dyDescent="0.35">
      <c r="A8" s="224" t="s">
        <v>131</v>
      </c>
      <c r="B8" s="225" t="s">
        <v>132</v>
      </c>
      <c r="C8" s="225" t="s">
        <v>133</v>
      </c>
      <c r="D8" s="225" t="s">
        <v>122</v>
      </c>
    </row>
    <row r="9" spans="1:4" ht="15" customHeight="1" x14ac:dyDescent="0.35">
      <c r="A9" s="224"/>
      <c r="B9" s="226"/>
      <c r="C9" s="226"/>
      <c r="D9" s="226"/>
    </row>
    <row r="10" spans="1:4" x14ac:dyDescent="0.35">
      <c r="A10" s="149">
        <v>1</v>
      </c>
      <c r="B10" s="150" t="s">
        <v>134</v>
      </c>
      <c r="C10" s="150" t="s">
        <v>135</v>
      </c>
      <c r="D10" s="150" t="s">
        <v>135</v>
      </c>
    </row>
    <row r="11" spans="1:4" ht="15.5" x14ac:dyDescent="0.35">
      <c r="A11" s="149">
        <v>2</v>
      </c>
      <c r="B11" s="150" t="s">
        <v>136</v>
      </c>
      <c r="C11" s="151" t="s">
        <v>178</v>
      </c>
      <c r="D11" s="151" t="s">
        <v>176</v>
      </c>
    </row>
    <row r="12" spans="1:4" ht="15.5" x14ac:dyDescent="0.35">
      <c r="A12" s="149">
        <v>3</v>
      </c>
      <c r="B12" s="151" t="s">
        <v>137</v>
      </c>
      <c r="C12" s="152">
        <v>0.2</v>
      </c>
      <c r="D12" s="152">
        <v>0.2</v>
      </c>
    </row>
    <row r="13" spans="1:4" ht="15.5" x14ac:dyDescent="0.35">
      <c r="A13" s="149">
        <v>4</v>
      </c>
      <c r="B13" s="150" t="s">
        <v>138</v>
      </c>
      <c r="C13" s="153" t="s">
        <v>177</v>
      </c>
      <c r="D13" s="153" t="s">
        <v>177</v>
      </c>
    </row>
    <row r="14" spans="1:4" ht="15.5" x14ac:dyDescent="0.35">
      <c r="A14" s="149">
        <v>5</v>
      </c>
      <c r="B14" s="150" t="s">
        <v>139</v>
      </c>
      <c r="C14" s="151"/>
      <c r="D14" s="151"/>
    </row>
    <row r="15" spans="1:4" ht="15.5" x14ac:dyDescent="0.35">
      <c r="A15" s="149">
        <v>6</v>
      </c>
      <c r="B15" s="150" t="s">
        <v>140</v>
      </c>
      <c r="C15" s="154">
        <v>280394141</v>
      </c>
      <c r="D15" s="154">
        <v>280394141</v>
      </c>
    </row>
    <row r="16" spans="1:4" ht="15.5" x14ac:dyDescent="0.35">
      <c r="A16" s="149">
        <v>7</v>
      </c>
      <c r="B16" s="155" t="s">
        <v>141</v>
      </c>
      <c r="C16" s="156">
        <v>412</v>
      </c>
      <c r="D16" s="156">
        <v>412</v>
      </c>
    </row>
    <row r="17" spans="1:4" ht="15.5" x14ac:dyDescent="0.35">
      <c r="A17" s="149">
        <v>8</v>
      </c>
      <c r="B17" s="151" t="s">
        <v>142</v>
      </c>
      <c r="C17" s="153" t="s">
        <v>179</v>
      </c>
      <c r="D17" s="153" t="s">
        <v>179</v>
      </c>
    </row>
    <row r="18" spans="1:4" ht="15.5" x14ac:dyDescent="0.35">
      <c r="A18" s="149"/>
      <c r="B18" s="155" t="s">
        <v>143</v>
      </c>
      <c r="C18" s="151" t="s">
        <v>144</v>
      </c>
      <c r="D18" s="151">
        <v>280</v>
      </c>
    </row>
    <row r="19" spans="1:4" ht="15.5" x14ac:dyDescent="0.35">
      <c r="A19" s="149"/>
      <c r="B19" s="150"/>
      <c r="C19" s="153"/>
      <c r="D19" s="153"/>
    </row>
  </sheetData>
  <mergeCells count="4">
    <mergeCell ref="A8:A9"/>
    <mergeCell ref="B8:B9"/>
    <mergeCell ref="C8:C9"/>
    <mergeCell ref="D8:D9"/>
  </mergeCells>
  <pageMargins left="0.70866141732283472" right="0.70866141732283472" top="0.74803149606299213" bottom="0.74803149606299213" header="0.31496062992125984" footer="0.31496062992125984"/>
  <pageSetup paperSize="9" scale="8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3</vt:i4>
      </vt:variant>
    </vt:vector>
  </HeadingPairs>
  <TitlesOfParts>
    <vt:vector size="8" baseType="lpstr">
      <vt:lpstr>Summary</vt:lpstr>
      <vt:lpstr>IRR</vt:lpstr>
      <vt:lpstr>PARAMETER</vt:lpstr>
      <vt:lpstr>Revenue</vt:lpstr>
      <vt:lpstr>SummaryBR</vt:lpstr>
      <vt:lpstr>IRR!Print_Area</vt:lpstr>
      <vt:lpstr>Summary!Print_Area</vt:lpstr>
      <vt:lpstr>SummaryBR!Print_Area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Alfredo Setiadi</dc:creator>
  <cp:lastModifiedBy>Cosmas Widyawan</cp:lastModifiedBy>
  <cp:lastPrinted>2023-07-06T04:20:42Z</cp:lastPrinted>
  <dcterms:created xsi:type="dcterms:W3CDTF">2020-06-08T08:40:20Z</dcterms:created>
  <dcterms:modified xsi:type="dcterms:W3CDTF">2025-06-03T03:52:33Z</dcterms:modified>
</cp:coreProperties>
</file>