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BUDGET\IRR\IBC\IBC Confirm\IRR Mall Solo Paragon\"/>
    </mc:Choice>
  </mc:AlternateContent>
  <xr:revisionPtr revIDLastSave="0" documentId="13_ncr:1_{ABACCB7D-244C-443C-B252-7BAA2758D43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ummary" sheetId="6" r:id="rId1"/>
    <sheet name="IRR" sheetId="1" r:id="rId2"/>
    <sheet name="Book Value" sheetId="7" r:id="rId3"/>
    <sheet name="PARAMETER" sheetId="2" r:id="rId4"/>
    <sheet name="Summary Review" sheetId="8" r:id="rId5"/>
    <sheet name="Analisa" sheetId="9" r:id="rId6"/>
  </sheets>
  <externalReferences>
    <externalReference r:id="rId7"/>
    <externalReference r:id="rId8"/>
    <externalReference r:id="rId9"/>
    <externalReference r:id="rId10"/>
  </externalReferences>
  <definedNames>
    <definedName name="jk" localSheetId="5">#REF!</definedName>
    <definedName name="jk" localSheetId="4">#REF!</definedName>
    <definedName name="jk">#REF!</definedName>
    <definedName name="_xlnm.Print_Area" localSheetId="5">Analisa!$A$2:$F$32</definedName>
    <definedName name="_xlnm.Print_Area" localSheetId="1">IRR!$B$1:$L$50</definedName>
    <definedName name="_xlnm.Print_Area" localSheetId="0">Summary!$B$1:$N$34</definedName>
    <definedName name="_xlnm.Print_Area" localSheetId="4">'Summary Review'!$A$1:$E$20</definedName>
    <definedName name="years_contract">[1]Kerlink!$D$5</definedName>
  </definedNames>
  <calcPr calcId="191029" iterate="1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4" i="9" l="1"/>
  <c r="E22" i="9"/>
  <c r="D22" i="9"/>
  <c r="F22" i="9"/>
  <c r="D23" i="9"/>
  <c r="F23" i="9"/>
  <c r="D24" i="9"/>
  <c r="F24" i="9"/>
  <c r="D25" i="9"/>
  <c r="F25" i="9"/>
  <c r="E26" i="9"/>
  <c r="D26" i="9"/>
  <c r="F26" i="9"/>
  <c r="D21" i="9"/>
  <c r="F21" i="9"/>
  <c r="D27" i="9"/>
  <c r="F27" i="9"/>
  <c r="D28" i="9"/>
  <c r="F28" i="9"/>
  <c r="D29" i="9"/>
  <c r="F29" i="9"/>
  <c r="F31" i="9"/>
  <c r="D11" i="9"/>
  <c r="F11" i="9"/>
  <c r="D12" i="9"/>
  <c r="F12" i="9"/>
  <c r="D13" i="9"/>
  <c r="F13" i="9"/>
  <c r="D14" i="9"/>
  <c r="F14" i="9"/>
  <c r="D15" i="9"/>
  <c r="F15" i="9"/>
  <c r="D16" i="9"/>
  <c r="F16" i="9"/>
  <c r="F18" i="9"/>
  <c r="F14" i="8"/>
  <c r="F21" i="1"/>
  <c r="L21" i="1"/>
  <c r="M21" i="1"/>
  <c r="J42" i="9"/>
  <c r="K42" i="9"/>
  <c r="M42" i="9"/>
  <c r="O42" i="9"/>
  <c r="J43" i="9"/>
  <c r="K43" i="9"/>
  <c r="M43" i="9"/>
  <c r="N43" i="9"/>
  <c r="O43" i="9"/>
  <c r="J44" i="9"/>
  <c r="K44" i="9"/>
  <c r="M44" i="9"/>
  <c r="O44" i="9"/>
  <c r="O45" i="9"/>
  <c r="M46" i="9"/>
  <c r="O46" i="9"/>
  <c r="O47" i="9"/>
  <c r="O48" i="9"/>
  <c r="O49" i="9"/>
  <c r="O50" i="9"/>
  <c r="G17" i="1"/>
  <c r="G18" i="1"/>
  <c r="G26" i="1"/>
  <c r="G50" i="1"/>
  <c r="G28" i="1"/>
  <c r="G29" i="1"/>
  <c r="G31" i="1"/>
  <c r="G32" i="1"/>
  <c r="G33" i="1"/>
  <c r="G36" i="1"/>
  <c r="H17" i="1"/>
  <c r="H18" i="1"/>
  <c r="H26" i="1"/>
  <c r="H46" i="1"/>
  <c r="H50" i="1"/>
  <c r="H28" i="1"/>
  <c r="H29" i="1"/>
  <c r="H31" i="1"/>
  <c r="H32" i="1"/>
  <c r="H33" i="1"/>
  <c r="H36" i="1"/>
  <c r="I17" i="1"/>
  <c r="I18" i="1"/>
  <c r="I26" i="1"/>
  <c r="I47" i="1"/>
  <c r="I50" i="1"/>
  <c r="I28" i="1"/>
  <c r="I29" i="1"/>
  <c r="I31" i="1"/>
  <c r="I32" i="1"/>
  <c r="I33" i="1"/>
  <c r="I36" i="1"/>
  <c r="J17" i="1"/>
  <c r="J18" i="1"/>
  <c r="J26" i="1"/>
  <c r="J46" i="1"/>
  <c r="J50" i="1"/>
  <c r="J28" i="1"/>
  <c r="J29" i="1"/>
  <c r="J31" i="1"/>
  <c r="J32" i="1"/>
  <c r="J33" i="1"/>
  <c r="J36" i="1"/>
  <c r="K17" i="1"/>
  <c r="K18" i="1"/>
  <c r="K26" i="1"/>
  <c r="K46" i="1"/>
  <c r="K47" i="1"/>
  <c r="K50" i="1"/>
  <c r="K28" i="1"/>
  <c r="K29" i="1"/>
  <c r="K31" i="1"/>
  <c r="K32" i="1"/>
  <c r="K33" i="1"/>
  <c r="K36" i="1"/>
  <c r="F36" i="1"/>
  <c r="F40" i="1"/>
  <c r="F39" i="1"/>
  <c r="G45" i="1"/>
  <c r="I16" i="1"/>
  <c r="G16" i="1"/>
  <c r="G10" i="1"/>
  <c r="F20" i="8"/>
  <c r="M7" i="6"/>
  <c r="M11" i="6"/>
  <c r="K35" i="1"/>
  <c r="J35" i="1"/>
  <c r="I35" i="1"/>
  <c r="H35" i="1"/>
  <c r="G35" i="1"/>
  <c r="F35" i="1"/>
  <c r="L35" i="1"/>
  <c r="L17" i="1"/>
  <c r="H16" i="1"/>
  <c r="J16" i="1"/>
  <c r="K16" i="1"/>
  <c r="L16" i="1"/>
  <c r="H15" i="1"/>
  <c r="I15" i="1"/>
  <c r="J15" i="1"/>
  <c r="K15" i="1"/>
  <c r="L15" i="1"/>
  <c r="L24" i="1"/>
  <c r="L23" i="1"/>
  <c r="L22" i="1"/>
  <c r="L25" i="1"/>
  <c r="L18" i="1"/>
  <c r="L26" i="1"/>
  <c r="H45" i="1"/>
  <c r="I45" i="1"/>
  <c r="J45" i="1"/>
  <c r="K45" i="1"/>
  <c r="L28" i="1"/>
  <c r="L29" i="1"/>
  <c r="L32" i="1"/>
  <c r="L33" i="1"/>
  <c r="L36" i="1"/>
  <c r="F25" i="1"/>
  <c r="F26" i="1"/>
  <c r="G25" i="1"/>
  <c r="G24" i="1"/>
  <c r="H24" i="1"/>
  <c r="I24" i="1"/>
  <c r="J24" i="1"/>
  <c r="K24" i="1"/>
  <c r="G23" i="1"/>
  <c r="K17" i="2"/>
  <c r="I13" i="2"/>
  <c r="J13" i="2"/>
  <c r="I21" i="1"/>
  <c r="J21" i="1"/>
  <c r="K21" i="1"/>
  <c r="B2" i="2"/>
  <c r="B5" i="2"/>
  <c r="J17" i="2"/>
  <c r="M3" i="6"/>
  <c r="F13" i="2"/>
  <c r="H23" i="1"/>
  <c r="I23" i="1"/>
  <c r="J23" i="1"/>
  <c r="K23" i="1"/>
  <c r="H10" i="1"/>
  <c r="I10" i="1"/>
  <c r="J10" i="1"/>
  <c r="K10" i="1"/>
  <c r="D7" i="6"/>
  <c r="F16" i="8"/>
  <c r="H22" i="1"/>
  <c r="I22" i="1"/>
  <c r="J22" i="1"/>
  <c r="K22" i="1"/>
  <c r="D5" i="7"/>
  <c r="B5" i="7"/>
  <c r="E12" i="8"/>
  <c r="D12" i="8"/>
  <c r="C12" i="8"/>
  <c r="D6" i="7"/>
  <c r="D9" i="7"/>
  <c r="B9" i="7"/>
  <c r="C9" i="7"/>
  <c r="E9" i="7"/>
  <c r="F9" i="7"/>
  <c r="G9" i="7"/>
  <c r="H9" i="7"/>
  <c r="I9" i="7"/>
  <c r="C5" i="7"/>
  <c r="C8" i="7"/>
  <c r="D8" i="7"/>
  <c r="E5" i="7"/>
  <c r="E8" i="7"/>
  <c r="F5" i="7"/>
  <c r="F8" i="7"/>
  <c r="G5" i="7"/>
  <c r="G8" i="7"/>
  <c r="H5" i="7"/>
  <c r="H8" i="7"/>
  <c r="I5" i="7"/>
  <c r="I8" i="7"/>
  <c r="B8" i="7"/>
  <c r="H25" i="1"/>
  <c r="K25" i="1"/>
  <c r="K27" i="1"/>
  <c r="J25" i="1"/>
  <c r="J27" i="1"/>
  <c r="I25" i="1"/>
  <c r="I27" i="1"/>
  <c r="I16" i="2"/>
  <c r="J16" i="2"/>
  <c r="F16" i="2"/>
  <c r="I15" i="2"/>
  <c r="H15" i="2"/>
  <c r="F15" i="2"/>
  <c r="G14" i="2"/>
  <c r="J14" i="2"/>
  <c r="F12" i="2"/>
  <c r="D12" i="2"/>
  <c r="J15" i="2"/>
  <c r="J12" i="2"/>
  <c r="M9" i="6"/>
  <c r="B4" i="2"/>
  <c r="C2" i="2"/>
  <c r="C5" i="2"/>
  <c r="D2" i="2"/>
  <c r="D5" i="2"/>
  <c r="E2" i="2"/>
  <c r="E5" i="2"/>
  <c r="F2" i="2"/>
  <c r="F5" i="2"/>
  <c r="G2" i="2"/>
  <c r="G5" i="2"/>
  <c r="H2" i="2"/>
  <c r="H5" i="2"/>
  <c r="I2" i="2"/>
  <c r="I5" i="2"/>
  <c r="J2" i="2"/>
  <c r="J5" i="2"/>
  <c r="K2" i="2"/>
  <c r="K5" i="2"/>
  <c r="M13" i="6"/>
  <c r="I44" i="1"/>
  <c r="J44" i="1"/>
  <c r="K44" i="1"/>
  <c r="H27" i="1"/>
  <c r="F37" i="1"/>
  <c r="M12" i="6"/>
  <c r="L27" i="1"/>
  <c r="F41" i="1"/>
  <c r="H44" i="1"/>
  <c r="G44" i="1"/>
  <c r="M17" i="6"/>
  <c r="G37" i="1"/>
  <c r="G38" i="1"/>
  <c r="H37" i="1"/>
  <c r="H38" i="1"/>
  <c r="L30" i="1"/>
  <c r="I37" i="1"/>
  <c r="J37" i="1"/>
  <c r="J38" i="1"/>
  <c r="I38" i="1"/>
  <c r="L31" i="1"/>
  <c r="M16" i="6"/>
  <c r="M15" i="6"/>
  <c r="K37" i="1"/>
  <c r="K38" i="1"/>
  <c r="F42" i="1"/>
  <c r="M18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Subianto  Kasmun </author>
  </authors>
  <commentList>
    <comment ref="I11" authorId="0" shapeId="0" xr:uid="{C1FA89FE-681E-48C0-8FAE-AFB4C7772DF0}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</t>
        </r>
      </text>
    </comment>
  </commentList>
</comments>
</file>

<file path=xl/sharedStrings.xml><?xml version="1.0" encoding="utf-8"?>
<sst xmlns="http://schemas.openxmlformats.org/spreadsheetml/2006/main" count="284" uniqueCount="216">
  <si>
    <t>General</t>
  </si>
  <si>
    <t>Tax Rate</t>
  </si>
  <si>
    <t>SG&amp;A</t>
  </si>
  <si>
    <t>from Revenues</t>
  </si>
  <si>
    <t>BHPUSO</t>
  </si>
  <si>
    <t>Revenues</t>
  </si>
  <si>
    <t>Year 1</t>
  </si>
  <si>
    <t>Year 2</t>
  </si>
  <si>
    <t>Year 3</t>
  </si>
  <si>
    <t>Year 4</t>
  </si>
  <si>
    <t>Year 5</t>
  </si>
  <si>
    <t>IRR Calculation</t>
  </si>
  <si>
    <t>Total</t>
  </si>
  <si>
    <t>Months of Service</t>
  </si>
  <si>
    <t>OPEX</t>
  </si>
  <si>
    <t>Electricity</t>
  </si>
  <si>
    <t>Total OPEX</t>
  </si>
  <si>
    <t>Total EBITDA</t>
  </si>
  <si>
    <t>Ebitda margin</t>
  </si>
  <si>
    <t>Depreciation Expense</t>
  </si>
  <si>
    <t>Total EBIT</t>
  </si>
  <si>
    <t>Tax Expense</t>
  </si>
  <si>
    <t>Capex</t>
  </si>
  <si>
    <t>FCFF</t>
  </si>
  <si>
    <t>Accumulated FCF</t>
  </si>
  <si>
    <t>PBP</t>
  </si>
  <si>
    <t>IRR</t>
  </si>
  <si>
    <t>NPV</t>
  </si>
  <si>
    <t>EBITDA margin</t>
  </si>
  <si>
    <t>Payback</t>
  </si>
  <si>
    <t>Depreciation Calculation</t>
  </si>
  <si>
    <t>Total Depreciation</t>
  </si>
  <si>
    <t>Interest Expense</t>
  </si>
  <si>
    <t>EBT</t>
  </si>
  <si>
    <t>Y1</t>
  </si>
  <si>
    <t>Y2</t>
  </si>
  <si>
    <t>Y3</t>
  </si>
  <si>
    <t>Y4</t>
  </si>
  <si>
    <t>Y5</t>
  </si>
  <si>
    <t>Interest Rate</t>
  </si>
  <si>
    <t>Lease to BM</t>
  </si>
  <si>
    <t>Maintenance</t>
  </si>
  <si>
    <t>Year 6</t>
  </si>
  <si>
    <t>Year 7</t>
  </si>
  <si>
    <t>Year 8</t>
  </si>
  <si>
    <t>Year 9</t>
  </si>
  <si>
    <t>Year 10</t>
  </si>
  <si>
    <t>Total CAPEX</t>
  </si>
  <si>
    <t>Net Income</t>
  </si>
  <si>
    <t xml:space="preserve"> </t>
  </si>
  <si>
    <t>loan</t>
  </si>
  <si>
    <t>Period  (thn)</t>
  </si>
  <si>
    <t>Installment/thn</t>
  </si>
  <si>
    <t>Interest</t>
  </si>
  <si>
    <t>Product :</t>
  </si>
  <si>
    <t>Status P&amp;L</t>
  </si>
  <si>
    <t>Site Information</t>
  </si>
  <si>
    <t xml:space="preserve">Technical Information </t>
  </si>
  <si>
    <t>Financial Summary</t>
  </si>
  <si>
    <t>Site Name</t>
  </si>
  <si>
    <t>IBC</t>
  </si>
  <si>
    <t>Capex /antenna</t>
  </si>
  <si>
    <t>Address</t>
  </si>
  <si>
    <t>Antena PKS BM</t>
  </si>
  <si>
    <t>Contract Period (thn)</t>
  </si>
  <si>
    <t>Area building</t>
  </si>
  <si>
    <t>Antena Asset</t>
  </si>
  <si>
    <t>Type of building</t>
  </si>
  <si>
    <t>Jumlah Pole Makro</t>
  </si>
  <si>
    <t>Kurs 1USD</t>
  </si>
  <si>
    <t>Status</t>
  </si>
  <si>
    <t>OPENET</t>
  </si>
  <si>
    <t>Total floor</t>
  </si>
  <si>
    <t>Cable FO (Core)</t>
  </si>
  <si>
    <t>Total Opex</t>
  </si>
  <si>
    <t>No of building tower</t>
  </si>
  <si>
    <t>Cable FO (meter)</t>
  </si>
  <si>
    <t>Total Revenue</t>
  </si>
  <si>
    <t>Drop Wire (meter)</t>
  </si>
  <si>
    <t>OTHERS</t>
  </si>
  <si>
    <t>Interest rate /year</t>
  </si>
  <si>
    <t>Payback (year)</t>
  </si>
  <si>
    <t>DAS</t>
  </si>
  <si>
    <t>BTS</t>
  </si>
  <si>
    <t>Price Adjustment after 5 years</t>
  </si>
  <si>
    <t>Revenue</t>
  </si>
  <si>
    <t>Target Achieved by Commercial:</t>
  </si>
  <si>
    <t xml:space="preserve">Tanggal P&amp;L:  </t>
  </si>
  <si>
    <t>IBS / DAS</t>
  </si>
  <si>
    <t>Prepared by</t>
  </si>
  <si>
    <t>Approved  by</t>
  </si>
  <si>
    <t>person</t>
  </si>
  <si>
    <t>trip</t>
  </si>
  <si>
    <t>kamar</t>
  </si>
  <si>
    <t>Days by Omni</t>
  </si>
  <si>
    <t>Biaya walktest inhouse/visit</t>
  </si>
  <si>
    <t>Biaya walktest inhouse/thn</t>
  </si>
  <si>
    <t>Diisikan</t>
  </si>
  <si>
    <t>Transport</t>
  </si>
  <si>
    <t>Pesawat</t>
  </si>
  <si>
    <t>Bandara</t>
  </si>
  <si>
    <t>Trip</t>
  </si>
  <si>
    <t>Hotel</t>
  </si>
  <si>
    <t>Uang Saku</t>
  </si>
  <si>
    <t>PM/Year/Site</t>
  </si>
  <si>
    <t>Asumsi:</t>
  </si>
  <si>
    <t>Sulut</t>
  </si>
  <si>
    <t>Walktest 4x dalam setahun semua operator sekaligus</t>
  </si>
  <si>
    <t>Makasar</t>
  </si>
  <si>
    <t>Walktest pertama oleh vendor</t>
  </si>
  <si>
    <t>Bali</t>
  </si>
  <si>
    <t>Pekanbaru</t>
  </si>
  <si>
    <t>Jatim</t>
  </si>
  <si>
    <t>Sumut</t>
  </si>
  <si>
    <t>Jateng</t>
  </si>
  <si>
    <t>Sulsel</t>
  </si>
  <si>
    <t>Jabar</t>
  </si>
  <si>
    <t>Kalimantan</t>
  </si>
  <si>
    <t>Sumatera</t>
  </si>
  <si>
    <t>Palembang</t>
  </si>
  <si>
    <t>Jabodetabek</t>
  </si>
  <si>
    <t>Inhouse</t>
  </si>
  <si>
    <t>CM /Year/Oprt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</si>
  <si>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</si>
  <si>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</si>
  <si>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</si>
  <si>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</si>
  <si>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</si>
  <si>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</si>
  <si>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</si>
  <si>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Total Revenues (SF)</t>
  </si>
  <si>
    <t xml:space="preserve">: </t>
  </si>
  <si>
    <t>TSEL</t>
  </si>
  <si>
    <t>IOH</t>
  </si>
  <si>
    <t>SUMMARY REVIEW</t>
  </si>
  <si>
    <t xml:space="preserve">Nama Site                          </t>
  </si>
  <si>
    <t>: Solo Paragon</t>
  </si>
  <si>
    <t xml:space="preserve">Nama Pemilik      </t>
  </si>
  <si>
    <t>: PT. Sunindo Gapura Prima</t>
  </si>
  <si>
    <t xml:space="preserve">Alamat Pemilik      </t>
  </si>
  <si>
    <t>: Jl. Yosodipuro no.33 Solo, Jawa Tengah</t>
  </si>
  <si>
    <t xml:space="preserve">Telp                                            </t>
  </si>
  <si>
    <t>: (0271) 727306</t>
  </si>
  <si>
    <t xml:space="preserve">Obyek Sewa            </t>
  </si>
  <si>
    <t>:  190 Omni +  6 Unit Pole Antenna + RBS 52,5 m²</t>
  </si>
  <si>
    <t xml:space="preserve">No. </t>
  </si>
  <si>
    <t>Keterangan</t>
  </si>
  <si>
    <t>Renewal</t>
  </si>
  <si>
    <t>Scope Of Lease</t>
  </si>
  <si>
    <t>Obyek Sewa</t>
  </si>
  <si>
    <t>Periode Sewa</t>
  </si>
  <si>
    <t>18 Oktober 2016 s/d 17 Oktober 2021 (5 tahun)</t>
  </si>
  <si>
    <t>18 Oktober 2021 s/d 17 Oktober 2026 (5 tahun)</t>
  </si>
  <si>
    <t>18 Oktober 2026 s/d 17 Oktober 2031 (5 tahun)</t>
  </si>
  <si>
    <t xml:space="preserve">Harga Sewa </t>
  </si>
  <si>
    <t>Rp.2.000.000.000/ 5 Tahun atau Rp.400.000.000/Tahun</t>
  </si>
  <si>
    <t>Rp.1.600.000.000/ 5 Tahun atau Rp.320.000.000/ Tahun</t>
  </si>
  <si>
    <t>Operator Join</t>
  </si>
  <si>
    <t>Smartfren</t>
  </si>
  <si>
    <t>HCPT (27 Jan 2018 s/d 26 Jan 2023)</t>
  </si>
  <si>
    <t>Tsel (11 Jun 2022 s/d 10 Jun 2027) Rp.452.143.200</t>
  </si>
  <si>
    <t>Tsel (11 Jun 15 s/d 10 Jun 20)</t>
  </si>
  <si>
    <t>Tsel (11 Jun 20 s/d 10 Jun 22)</t>
  </si>
  <si>
    <t>XL (21 feb 18 - 20 feb 23)</t>
  </si>
  <si>
    <t>Indosat ( 05 Mar 17 - 04 Mar 22)</t>
  </si>
  <si>
    <t>Asumsi SF Rp. 285,000,000</t>
  </si>
  <si>
    <t>Note :</t>
  </si>
  <si>
    <t>Surakarta</t>
  </si>
  <si>
    <t>Mall</t>
  </si>
  <si>
    <t>Old and extension</t>
  </si>
  <si>
    <t>Extension</t>
  </si>
  <si>
    <t>Rp. 2.300.000.000/ 5 Tahun atau Rp. 460.000.000/ Tahun</t>
  </si>
  <si>
    <t>Existing 2</t>
  </si>
  <si>
    <t>Existing 1</t>
  </si>
  <si>
    <t>No of Year Depreciated</t>
  </si>
  <si>
    <t>XL (21 feb 24 - 20 feb 25) Rp.318.674.916 (site keep)</t>
  </si>
  <si>
    <t>SF</t>
  </si>
  <si>
    <t>BV 30/09/26</t>
  </si>
  <si>
    <t>Year 0</t>
  </si>
  <si>
    <t>Y0</t>
  </si>
  <si>
    <t>Total Capex BV 30/09/26</t>
  </si>
  <si>
    <t>Vito Indriano</t>
  </si>
  <si>
    <t>0016/IRR/IBC/VII/2025</t>
  </si>
  <si>
    <t>HOTEL dan MALL SOLO PARAGON</t>
  </si>
  <si>
    <t>Cash Flow 3thn Cut Loss</t>
  </si>
  <si>
    <t>Positip</t>
  </si>
  <si>
    <t>IRR 3thn Cutt Loss</t>
  </si>
  <si>
    <t>Cash Flow 10thn</t>
  </si>
  <si>
    <t xml:space="preserve">IRR 10thn </t>
  </si>
  <si>
    <t>Profit</t>
  </si>
  <si>
    <t xml:space="preserve">OM </t>
  </si>
  <si>
    <t xml:space="preserve">Sewa BM </t>
  </si>
  <si>
    <t>Rev H3I</t>
  </si>
  <si>
    <t>BATAS MAHAL SEWA naik 20%</t>
  </si>
  <si>
    <t>SEBELUM Kenaikan</t>
  </si>
  <si>
    <t>Sewa BM diperpanjang sampai akhir masa H3I, maka:</t>
  </si>
  <si>
    <t>Sewa BM</t>
  </si>
  <si>
    <t>Rev. H3I</t>
  </si>
  <si>
    <t>End</t>
  </si>
  <si>
    <t>Start</t>
  </si>
  <si>
    <t xml:space="preserve">Periode </t>
  </si>
  <si>
    <t>SITE PASAR BLAURAN</t>
  </si>
  <si>
    <t>Antisipasi Add Capex and Pole</t>
  </si>
  <si>
    <t>Rev XL Smart</t>
  </si>
  <si>
    <t>Rev IOH</t>
  </si>
  <si>
    <t>Days</t>
  </si>
  <si>
    <t>Rev. XL Smart</t>
  </si>
  <si>
    <t>SITE MALL dan HOTEL SOLO PARAGON</t>
  </si>
  <si>
    <t>Rev Tsel</t>
  </si>
  <si>
    <t>Listrik</t>
  </si>
  <si>
    <t>Worse &gt;&gt; Jika Sewa BM diperpanjang 5 tahun, masing2 Operator sesuai Periode Eksisting</t>
  </si>
  <si>
    <t>Conservative&gt;&gt; Jika Sewa BM diperpanjang 5 tahun, Operator mengikuti tapi masing2 turun15%</t>
  </si>
  <si>
    <t>IOH ( 05 Mar 22 - 04 Mar 27) Rp.283.050.000</t>
  </si>
  <si>
    <t>XL (21 feb 23 - 20 feb 24)</t>
  </si>
  <si>
    <t>SF 18Okt25-17Okt27 Setelah itu renego XLSmart</t>
  </si>
  <si>
    <t>Hotel dan Mall Paragon Solo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</si>
</sst>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2" formatCode="_(&quot;Rp&quot;* #,##0_);_(&quot;Rp&quot;* \(#,##0\);_(&quot;Rp&quot;* &quot;-&quot;_);_(@_)"/>
    <numFmt numFmtId="41" formatCode="_(* #,##0_);_(* \(#,##0\);_(* &quot;-&quot;_);_(@_)"/>
    <numFmt numFmtId="43" formatCode="_(* #,##0.00_);_(* \(#,##0.00\);_(* &quot;-&quot;??_);_(@_)"/>
    <numFmt numFmtId="164" formatCode="_-* #,##0_-;\-* #,##0_-;_-* &quot;-&quot;_-;_-@_-"/>
    <numFmt numFmtId="165" formatCode="_-* #,##0.00_-;\-* #,##0.00_-;_-* &quot;-&quot;??_-;_-@_-"/>
    <numFmt numFmtId="166" formatCode="_(* #,##0_);_(* \(#,##0\);_(* &quot;-&quot;??_);_(@_)"/>
    <numFmt numFmtId="167" formatCode="_(* #,##0.0_);_(* \(#,##0.0\);_(* &quot;-&quot;??_);_(@_)"/>
    <numFmt numFmtId="168" formatCode="_-* #,##0.0_-;\-* #,##0.0_-;_-* &quot;-&quot;_-;_-@_-"/>
    <numFmt numFmtId="169" formatCode="#,###&quot;/thn&quot;"/>
    <numFmt numFmtId="170" formatCode="#,###&quot;/pole&quot;"/>
    <numFmt numFmtId="171" formatCode="[$-C09]dd\-mmm\-yy;@"/>
  </numFmts>
  <fonts count="36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sz val="12"/>
      <name val="Calibri"/>
      <family val="2"/>
      <scheme val="minor"/>
    </font>
    <font>
      <sz val="8"/>
      <color rgb="FF7030A0"/>
      <name val="Calibri"/>
      <family val="2"/>
      <scheme val="minor"/>
    </font>
    <font>
      <b/>
      <sz val="12"/>
      <color rgb="FF3366FF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8"/>
      <color rgb="FF0070C0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i/>
      <sz val="8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6"/>
      <color theme="1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9">
    <xf numFmtId="0" fontId="0" fillId="0" borderId="0"/>
    <xf numFmtId="43" fontId="8" fillId="0" borderId="0" applyFont="0" applyFill="0" applyBorder="0" applyAlignment="0" applyProtection="0"/>
    <xf numFmtId="16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7" fillId="0" borderId="0"/>
    <xf numFmtId="0" fontId="23" fillId="0" borderId="0"/>
    <xf numFmtId="43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41" fontId="9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9" fillId="0" borderId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29" fillId="0" borderId="0"/>
    <xf numFmtId="0" fontId="29" fillId="0" borderId="0"/>
    <xf numFmtId="43" fontId="29" fillId="0" borderId="0" applyFont="0" applyFill="0" applyBorder="0" applyAlignment="0" applyProtection="0"/>
    <xf numFmtId="42" fontId="3" fillId="0" borderId="0" applyFont="0" applyFill="0" applyBorder="0" applyAlignment="0" applyProtection="0"/>
    <xf numFmtId="0" fontId="3" fillId="0" borderId="0"/>
    <xf numFmtId="0" fontId="23" fillId="0" borderId="0"/>
    <xf numFmtId="41" fontId="2" fillId="0" borderId="0" applyFont="0" applyFill="0" applyBorder="0" applyAlignment="0" applyProtection="0"/>
    <xf numFmtId="0" fontId="23" fillId="0" borderId="0"/>
    <xf numFmtId="164" fontId="2" fillId="0" borderId="0" applyFont="0" applyFill="0" applyBorder="0" applyAlignment="0" applyProtection="0"/>
    <xf numFmtId="42" fontId="23" fillId="0" borderId="0" applyFont="0" applyFill="0" applyBorder="0" applyAlignment="0" applyProtection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3" fillId="0" borderId="0"/>
    <xf numFmtId="0" fontId="1" fillId="0" borderId="0"/>
    <xf numFmtId="41" fontId="1" fillId="0" borderId="0" applyFont="0" applyFill="0" applyBorder="0" applyAlignment="0" applyProtection="0"/>
    <xf numFmtId="0" fontId="23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38">
    <xf numFmtId="0" fontId="0" fillId="0" borderId="0" xfId="0"/>
    <xf numFmtId="0" fontId="10" fillId="0" borderId="0" xfId="0" applyFont="1"/>
    <xf numFmtId="0" fontId="0" fillId="0" borderId="0" xfId="0" applyAlignment="1">
      <alignment vertical="center"/>
    </xf>
    <xf numFmtId="0" fontId="11" fillId="0" borderId="0" xfId="0" applyFont="1"/>
    <xf numFmtId="0" fontId="0" fillId="3" borderId="0" xfId="0" applyFill="1"/>
    <xf numFmtId="9" fontId="12" fillId="0" borderId="0" xfId="2" applyNumberFormat="1" applyFont="1"/>
    <xf numFmtId="10" fontId="12" fillId="0" borderId="0" xfId="2" applyNumberFormat="1" applyFont="1"/>
    <xf numFmtId="0" fontId="0" fillId="0" borderId="1" xfId="0" applyBorder="1"/>
    <xf numFmtId="0" fontId="10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0" borderId="1" xfId="0" applyFont="1" applyBorder="1"/>
    <xf numFmtId="0" fontId="10" fillId="0" borderId="1" xfId="0" applyFont="1" applyBorder="1" applyAlignment="1">
      <alignment horizontal="center"/>
    </xf>
    <xf numFmtId="164" fontId="0" fillId="0" borderId="0" xfId="0" applyNumberFormat="1" applyAlignment="1">
      <alignment vertical="center"/>
    </xf>
    <xf numFmtId="164" fontId="0" fillId="0" borderId="0" xfId="0" applyNumberFormat="1"/>
    <xf numFmtId="0" fontId="0" fillId="0" borderId="2" xfId="0" applyBorder="1"/>
    <xf numFmtId="164" fontId="0" fillId="0" borderId="2" xfId="0" applyNumberFormat="1" applyBorder="1" applyAlignment="1">
      <alignment vertical="center"/>
    </xf>
    <xf numFmtId="0" fontId="17" fillId="0" borderId="0" xfId="0" applyFont="1"/>
    <xf numFmtId="0" fontId="17" fillId="0" borderId="0" xfId="0" applyFont="1" applyAlignment="1">
      <alignment vertical="center"/>
    </xf>
    <xf numFmtId="43" fontId="17" fillId="0" borderId="0" xfId="1" applyFont="1"/>
    <xf numFmtId="164" fontId="0" fillId="0" borderId="2" xfId="2" applyFont="1" applyBorder="1" applyAlignment="1">
      <alignment vertical="center"/>
    </xf>
    <xf numFmtId="164" fontId="10" fillId="0" borderId="0" xfId="0" applyNumberFormat="1" applyFont="1" applyAlignment="1">
      <alignment vertical="center"/>
    </xf>
    <xf numFmtId="0" fontId="18" fillId="0" borderId="0" xfId="0" applyFont="1"/>
    <xf numFmtId="0" fontId="19" fillId="0" borderId="0" xfId="0" applyFont="1"/>
    <xf numFmtId="9" fontId="18" fillId="0" borderId="0" xfId="3" applyFont="1" applyAlignment="1">
      <alignment vertical="center"/>
    </xf>
    <xf numFmtId="0" fontId="0" fillId="0" borderId="0" xfId="0" applyFill="1" applyBorder="1"/>
    <xf numFmtId="38" fontId="13" fillId="0" borderId="0" xfId="0" applyNumberFormat="1" applyFont="1" applyAlignment="1">
      <alignment vertical="center"/>
    </xf>
    <xf numFmtId="38" fontId="0" fillId="0" borderId="0" xfId="0" applyNumberFormat="1"/>
    <xf numFmtId="0" fontId="0" fillId="2" borderId="5" xfId="0" applyFill="1" applyBorder="1"/>
    <xf numFmtId="38" fontId="0" fillId="2" borderId="5" xfId="0" applyNumberFormat="1" applyFill="1" applyBorder="1" applyAlignment="1">
      <alignment vertical="center"/>
    </xf>
    <xf numFmtId="38" fontId="0" fillId="0" borderId="2" xfId="0" applyNumberFormat="1" applyBorder="1"/>
    <xf numFmtId="166" fontId="16" fillId="0" borderId="0" xfId="1" applyNumberFormat="1" applyFont="1"/>
    <xf numFmtId="0" fontId="0" fillId="0" borderId="0" xfId="0" applyAlignment="1">
      <alignment horizontal="center"/>
    </xf>
    <xf numFmtId="0" fontId="20" fillId="0" borderId="0" xfId="0" applyFont="1"/>
    <xf numFmtId="0" fontId="20" fillId="0" borderId="0" xfId="0" applyFont="1" applyAlignment="1">
      <alignment horizontal="center" vertical="center"/>
    </xf>
    <xf numFmtId="166" fontId="0" fillId="0" borderId="0" xfId="0" applyNumberFormat="1" applyAlignment="1">
      <alignment vertical="center"/>
    </xf>
    <xf numFmtId="166" fontId="0" fillId="0" borderId="0" xfId="0" applyNumberFormat="1"/>
    <xf numFmtId="0" fontId="10" fillId="0" borderId="4" xfId="0" applyFont="1" applyBorder="1"/>
    <xf numFmtId="0" fontId="0" fillId="0" borderId="4" xfId="0" applyBorder="1"/>
    <xf numFmtId="166" fontId="10" fillId="0" borderId="4" xfId="0" applyNumberFormat="1" applyFont="1" applyBorder="1" applyAlignment="1">
      <alignment vertical="center"/>
    </xf>
    <xf numFmtId="0" fontId="0" fillId="0" borderId="0" xfId="0" applyBorder="1"/>
    <xf numFmtId="164" fontId="15" fillId="0" borderId="0" xfId="0" applyNumberFormat="1" applyFont="1" applyBorder="1"/>
    <xf numFmtId="164" fontId="14" fillId="0" borderId="0" xfId="0" applyNumberFormat="1" applyFont="1" applyBorder="1"/>
    <xf numFmtId="166" fontId="10" fillId="0" borderId="0" xfId="0" applyNumberFormat="1" applyFont="1" applyBorder="1" applyAlignment="1">
      <alignment vertical="center"/>
    </xf>
    <xf numFmtId="164" fontId="0" fillId="3" borderId="0" xfId="0" applyNumberFormat="1" applyFill="1" applyBorder="1" applyAlignment="1">
      <alignment vertical="center"/>
    </xf>
    <xf numFmtId="164" fontId="0" fillId="3" borderId="0" xfId="0" applyNumberFormat="1" applyFill="1" applyBorder="1"/>
    <xf numFmtId="0" fontId="0" fillId="3" borderId="0" xfId="0" applyFill="1" applyBorder="1"/>
    <xf numFmtId="43" fontId="17" fillId="3" borderId="0" xfId="1" applyFont="1" applyFill="1" applyBorder="1"/>
    <xf numFmtId="164" fontId="0" fillId="3" borderId="0" xfId="2" applyFont="1" applyFill="1" applyBorder="1" applyAlignment="1">
      <alignment vertical="center"/>
    </xf>
    <xf numFmtId="164" fontId="10" fillId="3" borderId="0" xfId="0" applyNumberFormat="1" applyFont="1" applyFill="1" applyBorder="1" applyAlignment="1">
      <alignment vertical="center"/>
    </xf>
    <xf numFmtId="0" fontId="10" fillId="3" borderId="0" xfId="0" applyFont="1" applyFill="1" applyBorder="1"/>
    <xf numFmtId="9" fontId="18" fillId="3" borderId="0" xfId="3" applyFont="1" applyFill="1" applyBorder="1" applyAlignment="1">
      <alignment vertical="center"/>
    </xf>
    <xf numFmtId="38" fontId="0" fillId="3" borderId="0" xfId="0" applyNumberFormat="1" applyFill="1" applyBorder="1" applyAlignment="1">
      <alignment vertical="center"/>
    </xf>
    <xf numFmtId="38" fontId="0" fillId="3" borderId="0" xfId="0" applyNumberFormat="1" applyFill="1" applyBorder="1"/>
    <xf numFmtId="164" fontId="0" fillId="3" borderId="0" xfId="2" applyFont="1" applyFill="1" applyBorder="1"/>
    <xf numFmtId="0" fontId="10" fillId="0" borderId="0" xfId="0" applyFont="1" applyBorder="1" applyAlignment="1">
      <alignment horizontal="center"/>
    </xf>
    <xf numFmtId="0" fontId="21" fillId="0" borderId="6" xfId="0" applyFont="1" applyBorder="1"/>
    <xf numFmtId="0" fontId="21" fillId="0" borderId="3" xfId="0" applyFont="1" applyBorder="1"/>
    <xf numFmtId="0" fontId="21" fillId="0" borderId="8" xfId="0" applyFont="1" applyBorder="1"/>
    <xf numFmtId="0" fontId="21" fillId="0" borderId="0" xfId="0" applyFont="1" applyBorder="1"/>
    <xf numFmtId="164" fontId="21" fillId="0" borderId="9" xfId="0" applyNumberFormat="1" applyFont="1" applyBorder="1"/>
    <xf numFmtId="9" fontId="21" fillId="0" borderId="9" xfId="3" applyFont="1" applyBorder="1"/>
    <xf numFmtId="0" fontId="21" fillId="0" borderId="10" xfId="0" applyFont="1" applyBorder="1"/>
    <xf numFmtId="0" fontId="21" fillId="0" borderId="2" xfId="0" applyFont="1" applyBorder="1"/>
    <xf numFmtId="167" fontId="21" fillId="0" borderId="11" xfId="1" applyNumberFormat="1" applyFont="1" applyBorder="1"/>
    <xf numFmtId="0" fontId="10" fillId="0" borderId="12" xfId="0" applyFont="1" applyBorder="1"/>
    <xf numFmtId="164" fontId="10" fillId="0" borderId="12" xfId="0" applyNumberFormat="1" applyFont="1" applyBorder="1" applyAlignment="1">
      <alignment vertical="center"/>
    </xf>
    <xf numFmtId="166" fontId="9" fillId="0" borderId="0" xfId="17" applyNumberFormat="1" applyFont="1"/>
    <xf numFmtId="164" fontId="0" fillId="0" borderId="0" xfId="2" applyFont="1" applyAlignment="1">
      <alignment vertical="center"/>
    </xf>
    <xf numFmtId="164" fontId="9" fillId="0" borderId="0" xfId="2" applyFont="1" applyFill="1"/>
    <xf numFmtId="166" fontId="0" fillId="4" borderId="0" xfId="0" applyNumberFormat="1" applyFill="1" applyAlignment="1">
      <alignment vertical="center"/>
    </xf>
    <xf numFmtId="0" fontId="21" fillId="5" borderId="1" xfId="0" applyFont="1" applyFill="1" applyBorder="1" applyAlignment="1">
      <alignment horizontal="center"/>
    </xf>
    <xf numFmtId="0" fontId="13" fillId="5" borderId="0" xfId="0" applyFont="1" applyFill="1"/>
    <xf numFmtId="164" fontId="21" fillId="5" borderId="12" xfId="0" applyNumberFormat="1" applyFont="1" applyFill="1" applyBorder="1" applyAlignment="1">
      <alignment vertical="center"/>
    </xf>
    <xf numFmtId="43" fontId="22" fillId="5" borderId="0" xfId="1" applyFont="1" applyFill="1"/>
    <xf numFmtId="164" fontId="13" fillId="5" borderId="0" xfId="0" applyNumberFormat="1" applyFont="1" applyFill="1" applyBorder="1" applyAlignment="1">
      <alignment vertical="center"/>
    </xf>
    <xf numFmtId="164" fontId="10" fillId="5" borderId="0" xfId="0" applyNumberFormat="1" applyFont="1" applyFill="1" applyAlignment="1">
      <alignment vertical="center"/>
    </xf>
    <xf numFmtId="9" fontId="18" fillId="5" borderId="0" xfId="3" applyFont="1" applyFill="1" applyAlignment="1">
      <alignment vertical="center"/>
    </xf>
    <xf numFmtId="164" fontId="13" fillId="5" borderId="2" xfId="0" applyNumberFormat="1" applyFont="1" applyFill="1" applyBorder="1" applyAlignment="1">
      <alignment vertical="center"/>
    </xf>
    <xf numFmtId="38" fontId="0" fillId="5" borderId="0" xfId="0" applyNumberFormat="1" applyFill="1" applyAlignment="1">
      <alignment vertical="center"/>
    </xf>
    <xf numFmtId="164" fontId="0" fillId="5" borderId="2" xfId="2" applyFont="1" applyFill="1" applyBorder="1"/>
    <xf numFmtId="38" fontId="0" fillId="5" borderId="5" xfId="0" applyNumberFormat="1" applyFill="1" applyBorder="1" applyAlignment="1">
      <alignment vertical="center"/>
    </xf>
    <xf numFmtId="38" fontId="0" fillId="5" borderId="0" xfId="0" applyNumberFormat="1" applyFill="1"/>
    <xf numFmtId="166" fontId="16" fillId="5" borderId="0" xfId="1" applyNumberFormat="1" applyFont="1" applyFill="1"/>
    <xf numFmtId="0" fontId="13" fillId="0" borderId="0" xfId="0" applyFont="1"/>
    <xf numFmtId="164" fontId="21" fillId="0" borderId="4" xfId="0" applyNumberFormat="1" applyFont="1" applyBorder="1"/>
    <xf numFmtId="164" fontId="21" fillId="0" borderId="0" xfId="0" applyNumberFormat="1" applyFont="1" applyBorder="1"/>
    <xf numFmtId="164" fontId="24" fillId="0" borderId="0" xfId="0" applyNumberFormat="1" applyFont="1" applyBorder="1"/>
    <xf numFmtId="164" fontId="10" fillId="5" borderId="12" xfId="0" applyNumberFormat="1" applyFont="1" applyFill="1" applyBorder="1" applyAlignment="1">
      <alignment vertical="center"/>
    </xf>
    <xf numFmtId="164" fontId="21" fillId="0" borderId="0" xfId="0" applyNumberFormat="1" applyFont="1" applyFill="1" applyBorder="1"/>
    <xf numFmtId="164" fontId="21" fillId="0" borderId="0" xfId="0" applyNumberFormat="1" applyFont="1"/>
    <xf numFmtId="0" fontId="21" fillId="0" borderId="0" xfId="0" applyFont="1"/>
    <xf numFmtId="164" fontId="0" fillId="0" borderId="0" xfId="0" applyNumberFormat="1" applyAlignment="1">
      <alignment horizontal="right" vertical="center"/>
    </xf>
    <xf numFmtId="164" fontId="0" fillId="5" borderId="0" xfId="2" applyFont="1" applyFill="1" applyBorder="1"/>
    <xf numFmtId="9" fontId="21" fillId="0" borderId="7" xfId="0" applyNumberFormat="1" applyFont="1" applyBorder="1"/>
    <xf numFmtId="164" fontId="0" fillId="0" borderId="0" xfId="2" applyFont="1"/>
    <xf numFmtId="0" fontId="0" fillId="0" borderId="0" xfId="0" applyFont="1"/>
    <xf numFmtId="0" fontId="10" fillId="0" borderId="0" xfId="0" applyFont="1" applyBorder="1"/>
    <xf numFmtId="0" fontId="26" fillId="0" borderId="0" xfId="0" applyFont="1"/>
    <xf numFmtId="0" fontId="0" fillId="0" borderId="0" xfId="0" applyFont="1" applyBorder="1"/>
    <xf numFmtId="0" fontId="25" fillId="0" borderId="0" xfId="0" applyFont="1" applyBorder="1"/>
    <xf numFmtId="0" fontId="0" fillId="0" borderId="18" xfId="0" applyFont="1" applyBorder="1"/>
    <xf numFmtId="0" fontId="0" fillId="0" borderId="18" xfId="2" applyNumberFormat="1" applyFont="1" applyBorder="1" applyAlignment="1">
      <alignment horizontal="left"/>
    </xf>
    <xf numFmtId="0" fontId="0" fillId="0" borderId="20" xfId="0" applyFont="1" applyBorder="1"/>
    <xf numFmtId="9" fontId="10" fillId="0" borderId="19" xfId="2" applyNumberFormat="1" applyFont="1" applyBorder="1"/>
    <xf numFmtId="9" fontId="10" fillId="0" borderId="18" xfId="2" applyNumberFormat="1" applyFont="1" applyBorder="1"/>
    <xf numFmtId="0" fontId="0" fillId="0" borderId="21" xfId="0" applyFont="1" applyBorder="1"/>
    <xf numFmtId="0" fontId="0" fillId="0" borderId="1" xfId="0" applyFont="1" applyBorder="1"/>
    <xf numFmtId="0" fontId="0" fillId="0" borderId="22" xfId="0" applyFont="1" applyBorder="1"/>
    <xf numFmtId="0" fontId="0" fillId="0" borderId="1" xfId="0" applyFont="1" applyBorder="1" applyAlignment="1">
      <alignment horizontal="left" indent="1"/>
    </xf>
    <xf numFmtId="164" fontId="0" fillId="0" borderId="0" xfId="0" quotePrefix="1" applyNumberFormat="1" applyAlignment="1">
      <alignment vertical="center"/>
    </xf>
    <xf numFmtId="0" fontId="10" fillId="0" borderId="16" xfId="0" applyFont="1" applyBorder="1"/>
    <xf numFmtId="0" fontId="0" fillId="0" borderId="17" xfId="0" applyFont="1" applyBorder="1"/>
    <xf numFmtId="0" fontId="0" fillId="0" borderId="19" xfId="0" applyFont="1" applyBorder="1"/>
    <xf numFmtId="165" fontId="0" fillId="0" borderId="0" xfId="0" applyNumberFormat="1"/>
    <xf numFmtId="0" fontId="10" fillId="0" borderId="16" xfId="0" applyFont="1" applyBorder="1" applyAlignment="1">
      <alignment horizontal="left"/>
    </xf>
    <xf numFmtId="0" fontId="0" fillId="0" borderId="2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0" fontId="0" fillId="0" borderId="20" xfId="0" applyFont="1" applyBorder="1" applyAlignment="1">
      <alignment horizontal="left" indent="1"/>
    </xf>
    <xf numFmtId="0" fontId="0" fillId="0" borderId="0" xfId="0" applyFont="1" applyBorder="1" applyAlignment="1">
      <alignment horizontal="left" indent="1"/>
    </xf>
    <xf numFmtId="0" fontId="10" fillId="0" borderId="20" xfId="0" applyFont="1" applyBorder="1" applyAlignment="1">
      <alignment horizontal="left"/>
    </xf>
    <xf numFmtId="0" fontId="0" fillId="0" borderId="20" xfId="0" applyFont="1" applyFill="1" applyBorder="1" applyAlignment="1" applyProtection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25" fillId="0" borderId="0" xfId="0" applyFont="1" applyBorder="1" applyAlignment="1"/>
    <xf numFmtId="14" fontId="25" fillId="0" borderId="0" xfId="0" applyNumberFormat="1" applyFont="1" applyBorder="1" applyAlignment="1"/>
    <xf numFmtId="164" fontId="0" fillId="0" borderId="0" xfId="2" applyFont="1" applyBorder="1"/>
    <xf numFmtId="0" fontId="0" fillId="0" borderId="18" xfId="0" applyFont="1" applyBorder="1" applyAlignment="1">
      <alignment horizontal="left" vertical="justify" wrapText="1"/>
    </xf>
    <xf numFmtId="166" fontId="0" fillId="0" borderId="0" xfId="19" applyNumberFormat="1" applyFont="1" applyFill="1" applyBorder="1" applyAlignment="1" applyProtection="1">
      <alignment horizontal="right"/>
      <protection locked="0"/>
    </xf>
    <xf numFmtId="164" fontId="0" fillId="0" borderId="0" xfId="2" applyFont="1" applyFill="1" applyBorder="1"/>
    <xf numFmtId="9" fontId="0" fillId="0" borderId="0" xfId="2" applyNumberFormat="1" applyFont="1" applyBorder="1"/>
    <xf numFmtId="166" fontId="0" fillId="0" borderId="0" xfId="19" applyNumberFormat="1" applyFont="1" applyFill="1" applyBorder="1" applyAlignment="1" applyProtection="1">
      <alignment horizontal="center"/>
      <protection locked="0"/>
    </xf>
    <xf numFmtId="166" fontId="0" fillId="0" borderId="0" xfId="19" applyNumberFormat="1" applyFont="1" applyBorder="1"/>
    <xf numFmtId="0" fontId="10" fillId="0" borderId="23" xfId="0" applyFont="1" applyBorder="1" applyAlignment="1">
      <alignment horizontal="left"/>
    </xf>
    <xf numFmtId="0" fontId="0" fillId="0" borderId="23" xfId="0" applyFont="1" applyBorder="1"/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6" borderId="24" xfId="0" applyFill="1" applyBorder="1"/>
    <xf numFmtId="0" fontId="0" fillId="6" borderId="0" xfId="0" applyFill="1" applyAlignment="1">
      <alignment horizontal="center"/>
    </xf>
    <xf numFmtId="0" fontId="0" fillId="6" borderId="24" xfId="0" applyFill="1" applyBorder="1" applyAlignment="1">
      <alignment horizontal="center"/>
    </xf>
    <xf numFmtId="0" fontId="0" fillId="7" borderId="0" xfId="0" applyFill="1" applyAlignment="1">
      <alignment horizontal="center"/>
    </xf>
    <xf numFmtId="0" fontId="0" fillId="0" borderId="24" xfId="0" applyBorder="1"/>
    <xf numFmtId="166" fontId="0" fillId="7" borderId="24" xfId="0" applyNumberFormat="1" applyFill="1" applyBorder="1"/>
    <xf numFmtId="166" fontId="0" fillId="0" borderId="24" xfId="0" applyNumberFormat="1" applyBorder="1" applyAlignment="1">
      <alignment horizontal="center"/>
    </xf>
    <xf numFmtId="166" fontId="0" fillId="0" borderId="24" xfId="1" applyNumberFormat="1" applyFont="1" applyBorder="1"/>
    <xf numFmtId="166" fontId="0" fillId="0" borderId="24" xfId="0" applyNumberFormat="1" applyBorder="1"/>
    <xf numFmtId="166" fontId="0" fillId="8" borderId="24" xfId="1" applyNumberFormat="1" applyFont="1" applyFill="1" applyBorder="1"/>
    <xf numFmtId="164" fontId="10" fillId="0" borderId="18" xfId="2" applyFont="1" applyBorder="1"/>
    <xf numFmtId="168" fontId="10" fillId="0" borderId="22" xfId="2" applyNumberFormat="1" applyFont="1" applyBorder="1"/>
    <xf numFmtId="164" fontId="13" fillId="0" borderId="0" xfId="2" applyFont="1" applyAlignment="1">
      <alignment vertical="center"/>
    </xf>
    <xf numFmtId="0" fontId="23" fillId="0" borderId="0" xfId="25"/>
    <xf numFmtId="0" fontId="30" fillId="0" borderId="0" xfId="25" applyFont="1" applyAlignment="1">
      <alignment horizontal="center"/>
    </xf>
    <xf numFmtId="0" fontId="31" fillId="0" borderId="0" xfId="27" applyFont="1" applyAlignment="1">
      <alignment horizontal="left" vertical="top"/>
    </xf>
    <xf numFmtId="0" fontId="31" fillId="0" borderId="0" xfId="27" applyFont="1"/>
    <xf numFmtId="164" fontId="23" fillId="0" borderId="0" xfId="28" applyFont="1"/>
    <xf numFmtId="0" fontId="23" fillId="0" borderId="24" xfId="25" applyBorder="1" applyAlignment="1">
      <alignment horizontal="center" vertical="center"/>
    </xf>
    <xf numFmtId="0" fontId="23" fillId="0" borderId="24" xfId="25" applyBorder="1"/>
    <xf numFmtId="0" fontId="2" fillId="0" borderId="0" xfId="25" applyFont="1"/>
    <xf numFmtId="0" fontId="2" fillId="0" borderId="24" xfId="25" applyFont="1" applyBorder="1"/>
    <xf numFmtId="0" fontId="23" fillId="0" borderId="24" xfId="27" applyBorder="1"/>
    <xf numFmtId="0" fontId="23" fillId="0" borderId="24" xfId="25" applyBorder="1" applyAlignment="1">
      <alignment wrapText="1"/>
    </xf>
    <xf numFmtId="42" fontId="0" fillId="0" borderId="24" xfId="29" applyFont="1" applyBorder="1"/>
    <xf numFmtId="0" fontId="23" fillId="0" borderId="28" xfId="25" applyBorder="1" applyAlignment="1">
      <alignment horizontal="center" vertical="center"/>
    </xf>
    <xf numFmtId="0" fontId="23" fillId="0" borderId="25" xfId="25" applyBorder="1"/>
    <xf numFmtId="9" fontId="23" fillId="0" borderId="0" xfId="30" applyFont="1"/>
    <xf numFmtId="164" fontId="23" fillId="0" borderId="0" xfId="31" applyFont="1"/>
    <xf numFmtId="0" fontId="10" fillId="0" borderId="0" xfId="32" applyFont="1"/>
    <xf numFmtId="164" fontId="10" fillId="0" borderId="0" xfId="32" applyNumberFormat="1" applyFont="1"/>
    <xf numFmtId="164" fontId="23" fillId="0" borderId="0" xfId="2" applyFont="1"/>
    <xf numFmtId="164" fontId="13" fillId="5" borderId="0" xfId="2" applyFont="1" applyFill="1"/>
    <xf numFmtId="0" fontId="20" fillId="0" borderId="0" xfId="0" applyFont="1" applyAlignment="1">
      <alignment horizontal="center"/>
    </xf>
    <xf numFmtId="164" fontId="17" fillId="0" borderId="0" xfId="2" applyFont="1" applyAlignment="1">
      <alignment vertical="center"/>
    </xf>
    <xf numFmtId="166" fontId="0" fillId="5" borderId="2" xfId="1" applyNumberFormat="1" applyFont="1" applyFill="1" applyBorder="1"/>
    <xf numFmtId="0" fontId="13" fillId="0" borderId="0" xfId="0" applyFont="1" applyAlignment="1">
      <alignment horizontal="right"/>
    </xf>
    <xf numFmtId="0" fontId="23" fillId="0" borderId="28" xfId="25" applyBorder="1" applyAlignment="1">
      <alignment horizontal="center" vertical="center"/>
    </xf>
    <xf numFmtId="0" fontId="10" fillId="0" borderId="20" xfId="0" applyFont="1" applyFill="1" applyBorder="1" applyAlignment="1" applyProtection="1">
      <alignment horizontal="left" indent="1"/>
    </xf>
    <xf numFmtId="0" fontId="10" fillId="0" borderId="0" xfId="0" applyFont="1" applyFill="1" applyBorder="1" applyAlignment="1" applyProtection="1">
      <alignment horizontal="left" indent="1"/>
    </xf>
    <xf numFmtId="0" fontId="10" fillId="0" borderId="21" xfId="0" applyFont="1" applyFill="1" applyBorder="1" applyAlignment="1" applyProtection="1">
      <alignment horizontal="left" indent="1"/>
    </xf>
    <xf numFmtId="0" fontId="10" fillId="0" borderId="1" xfId="0" applyFont="1" applyFill="1" applyBorder="1" applyAlignment="1" applyProtection="1">
      <alignment horizontal="left" indent="1"/>
    </xf>
    <xf numFmtId="0" fontId="10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0" xfId="0" quotePrefix="1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10" fillId="0" borderId="0" xfId="0" applyFont="1" applyBorder="1" applyAlignment="1">
      <alignment horizontal="left"/>
    </xf>
    <xf numFmtId="0" fontId="10" fillId="0" borderId="16" xfId="0" applyFont="1" applyFill="1" applyBorder="1" applyAlignment="1" applyProtection="1">
      <alignment horizontal="left" indent="1"/>
    </xf>
    <xf numFmtId="0" fontId="10" fillId="0" borderId="17" xfId="0" applyFont="1" applyFill="1" applyBorder="1" applyAlignment="1" applyProtection="1">
      <alignment horizontal="left" indent="1"/>
    </xf>
    <xf numFmtId="0" fontId="0" fillId="0" borderId="0" xfId="0" applyFont="1" applyBorder="1" applyAlignment="1">
      <alignment horizontal="left" indent="1"/>
    </xf>
    <xf numFmtId="0" fontId="0" fillId="0" borderId="2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0" fontId="25" fillId="0" borderId="13" xfId="0" applyFont="1" applyBorder="1" applyAlignment="1">
      <alignment horizontal="center"/>
    </xf>
    <xf numFmtId="0" fontId="25" fillId="0" borderId="14" xfId="0" applyFont="1" applyBorder="1" applyAlignment="1">
      <alignment horizontal="center"/>
    </xf>
    <xf numFmtId="0" fontId="25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left" indent="1"/>
    </xf>
    <xf numFmtId="0" fontId="0" fillId="0" borderId="17" xfId="0" applyFont="1" applyBorder="1" applyAlignment="1">
      <alignment horizontal="left" indent="1"/>
    </xf>
    <xf numFmtId="0" fontId="10" fillId="0" borderId="17" xfId="0" applyFont="1" applyBorder="1" applyAlignment="1">
      <alignment horizontal="left"/>
    </xf>
    <xf numFmtId="164" fontId="10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0" fillId="0" borderId="24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33" fillId="8" borderId="26" xfId="25" applyFont="1" applyFill="1" applyBorder="1" applyAlignment="1">
      <alignment horizontal="center" vertical="center"/>
    </xf>
    <xf numFmtId="0" fontId="33" fillId="8" borderId="28" xfId="25" applyFont="1" applyFill="1" applyBorder="1" applyAlignment="1">
      <alignment horizontal="center" vertical="center"/>
    </xf>
    <xf numFmtId="0" fontId="23" fillId="0" borderId="26" xfId="25" applyBorder="1" applyAlignment="1">
      <alignment horizontal="center" vertical="center"/>
    </xf>
    <xf numFmtId="0" fontId="23" fillId="0" borderId="28" xfId="25" applyBorder="1" applyAlignment="1">
      <alignment horizontal="center" vertical="center"/>
    </xf>
    <xf numFmtId="0" fontId="32" fillId="9" borderId="24" xfId="25" applyFont="1" applyFill="1" applyBorder="1" applyAlignment="1">
      <alignment horizontal="center" vertical="center"/>
    </xf>
    <xf numFmtId="0" fontId="33" fillId="9" borderId="26" xfId="25" applyFont="1" applyFill="1" applyBorder="1" applyAlignment="1">
      <alignment horizontal="center" vertical="center"/>
    </xf>
    <xf numFmtId="0" fontId="33" fillId="9" borderId="28" xfId="25" applyFont="1" applyFill="1" applyBorder="1" applyAlignment="1">
      <alignment horizontal="center" vertical="center"/>
    </xf>
    <xf numFmtId="0" fontId="35" fillId="0" borderId="0" xfId="0" applyFont="1" applyAlignment="1">
      <alignment horizontal="right"/>
    </xf>
    <xf numFmtId="0" fontId="25" fillId="0" borderId="0" xfId="0" applyFont="1" applyAlignment="1">
      <alignment horizontal="right"/>
    </xf>
    <xf numFmtId="38" fontId="10" fillId="0" borderId="0" xfId="0" applyNumberFormat="1" applyFont="1" applyAlignment="1">
      <alignment vertical="center"/>
    </xf>
    <xf numFmtId="0" fontId="1" fillId="0" borderId="0" xfId="33"/>
    <xf numFmtId="41" fontId="23" fillId="0" borderId="0" xfId="34" applyFont="1"/>
    <xf numFmtId="0" fontId="23" fillId="0" borderId="0" xfId="35"/>
    <xf numFmtId="0" fontId="23" fillId="0" borderId="0" xfId="35" applyAlignment="1">
      <alignment horizontal="right"/>
    </xf>
    <xf numFmtId="9" fontId="23" fillId="0" borderId="0" xfId="36" applyFont="1" applyFill="1" applyAlignment="1">
      <alignment horizontal="right"/>
    </xf>
    <xf numFmtId="9" fontId="23" fillId="0" borderId="0" xfId="36" applyFont="1"/>
    <xf numFmtId="9" fontId="23" fillId="0" borderId="0" xfId="35" applyNumberFormat="1"/>
    <xf numFmtId="41" fontId="23" fillId="0" borderId="0" xfId="35" applyNumberFormat="1"/>
    <xf numFmtId="41" fontId="23" fillId="0" borderId="2" xfId="35" applyNumberFormat="1" applyBorder="1"/>
    <xf numFmtId="169" fontId="23" fillId="0" borderId="0" xfId="37" applyNumberFormat="1" applyFont="1"/>
    <xf numFmtId="170" fontId="23" fillId="0" borderId="0" xfId="38" applyNumberFormat="1" applyFont="1"/>
    <xf numFmtId="41" fontId="23" fillId="0" borderId="0" xfId="34" applyFont="1" applyBorder="1"/>
    <xf numFmtId="171" fontId="23" fillId="0" borderId="0" xfId="35" applyNumberFormat="1" applyAlignment="1">
      <alignment horizontal="center"/>
    </xf>
    <xf numFmtId="0" fontId="23" fillId="0" borderId="29" xfId="35" applyBorder="1" applyAlignment="1">
      <alignment horizontal="center"/>
    </xf>
    <xf numFmtId="0" fontId="23" fillId="0" borderId="25" xfId="35" applyBorder="1" applyAlignment="1">
      <alignment horizontal="center"/>
    </xf>
    <xf numFmtId="0" fontId="23" fillId="0" borderId="12" xfId="35" applyBorder="1" applyAlignment="1">
      <alignment horizontal="center"/>
    </xf>
    <xf numFmtId="0" fontId="34" fillId="0" borderId="0" xfId="35" applyFont="1"/>
    <xf numFmtId="171" fontId="23" fillId="0" borderId="0" xfId="35" applyNumberFormat="1"/>
    <xf numFmtId="171" fontId="23" fillId="0" borderId="24" xfId="35" applyNumberFormat="1" applyBorder="1" applyAlignment="1">
      <alignment horizontal="center"/>
    </xf>
    <xf numFmtId="0" fontId="23" fillId="0" borderId="24" xfId="35" applyBorder="1"/>
    <xf numFmtId="0" fontId="34" fillId="0" borderId="0" xfId="35" applyFont="1" applyAlignment="1">
      <alignment horizontal="center"/>
    </xf>
    <xf numFmtId="0" fontId="23" fillId="0" borderId="24" xfId="35" applyBorder="1" applyAlignment="1">
      <alignment horizontal="left"/>
    </xf>
    <xf numFmtId="0" fontId="23" fillId="0" borderId="24" xfId="35" applyBorder="1" applyAlignment="1">
      <alignment horizontal="center"/>
    </xf>
    <xf numFmtId="0" fontId="23" fillId="0" borderId="24" xfId="35" applyBorder="1" applyAlignment="1">
      <alignment horizontal="center"/>
    </xf>
    <xf numFmtId="164" fontId="23" fillId="0" borderId="2" xfId="37" applyFont="1" applyFill="1" applyBorder="1"/>
    <xf numFmtId="170" fontId="23" fillId="0" borderId="0" xfId="38" applyNumberFormat="1" applyFont="1" applyFill="1"/>
    <xf numFmtId="169" fontId="23" fillId="0" borderId="0" xfId="37" applyNumberFormat="1" applyFont="1" applyFill="1"/>
    <xf numFmtId="41" fontId="23" fillId="0" borderId="0" xfId="34" applyFont="1" applyFill="1" applyBorder="1"/>
    <xf numFmtId="0" fontId="10" fillId="0" borderId="17" xfId="0" applyFont="1" applyBorder="1" applyAlignment="1">
      <alignment horizontal="center"/>
    </xf>
  </cellXfs>
  <cellStyles count="39">
    <cellStyle name="Comma" xfId="1" builtinId="3"/>
    <cellStyle name="Comma [0]" xfId="2" builtinId="6"/>
    <cellStyle name="Comma [0] 2" xfId="9" xr:uid="{00000000-0005-0000-0000-000002000000}"/>
    <cellStyle name="Comma [0] 2 2" xfId="26" xr:uid="{8E46FB66-F15B-4D6D-95A9-6C8A3339172E}"/>
    <cellStyle name="Comma [0] 3" xfId="28" xr:uid="{FF67718B-6322-418B-94E5-B0145BF537DC}"/>
    <cellStyle name="Comma [0] 3 2" xfId="31" xr:uid="{DD9F478F-BF37-450A-9312-9F10B201DEF1}"/>
    <cellStyle name="Comma [0] 3 2 4" xfId="37" xr:uid="{3B40F5F1-B6FE-4B84-B5F1-4E05E85EEEED}"/>
    <cellStyle name="Comma [0] 3 4" xfId="38" xr:uid="{BF709E65-BF25-48CA-91DC-9C16929C7A54}"/>
    <cellStyle name="Comma [0] 9" xfId="34" xr:uid="{D0D6BB93-572E-4FB8-A0D1-543149375BA4}"/>
    <cellStyle name="Comma 2" xfId="7" xr:uid="{00000000-0005-0000-0000-000003000000}"/>
    <cellStyle name="Comma 2 3" xfId="22" xr:uid="{B2E8A81F-FC31-4A36-8EE9-F063B4A55E5E}"/>
    <cellStyle name="Comma 3" xfId="10" xr:uid="{00000000-0005-0000-0000-000004000000}"/>
    <cellStyle name="Comma 3 2" xfId="11" xr:uid="{00000000-0005-0000-0000-000005000000}"/>
    <cellStyle name="Comma 4" xfId="12" xr:uid="{00000000-0005-0000-0000-000006000000}"/>
    <cellStyle name="Comma 5" xfId="18" xr:uid="{ACE2A53B-E5FE-4F73-ADD9-169627CB313D}"/>
    <cellStyle name="Comma 5 2" xfId="19" xr:uid="{DBB744D5-E770-4328-88DD-89F844C5A7AD}"/>
    <cellStyle name="Currency [0] 2" xfId="23" xr:uid="{271EFADE-9CFB-429C-8FE6-D77DC5B2E4E9}"/>
    <cellStyle name="Currency [0] 2 2" xfId="29" xr:uid="{C6D75F8F-B89C-4569-814B-E54249242444}"/>
    <cellStyle name="Normal" xfId="0" builtinId="0"/>
    <cellStyle name="Normal 2" xfId="5" xr:uid="{00000000-0005-0000-0000-000008000000}"/>
    <cellStyle name="Normal 2 2" xfId="6" xr:uid="{00000000-0005-0000-0000-000009000000}"/>
    <cellStyle name="Normal 2 2 2 2 3" xfId="17" xr:uid="{14775402-98CB-443A-B2F6-42DDCDFB1FF0}"/>
    <cellStyle name="Normal 2 7" xfId="20" xr:uid="{218E9C26-901A-4997-929E-918414F82382}"/>
    <cellStyle name="Normal 3" xfId="13" xr:uid="{00000000-0005-0000-0000-00000A000000}"/>
    <cellStyle name="Normal 3 2" xfId="14" xr:uid="{00000000-0005-0000-0000-00000B000000}"/>
    <cellStyle name="Normal 3 3" xfId="21" xr:uid="{74D2797F-2B28-4FBA-AC0E-EB965329E2EF}"/>
    <cellStyle name="Normal 4" xfId="24" xr:uid="{989437A8-6F5E-40D9-9FDA-F58FB35F477F}"/>
    <cellStyle name="Normal 4 2" xfId="32" xr:uid="{FC4A50B8-FE40-41C1-A04A-37051239D576}"/>
    <cellStyle name="Normal 7" xfId="25" xr:uid="{62451E59-2A91-4EF6-B578-C963EED9FA24}"/>
    <cellStyle name="Normal 7 2" xfId="27" xr:uid="{50216AB9-A25C-4DDC-87E9-783970D323FC}"/>
    <cellStyle name="Normal 7 3" xfId="35" xr:uid="{1212777F-6032-4884-A86A-F32A0988B207}"/>
    <cellStyle name="Normal 9" xfId="33" xr:uid="{467858AF-0428-4123-B51A-8AC3D129EC7D}"/>
    <cellStyle name="Percent" xfId="3" builtinId="5"/>
    <cellStyle name="Percent 2" xfId="8" xr:uid="{00000000-0005-0000-0000-00000D000000}"/>
    <cellStyle name="Percent 2 2" xfId="4" xr:uid="{00000000-0005-0000-0000-00000E000000}"/>
    <cellStyle name="Percent 3" xfId="15" xr:uid="{00000000-0005-0000-0000-00000F000000}"/>
    <cellStyle name="Percent 3 2" xfId="16" xr:uid="{00000000-0005-0000-0000-000010000000}"/>
    <cellStyle name="Percent 4" xfId="30" xr:uid="{4A9D9F52-13AA-4651-B927-EF7FF4E0B563}"/>
    <cellStyle name="Percent 5" xfId="36" xr:uid="{AF3AD471-D482-4DEB-99E3-39EA3B07A640}"/>
  </cellStyles>
  <dxfs count="1"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26700</xdr:colOff>
      <xdr:row>28</xdr:row>
      <xdr:rowOff>30954</xdr:rowOff>
    </xdr:from>
    <xdr:to>
      <xdr:col>12</xdr:col>
      <xdr:colOff>984250</xdr:colOff>
      <xdr:row>29</xdr:row>
      <xdr:rowOff>111126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4DAA910B-6198-46CA-9A30-952F7227332E}"/>
            </a:ext>
          </a:extLst>
        </xdr:cNvPr>
        <xdr:cNvGrpSpPr/>
      </xdr:nvGrpSpPr>
      <xdr:grpSpPr>
        <a:xfrm>
          <a:off x="573547" y="5239448"/>
          <a:ext cx="8649268" cy="277396"/>
          <a:chOff x="570986" y="5042917"/>
          <a:chExt cx="14774690" cy="343744"/>
        </a:xfrm>
      </xdr:grpSpPr>
      <xdr:sp macro="" textlink="">
        <xdr:nvSpPr>
          <xdr:cNvPr id="3" name="TextBox 2">
            <a:extLst>
              <a:ext uri="{FF2B5EF4-FFF2-40B4-BE49-F238E27FC236}">
                <a16:creationId xmlns:a16="http://schemas.microsoft.com/office/drawing/2014/main" id="{E903E39F-A18C-4AF2-9738-3856D73C3B33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</a:t>
            </a:r>
            <a:r>
              <a:rPr lang="en-US" sz="1200" b="1" baseline="0"/>
              <a:t> F.H</a:t>
            </a:r>
            <a:endParaRPr lang="en-US" sz="1200" b="1"/>
          </a:p>
        </xdr:txBody>
      </xdr:sp>
      <xdr:sp macro="" textlink="">
        <xdr:nvSpPr>
          <xdr:cNvPr id="4" name="TextBox 3">
            <a:extLst>
              <a:ext uri="{FF2B5EF4-FFF2-40B4-BE49-F238E27FC236}">
                <a16:creationId xmlns:a16="http://schemas.microsoft.com/office/drawing/2014/main" id="{6AB35D35-9FD6-4CBA-9B17-9A632CD9A718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Lilis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1E041942-7F20-4076-9993-E79B52EBF34D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Cosmas</a:t>
            </a:r>
            <a:r>
              <a:rPr lang="en-US" sz="1200" b="1" baseline="0"/>
              <a:t> CW</a:t>
            </a:r>
            <a:endParaRPr lang="en-US" sz="1200" b="1"/>
          </a:p>
        </xdr:txBody>
      </xdr:sp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248189FE-8A6A-4547-9ADA-8CE27706581E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931E21B1-9E7C-4DA0-9078-6931B1C6F4D3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47613EEE-6713-4762-B24D-BC4290367B50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</a:t>
            </a:r>
            <a:r>
              <a:rPr lang="en-US" sz="1200" b="1" baseline="0"/>
              <a:t> H</a:t>
            </a:r>
            <a:endParaRPr lang="en-US" sz="1200" b="1"/>
          </a:p>
        </xdr:txBody>
      </xdr:sp>
    </xdr:grpSp>
    <xdr:clientData/>
  </xdr:twoCellAnchor>
  <xdr:twoCellAnchor>
    <xdr:from>
      <xdr:col>1</xdr:col>
      <xdr:colOff>87947</xdr:colOff>
      <xdr:row>33</xdr:row>
      <xdr:rowOff>104251</xdr:rowOff>
    </xdr:from>
    <xdr:to>
      <xdr:col>12</xdr:col>
      <xdr:colOff>1063625</xdr:colOff>
      <xdr:row>34</xdr:row>
      <xdr:rowOff>79374</xdr:rowOff>
    </xdr:to>
    <xdr:grpSp>
      <xdr:nvGrpSpPr>
        <xdr:cNvPr id="9" name="Group 8">
          <a:extLst>
            <a:ext uri="{FF2B5EF4-FFF2-40B4-BE49-F238E27FC236}">
              <a16:creationId xmlns:a16="http://schemas.microsoft.com/office/drawing/2014/main" id="{361AC916-26C4-41DB-865F-45B43725DD6F}"/>
            </a:ext>
          </a:extLst>
        </xdr:cNvPr>
        <xdr:cNvGrpSpPr/>
      </xdr:nvGrpSpPr>
      <xdr:grpSpPr>
        <a:xfrm>
          <a:off x="401712" y="6298863"/>
          <a:ext cx="8900478" cy="172346"/>
          <a:chOff x="722947" y="7327377"/>
          <a:chExt cx="10285884" cy="0"/>
        </a:xfrm>
      </xdr:grpSpPr>
      <xdr:cxnSp macro="">
        <xdr:nvCxnSpPr>
          <xdr:cNvPr id="10" name="Straight Connector 9">
            <a:extLst>
              <a:ext uri="{FF2B5EF4-FFF2-40B4-BE49-F238E27FC236}">
                <a16:creationId xmlns:a16="http://schemas.microsoft.com/office/drawing/2014/main" id="{F7793B60-6109-47CA-BE5B-CEA42B255936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1" name="Straight Connector 10">
            <a:extLst>
              <a:ext uri="{FF2B5EF4-FFF2-40B4-BE49-F238E27FC236}">
                <a16:creationId xmlns:a16="http://schemas.microsoft.com/office/drawing/2014/main" id="{91950703-6F63-43D2-B33E-806F2C47E951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2" name="Straight Connector 11">
            <a:extLst>
              <a:ext uri="{FF2B5EF4-FFF2-40B4-BE49-F238E27FC236}">
                <a16:creationId xmlns:a16="http://schemas.microsoft.com/office/drawing/2014/main" id="{AF9F6D0C-6CE4-4EDA-BC55-17EE3E28E453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3" name="Straight Connector 12">
            <a:extLst>
              <a:ext uri="{FF2B5EF4-FFF2-40B4-BE49-F238E27FC236}">
                <a16:creationId xmlns:a16="http://schemas.microsoft.com/office/drawing/2014/main" id="{13BD3E8C-678F-428D-874A-7208714808B3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4" name="Straight Connector 13">
            <a:extLst>
              <a:ext uri="{FF2B5EF4-FFF2-40B4-BE49-F238E27FC236}">
                <a16:creationId xmlns:a16="http://schemas.microsoft.com/office/drawing/2014/main" id="{3FC5317F-00EF-41A4-820C-F30CC60C1EF6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5" name="Straight Connector 14">
            <a:extLst>
              <a:ext uri="{FF2B5EF4-FFF2-40B4-BE49-F238E27FC236}">
                <a16:creationId xmlns:a16="http://schemas.microsoft.com/office/drawing/2014/main" id="{344E174A-4A47-4AFA-9DC0-73FAF16DF8C1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11</xdr:col>
      <xdr:colOff>612786</xdr:colOff>
      <xdr:row>24</xdr:row>
      <xdr:rowOff>79365</xdr:rowOff>
    </xdr:from>
    <xdr:to>
      <xdr:col>12</xdr:col>
      <xdr:colOff>791094</xdr:colOff>
      <xdr:row>24</xdr:row>
      <xdr:rowOff>79365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2F0916B7-1815-47AF-8F4E-CF6613B02838}"/>
            </a:ext>
          </a:extLst>
        </xdr:cNvPr>
        <xdr:cNvCxnSpPr/>
      </xdr:nvCxnSpPr>
      <xdr:spPr>
        <a:xfrm flipV="1">
          <a:off x="6924686" y="4670415"/>
          <a:ext cx="158165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LIWO%20CIBUBUR/PnL%20LIWO%20Cibubur%2010y%20calculation%20v3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AEON/PNL%20AEON%20Deltamas%20v3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BUDGET/IRR/IBC/IBC%20Confirm/IRR%20Pasar%20Blauran/IRR%20Pasar%20Blauran%2016Jun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RR"/>
      <sheetName val="Sheet1"/>
      <sheetName val="PARAMETER"/>
    </sheetNames>
    <sheetDataSet>
      <sheetData sheetId="0"/>
      <sheetData sheetId="1">
        <row r="3">
          <cell r="F3">
            <v>0.1</v>
          </cell>
        </row>
      </sheetData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RR (3)"/>
      <sheetName val="IRR (2)"/>
      <sheetName val="Summary"/>
      <sheetName val="IRR"/>
      <sheetName val="PARAMETER"/>
    </sheetNames>
    <sheetDataSet>
      <sheetData sheetId="0"/>
      <sheetData sheetId="1"/>
      <sheetData sheetId="2"/>
      <sheetData sheetId="3">
        <row r="4">
          <cell r="G4">
            <v>0.1</v>
          </cell>
        </row>
      </sheetData>
      <sheetData sheetId="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arga Jual"/>
      <sheetName val="COST "/>
      <sheetName val="contoh IRR existing"/>
      <sheetName val="Commercial"/>
      <sheetName val=" price scheme antena"/>
      <sheetName val="IRR 11th cutloss"/>
      <sheetName val="IRR Expand"/>
      <sheetName val="IRR Expand (2)"/>
      <sheetName val="IRR Expand (3)"/>
      <sheetName val="Analisa"/>
      <sheetName val="Summary Review"/>
      <sheetName val="Pemeliharaan"/>
      <sheetName val="CAPEX"/>
      <sheetName val="New IR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73F113-01AC-4046-8455-A4AC3771D7B5}">
  <sheetPr>
    <pageSetUpPr fitToPage="1"/>
  </sheetPr>
  <dimension ref="B1:R28"/>
  <sheetViews>
    <sheetView showGridLines="0" tabSelected="1" zoomScale="85" zoomScaleNormal="70" workbookViewId="0">
      <selection activeCell="T21" sqref="T21"/>
    </sheetView>
  </sheetViews>
  <sheetFormatPr defaultColWidth="8.59765625" defaultRowHeight="15.6" x14ac:dyDescent="0.3"/>
  <cols>
    <col min="1" max="1" width="4.09765625" style="95" customWidth="1"/>
    <col min="2" max="2" width="3" style="95" customWidth="1"/>
    <col min="3" max="3" width="16.59765625" style="95" customWidth="1"/>
    <col min="4" max="4" width="25.5" style="95" customWidth="1"/>
    <col min="5" max="5" width="4.19921875" style="95" customWidth="1"/>
    <col min="6" max="6" width="4.796875" style="95" customWidth="1"/>
    <col min="7" max="7" width="10.59765625" style="95" customWidth="1"/>
    <col min="8" max="8" width="8.296875" style="95" customWidth="1"/>
    <col min="9" max="9" width="5.296875" style="95" customWidth="1"/>
    <col min="10" max="10" width="2.09765625" style="95" customWidth="1"/>
    <col min="11" max="11" width="5.09765625" style="95" customWidth="1"/>
    <col min="12" max="12" width="18.296875" style="95" bestFit="1" customWidth="1"/>
    <col min="13" max="13" width="16.5" style="95" customWidth="1"/>
    <col min="14" max="14" width="2.09765625" style="95" customWidth="1"/>
    <col min="15" max="15" width="3.59765625" style="95" customWidth="1"/>
    <col min="16" max="16384" width="8.59765625" style="95"/>
  </cols>
  <sheetData>
    <row r="1" spans="2:14" ht="23.4" x14ac:dyDescent="0.45">
      <c r="C1" s="95" t="s">
        <v>182</v>
      </c>
      <c r="N1" s="206" t="s">
        <v>215</v>
      </c>
    </row>
    <row r="2" spans="2:14" ht="8.5500000000000007" customHeight="1" x14ac:dyDescent="0.3"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</row>
    <row r="3" spans="2:14" ht="18" x14ac:dyDescent="0.35">
      <c r="B3" s="98"/>
      <c r="C3" s="99" t="s">
        <v>54</v>
      </c>
      <c r="D3" s="96" t="s">
        <v>88</v>
      </c>
      <c r="E3" s="98"/>
      <c r="F3" s="98"/>
      <c r="G3" s="98"/>
      <c r="H3" s="98"/>
      <c r="J3" s="122" t="s">
        <v>87</v>
      </c>
      <c r="K3" s="122"/>
      <c r="L3" s="122"/>
      <c r="M3" s="123">
        <f ca="1">TODAY()</f>
        <v>45853</v>
      </c>
      <c r="N3" s="98"/>
    </row>
    <row r="4" spans="2:14" ht="18" x14ac:dyDescent="0.35">
      <c r="B4" s="98"/>
      <c r="C4" s="99" t="s">
        <v>55</v>
      </c>
      <c r="D4" s="96" t="s">
        <v>170</v>
      </c>
      <c r="E4" s="98"/>
      <c r="F4" s="98"/>
      <c r="G4" s="98"/>
      <c r="H4" s="98"/>
      <c r="M4" s="98"/>
      <c r="N4" s="98"/>
    </row>
    <row r="5" spans="2:14" ht="1.05" customHeight="1" thickBot="1" x14ac:dyDescent="0.35">
      <c r="B5" s="98"/>
      <c r="C5" s="96"/>
      <c r="D5" s="98"/>
      <c r="E5" s="98"/>
      <c r="F5" s="98"/>
      <c r="G5" s="98"/>
      <c r="H5" s="98"/>
      <c r="I5" s="98"/>
      <c r="J5" s="98"/>
      <c r="K5" s="98"/>
      <c r="L5" s="98"/>
      <c r="M5" s="98"/>
      <c r="N5" s="98"/>
    </row>
    <row r="6" spans="2:14" s="97" customFormat="1" ht="18.600000000000001" thickBot="1" x14ac:dyDescent="0.4">
      <c r="B6" s="187" t="s">
        <v>56</v>
      </c>
      <c r="C6" s="188"/>
      <c r="D6" s="189"/>
      <c r="E6" s="187" t="s">
        <v>57</v>
      </c>
      <c r="F6" s="188"/>
      <c r="G6" s="188"/>
      <c r="H6" s="188"/>
      <c r="I6" s="188"/>
      <c r="J6" s="187" t="s">
        <v>58</v>
      </c>
      <c r="K6" s="188"/>
      <c r="L6" s="188"/>
      <c r="M6" s="188"/>
      <c r="N6" s="189"/>
    </row>
    <row r="7" spans="2:14" x14ac:dyDescent="0.3">
      <c r="B7" s="190" t="s">
        <v>59</v>
      </c>
      <c r="C7" s="191"/>
      <c r="D7" s="112" t="str">
        <f>N1</f>
        <v>Hotel dan Mall Paragon Solo</v>
      </c>
      <c r="E7" s="192" t="s">
        <v>60</v>
      </c>
      <c r="F7" s="192"/>
      <c r="G7" s="192"/>
      <c r="H7" s="192"/>
      <c r="I7" s="192"/>
      <c r="J7" s="114"/>
      <c r="K7" s="191" t="s">
        <v>61</v>
      </c>
      <c r="L7" s="191"/>
      <c r="M7" s="124">
        <f>(917553642+689700000)/$H$9</f>
        <v>5235353.8827361567</v>
      </c>
      <c r="N7" s="112"/>
    </row>
    <row r="8" spans="2:14" x14ac:dyDescent="0.3">
      <c r="B8" s="185" t="s">
        <v>62</v>
      </c>
      <c r="C8" s="186"/>
      <c r="D8" s="125"/>
      <c r="E8" s="184" t="s">
        <v>63</v>
      </c>
      <c r="F8" s="184"/>
      <c r="G8" s="184"/>
      <c r="H8" s="126">
        <v>0</v>
      </c>
      <c r="I8" s="98"/>
      <c r="J8" s="102"/>
      <c r="K8" s="184" t="s">
        <v>64</v>
      </c>
      <c r="L8" s="184"/>
      <c r="M8" s="127">
        <v>5</v>
      </c>
      <c r="N8" s="100"/>
    </row>
    <row r="9" spans="2:14" x14ac:dyDescent="0.3">
      <c r="B9" s="185"/>
      <c r="C9" s="186"/>
      <c r="D9" s="100"/>
      <c r="E9" s="184" t="s">
        <v>66</v>
      </c>
      <c r="F9" s="184"/>
      <c r="G9" s="184"/>
      <c r="H9" s="126">
        <v>307</v>
      </c>
      <c r="I9" s="98"/>
      <c r="J9" s="102"/>
      <c r="K9" s="184" t="s">
        <v>80</v>
      </c>
      <c r="L9" s="184"/>
      <c r="M9" s="128">
        <f>[2]IRR!F3</f>
        <v>0.1</v>
      </c>
      <c r="N9" s="100"/>
    </row>
    <row r="10" spans="2:14" x14ac:dyDescent="0.3">
      <c r="B10" s="115" t="s">
        <v>65</v>
      </c>
      <c r="C10" s="116"/>
      <c r="D10" s="100" t="s">
        <v>167</v>
      </c>
      <c r="E10" s="184" t="s">
        <v>68</v>
      </c>
      <c r="F10" s="184"/>
      <c r="G10" s="184"/>
      <c r="H10" s="129">
        <v>0</v>
      </c>
      <c r="I10" s="98"/>
      <c r="J10" s="102"/>
      <c r="K10" s="184" t="s">
        <v>69</v>
      </c>
      <c r="L10" s="184"/>
      <c r="M10" s="124">
        <v>0</v>
      </c>
      <c r="N10" s="100"/>
    </row>
    <row r="11" spans="2:14" x14ac:dyDescent="0.3">
      <c r="B11" s="117" t="s">
        <v>67</v>
      </c>
      <c r="C11" s="118"/>
      <c r="D11" s="100" t="s">
        <v>168</v>
      </c>
      <c r="E11" s="181" t="s">
        <v>71</v>
      </c>
      <c r="F11" s="181"/>
      <c r="G11" s="181"/>
      <c r="H11" s="181"/>
      <c r="I11" s="181"/>
      <c r="J11" s="119"/>
      <c r="K11" s="180" t="s">
        <v>180</v>
      </c>
      <c r="L11" s="180"/>
      <c r="M11" s="124">
        <f>IRR!F8</f>
        <v>40722519</v>
      </c>
      <c r="N11" s="100"/>
    </row>
    <row r="12" spans="2:14" x14ac:dyDescent="0.3">
      <c r="B12" s="117" t="s">
        <v>70</v>
      </c>
      <c r="C12" s="118"/>
      <c r="D12" s="100" t="s">
        <v>169</v>
      </c>
      <c r="E12" s="179" t="s">
        <v>73</v>
      </c>
      <c r="F12" s="179"/>
      <c r="G12" s="179"/>
      <c r="H12" s="130">
        <v>0</v>
      </c>
      <c r="I12" s="98"/>
      <c r="J12" s="102"/>
      <c r="K12" s="180" t="s">
        <v>74</v>
      </c>
      <c r="L12" s="180"/>
      <c r="M12" s="124">
        <f>IRR!L25</f>
        <v>3142880803.1999998</v>
      </c>
      <c r="N12" s="100"/>
    </row>
    <row r="13" spans="2:14" x14ac:dyDescent="0.3">
      <c r="B13" s="120" t="s">
        <v>72</v>
      </c>
      <c r="C13" s="121"/>
      <c r="D13" s="101">
        <v>4</v>
      </c>
      <c r="E13" s="179" t="s">
        <v>76</v>
      </c>
      <c r="F13" s="179"/>
      <c r="G13" s="179"/>
      <c r="H13" s="130">
        <v>0</v>
      </c>
      <c r="I13" s="98"/>
      <c r="J13" s="102"/>
      <c r="K13" s="180" t="s">
        <v>77</v>
      </c>
      <c r="L13" s="180"/>
      <c r="M13" s="124">
        <f>IRR!L18</f>
        <v>5909391000</v>
      </c>
      <c r="N13" s="100"/>
    </row>
    <row r="14" spans="2:14" ht="16.2" thickBot="1" x14ac:dyDescent="0.35">
      <c r="B14" s="120" t="s">
        <v>75</v>
      </c>
      <c r="C14" s="121"/>
      <c r="D14" s="101">
        <v>1</v>
      </c>
      <c r="E14" s="179" t="s">
        <v>78</v>
      </c>
      <c r="F14" s="179"/>
      <c r="G14" s="179"/>
      <c r="H14" s="130">
        <v>0</v>
      </c>
      <c r="I14" s="98"/>
      <c r="J14" s="102"/>
      <c r="K14" s="108"/>
      <c r="L14" s="108"/>
      <c r="M14" s="98"/>
      <c r="N14" s="100"/>
    </row>
    <row r="15" spans="2:14" x14ac:dyDescent="0.3">
      <c r="B15" s="102"/>
      <c r="C15" s="98"/>
      <c r="D15" s="100"/>
      <c r="E15" s="181" t="s">
        <v>79</v>
      </c>
      <c r="F15" s="181"/>
      <c r="G15" s="181"/>
      <c r="H15" s="181"/>
      <c r="I15" s="181"/>
      <c r="J15" s="131"/>
      <c r="K15" s="182" t="s">
        <v>26</v>
      </c>
      <c r="L15" s="183"/>
      <c r="M15" s="103">
        <f>IRR!F39</f>
        <v>0.31952042535196346</v>
      </c>
      <c r="N15" s="100"/>
    </row>
    <row r="16" spans="2:14" x14ac:dyDescent="0.3">
      <c r="B16" s="102"/>
      <c r="C16" s="98"/>
      <c r="D16" s="100"/>
      <c r="E16" s="98"/>
      <c r="F16" s="98"/>
      <c r="G16" s="98"/>
      <c r="H16" s="98"/>
      <c r="I16" s="98"/>
      <c r="J16" s="132"/>
      <c r="K16" s="173" t="s">
        <v>27</v>
      </c>
      <c r="L16" s="174"/>
      <c r="M16" s="145">
        <f>IRR!F40</f>
        <v>1429519858.7068048</v>
      </c>
      <c r="N16" s="100"/>
    </row>
    <row r="17" spans="2:18" x14ac:dyDescent="0.3">
      <c r="B17" s="102"/>
      <c r="C17" s="98"/>
      <c r="D17" s="100"/>
      <c r="E17" s="98"/>
      <c r="F17" s="98"/>
      <c r="G17" s="98"/>
      <c r="H17" s="98"/>
      <c r="I17" s="98"/>
      <c r="J17" s="132"/>
      <c r="K17" s="173" t="s">
        <v>28</v>
      </c>
      <c r="L17" s="174"/>
      <c r="M17" s="104">
        <f>IRR!F41</f>
        <v>0.46815487362403335</v>
      </c>
      <c r="N17" s="100"/>
      <c r="R17" s="95" t="s">
        <v>49</v>
      </c>
    </row>
    <row r="18" spans="2:18" ht="16.2" thickBot="1" x14ac:dyDescent="0.35">
      <c r="B18" s="102"/>
      <c r="C18" s="98"/>
      <c r="D18" s="100"/>
      <c r="E18" s="98"/>
      <c r="F18" s="98"/>
      <c r="G18" s="98"/>
      <c r="H18" s="98"/>
      <c r="I18" s="98"/>
      <c r="J18" s="132"/>
      <c r="K18" s="175" t="s">
        <v>81</v>
      </c>
      <c r="L18" s="176"/>
      <c r="M18" s="146">
        <f>IRR!F42</f>
        <v>2.3312801591706496</v>
      </c>
      <c r="N18" s="100"/>
      <c r="Q18" s="95" t="s">
        <v>49</v>
      </c>
    </row>
    <row r="19" spans="2:18" ht="16.2" thickBot="1" x14ac:dyDescent="0.35">
      <c r="B19" s="105"/>
      <c r="C19" s="106"/>
      <c r="D19" s="107"/>
      <c r="E19" s="106"/>
      <c r="F19" s="106" t="s">
        <v>49</v>
      </c>
      <c r="G19" s="106"/>
      <c r="H19" s="106"/>
      <c r="I19" s="106"/>
      <c r="J19" s="102"/>
      <c r="K19" s="108"/>
      <c r="L19" s="118"/>
      <c r="M19" s="118"/>
      <c r="N19" s="100"/>
    </row>
    <row r="20" spans="2:18" x14ac:dyDescent="0.3">
      <c r="B20" s="110" t="s">
        <v>86</v>
      </c>
      <c r="C20" s="111"/>
      <c r="D20" s="111"/>
      <c r="E20" s="111"/>
      <c r="F20" s="111"/>
      <c r="G20" s="111"/>
      <c r="H20" s="111"/>
      <c r="I20" s="111"/>
      <c r="J20" s="111"/>
      <c r="L20" s="237" t="s">
        <v>89</v>
      </c>
      <c r="M20" s="237"/>
      <c r="N20" s="112"/>
    </row>
    <row r="21" spans="2:18" x14ac:dyDescent="0.3">
      <c r="B21" s="102" t="s">
        <v>85</v>
      </c>
      <c r="C21" s="98"/>
      <c r="D21" s="98" t="s">
        <v>131</v>
      </c>
      <c r="E21" s="98"/>
      <c r="F21" s="98"/>
      <c r="G21" s="98"/>
      <c r="H21" s="98"/>
      <c r="I21" s="98"/>
      <c r="J21" s="98"/>
      <c r="K21" s="98"/>
      <c r="L21" s="177" t="s">
        <v>181</v>
      </c>
      <c r="M21" s="178"/>
      <c r="N21" s="100"/>
    </row>
    <row r="22" spans="2:18" x14ac:dyDescent="0.3">
      <c r="B22" s="102"/>
      <c r="C22" s="98"/>
      <c r="D22" s="98" t="s">
        <v>131</v>
      </c>
      <c r="E22" s="98"/>
      <c r="F22" s="98"/>
      <c r="G22" s="98"/>
      <c r="H22" s="98"/>
      <c r="I22" s="98"/>
      <c r="J22" s="98"/>
      <c r="K22" s="98"/>
      <c r="L22" s="98"/>
      <c r="M22" s="98"/>
      <c r="N22" s="100"/>
    </row>
    <row r="23" spans="2:18" x14ac:dyDescent="0.3">
      <c r="B23" s="102"/>
      <c r="C23" s="98"/>
      <c r="D23" s="98" t="s">
        <v>131</v>
      </c>
      <c r="E23" s="98"/>
      <c r="F23" s="98"/>
      <c r="G23" s="98"/>
      <c r="H23" s="98"/>
      <c r="I23" s="98"/>
      <c r="J23" s="98"/>
      <c r="K23" s="98"/>
      <c r="L23" s="98"/>
      <c r="M23" s="98"/>
      <c r="N23" s="100"/>
    </row>
    <row r="24" spans="2:18" x14ac:dyDescent="0.3">
      <c r="B24" s="102"/>
      <c r="C24" s="98"/>
      <c r="E24" s="98"/>
      <c r="F24" s="98"/>
      <c r="G24" s="98"/>
      <c r="H24" s="98"/>
      <c r="I24" s="98"/>
      <c r="J24" s="98"/>
      <c r="K24" s="98"/>
      <c r="L24" s="98"/>
      <c r="M24" s="98"/>
      <c r="N24" s="100"/>
    </row>
    <row r="25" spans="2:18" ht="16.2" thickBot="1" x14ac:dyDescent="0.35">
      <c r="B25" s="105"/>
      <c r="C25" s="106"/>
      <c r="D25" s="106"/>
      <c r="E25" s="106"/>
      <c r="F25" s="106"/>
      <c r="G25" s="106"/>
      <c r="H25" s="106"/>
      <c r="I25" s="106"/>
      <c r="J25" s="106"/>
      <c r="K25" s="106"/>
      <c r="L25" s="106"/>
      <c r="M25" s="106"/>
      <c r="N25" s="107"/>
    </row>
    <row r="26" spans="2:18" ht="7.8" customHeight="1" x14ac:dyDescent="0.3"/>
    <row r="27" spans="2:18" x14ac:dyDescent="0.3">
      <c r="B27" s="1" t="s">
        <v>90</v>
      </c>
    </row>
    <row r="28" spans="2:18" ht="1.2" customHeight="1" x14ac:dyDescent="0.3"/>
  </sheetData>
  <mergeCells count="28">
    <mergeCell ref="B6:D6"/>
    <mergeCell ref="E6:I6"/>
    <mergeCell ref="J6:N6"/>
    <mergeCell ref="B7:C7"/>
    <mergeCell ref="E7:I7"/>
    <mergeCell ref="K7:L7"/>
    <mergeCell ref="B8:C8"/>
    <mergeCell ref="E8:G8"/>
    <mergeCell ref="K8:L8"/>
    <mergeCell ref="B9:C9"/>
    <mergeCell ref="E9:G9"/>
    <mergeCell ref="K9:L9"/>
    <mergeCell ref="E10:G10"/>
    <mergeCell ref="K10:L10"/>
    <mergeCell ref="E11:I11"/>
    <mergeCell ref="K11:L11"/>
    <mergeCell ref="E12:G12"/>
    <mergeCell ref="K12:L12"/>
    <mergeCell ref="K17:L17"/>
    <mergeCell ref="K18:L18"/>
    <mergeCell ref="L21:M21"/>
    <mergeCell ref="E13:G13"/>
    <mergeCell ref="K13:L13"/>
    <mergeCell ref="E14:G14"/>
    <mergeCell ref="E15:I15"/>
    <mergeCell ref="K15:L15"/>
    <mergeCell ref="K16:L16"/>
    <mergeCell ref="L20:M20"/>
  </mergeCells>
  <pageMargins left="0.7" right="0.7" top="0.75" bottom="0.75" header="0.3" footer="0.3"/>
  <pageSetup paperSize="9" scale="96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U53"/>
  <sheetViews>
    <sheetView showGridLines="0" topLeftCell="A38" zoomScale="97" zoomScaleNormal="67" workbookViewId="0">
      <selection activeCell="A46" sqref="A46:XFD49"/>
    </sheetView>
  </sheetViews>
  <sheetFormatPr defaultColWidth="10.59765625" defaultRowHeight="15.6" x14ac:dyDescent="0.3"/>
  <cols>
    <col min="1" max="1" width="4.09765625" customWidth="1"/>
    <col min="2" max="2" width="3.59765625" customWidth="1"/>
    <col min="3" max="3" width="4.59765625" customWidth="1"/>
    <col min="4" max="4" width="18.796875" customWidth="1"/>
    <col min="5" max="5" width="7.19921875" bestFit="1" customWidth="1"/>
    <col min="6" max="6" width="15.69921875" customWidth="1"/>
    <col min="7" max="7" width="17.59765625" style="2" customWidth="1"/>
    <col min="8" max="8" width="17.796875" customWidth="1"/>
    <col min="9" max="10" width="15.59765625" bestFit="1" customWidth="1"/>
    <col min="11" max="11" width="16" bestFit="1" customWidth="1"/>
    <col min="12" max="12" width="16.59765625" bestFit="1" customWidth="1"/>
    <col min="13" max="13" width="15.796875" customWidth="1"/>
    <col min="14" max="17" width="15" bestFit="1" customWidth="1"/>
    <col min="18" max="18" width="15.59765625" bestFit="1" customWidth="1"/>
    <col min="19" max="19" width="11.69921875" bestFit="1" customWidth="1"/>
  </cols>
  <sheetData>
    <row r="1" spans="2:21" ht="18" x14ac:dyDescent="0.35">
      <c r="B1" s="3" t="s">
        <v>0</v>
      </c>
      <c r="D1" t="s">
        <v>182</v>
      </c>
      <c r="L1" s="207" t="s">
        <v>183</v>
      </c>
    </row>
    <row r="2" spans="2:21" x14ac:dyDescent="0.3">
      <c r="C2" t="s">
        <v>1</v>
      </c>
      <c r="F2" s="5">
        <v>0.02</v>
      </c>
      <c r="L2" s="4"/>
      <c r="M2" s="4"/>
      <c r="N2" s="4"/>
    </row>
    <row r="3" spans="2:21" x14ac:dyDescent="0.3">
      <c r="C3" t="s">
        <v>39</v>
      </c>
      <c r="F3" s="5">
        <v>0.1</v>
      </c>
      <c r="L3" s="4"/>
      <c r="M3" s="4"/>
      <c r="N3" s="4"/>
    </row>
    <row r="4" spans="2:21" x14ac:dyDescent="0.3">
      <c r="C4" t="s">
        <v>2</v>
      </c>
      <c r="F4" s="5">
        <v>0.05</v>
      </c>
      <c r="G4" s="2" t="s">
        <v>3</v>
      </c>
    </row>
    <row r="5" spans="2:21" x14ac:dyDescent="0.3">
      <c r="C5" t="s">
        <v>4</v>
      </c>
      <c r="F5" s="6">
        <v>0</v>
      </c>
      <c r="G5" s="2" t="s">
        <v>3</v>
      </c>
    </row>
    <row r="6" spans="2:21" x14ac:dyDescent="0.3">
      <c r="C6" t="s">
        <v>84</v>
      </c>
      <c r="F6" s="5">
        <v>0.15</v>
      </c>
    </row>
    <row r="7" spans="2:21" x14ac:dyDescent="0.3">
      <c r="B7" s="1"/>
      <c r="F7" s="31" t="s">
        <v>179</v>
      </c>
      <c r="G7" s="31" t="s">
        <v>34</v>
      </c>
      <c r="H7" s="31" t="s">
        <v>35</v>
      </c>
      <c r="I7" s="31" t="s">
        <v>36</v>
      </c>
      <c r="J7" s="31" t="s">
        <v>37</v>
      </c>
      <c r="K7" s="31" t="s">
        <v>38</v>
      </c>
      <c r="L7" s="24"/>
      <c r="M7" s="40"/>
      <c r="N7" s="40"/>
      <c r="O7" s="41"/>
      <c r="P7" s="40"/>
      <c r="Q7" s="40"/>
      <c r="R7" s="40"/>
      <c r="S7" s="40"/>
      <c r="T7" s="40"/>
    </row>
    <row r="8" spans="2:21" s="83" customFormat="1" ht="16.2" thickBot="1" x14ac:dyDescent="0.35">
      <c r="B8" s="90" t="s">
        <v>47</v>
      </c>
      <c r="E8" s="171" t="s">
        <v>177</v>
      </c>
      <c r="F8" s="84">
        <v>40722519</v>
      </c>
      <c r="G8" s="84">
        <v>0</v>
      </c>
      <c r="H8" s="84">
        <v>0</v>
      </c>
      <c r="I8" s="84">
        <v>0</v>
      </c>
      <c r="J8" s="84">
        <v>0</v>
      </c>
      <c r="K8" s="84">
        <v>0</v>
      </c>
      <c r="L8" s="88"/>
      <c r="M8" s="85"/>
      <c r="N8" s="85"/>
      <c r="O8" s="86"/>
      <c r="P8" s="85"/>
      <c r="Q8" s="85"/>
      <c r="R8" s="85"/>
      <c r="S8" s="85"/>
      <c r="T8" s="85"/>
    </row>
    <row r="9" spans="2:21" s="83" customFormat="1" ht="16.2" thickTop="1" x14ac:dyDescent="0.3">
      <c r="B9" s="90"/>
      <c r="F9" s="89"/>
      <c r="G9" s="85"/>
      <c r="H9" s="85"/>
      <c r="I9" s="85"/>
      <c r="J9" s="85"/>
      <c r="K9" s="85"/>
      <c r="L9" s="88"/>
      <c r="M9" s="85"/>
      <c r="N9" s="85"/>
      <c r="O9" s="86"/>
      <c r="P9" s="85"/>
      <c r="Q9" s="85"/>
      <c r="R9" s="85"/>
      <c r="S9" s="85"/>
      <c r="T9" s="85"/>
    </row>
    <row r="10" spans="2:21" x14ac:dyDescent="0.3">
      <c r="F10" s="9">
        <v>2025</v>
      </c>
      <c r="G10" s="9">
        <f>F10+1</f>
        <v>2026</v>
      </c>
      <c r="H10" s="31">
        <f>G10+1</f>
        <v>2027</v>
      </c>
      <c r="I10" s="31">
        <f t="shared" ref="I10:K10" si="0">H10+1</f>
        <v>2028</v>
      </c>
      <c r="J10" s="31">
        <f t="shared" si="0"/>
        <v>2029</v>
      </c>
      <c r="K10" s="31">
        <f t="shared" si="0"/>
        <v>2030</v>
      </c>
      <c r="L10" s="24"/>
      <c r="O10" s="39"/>
      <c r="P10" s="39"/>
      <c r="Q10" s="39"/>
      <c r="R10" s="39"/>
      <c r="S10" s="39"/>
      <c r="T10" s="39"/>
      <c r="U10" s="39"/>
    </row>
    <row r="11" spans="2:21" ht="16.2" thickBot="1" x14ac:dyDescent="0.35">
      <c r="B11" s="10" t="s">
        <v>11</v>
      </c>
      <c r="C11" s="7"/>
      <c r="D11" s="7"/>
      <c r="E11" s="7"/>
      <c r="F11" s="8" t="s">
        <v>178</v>
      </c>
      <c r="G11" s="8" t="s">
        <v>6</v>
      </c>
      <c r="H11" s="11" t="s">
        <v>7</v>
      </c>
      <c r="I11" s="8" t="s">
        <v>8</v>
      </c>
      <c r="J11" s="11" t="s">
        <v>9</v>
      </c>
      <c r="K11" s="8" t="s">
        <v>10</v>
      </c>
      <c r="L11" s="70" t="s">
        <v>12</v>
      </c>
      <c r="M11" s="54"/>
      <c r="N11" s="54"/>
      <c r="O11" s="54"/>
      <c r="P11" s="54"/>
      <c r="Q11" s="54"/>
      <c r="R11" s="54"/>
      <c r="S11" s="39"/>
      <c r="T11" s="39"/>
      <c r="U11" s="39"/>
    </row>
    <row r="12" spans="2:21" x14ac:dyDescent="0.3">
      <c r="B12" t="s">
        <v>13</v>
      </c>
      <c r="G12" s="9">
        <v>12</v>
      </c>
      <c r="H12" s="9">
        <v>12</v>
      </c>
      <c r="I12" s="9">
        <v>12</v>
      </c>
      <c r="J12" s="9">
        <v>12</v>
      </c>
      <c r="K12" s="9">
        <v>12</v>
      </c>
      <c r="L12" s="71"/>
    </row>
    <row r="13" spans="2:21" x14ac:dyDescent="0.3">
      <c r="L13" s="71"/>
    </row>
    <row r="14" spans="2:21" x14ac:dyDescent="0.3">
      <c r="B14" s="1" t="s">
        <v>5</v>
      </c>
      <c r="E14" s="16"/>
      <c r="G14" s="17"/>
      <c r="H14" s="147"/>
      <c r="I14" s="18"/>
      <c r="J14" s="18"/>
      <c r="K14" s="18"/>
      <c r="L14" s="71"/>
    </row>
    <row r="15" spans="2:21" x14ac:dyDescent="0.3">
      <c r="B15" s="1"/>
      <c r="C15" t="s">
        <v>132</v>
      </c>
      <c r="E15" s="16"/>
      <c r="G15" s="147">
        <v>452143200</v>
      </c>
      <c r="H15" s="147">
        <f>G15</f>
        <v>452143200</v>
      </c>
      <c r="I15" s="147">
        <f t="shared" ref="I15:K15" si="1">H15</f>
        <v>452143200</v>
      </c>
      <c r="J15" s="147">
        <f t="shared" si="1"/>
        <v>452143200</v>
      </c>
      <c r="K15" s="147">
        <f t="shared" si="1"/>
        <v>452143200</v>
      </c>
      <c r="L15" s="167">
        <f>SUM(F15:K15)</f>
        <v>2260716000</v>
      </c>
    </row>
    <row r="16" spans="2:21" x14ac:dyDescent="0.3">
      <c r="B16" s="1"/>
      <c r="C16" t="s">
        <v>176</v>
      </c>
      <c r="E16" s="16"/>
      <c r="G16" s="147">
        <f>125000*307*12</f>
        <v>460500000</v>
      </c>
      <c r="H16" s="147">
        <f>G16</f>
        <v>460500000</v>
      </c>
      <c r="I16" s="147">
        <f>H16*95%</f>
        <v>437475000</v>
      </c>
      <c r="J16" s="147">
        <f t="shared" ref="I16:K16" si="2">I16</f>
        <v>437475000</v>
      </c>
      <c r="K16" s="147">
        <f t="shared" si="2"/>
        <v>437475000</v>
      </c>
      <c r="L16" s="167">
        <f t="shared" ref="L16:L17" si="3">SUM(F16:K16)</f>
        <v>2233425000</v>
      </c>
    </row>
    <row r="17" spans="2:19" x14ac:dyDescent="0.3">
      <c r="B17" s="1"/>
      <c r="C17" t="s">
        <v>133</v>
      </c>
      <c r="E17" s="16"/>
      <c r="G17" s="147">
        <f>'Summary Review'!F19</f>
        <v>283050000</v>
      </c>
      <c r="H17" s="147">
        <f>G17</f>
        <v>283050000</v>
      </c>
      <c r="I17" s="147">
        <f t="shared" ref="I17:K17" si="4">H17</f>
        <v>283050000</v>
      </c>
      <c r="J17" s="147">
        <f t="shared" si="4"/>
        <v>283050000</v>
      </c>
      <c r="K17" s="147">
        <f t="shared" si="4"/>
        <v>283050000</v>
      </c>
      <c r="L17" s="167">
        <f t="shared" si="3"/>
        <v>1415250000</v>
      </c>
    </row>
    <row r="18" spans="2:19" x14ac:dyDescent="0.3">
      <c r="B18" s="64" t="s">
        <v>130</v>
      </c>
      <c r="C18" s="64"/>
      <c r="D18" s="64"/>
      <c r="E18" s="193">
        <v>0</v>
      </c>
      <c r="F18" s="194"/>
      <c r="G18" s="65">
        <f>SUM(G15:G17)</f>
        <v>1195693200</v>
      </c>
      <c r="H18" s="65">
        <f>SUM(H15:H17)</f>
        <v>1195693200</v>
      </c>
      <c r="I18" s="65">
        <f>SUM(I15:I17)</f>
        <v>1172668200</v>
      </c>
      <c r="J18" s="65">
        <f>SUM(J15:J17)</f>
        <v>1172668200</v>
      </c>
      <c r="K18" s="65">
        <f>SUM(K15:K17)</f>
        <v>1172668200</v>
      </c>
      <c r="L18" s="72">
        <f>SUM(G18:K18)</f>
        <v>5909391000</v>
      </c>
      <c r="M18" s="43"/>
      <c r="N18" s="43"/>
      <c r="O18" s="43"/>
      <c r="P18" s="43"/>
      <c r="Q18" s="43"/>
      <c r="R18" s="43"/>
      <c r="S18" s="45"/>
    </row>
    <row r="19" spans="2:19" x14ac:dyDescent="0.3">
      <c r="L19" s="71"/>
      <c r="M19" s="45"/>
      <c r="N19" s="45"/>
      <c r="O19" s="45"/>
      <c r="P19" s="45"/>
      <c r="Q19" s="45"/>
      <c r="R19" s="45"/>
      <c r="S19" s="45"/>
    </row>
    <row r="20" spans="2:19" x14ac:dyDescent="0.3">
      <c r="B20" s="1" t="s">
        <v>14</v>
      </c>
      <c r="E20" s="16"/>
      <c r="F20" s="16"/>
      <c r="G20" s="169"/>
      <c r="H20" s="16"/>
      <c r="I20" s="18"/>
      <c r="J20" s="18"/>
      <c r="K20" s="18"/>
      <c r="L20" s="73"/>
      <c r="M20" s="46"/>
      <c r="N20" s="46"/>
      <c r="O20" s="46"/>
      <c r="P20" s="46"/>
      <c r="Q20" s="46"/>
      <c r="R20" s="45"/>
      <c r="S20" s="45"/>
    </row>
    <row r="21" spans="2:19" x14ac:dyDescent="0.3">
      <c r="C21" t="s">
        <v>40</v>
      </c>
      <c r="F21" s="13">
        <f>'Summary Review'!F14</f>
        <v>2300000000</v>
      </c>
      <c r="G21" s="12"/>
      <c r="H21" s="12">
        <v>0</v>
      </c>
      <c r="I21" s="12">
        <f>H21</f>
        <v>0</v>
      </c>
      <c r="J21" s="12">
        <f>I21</f>
        <v>0</v>
      </c>
      <c r="K21" s="12">
        <f>J21</f>
        <v>0</v>
      </c>
      <c r="L21" s="74">
        <f>SUM(F21:K21)</f>
        <v>2300000000</v>
      </c>
      <c r="M21" s="43">
        <f>L21/5</f>
        <v>460000000</v>
      </c>
      <c r="N21" s="43"/>
      <c r="O21" s="43"/>
      <c r="P21" s="43"/>
      <c r="Q21" s="43"/>
      <c r="R21" s="44"/>
      <c r="S21" s="45"/>
    </row>
    <row r="22" spans="2:19" x14ac:dyDescent="0.3">
      <c r="C22" t="s">
        <v>15</v>
      </c>
      <c r="F22" s="113"/>
      <c r="G22" s="12">
        <v>96000000</v>
      </c>
      <c r="H22" s="12">
        <f>G22</f>
        <v>96000000</v>
      </c>
      <c r="I22" s="12">
        <f t="shared" ref="I22:K22" si="5">H22</f>
        <v>96000000</v>
      </c>
      <c r="J22" s="12">
        <f t="shared" si="5"/>
        <v>96000000</v>
      </c>
      <c r="K22" s="12">
        <f t="shared" si="5"/>
        <v>96000000</v>
      </c>
      <c r="L22" s="74">
        <f t="shared" ref="L22:L24" si="6">SUM(F22:K22)</f>
        <v>480000000</v>
      </c>
      <c r="M22" s="43"/>
      <c r="N22" s="43"/>
      <c r="O22" s="43"/>
      <c r="P22" s="43"/>
      <c r="Q22" s="43"/>
      <c r="R22" s="44"/>
      <c r="S22" s="45"/>
    </row>
    <row r="23" spans="2:19" x14ac:dyDescent="0.3">
      <c r="C23" t="s">
        <v>41</v>
      </c>
      <c r="G23" s="109">
        <f>PARAMETER!K17+PARAMETER!B34*3</f>
        <v>51760000</v>
      </c>
      <c r="H23" s="109">
        <f>G23</f>
        <v>51760000</v>
      </c>
      <c r="I23" s="109">
        <f>H23</f>
        <v>51760000</v>
      </c>
      <c r="J23" s="109">
        <f>I23</f>
        <v>51760000</v>
      </c>
      <c r="K23" s="109">
        <f>J23</f>
        <v>51760000</v>
      </c>
      <c r="L23" s="74">
        <f t="shared" si="6"/>
        <v>258800000</v>
      </c>
      <c r="M23" s="43"/>
      <c r="N23" s="43"/>
      <c r="O23" s="43"/>
      <c r="P23" s="43"/>
      <c r="Q23" s="43"/>
      <c r="R23" s="44"/>
      <c r="S23" s="45"/>
    </row>
    <row r="24" spans="2:19" x14ac:dyDescent="0.3">
      <c r="B24" s="14"/>
      <c r="C24" s="14" t="s">
        <v>2</v>
      </c>
      <c r="D24" s="14"/>
      <c r="E24" s="14"/>
      <c r="F24" s="14"/>
      <c r="G24" s="19">
        <f>20000000</f>
        <v>20000000</v>
      </c>
      <c r="H24" s="19">
        <f>G24*1.02</f>
        <v>20400000</v>
      </c>
      <c r="I24" s="19">
        <f t="shared" ref="I24:K24" si="7">H24*1.02</f>
        <v>20808000</v>
      </c>
      <c r="J24" s="19">
        <f t="shared" si="7"/>
        <v>21224160</v>
      </c>
      <c r="K24" s="19">
        <f t="shared" si="7"/>
        <v>21648643.199999999</v>
      </c>
      <c r="L24" s="74">
        <f t="shared" si="6"/>
        <v>104080803.2</v>
      </c>
      <c r="M24" s="47"/>
      <c r="N24" s="47"/>
      <c r="O24" s="47"/>
      <c r="P24" s="47"/>
      <c r="Q24" s="47"/>
      <c r="R24" s="44"/>
      <c r="S24" s="45"/>
    </row>
    <row r="25" spans="2:19" s="1" customFormat="1" x14ac:dyDescent="0.3">
      <c r="B25" s="64" t="s">
        <v>16</v>
      </c>
      <c r="C25" s="64"/>
      <c r="D25" s="64"/>
      <c r="E25" s="64"/>
      <c r="F25" s="65">
        <f t="shared" ref="F25" si="8">SUM(F21:F24)</f>
        <v>2300000000</v>
      </c>
      <c r="G25" s="65">
        <f t="shared" ref="G25:K25" si="9">SUM(G21:G24)</f>
        <v>167760000</v>
      </c>
      <c r="H25" s="65">
        <f t="shared" si="9"/>
        <v>168160000</v>
      </c>
      <c r="I25" s="65">
        <f t="shared" si="9"/>
        <v>168568000</v>
      </c>
      <c r="J25" s="65">
        <f t="shared" si="9"/>
        <v>168984160</v>
      </c>
      <c r="K25" s="65">
        <f t="shared" si="9"/>
        <v>169408643.19999999</v>
      </c>
      <c r="L25" s="87">
        <f>SUM(L21:L24)</f>
        <v>3142880803.1999998</v>
      </c>
      <c r="M25" s="48"/>
      <c r="N25" s="48"/>
      <c r="O25" s="48"/>
      <c r="P25" s="48"/>
      <c r="Q25" s="48"/>
      <c r="R25" s="48"/>
      <c r="S25" s="49"/>
    </row>
    <row r="26" spans="2:19" s="1" customFormat="1" x14ac:dyDescent="0.3">
      <c r="B26" s="1" t="s">
        <v>17</v>
      </c>
      <c r="F26" s="208">
        <f>F18-F25</f>
        <v>-2300000000</v>
      </c>
      <c r="G26" s="20">
        <f>G18-G25</f>
        <v>1027933200</v>
      </c>
      <c r="H26" s="20">
        <f>H18-H25</f>
        <v>1027533200</v>
      </c>
      <c r="I26" s="20">
        <f t="shared" ref="I26:K26" si="10">I18-I25</f>
        <v>1004100200</v>
      </c>
      <c r="J26" s="20">
        <f t="shared" si="10"/>
        <v>1003684040</v>
      </c>
      <c r="K26" s="20">
        <f t="shared" si="10"/>
        <v>1003259556.8</v>
      </c>
      <c r="L26" s="75">
        <f>L18-L25</f>
        <v>2766510196.8000002</v>
      </c>
      <c r="M26" s="48"/>
      <c r="N26" s="48"/>
      <c r="O26" s="48"/>
      <c r="P26" s="48"/>
      <c r="Q26" s="48"/>
      <c r="R26" s="48"/>
      <c r="S26" s="49"/>
    </row>
    <row r="27" spans="2:19" s="1" customFormat="1" x14ac:dyDescent="0.3">
      <c r="B27" s="21" t="s">
        <v>18</v>
      </c>
      <c r="C27" s="22"/>
      <c r="D27" s="22"/>
      <c r="E27" s="22"/>
      <c r="F27" s="22"/>
      <c r="G27" s="23">
        <v>0</v>
      </c>
      <c r="H27" s="23">
        <f>H26/H18</f>
        <v>0.85936191658529126</v>
      </c>
      <c r="I27" s="23">
        <f t="shared" ref="I27:K27" si="11">I26/I18</f>
        <v>0.85625260410404236</v>
      </c>
      <c r="J27" s="23">
        <f t="shared" si="11"/>
        <v>0.85589772111156426</v>
      </c>
      <c r="K27" s="23">
        <f t="shared" si="11"/>
        <v>0.85553574045923642</v>
      </c>
      <c r="L27" s="76">
        <f>L26/L18</f>
        <v>0.46815487362403335</v>
      </c>
      <c r="M27" s="50"/>
      <c r="N27" s="50"/>
      <c r="O27" s="50"/>
      <c r="P27" s="50"/>
      <c r="Q27" s="50"/>
      <c r="R27" s="50"/>
      <c r="S27" s="49"/>
    </row>
    <row r="28" spans="2:19" x14ac:dyDescent="0.3">
      <c r="B28" s="14" t="s">
        <v>19</v>
      </c>
      <c r="C28" s="14"/>
      <c r="D28" s="14"/>
      <c r="E28" s="14"/>
      <c r="F28" s="14">
        <v>0</v>
      </c>
      <c r="G28" s="15">
        <f>G50</f>
        <v>8144503.7999999998</v>
      </c>
      <c r="H28" s="15">
        <f>H50</f>
        <v>8144503.7999999998</v>
      </c>
      <c r="I28" s="15">
        <f>I50</f>
        <v>8144503.7999999998</v>
      </c>
      <c r="J28" s="15">
        <f>J50</f>
        <v>8144503.7999999998</v>
      </c>
      <c r="K28" s="15">
        <f>K50</f>
        <v>8144503.7999999998</v>
      </c>
      <c r="L28" s="77">
        <f>SUM(G28:K28)</f>
        <v>40722519</v>
      </c>
      <c r="M28" s="43"/>
      <c r="N28" s="43"/>
      <c r="O28" s="43"/>
      <c r="P28" s="43"/>
      <c r="Q28" s="43"/>
      <c r="R28" s="43"/>
      <c r="S28" s="45"/>
    </row>
    <row r="29" spans="2:19" x14ac:dyDescent="0.3">
      <c r="B29" s="24" t="s">
        <v>20</v>
      </c>
      <c r="G29" s="25">
        <f t="shared" ref="G29:L29" si="12">G26-G28</f>
        <v>1019788696.2</v>
      </c>
      <c r="H29" s="25">
        <f t="shared" si="12"/>
        <v>1019388696.2</v>
      </c>
      <c r="I29" s="25">
        <f t="shared" si="12"/>
        <v>995955696.20000005</v>
      </c>
      <c r="J29" s="25">
        <f t="shared" si="12"/>
        <v>995539536.20000005</v>
      </c>
      <c r="K29" s="25">
        <f t="shared" si="12"/>
        <v>995115053</v>
      </c>
      <c r="L29" s="78">
        <f t="shared" si="12"/>
        <v>2725787677.8000002</v>
      </c>
      <c r="M29" s="51"/>
      <c r="N29" s="51"/>
      <c r="O29" s="51"/>
      <c r="P29" s="51"/>
      <c r="Q29" s="51"/>
      <c r="R29" s="51"/>
      <c r="S29" s="45"/>
    </row>
    <row r="30" spans="2:19" x14ac:dyDescent="0.3">
      <c r="B30" s="24" t="s">
        <v>32</v>
      </c>
      <c r="G30" s="68">
        <v>0</v>
      </c>
      <c r="H30" s="68">
        <v>0</v>
      </c>
      <c r="I30" s="68">
        <v>0</v>
      </c>
      <c r="J30" s="68">
        <v>0</v>
      </c>
      <c r="K30" s="68">
        <v>0</v>
      </c>
      <c r="L30" s="92">
        <f>SUM(G30:K30)</f>
        <v>0</v>
      </c>
      <c r="M30" s="51"/>
      <c r="N30" s="51"/>
      <c r="O30" s="51"/>
      <c r="P30" s="51"/>
      <c r="Q30" s="51"/>
      <c r="R30" s="51"/>
      <c r="S30" s="45"/>
    </row>
    <row r="31" spans="2:19" x14ac:dyDescent="0.3">
      <c r="B31" s="24" t="s">
        <v>33</v>
      </c>
      <c r="G31" s="68">
        <f t="shared" ref="G31:K31" si="13">G29-G30</f>
        <v>1019788696.2</v>
      </c>
      <c r="H31" s="68">
        <f t="shared" si="13"/>
        <v>1019388696.2</v>
      </c>
      <c r="I31" s="68">
        <f t="shared" si="13"/>
        <v>995955696.20000005</v>
      </c>
      <c r="J31" s="68">
        <f t="shared" si="13"/>
        <v>995539536.20000005</v>
      </c>
      <c r="K31" s="68">
        <f t="shared" si="13"/>
        <v>995115053</v>
      </c>
      <c r="L31" s="92">
        <f>SUM(G31:K31)</f>
        <v>5025787677.8000002</v>
      </c>
      <c r="M31" s="51"/>
      <c r="N31" s="51"/>
      <c r="O31" s="51"/>
      <c r="P31" s="51"/>
      <c r="Q31" s="51"/>
      <c r="R31" s="51"/>
      <c r="S31" s="45"/>
    </row>
    <row r="32" spans="2:19" x14ac:dyDescent="0.3">
      <c r="B32" s="14" t="s">
        <v>21</v>
      </c>
      <c r="C32" s="14"/>
      <c r="D32" s="14"/>
      <c r="E32" s="14"/>
      <c r="F32" s="14"/>
      <c r="G32" s="66">
        <f>IF(G31&lt;0,0,G31*$F$2)</f>
        <v>20395773.924000002</v>
      </c>
      <c r="H32" s="66">
        <f t="shared" ref="H32:K32" si="14">IF(H31&lt;0,0,H31*$F$2)</f>
        <v>20387773.924000002</v>
      </c>
      <c r="I32" s="66">
        <f t="shared" si="14"/>
        <v>19919113.924000002</v>
      </c>
      <c r="J32" s="66">
        <f t="shared" si="14"/>
        <v>19910790.724000003</v>
      </c>
      <c r="K32" s="66">
        <f t="shared" si="14"/>
        <v>19902301.059999999</v>
      </c>
      <c r="L32" s="79">
        <f>SUM(G32:K32)</f>
        <v>100515753.55600001</v>
      </c>
      <c r="M32" s="53"/>
      <c r="N32" s="53"/>
      <c r="O32" s="53"/>
      <c r="P32" s="53"/>
      <c r="Q32" s="53"/>
      <c r="R32" s="52"/>
      <c r="S32" s="45"/>
    </row>
    <row r="33" spans="2:19" ht="16.2" thickBot="1" x14ac:dyDescent="0.35">
      <c r="B33" s="27" t="s">
        <v>48</v>
      </c>
      <c r="C33" s="27"/>
      <c r="D33" s="27"/>
      <c r="E33" s="27"/>
      <c r="F33" s="27"/>
      <c r="G33" s="28">
        <f>G31-G32</f>
        <v>999392922.27600002</v>
      </c>
      <c r="H33" s="28">
        <f t="shared" ref="H33:K33" si="15">H31-H32</f>
        <v>999000922.27600002</v>
      </c>
      <c r="I33" s="28">
        <f t="shared" si="15"/>
        <v>976036582.27600002</v>
      </c>
      <c r="J33" s="28">
        <f t="shared" si="15"/>
        <v>975628745.47600007</v>
      </c>
      <c r="K33" s="28">
        <f t="shared" si="15"/>
        <v>975212751.94000006</v>
      </c>
      <c r="L33" s="80">
        <f>L29-L32</f>
        <v>2625271924.244</v>
      </c>
      <c r="M33" s="51"/>
      <c r="N33" s="51"/>
      <c r="O33" s="51"/>
      <c r="P33" s="51"/>
      <c r="Q33" s="51"/>
      <c r="R33" s="51"/>
      <c r="S33" s="45"/>
    </row>
    <row r="34" spans="2:19" x14ac:dyDescent="0.3">
      <c r="L34" s="71"/>
      <c r="M34" s="45"/>
      <c r="N34" s="45"/>
      <c r="O34" s="45"/>
      <c r="P34" s="45"/>
      <c r="Q34" s="45"/>
      <c r="R34" s="45"/>
      <c r="S34" s="45"/>
    </row>
    <row r="35" spans="2:19" x14ac:dyDescent="0.3">
      <c r="B35" s="14" t="s">
        <v>22</v>
      </c>
      <c r="C35" s="14"/>
      <c r="D35" s="14"/>
      <c r="E35" s="14"/>
      <c r="F35" s="29">
        <f>-F8+-F9</f>
        <v>-40722519</v>
      </c>
      <c r="G35" s="29">
        <f t="shared" ref="G35:K35" si="16">-G8+-G9</f>
        <v>0</v>
      </c>
      <c r="H35" s="29">
        <f t="shared" si="16"/>
        <v>0</v>
      </c>
      <c r="I35" s="29">
        <f t="shared" si="16"/>
        <v>0</v>
      </c>
      <c r="J35" s="29">
        <f t="shared" si="16"/>
        <v>0</v>
      </c>
      <c r="K35" s="29">
        <f t="shared" si="16"/>
        <v>0</v>
      </c>
      <c r="L35" s="170">
        <f>SUM(F35:K35)</f>
        <v>-40722519</v>
      </c>
      <c r="M35" s="52"/>
      <c r="N35" s="52"/>
      <c r="O35" s="52"/>
      <c r="P35" s="52"/>
      <c r="Q35" s="52"/>
      <c r="R35" s="52"/>
      <c r="S35" s="45"/>
    </row>
    <row r="36" spans="2:19" x14ac:dyDescent="0.3">
      <c r="B36" t="s">
        <v>23</v>
      </c>
      <c r="F36" s="26">
        <f>F35-F21</f>
        <v>-2340722519</v>
      </c>
      <c r="G36" s="26">
        <f t="shared" ref="G36:I36" si="17">G35+G33+G28</f>
        <v>1007537426.076</v>
      </c>
      <c r="H36" s="26">
        <f t="shared" si="17"/>
        <v>1007145426.076</v>
      </c>
      <c r="I36" s="26">
        <f t="shared" si="17"/>
        <v>984181086.07599998</v>
      </c>
      <c r="J36" s="26">
        <f t="shared" ref="J36:L36" si="18">J35+J33+J28</f>
        <v>983773249.27600002</v>
      </c>
      <c r="K36" s="26">
        <f t="shared" si="18"/>
        <v>983357255.74000001</v>
      </c>
      <c r="L36" s="81">
        <f t="shared" si="18"/>
        <v>2625271924.244</v>
      </c>
      <c r="M36" s="52"/>
      <c r="N36" s="52"/>
      <c r="O36" s="52"/>
      <c r="P36" s="52"/>
      <c r="Q36" s="52"/>
      <c r="R36" s="52"/>
      <c r="S36" s="45"/>
    </row>
    <row r="37" spans="2:19" x14ac:dyDescent="0.3">
      <c r="B37" t="s">
        <v>24</v>
      </c>
      <c r="F37" s="26">
        <f>F36</f>
        <v>-2340722519</v>
      </c>
      <c r="G37" s="26">
        <f>F37+G36</f>
        <v>-1333185092.924</v>
      </c>
      <c r="H37" s="26">
        <f t="shared" ref="H37:I37" si="19">G37+H36</f>
        <v>-326039666.84800005</v>
      </c>
      <c r="I37" s="26">
        <f t="shared" si="19"/>
        <v>658141419.22799993</v>
      </c>
      <c r="J37" s="26">
        <f t="shared" ref="J37" si="20">I37+J36</f>
        <v>1641914668.5039999</v>
      </c>
      <c r="K37" s="26">
        <f t="shared" ref="K37" si="21">J37+K36</f>
        <v>2625271924.244</v>
      </c>
      <c r="L37" s="81"/>
      <c r="M37" s="52"/>
      <c r="N37" s="52"/>
      <c r="O37" s="52"/>
      <c r="P37" s="52"/>
      <c r="Q37" s="52"/>
      <c r="R37" s="52"/>
      <c r="S37" s="45"/>
    </row>
    <row r="38" spans="2:19" x14ac:dyDescent="0.3">
      <c r="B38" t="s">
        <v>25</v>
      </c>
      <c r="F38" s="26"/>
      <c r="G38" s="30">
        <f>IF(AND(F37&lt;0,G37&gt;0),G43-(G37/G36),0)</f>
        <v>0</v>
      </c>
      <c r="H38" s="30">
        <f t="shared" ref="H38:K38" si="22">IF(AND(G37&lt;0,H37&gt;0),H43-(H37/H36),0)</f>
        <v>0</v>
      </c>
      <c r="I38" s="30">
        <f t="shared" si="22"/>
        <v>2.3312801591706496</v>
      </c>
      <c r="J38" s="30">
        <f t="shared" si="22"/>
        <v>0</v>
      </c>
      <c r="K38" s="30">
        <f t="shared" si="22"/>
        <v>0</v>
      </c>
      <c r="L38" s="82"/>
      <c r="M38" s="30"/>
      <c r="N38" s="30"/>
      <c r="O38" s="30"/>
      <c r="P38" s="30"/>
      <c r="Q38" s="30"/>
      <c r="R38" s="30"/>
    </row>
    <row r="39" spans="2:19" x14ac:dyDescent="0.3">
      <c r="B39" s="55" t="s">
        <v>26</v>
      </c>
      <c r="C39" s="56"/>
      <c r="D39" s="56"/>
      <c r="E39" s="56"/>
      <c r="F39" s="93">
        <f>IRR(F36:K36)</f>
        <v>0.31952042535196346</v>
      </c>
    </row>
    <row r="40" spans="2:19" x14ac:dyDescent="0.3">
      <c r="B40" s="57" t="s">
        <v>27</v>
      </c>
      <c r="C40" s="58"/>
      <c r="D40" s="58"/>
      <c r="E40" s="58"/>
      <c r="F40" s="59">
        <f>NPV(F3,G36:K36)+F36</f>
        <v>1429519858.7068048</v>
      </c>
      <c r="H40" s="91"/>
      <c r="I40" s="13"/>
    </row>
    <row r="41" spans="2:19" x14ac:dyDescent="0.3">
      <c r="B41" s="57" t="s">
        <v>28</v>
      </c>
      <c r="C41" s="58"/>
      <c r="D41" s="58"/>
      <c r="E41" s="58"/>
      <c r="F41" s="60">
        <f>L27</f>
        <v>0.46815487362403335</v>
      </c>
      <c r="H41" s="67"/>
    </row>
    <row r="42" spans="2:19" x14ac:dyDescent="0.3">
      <c r="B42" s="61" t="s">
        <v>29</v>
      </c>
      <c r="C42" s="62"/>
      <c r="D42" s="62"/>
      <c r="E42" s="62"/>
      <c r="F42" s="63">
        <f>SUM(F38:K38)</f>
        <v>2.3312801591706496</v>
      </c>
    </row>
    <row r="43" spans="2:19" x14ac:dyDescent="0.3">
      <c r="G43" s="9">
        <v>1</v>
      </c>
      <c r="H43" s="31">
        <v>2</v>
      </c>
      <c r="I43" s="9">
        <v>3</v>
      </c>
      <c r="J43" s="31">
        <v>4</v>
      </c>
      <c r="K43" s="9">
        <v>5</v>
      </c>
      <c r="L43" s="31"/>
      <c r="M43" s="9"/>
      <c r="N43" s="31"/>
      <c r="O43" s="9"/>
      <c r="P43" s="31"/>
      <c r="Q43" s="9"/>
    </row>
    <row r="44" spans="2:19" x14ac:dyDescent="0.3">
      <c r="B44" s="32" t="s">
        <v>30</v>
      </c>
      <c r="E44" s="168" t="s">
        <v>174</v>
      </c>
      <c r="G44" s="33" t="str">
        <f t="shared" ref="G44:K44" si="23">G11</f>
        <v>Year 1</v>
      </c>
      <c r="H44" s="33" t="str">
        <f t="shared" si="23"/>
        <v>Year 2</v>
      </c>
      <c r="I44" s="33" t="str">
        <f t="shared" si="23"/>
        <v>Year 3</v>
      </c>
      <c r="J44" s="33" t="str">
        <f t="shared" si="23"/>
        <v>Year 4</v>
      </c>
      <c r="K44" s="33" t="str">
        <f t="shared" si="23"/>
        <v>Year 5</v>
      </c>
      <c r="L44" s="33"/>
      <c r="M44" s="33"/>
      <c r="N44" s="33"/>
      <c r="O44" s="33"/>
      <c r="P44" s="33"/>
      <c r="Q44" s="33"/>
      <c r="R44" s="33"/>
    </row>
    <row r="45" spans="2:19" x14ac:dyDescent="0.3">
      <c r="D45" t="s">
        <v>6</v>
      </c>
      <c r="E45">
        <v>5</v>
      </c>
      <c r="G45" s="69">
        <f>F8/E45</f>
        <v>8144503.7999999998</v>
      </c>
      <c r="H45" s="34">
        <f>G45</f>
        <v>8144503.7999999998</v>
      </c>
      <c r="I45" s="34">
        <f t="shared" ref="I45:K45" si="24">H45</f>
        <v>8144503.7999999998</v>
      </c>
      <c r="J45" s="34">
        <f t="shared" si="24"/>
        <v>8144503.7999999998</v>
      </c>
      <c r="K45" s="34">
        <f t="shared" si="24"/>
        <v>8144503.7999999998</v>
      </c>
      <c r="L45" s="34"/>
      <c r="M45" s="34"/>
      <c r="N45" s="34"/>
      <c r="O45" s="34"/>
      <c r="P45" s="34"/>
      <c r="Q45" s="34"/>
      <c r="R45" s="35"/>
    </row>
    <row r="46" spans="2:19" hidden="1" x14ac:dyDescent="0.3">
      <c r="D46" t="s">
        <v>7</v>
      </c>
      <c r="E46">
        <v>4</v>
      </c>
      <c r="H46" s="69">
        <f>I$9/$E46</f>
        <v>0</v>
      </c>
      <c r="J46" s="34">
        <f>H46</f>
        <v>0</v>
      </c>
      <c r="K46" s="34">
        <f t="shared" ref="K46" si="25">J46</f>
        <v>0</v>
      </c>
      <c r="L46" s="34"/>
      <c r="M46" s="34"/>
      <c r="N46" s="34"/>
      <c r="O46" s="34"/>
      <c r="P46" s="34"/>
      <c r="Q46" s="34"/>
      <c r="R46" s="35"/>
    </row>
    <row r="47" spans="2:19" hidden="1" x14ac:dyDescent="0.3">
      <c r="D47" t="s">
        <v>8</v>
      </c>
      <c r="E47">
        <v>3</v>
      </c>
      <c r="I47" s="69">
        <f>J$8/$E47</f>
        <v>0</v>
      </c>
      <c r="K47" s="34">
        <f>I47</f>
        <v>0</v>
      </c>
      <c r="L47" s="34"/>
      <c r="M47" s="34"/>
      <c r="N47" s="34"/>
      <c r="O47" s="34"/>
      <c r="P47" s="34"/>
      <c r="Q47" s="34"/>
      <c r="R47" s="35"/>
    </row>
    <row r="48" spans="2:19" hidden="1" x14ac:dyDescent="0.3">
      <c r="D48" t="s">
        <v>9</v>
      </c>
      <c r="E48">
        <v>2</v>
      </c>
      <c r="J48" s="69"/>
      <c r="L48" s="34"/>
      <c r="M48" s="34"/>
      <c r="N48" s="34"/>
      <c r="O48" s="34"/>
      <c r="P48" s="34"/>
      <c r="Q48" s="34"/>
      <c r="R48" s="35"/>
    </row>
    <row r="49" spans="2:21" hidden="1" x14ac:dyDescent="0.3">
      <c r="D49" t="s">
        <v>10</v>
      </c>
      <c r="E49">
        <v>1</v>
      </c>
      <c r="K49" s="69"/>
      <c r="L49" s="34"/>
      <c r="M49" s="34"/>
      <c r="N49" s="34"/>
      <c r="O49" s="34"/>
      <c r="P49" s="34"/>
      <c r="Q49" s="34"/>
      <c r="R49" s="35"/>
    </row>
    <row r="50" spans="2:21" ht="16.2" thickBot="1" x14ac:dyDescent="0.35">
      <c r="B50" s="36" t="s">
        <v>31</v>
      </c>
      <c r="C50" s="37"/>
      <c r="D50" s="37"/>
      <c r="E50" s="37"/>
      <c r="F50" s="37"/>
      <c r="G50" s="38">
        <f>SUM(G45:G48)</f>
        <v>8144503.7999999998</v>
      </c>
      <c r="H50" s="38">
        <f>SUM(H45:H48)</f>
        <v>8144503.7999999998</v>
      </c>
      <c r="I50" s="38">
        <f>SUM(I45:I48)</f>
        <v>8144503.7999999998</v>
      </c>
      <c r="J50" s="38">
        <f>SUM(J45:J48)</f>
        <v>8144503.7999999998</v>
      </c>
      <c r="K50" s="38">
        <f>SUM(K45:K48)</f>
        <v>8144503.7999999998</v>
      </c>
      <c r="L50" s="42"/>
      <c r="M50" s="42"/>
      <c r="N50" s="42"/>
      <c r="O50" s="42"/>
      <c r="P50" s="42"/>
      <c r="Q50" s="42"/>
      <c r="R50" s="42"/>
      <c r="S50" s="39"/>
      <c r="T50" s="39"/>
      <c r="U50" s="39"/>
    </row>
    <row r="51" spans="2:21" ht="16.2" thickTop="1" x14ac:dyDescent="0.3">
      <c r="R51" s="13"/>
    </row>
    <row r="53" spans="2:21" x14ac:dyDescent="0.3">
      <c r="F53" t="s">
        <v>49</v>
      </c>
    </row>
  </sheetData>
  <mergeCells count="1">
    <mergeCell ref="E18:F18"/>
  </mergeCells>
  <pageMargins left="1.1499999999999999" right="0.25" top="0.28000000000000003" bottom="0.36" header="0.4" footer="0.3"/>
  <pageSetup paperSize="9" scale="6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824ADE-8D08-450F-9AAA-422290F357E9}">
  <dimension ref="A1:K12"/>
  <sheetViews>
    <sheetView workbookViewId="0">
      <selection activeCell="E24" sqref="E24"/>
    </sheetView>
  </sheetViews>
  <sheetFormatPr defaultRowHeight="15.6" x14ac:dyDescent="0.3"/>
  <cols>
    <col min="2" max="2" width="13.5" bestFit="1" customWidth="1"/>
    <col min="4" max="4" width="11.09765625" bestFit="1" customWidth="1"/>
    <col min="7" max="7" width="11.09765625" bestFit="1" customWidth="1"/>
    <col min="9" max="9" width="12.09765625" bestFit="1" customWidth="1"/>
  </cols>
  <sheetData>
    <row r="1" spans="1:11" x14ac:dyDescent="0.3">
      <c r="B1">
        <v>2013</v>
      </c>
      <c r="C1">
        <v>2014</v>
      </c>
      <c r="D1">
        <v>2015</v>
      </c>
      <c r="E1">
        <v>2016</v>
      </c>
      <c r="F1">
        <v>2017</v>
      </c>
      <c r="G1">
        <v>2018</v>
      </c>
      <c r="H1">
        <v>2019</v>
      </c>
      <c r="I1">
        <v>2020</v>
      </c>
      <c r="J1">
        <v>2021</v>
      </c>
      <c r="K1">
        <v>2022</v>
      </c>
    </row>
    <row r="2" spans="1:11" x14ac:dyDescent="0.3">
      <c r="A2" t="s">
        <v>82</v>
      </c>
      <c r="B2" s="94">
        <v>15518031</v>
      </c>
      <c r="C2" s="94"/>
      <c r="D2" s="94">
        <v>27467916</v>
      </c>
      <c r="E2" s="94"/>
      <c r="F2" s="94"/>
      <c r="G2" s="94">
        <v>29800000</v>
      </c>
      <c r="H2" s="94"/>
      <c r="I2" s="94">
        <v>246699544</v>
      </c>
      <c r="J2" s="94"/>
      <c r="K2" s="94"/>
    </row>
    <row r="3" spans="1:11" x14ac:dyDescent="0.3">
      <c r="A3" t="s">
        <v>83</v>
      </c>
      <c r="B3" s="94"/>
      <c r="C3" s="94"/>
      <c r="D3" s="94">
        <v>54762140</v>
      </c>
      <c r="E3" s="94"/>
      <c r="F3" s="94"/>
      <c r="G3" s="94"/>
      <c r="H3" s="94"/>
      <c r="I3" s="94"/>
      <c r="J3" s="94"/>
      <c r="K3" s="94"/>
    </row>
    <row r="5" spans="1:11" x14ac:dyDescent="0.3">
      <c r="A5" t="s">
        <v>82</v>
      </c>
      <c r="B5" s="94">
        <f>(B2/10)*(2023-B1)</f>
        <v>15518031</v>
      </c>
      <c r="C5" s="94">
        <f t="shared" ref="C5:I5" si="0">(C2/10)*(2023-C1)</f>
        <v>0</v>
      </c>
      <c r="D5" s="94">
        <f>(D2/10)*(2023-D1)</f>
        <v>21974332.800000001</v>
      </c>
      <c r="E5" s="94">
        <f t="shared" si="0"/>
        <v>0</v>
      </c>
      <c r="F5" s="94">
        <f t="shared" si="0"/>
        <v>0</v>
      </c>
      <c r="G5" s="94">
        <f t="shared" si="0"/>
        <v>14900000</v>
      </c>
      <c r="H5" s="94">
        <f t="shared" si="0"/>
        <v>0</v>
      </c>
      <c r="I5" s="94">
        <f t="shared" si="0"/>
        <v>74009863.199999988</v>
      </c>
    </row>
    <row r="6" spans="1:11" x14ac:dyDescent="0.3">
      <c r="A6" t="s">
        <v>83</v>
      </c>
      <c r="D6" s="94">
        <f>(D3/10)*(2023-D1)</f>
        <v>43809712</v>
      </c>
    </row>
    <row r="8" spans="1:11" x14ac:dyDescent="0.3">
      <c r="A8" t="s">
        <v>82</v>
      </c>
      <c r="B8" s="13">
        <f>B2-B5</f>
        <v>0</v>
      </c>
      <c r="C8" s="13">
        <f t="shared" ref="C8:I9" si="1">C2-C5</f>
        <v>0</v>
      </c>
      <c r="D8" s="13">
        <f t="shared" si="1"/>
        <v>5493583.1999999993</v>
      </c>
      <c r="E8" s="13">
        <f t="shared" si="1"/>
        <v>0</v>
      </c>
      <c r="F8" s="13">
        <f t="shared" si="1"/>
        <v>0</v>
      </c>
      <c r="G8" s="13">
        <f t="shared" si="1"/>
        <v>14900000</v>
      </c>
      <c r="H8" s="13">
        <f t="shared" si="1"/>
        <v>0</v>
      </c>
      <c r="I8" s="13">
        <f t="shared" si="1"/>
        <v>172689680.80000001</v>
      </c>
    </row>
    <row r="9" spans="1:11" x14ac:dyDescent="0.3">
      <c r="A9" t="s">
        <v>83</v>
      </c>
      <c r="B9" s="13">
        <f>B3-B6</f>
        <v>0</v>
      </c>
      <c r="C9" s="13">
        <f t="shared" si="1"/>
        <v>0</v>
      </c>
      <c r="D9" s="13">
        <f t="shared" si="1"/>
        <v>10952428</v>
      </c>
      <c r="E9" s="13">
        <f t="shared" si="1"/>
        <v>0</v>
      </c>
      <c r="F9" s="13">
        <f t="shared" si="1"/>
        <v>0</v>
      </c>
      <c r="G9" s="13">
        <f t="shared" si="1"/>
        <v>0</v>
      </c>
      <c r="H9" s="13">
        <f t="shared" si="1"/>
        <v>0</v>
      </c>
      <c r="I9" s="13">
        <f t="shared" si="1"/>
        <v>0</v>
      </c>
    </row>
    <row r="11" spans="1:11" x14ac:dyDescent="0.3">
      <c r="D11" s="13"/>
    </row>
    <row r="12" spans="1:11" x14ac:dyDescent="0.3">
      <c r="D12" s="13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6F0FA9-E38F-4B6A-BABA-A402015B7B7C}">
  <dimension ref="A1:K44"/>
  <sheetViews>
    <sheetView topLeftCell="A13" zoomScale="99" zoomScaleNormal="70" workbookViewId="0">
      <selection activeCell="D36" sqref="D36"/>
    </sheetView>
  </sheetViews>
  <sheetFormatPr defaultRowHeight="15.6" x14ac:dyDescent="0.3"/>
  <cols>
    <col min="1" max="1" width="13.5" bestFit="1" customWidth="1"/>
    <col min="2" max="2" width="15.796875" bestFit="1" customWidth="1"/>
    <col min="3" max="4" width="13.69921875" bestFit="1" customWidth="1"/>
    <col min="5" max="5" width="14.796875" customWidth="1"/>
    <col min="6" max="6" width="14" customWidth="1"/>
    <col min="7" max="7" width="12.09765625" bestFit="1" customWidth="1"/>
    <col min="8" max="8" width="16.69921875" customWidth="1"/>
    <col min="9" max="9" width="15.296875" customWidth="1"/>
    <col min="10" max="11" width="13.69921875" bestFit="1" customWidth="1"/>
  </cols>
  <sheetData>
    <row r="1" spans="1:11" x14ac:dyDescent="0.3">
      <c r="B1" t="s">
        <v>6</v>
      </c>
      <c r="C1" t="s">
        <v>7</v>
      </c>
      <c r="D1" t="s">
        <v>8</v>
      </c>
      <c r="E1" t="s">
        <v>9</v>
      </c>
      <c r="F1" t="s">
        <v>10</v>
      </c>
      <c r="G1" t="s">
        <v>42</v>
      </c>
      <c r="H1" t="s">
        <v>43</v>
      </c>
      <c r="I1" t="s">
        <v>44</v>
      </c>
      <c r="J1" t="s">
        <v>45</v>
      </c>
      <c r="K1" t="s">
        <v>46</v>
      </c>
    </row>
    <row r="2" spans="1:11" x14ac:dyDescent="0.3">
      <c r="A2" t="s">
        <v>50</v>
      </c>
      <c r="B2" s="94">
        <f>IRR!G8</f>
        <v>0</v>
      </c>
      <c r="C2" s="13">
        <f>$B$2-$B$4</f>
        <v>0</v>
      </c>
      <c r="D2" s="13">
        <f>$C$2-$B$4</f>
        <v>0</v>
      </c>
      <c r="E2" s="13">
        <f>$D$2-$B$4</f>
        <v>0</v>
      </c>
      <c r="F2" s="13">
        <f>$E$2-$B$4</f>
        <v>0</v>
      </c>
      <c r="G2" s="13">
        <f>$F$2-$B$4</f>
        <v>0</v>
      </c>
      <c r="H2" s="13">
        <f>$G$2-$B$4</f>
        <v>0</v>
      </c>
      <c r="I2" s="13">
        <f>$H$2-$B$4</f>
        <v>0</v>
      </c>
      <c r="J2" s="13">
        <f>$I$2-$B$4</f>
        <v>0</v>
      </c>
      <c r="K2" s="13">
        <f>$J$2-$B$4</f>
        <v>0</v>
      </c>
    </row>
    <row r="3" spans="1:11" x14ac:dyDescent="0.3">
      <c r="A3" t="s">
        <v>51</v>
      </c>
      <c r="B3" s="94">
        <v>5</v>
      </c>
    </row>
    <row r="4" spans="1:11" x14ac:dyDescent="0.3">
      <c r="A4" t="s">
        <v>52</v>
      </c>
      <c r="B4" s="94">
        <f>$B$2/$B$3</f>
        <v>0</v>
      </c>
    </row>
    <row r="5" spans="1:11" x14ac:dyDescent="0.3">
      <c r="A5" t="s">
        <v>53</v>
      </c>
      <c r="B5" s="94">
        <f>(($B$2*IRR!$F$3)*6)/12</f>
        <v>0</v>
      </c>
      <c r="C5" s="13">
        <f>AVERAGE(B2:C2)*IRR!$F$3</f>
        <v>0</v>
      </c>
      <c r="D5" s="13">
        <f>AVERAGE(C2:D2)*IRR!$F$3</f>
        <v>0</v>
      </c>
      <c r="E5" s="13">
        <f>AVERAGE(D2:E2)*IRR!$F$3</f>
        <v>0</v>
      </c>
      <c r="F5" s="13">
        <f>AVERAGE(E2:F2)*IRR!$F$3</f>
        <v>0</v>
      </c>
      <c r="G5" s="13">
        <f>AVERAGE(F2:G2)*IRR!$F$3</f>
        <v>0</v>
      </c>
      <c r="H5" s="13">
        <f>AVERAGE($G$2:$H$2)*[3]IRR!$G$4</f>
        <v>0</v>
      </c>
      <c r="I5" s="13">
        <f>AVERAGE($H$2:$I$2)*[3]IRR!$G$4</f>
        <v>0</v>
      </c>
      <c r="J5" s="13">
        <f>AVERAGE($I$2:$J$2)*[3]IRR!$G$4</f>
        <v>0</v>
      </c>
      <c r="K5" s="13">
        <f>AVERAGE($J$2:$K$2)*[3]IRR!$G$4</f>
        <v>0</v>
      </c>
    </row>
    <row r="10" spans="1:11" x14ac:dyDescent="0.3">
      <c r="F10" s="133" t="s">
        <v>91</v>
      </c>
      <c r="G10" s="133" t="s">
        <v>92</v>
      </c>
      <c r="H10" s="133" t="s">
        <v>93</v>
      </c>
      <c r="I10" s="134" t="s">
        <v>94</v>
      </c>
      <c r="J10" s="195" t="s">
        <v>95</v>
      </c>
      <c r="K10" s="195" t="s">
        <v>96</v>
      </c>
    </row>
    <row r="11" spans="1:11" x14ac:dyDescent="0.3">
      <c r="E11" s="135" t="s">
        <v>97</v>
      </c>
      <c r="F11" s="136">
        <v>1</v>
      </c>
      <c r="G11" s="137">
        <v>1</v>
      </c>
      <c r="H11" s="137">
        <v>1</v>
      </c>
      <c r="I11" s="138">
        <v>307</v>
      </c>
      <c r="J11" s="195"/>
      <c r="K11" s="195"/>
    </row>
    <row r="12" spans="1:11" x14ac:dyDescent="0.3">
      <c r="B12" s="196" t="s">
        <v>98</v>
      </c>
      <c r="C12" s="139" t="s">
        <v>99</v>
      </c>
      <c r="D12" s="140">
        <f>C23</f>
        <v>3000000</v>
      </c>
      <c r="E12" s="139" t="s">
        <v>91</v>
      </c>
      <c r="F12" s="133">
        <f>F11</f>
        <v>1</v>
      </c>
      <c r="G12" s="133"/>
      <c r="H12" s="133"/>
      <c r="I12" s="134"/>
      <c r="J12" s="141">
        <f>F12*D12</f>
        <v>3000000</v>
      </c>
    </row>
    <row r="13" spans="1:11" x14ac:dyDescent="0.3">
      <c r="B13" s="197"/>
      <c r="C13" s="139" t="s">
        <v>100</v>
      </c>
      <c r="D13" s="142">
        <v>600000</v>
      </c>
      <c r="E13" s="139" t="s">
        <v>91</v>
      </c>
      <c r="F13" s="133">
        <f>F11</f>
        <v>1</v>
      </c>
      <c r="G13" s="133"/>
      <c r="H13" s="133"/>
      <c r="I13" s="134">
        <f>IF($I$11&lt;=120,2,IF($I$11&gt;220,4,3))</f>
        <v>4</v>
      </c>
      <c r="J13" s="142">
        <f>D13*F13*I13</f>
        <v>2400000</v>
      </c>
    </row>
    <row r="14" spans="1:11" x14ac:dyDescent="0.3">
      <c r="B14" s="198"/>
      <c r="C14" s="139" t="s">
        <v>98</v>
      </c>
      <c r="D14" s="142">
        <v>200000</v>
      </c>
      <c r="E14" s="139" t="s">
        <v>101</v>
      </c>
      <c r="F14" s="133"/>
      <c r="G14" s="133">
        <f>G11</f>
        <v>1</v>
      </c>
      <c r="H14" s="133"/>
      <c r="I14" s="134"/>
      <c r="J14" s="142">
        <f>G14*D14</f>
        <v>200000</v>
      </c>
    </row>
    <row r="15" spans="1:11" x14ac:dyDescent="0.3">
      <c r="B15" s="139" t="s">
        <v>102</v>
      </c>
      <c r="C15" s="139" t="s">
        <v>102</v>
      </c>
      <c r="D15" s="142">
        <v>450000</v>
      </c>
      <c r="E15" s="139" t="s">
        <v>93</v>
      </c>
      <c r="F15" s="133">
        <f>F11</f>
        <v>1</v>
      </c>
      <c r="G15" s="133"/>
      <c r="H15" s="133">
        <f>H11</f>
        <v>1</v>
      </c>
      <c r="I15" s="134">
        <f t="shared" ref="I15:I16" si="0">IF($I$10&lt;=120,2,IF($I$10&gt;220,4,3))</f>
        <v>4</v>
      </c>
      <c r="J15" s="142">
        <f>H15*D15*I15</f>
        <v>1800000</v>
      </c>
    </row>
    <row r="16" spans="1:11" x14ac:dyDescent="0.3">
      <c r="B16" s="139" t="s">
        <v>103</v>
      </c>
      <c r="C16" s="139" t="s">
        <v>103</v>
      </c>
      <c r="D16" s="142">
        <v>120000</v>
      </c>
      <c r="E16" s="139" t="s">
        <v>91</v>
      </c>
      <c r="F16" s="133">
        <f>F11</f>
        <v>1</v>
      </c>
      <c r="G16" s="133"/>
      <c r="H16" s="133"/>
      <c r="I16" s="134">
        <f t="shared" si="0"/>
        <v>4</v>
      </c>
      <c r="J16" s="142">
        <f>I16*D16*F16</f>
        <v>480000</v>
      </c>
    </row>
    <row r="17" spans="1:11" x14ac:dyDescent="0.3">
      <c r="J17" s="143">
        <f>SUM(J12:J16)</f>
        <v>7880000</v>
      </c>
      <c r="K17" s="144">
        <f>(J17*2)+B26</f>
        <v>30760000</v>
      </c>
    </row>
    <row r="20" spans="1:11" x14ac:dyDescent="0.3">
      <c r="K20" s="13"/>
    </row>
    <row r="21" spans="1:11" x14ac:dyDescent="0.3">
      <c r="B21" s="133" t="s">
        <v>104</v>
      </c>
      <c r="C21" s="133" t="s">
        <v>99</v>
      </c>
      <c r="E21" s="139" t="s">
        <v>105</v>
      </c>
      <c r="K21" s="35"/>
    </row>
    <row r="22" spans="1:11" x14ac:dyDescent="0.3">
      <c r="A22" t="s">
        <v>106</v>
      </c>
      <c r="B22" s="94">
        <v>16800000</v>
      </c>
      <c r="C22" s="94">
        <v>4000000</v>
      </c>
      <c r="E22" t="s">
        <v>107</v>
      </c>
      <c r="K22" s="13"/>
    </row>
    <row r="23" spans="1:11" x14ac:dyDescent="0.3">
      <c r="A23" t="s">
        <v>108</v>
      </c>
      <c r="B23" s="94"/>
      <c r="C23" s="94">
        <v>3000000</v>
      </c>
      <c r="E23" t="s">
        <v>109</v>
      </c>
      <c r="I23" s="94">
        <v>10000000</v>
      </c>
    </row>
    <row r="24" spans="1:11" x14ac:dyDescent="0.3">
      <c r="A24" t="s">
        <v>110</v>
      </c>
      <c r="B24" s="94">
        <v>15600000</v>
      </c>
      <c r="C24" s="94">
        <v>2500000</v>
      </c>
      <c r="E24" t="s">
        <v>109</v>
      </c>
      <c r="H24" t="s">
        <v>111</v>
      </c>
      <c r="I24" s="94">
        <v>12000000</v>
      </c>
    </row>
    <row r="25" spans="1:11" x14ac:dyDescent="0.3">
      <c r="A25" t="s">
        <v>112</v>
      </c>
      <c r="B25" s="94">
        <v>15000000</v>
      </c>
      <c r="C25" s="94">
        <v>2000000</v>
      </c>
      <c r="E25" t="s">
        <v>109</v>
      </c>
      <c r="H25" t="s">
        <v>113</v>
      </c>
      <c r="I25" s="94">
        <v>14000000</v>
      </c>
    </row>
    <row r="26" spans="1:11" x14ac:dyDescent="0.3">
      <c r="A26" t="s">
        <v>114</v>
      </c>
      <c r="B26" s="94">
        <v>15000000</v>
      </c>
      <c r="C26" s="94">
        <v>1850000</v>
      </c>
      <c r="E26" t="s">
        <v>109</v>
      </c>
      <c r="H26" t="s">
        <v>115</v>
      </c>
      <c r="I26" s="94">
        <v>14000000</v>
      </c>
    </row>
    <row r="27" spans="1:11" x14ac:dyDescent="0.3">
      <c r="A27" t="s">
        <v>116</v>
      </c>
      <c r="B27" s="94">
        <v>12000000</v>
      </c>
      <c r="C27" s="94">
        <v>1200000</v>
      </c>
      <c r="E27" t="s">
        <v>109</v>
      </c>
      <c r="H27" t="s">
        <v>106</v>
      </c>
      <c r="I27" s="94">
        <v>17000000</v>
      </c>
    </row>
    <row r="28" spans="1:11" x14ac:dyDescent="0.3">
      <c r="A28" t="s">
        <v>117</v>
      </c>
      <c r="B28" s="94">
        <v>16800000</v>
      </c>
      <c r="C28" s="94">
        <v>2000000</v>
      </c>
      <c r="E28" t="s">
        <v>109</v>
      </c>
      <c r="H28" t="s">
        <v>117</v>
      </c>
      <c r="I28" s="94">
        <v>14000000</v>
      </c>
    </row>
    <row r="29" spans="1:11" x14ac:dyDescent="0.3">
      <c r="A29" t="s">
        <v>118</v>
      </c>
      <c r="B29" s="94">
        <v>15720000</v>
      </c>
      <c r="C29" s="94">
        <v>3500000</v>
      </c>
    </row>
    <row r="30" spans="1:11" x14ac:dyDescent="0.3">
      <c r="A30" t="s">
        <v>119</v>
      </c>
      <c r="C30" s="94">
        <v>2800000</v>
      </c>
    </row>
    <row r="31" spans="1:11" x14ac:dyDescent="0.3">
      <c r="A31" t="s">
        <v>120</v>
      </c>
      <c r="B31">
        <v>0</v>
      </c>
      <c r="C31" s="94">
        <v>0</v>
      </c>
      <c r="D31" t="s">
        <v>121</v>
      </c>
    </row>
    <row r="33" spans="1:3" x14ac:dyDescent="0.3">
      <c r="B33" s="133" t="s">
        <v>122</v>
      </c>
      <c r="C33" s="133"/>
    </row>
    <row r="34" spans="1:3" x14ac:dyDescent="0.3">
      <c r="B34" s="94">
        <v>7000000</v>
      </c>
    </row>
    <row r="36" spans="1:3" x14ac:dyDescent="0.3">
      <c r="A36" s="139" t="s">
        <v>123</v>
      </c>
      <c r="B36" s="13"/>
    </row>
    <row r="37" spans="1:3" x14ac:dyDescent="0.3">
      <c r="A37" t="s">
        <v>124</v>
      </c>
    </row>
    <row r="38" spans="1:3" x14ac:dyDescent="0.3">
      <c r="A38" t="s">
        <v>125</v>
      </c>
      <c r="B38" s="94">
        <v>36000000</v>
      </c>
    </row>
    <row r="39" spans="1:3" x14ac:dyDescent="0.3">
      <c r="A39" t="s">
        <v>126</v>
      </c>
      <c r="B39" s="94">
        <v>42000000</v>
      </c>
    </row>
    <row r="40" spans="1:3" x14ac:dyDescent="0.3">
      <c r="A40" t="s">
        <v>127</v>
      </c>
      <c r="B40" s="94">
        <v>48000000</v>
      </c>
    </row>
    <row r="42" spans="1:3" x14ac:dyDescent="0.3">
      <c r="A42" t="s">
        <v>128</v>
      </c>
    </row>
    <row r="43" spans="1:3" x14ac:dyDescent="0.3">
      <c r="A43" t="s">
        <v>129</v>
      </c>
      <c r="B43" s="94">
        <v>75000000</v>
      </c>
    </row>
    <row r="44" spans="1:3" x14ac:dyDescent="0.3">
      <c r="A44" t="s">
        <v>127</v>
      </c>
      <c r="B44" s="94">
        <v>95000000</v>
      </c>
    </row>
  </sheetData>
  <mergeCells count="3">
    <mergeCell ref="J10:J11"/>
    <mergeCell ref="K10:K11"/>
    <mergeCell ref="B12:B14"/>
  </mergeCells>
  <conditionalFormatting sqref="B5:K5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EE6B97-D9A4-4970-9057-F371DBAEBF5A}">
  <dimension ref="A1:F32"/>
  <sheetViews>
    <sheetView showGridLines="0" zoomScale="95" zoomScaleNormal="100" workbookViewId="0">
      <selection activeCell="E20" sqref="A1:E20"/>
    </sheetView>
  </sheetViews>
  <sheetFormatPr defaultColWidth="8" defaultRowHeight="14.4" x14ac:dyDescent="0.3"/>
  <cols>
    <col min="1" max="1" width="4.796875" style="148" customWidth="1"/>
    <col min="2" max="2" width="14.796875" style="148" customWidth="1"/>
    <col min="3" max="3" width="42.69921875" style="148" hidden="1" customWidth="1"/>
    <col min="4" max="4" width="43.09765625" style="148" customWidth="1"/>
    <col min="5" max="5" width="49.59765625" style="148" bestFit="1" customWidth="1"/>
    <col min="6" max="6" width="12.69921875" style="148" bestFit="1" customWidth="1"/>
    <col min="7" max="16384" width="8" style="148"/>
  </cols>
  <sheetData>
    <row r="1" spans="1:6" ht="21" x14ac:dyDescent="0.4">
      <c r="D1" s="149" t="s">
        <v>134</v>
      </c>
    </row>
    <row r="3" spans="1:6" x14ac:dyDescent="0.3">
      <c r="A3" s="150" t="s">
        <v>135</v>
      </c>
      <c r="B3" s="150"/>
      <c r="D3" s="151" t="s">
        <v>136</v>
      </c>
    </row>
    <row r="4" spans="1:6" x14ac:dyDescent="0.3">
      <c r="A4" s="150" t="s">
        <v>137</v>
      </c>
      <c r="B4" s="150"/>
      <c r="D4" s="151" t="s">
        <v>138</v>
      </c>
      <c r="E4" s="152"/>
    </row>
    <row r="5" spans="1:6" x14ac:dyDescent="0.3">
      <c r="A5" s="150" t="s">
        <v>139</v>
      </c>
      <c r="B5" s="150"/>
      <c r="D5" s="151" t="s">
        <v>140</v>
      </c>
    </row>
    <row r="6" spans="1:6" x14ac:dyDescent="0.3">
      <c r="A6" s="150" t="s">
        <v>141</v>
      </c>
      <c r="B6" s="150"/>
      <c r="D6" s="151" t="s">
        <v>142</v>
      </c>
    </row>
    <row r="7" spans="1:6" x14ac:dyDescent="0.3">
      <c r="A7" s="150" t="s">
        <v>143</v>
      </c>
      <c r="B7" s="150"/>
      <c r="D7" s="151" t="s">
        <v>144</v>
      </c>
    </row>
    <row r="9" spans="1:6" x14ac:dyDescent="0.3">
      <c r="A9" s="203" t="s">
        <v>145</v>
      </c>
      <c r="B9" s="204" t="s">
        <v>146</v>
      </c>
      <c r="C9" s="204" t="s">
        <v>173</v>
      </c>
      <c r="D9" s="204" t="s">
        <v>172</v>
      </c>
      <c r="E9" s="199" t="s">
        <v>147</v>
      </c>
    </row>
    <row r="10" spans="1:6" x14ac:dyDescent="0.3">
      <c r="A10" s="203"/>
      <c r="B10" s="205"/>
      <c r="C10" s="205"/>
      <c r="D10" s="205"/>
      <c r="E10" s="200"/>
    </row>
    <row r="11" spans="1:6" x14ac:dyDescent="0.3">
      <c r="A11" s="153">
        <v>1</v>
      </c>
      <c r="B11" s="154" t="s">
        <v>148</v>
      </c>
      <c r="C11" s="154" t="s">
        <v>60</v>
      </c>
      <c r="D11" s="154" t="s">
        <v>60</v>
      </c>
      <c r="E11" s="154" t="s">
        <v>60</v>
      </c>
    </row>
    <row r="12" spans="1:6" x14ac:dyDescent="0.3">
      <c r="A12" s="153">
        <v>2</v>
      </c>
      <c r="B12" s="154" t="s">
        <v>149</v>
      </c>
      <c r="C12" s="155" t="str">
        <f>D7</f>
        <v>:  190 Omni +  6 Unit Pole Antenna + RBS 52,5 m²</v>
      </c>
      <c r="D12" s="156" t="str">
        <f>D7</f>
        <v>:  190 Omni +  6 Unit Pole Antenna + RBS 52,5 m²</v>
      </c>
      <c r="E12" s="156" t="str">
        <f>D7</f>
        <v>:  190 Omni +  6 Unit Pole Antenna + RBS 52,5 m²</v>
      </c>
    </row>
    <row r="13" spans="1:6" x14ac:dyDescent="0.3">
      <c r="A13" s="153">
        <v>3</v>
      </c>
      <c r="B13" s="157" t="s">
        <v>150</v>
      </c>
      <c r="C13" s="157" t="s">
        <v>151</v>
      </c>
      <c r="D13" s="157" t="s">
        <v>152</v>
      </c>
      <c r="E13" s="157" t="s">
        <v>153</v>
      </c>
    </row>
    <row r="14" spans="1:6" ht="15.6" x14ac:dyDescent="0.3">
      <c r="A14" s="153">
        <v>4</v>
      </c>
      <c r="B14" s="158" t="s">
        <v>154</v>
      </c>
      <c r="C14" s="159" t="s">
        <v>155</v>
      </c>
      <c r="D14" s="159" t="s">
        <v>156</v>
      </c>
      <c r="E14" s="159" t="s">
        <v>171</v>
      </c>
      <c r="F14" s="166">
        <f>2300000000</f>
        <v>2300000000</v>
      </c>
    </row>
    <row r="15" spans="1:6" x14ac:dyDescent="0.3">
      <c r="A15" s="201">
        <v>6</v>
      </c>
      <c r="B15" s="154" t="s">
        <v>157</v>
      </c>
      <c r="C15" s="154" t="s">
        <v>158</v>
      </c>
      <c r="D15" s="154" t="s">
        <v>158</v>
      </c>
      <c r="E15" s="154" t="s">
        <v>165</v>
      </c>
      <c r="F15" s="166">
        <v>285000000</v>
      </c>
    </row>
    <row r="16" spans="1:6" x14ac:dyDescent="0.3">
      <c r="A16" s="202"/>
      <c r="B16" s="154"/>
      <c r="C16" s="154" t="s">
        <v>159</v>
      </c>
      <c r="D16" s="154" t="s">
        <v>159</v>
      </c>
      <c r="E16" s="154"/>
      <c r="F16" s="166">
        <f>452143200</f>
        <v>452143200</v>
      </c>
    </row>
    <row r="17" spans="1:6" x14ac:dyDescent="0.3">
      <c r="A17" s="172"/>
      <c r="B17" s="154"/>
      <c r="C17" s="161"/>
      <c r="D17" s="154" t="s">
        <v>164</v>
      </c>
      <c r="E17" s="154" t="s">
        <v>212</v>
      </c>
      <c r="F17" s="166"/>
    </row>
    <row r="18" spans="1:6" x14ac:dyDescent="0.3">
      <c r="A18" s="160"/>
      <c r="B18" s="154"/>
      <c r="C18" s="161" t="s">
        <v>161</v>
      </c>
      <c r="D18" s="154" t="s">
        <v>162</v>
      </c>
      <c r="E18" s="154" t="s">
        <v>160</v>
      </c>
      <c r="F18" s="166"/>
    </row>
    <row r="19" spans="1:6" x14ac:dyDescent="0.3">
      <c r="A19" s="160"/>
      <c r="B19" s="154"/>
      <c r="C19" s="161" t="s">
        <v>163</v>
      </c>
      <c r="D19" s="154" t="s">
        <v>213</v>
      </c>
      <c r="E19" s="154" t="s">
        <v>175</v>
      </c>
      <c r="F19" s="166">
        <v>283050000</v>
      </c>
    </row>
    <row r="20" spans="1:6" x14ac:dyDescent="0.3">
      <c r="A20" s="160"/>
      <c r="B20" s="154"/>
      <c r="C20" s="154"/>
      <c r="D20" s="154"/>
      <c r="E20" s="154" t="s">
        <v>214</v>
      </c>
      <c r="F20" s="166">
        <f>125000*Summary!H9*12</f>
        <v>460500000</v>
      </c>
    </row>
    <row r="21" spans="1:6" x14ac:dyDescent="0.3">
      <c r="C21" s="162"/>
    </row>
    <row r="22" spans="1:6" x14ac:dyDescent="0.3">
      <c r="B22" s="148" t="s">
        <v>166</v>
      </c>
    </row>
    <row r="27" spans="1:6" x14ac:dyDescent="0.3">
      <c r="C27" s="163"/>
    </row>
    <row r="28" spans="1:6" ht="15.6" x14ac:dyDescent="0.3">
      <c r="B28" s="164"/>
      <c r="C28" s="165"/>
    </row>
    <row r="29" spans="1:6" ht="15.6" x14ac:dyDescent="0.3">
      <c r="B29" s="164"/>
      <c r="C29" s="164"/>
    </row>
    <row r="30" spans="1:6" ht="15.6" x14ac:dyDescent="0.3">
      <c r="B30" s="164"/>
      <c r="C30" s="164"/>
    </row>
    <row r="31" spans="1:6" ht="15.6" x14ac:dyDescent="0.3">
      <c r="B31" s="164"/>
      <c r="C31" s="164"/>
    </row>
    <row r="32" spans="1:6" ht="15.6" x14ac:dyDescent="0.3">
      <c r="B32" s="164"/>
      <c r="C32" s="164"/>
    </row>
  </sheetData>
  <mergeCells count="6">
    <mergeCell ref="E9:E10"/>
    <mergeCell ref="A15:A16"/>
    <mergeCell ref="A9:A10"/>
    <mergeCell ref="B9:B10"/>
    <mergeCell ref="C9:C10"/>
    <mergeCell ref="D9:D10"/>
  </mergeCells>
  <pageMargins left="0.70866141732283472" right="0.70866141732283472" top="0.74803149606299213" bottom="0.74803149606299213" header="0.31496062992125984" footer="0.31496062992125984"/>
  <pageSetup paperSize="9" scale="84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5AFCC7-2ED5-4698-A24B-07B5375EDB5D}">
  <dimension ref="A2:O50"/>
  <sheetViews>
    <sheetView topLeftCell="A20" workbookViewId="0">
      <selection activeCell="F32" sqref="A2:F32"/>
    </sheetView>
  </sheetViews>
  <sheetFormatPr defaultRowHeight="14.4" x14ac:dyDescent="0.3"/>
  <cols>
    <col min="1" max="1" width="24.3984375" style="209" customWidth="1"/>
    <col min="2" max="2" width="11.59765625" style="209" customWidth="1"/>
    <col min="3" max="3" width="12.59765625" style="209" customWidth="1"/>
    <col min="4" max="4" width="9.59765625" style="209" customWidth="1"/>
    <col min="5" max="5" width="14.5" style="209" bestFit="1" customWidth="1"/>
    <col min="6" max="6" width="12.8984375" style="209" bestFit="1" customWidth="1"/>
    <col min="7" max="7" width="86.69921875" style="209" customWidth="1"/>
    <col min="8" max="8" width="11.296875" style="209" bestFit="1" customWidth="1"/>
    <col min="9" max="10" width="11.296875" style="209" customWidth="1"/>
    <col min="11" max="11" width="8.19921875" style="209" customWidth="1"/>
    <col min="12" max="12" width="14.796875" style="209" customWidth="1"/>
    <col min="13" max="13" width="15.796875" style="209" customWidth="1"/>
    <col min="14" max="14" width="13.59765625" style="209" bestFit="1" customWidth="1"/>
    <col min="15" max="15" width="18" style="209" bestFit="1" customWidth="1"/>
    <col min="16" max="16384" width="8.796875" style="209"/>
  </cols>
  <sheetData>
    <row r="2" spans="1:13" x14ac:dyDescent="0.3">
      <c r="A2" s="232" t="s">
        <v>207</v>
      </c>
      <c r="B2" s="232"/>
      <c r="C2" s="232"/>
      <c r="D2" s="232"/>
      <c r="E2" s="232"/>
      <c r="F2" s="232"/>
      <c r="G2" s="211"/>
      <c r="H2" s="211"/>
      <c r="I2" s="211"/>
      <c r="J2" s="211"/>
      <c r="K2" s="211"/>
      <c r="L2" s="211"/>
      <c r="M2" s="211"/>
    </row>
    <row r="3" spans="1:13" x14ac:dyDescent="0.3">
      <c r="A3" s="231" t="s">
        <v>200</v>
      </c>
      <c r="B3" s="231" t="s">
        <v>199</v>
      </c>
      <c r="C3" s="231" t="s">
        <v>198</v>
      </c>
      <c r="G3" s="211"/>
      <c r="H3" s="211"/>
      <c r="I3" s="211"/>
      <c r="J3" s="211"/>
      <c r="K3" s="211"/>
      <c r="L3" s="211"/>
      <c r="M3" s="211"/>
    </row>
    <row r="4" spans="1:13" x14ac:dyDescent="0.3">
      <c r="A4" s="209" t="s">
        <v>204</v>
      </c>
      <c r="B4" s="227">
        <v>44625</v>
      </c>
      <c r="C4" s="227">
        <v>46450</v>
      </c>
      <c r="D4" s="226"/>
      <c r="E4" s="229"/>
      <c r="F4" s="229"/>
      <c r="G4" s="211"/>
      <c r="H4" s="211"/>
      <c r="I4" s="211"/>
      <c r="J4" s="211"/>
      <c r="K4" s="211"/>
      <c r="L4" s="211"/>
      <c r="M4" s="211"/>
    </row>
    <row r="5" spans="1:13" x14ac:dyDescent="0.3">
      <c r="A5" s="230" t="s">
        <v>206</v>
      </c>
      <c r="B5" s="227">
        <v>45948</v>
      </c>
      <c r="C5" s="227">
        <v>46677</v>
      </c>
      <c r="D5" s="226"/>
      <c r="E5" s="229"/>
      <c r="F5" s="229"/>
      <c r="G5" s="211"/>
      <c r="H5" s="211"/>
      <c r="I5" s="211"/>
      <c r="J5" s="211"/>
      <c r="K5" s="211"/>
      <c r="L5" s="211"/>
      <c r="M5" s="211"/>
    </row>
    <row r="6" spans="1:13" x14ac:dyDescent="0.3">
      <c r="A6" s="230" t="s">
        <v>208</v>
      </c>
      <c r="B6" s="227">
        <v>44723</v>
      </c>
      <c r="C6" s="227">
        <v>46548</v>
      </c>
      <c r="D6" s="226"/>
      <c r="E6" s="229"/>
      <c r="F6" s="229"/>
      <c r="G6" s="211"/>
      <c r="H6" s="211"/>
      <c r="I6" s="211"/>
      <c r="J6" s="211"/>
      <c r="K6" s="211"/>
      <c r="L6" s="211"/>
      <c r="M6" s="211"/>
    </row>
    <row r="7" spans="1:13" x14ac:dyDescent="0.3">
      <c r="A7" s="228" t="s">
        <v>196</v>
      </c>
      <c r="B7" s="227">
        <v>46313</v>
      </c>
      <c r="C7" s="227">
        <v>11613</v>
      </c>
      <c r="D7" s="226"/>
      <c r="G7" s="211"/>
      <c r="H7" s="211"/>
      <c r="I7" s="211"/>
      <c r="J7" s="211"/>
      <c r="K7" s="211"/>
      <c r="L7" s="211"/>
      <c r="M7" s="211"/>
    </row>
    <row r="8" spans="1:13" x14ac:dyDescent="0.3">
      <c r="A8" s="211"/>
      <c r="G8" s="211"/>
    </row>
    <row r="9" spans="1:13" x14ac:dyDescent="0.3">
      <c r="A9" s="211"/>
      <c r="B9" s="231" t="s">
        <v>199</v>
      </c>
      <c r="C9" s="231" t="s">
        <v>198</v>
      </c>
      <c r="D9" s="231" t="s">
        <v>205</v>
      </c>
      <c r="E9" s="226"/>
      <c r="F9" s="226"/>
      <c r="G9" s="211"/>
    </row>
    <row r="10" spans="1:13" x14ac:dyDescent="0.3">
      <c r="A10" s="211" t="s">
        <v>210</v>
      </c>
      <c r="B10" s="211"/>
      <c r="C10" s="211"/>
      <c r="D10" s="211"/>
      <c r="E10" s="211"/>
      <c r="F10" s="211"/>
      <c r="G10" s="211"/>
    </row>
    <row r="11" spans="1:13" x14ac:dyDescent="0.3">
      <c r="A11" s="211" t="s">
        <v>204</v>
      </c>
      <c r="B11" s="221">
        <v>46313</v>
      </c>
      <c r="C11" s="221">
        <v>46450</v>
      </c>
      <c r="D11" s="236">
        <f>C11-B11</f>
        <v>137</v>
      </c>
      <c r="E11" s="235">
        <v>283050000</v>
      </c>
      <c r="F11" s="216">
        <f>E11/365*D11</f>
        <v>106240684.93150686</v>
      </c>
      <c r="G11" s="211"/>
    </row>
    <row r="12" spans="1:13" x14ac:dyDescent="0.3">
      <c r="A12" s="211" t="s">
        <v>203</v>
      </c>
      <c r="B12" s="221">
        <v>46313</v>
      </c>
      <c r="C12" s="227">
        <v>46677</v>
      </c>
      <c r="D12" s="236">
        <f>C12-B12</f>
        <v>364</v>
      </c>
      <c r="E12" s="235">
        <v>460500000</v>
      </c>
      <c r="F12" s="216">
        <f t="shared" ref="F12:F13" si="0">E12/365*D12</f>
        <v>459238356.16438359</v>
      </c>
      <c r="G12" s="211"/>
    </row>
    <row r="13" spans="1:13" x14ac:dyDescent="0.3">
      <c r="A13" s="211" t="s">
        <v>208</v>
      </c>
      <c r="B13" s="221">
        <v>46313</v>
      </c>
      <c r="C13" s="227">
        <v>46548</v>
      </c>
      <c r="D13" s="236">
        <f t="shared" ref="D13:D16" si="1">C13-B13</f>
        <v>235</v>
      </c>
      <c r="E13" s="235">
        <v>452143200</v>
      </c>
      <c r="F13" s="216">
        <f t="shared" si="0"/>
        <v>291105895.89041096</v>
      </c>
      <c r="G13" s="211"/>
    </row>
    <row r="14" spans="1:13" x14ac:dyDescent="0.3">
      <c r="A14" s="211" t="s">
        <v>191</v>
      </c>
      <c r="B14" s="221">
        <v>46313</v>
      </c>
      <c r="C14" s="221">
        <v>48138</v>
      </c>
      <c r="D14" s="236">
        <f t="shared" si="1"/>
        <v>1825</v>
      </c>
      <c r="E14" s="235">
        <v>460000000</v>
      </c>
      <c r="F14" s="216">
        <f>-E14/365*D14</f>
        <v>-2300000000</v>
      </c>
      <c r="G14" s="211"/>
      <c r="H14" s="211"/>
      <c r="I14" s="211"/>
      <c r="J14" s="211"/>
      <c r="K14" s="211"/>
      <c r="L14" s="211"/>
      <c r="M14" s="211"/>
    </row>
    <row r="15" spans="1:13" x14ac:dyDescent="0.3">
      <c r="A15" s="211" t="s">
        <v>190</v>
      </c>
      <c r="B15" s="221">
        <v>46313</v>
      </c>
      <c r="C15" s="221">
        <v>48138</v>
      </c>
      <c r="D15" s="236">
        <f t="shared" si="1"/>
        <v>1825</v>
      </c>
      <c r="E15" s="235">
        <v>51760000</v>
      </c>
      <c r="F15" s="216">
        <f>-E15/365*D15</f>
        <v>-258800000</v>
      </c>
      <c r="G15" s="211"/>
      <c r="H15" s="211"/>
      <c r="I15" s="211"/>
      <c r="J15" s="211"/>
      <c r="K15" s="211"/>
      <c r="L15" s="211"/>
      <c r="M15" s="211"/>
    </row>
    <row r="16" spans="1:13" x14ac:dyDescent="0.3">
      <c r="A16" s="211" t="s">
        <v>209</v>
      </c>
      <c r="B16" s="221">
        <v>46313</v>
      </c>
      <c r="C16" s="221">
        <v>48138</v>
      </c>
      <c r="D16" s="236">
        <f t="shared" si="1"/>
        <v>1825</v>
      </c>
      <c r="E16" s="235">
        <v>96000000</v>
      </c>
      <c r="F16" s="216">
        <f>-E16/365*D16</f>
        <v>-479999999.99999994</v>
      </c>
      <c r="G16" s="211"/>
      <c r="H16" s="211"/>
      <c r="I16" s="211"/>
      <c r="J16" s="211"/>
      <c r="K16" s="211"/>
      <c r="L16" s="211"/>
      <c r="M16" s="211"/>
    </row>
    <row r="17" spans="1:13" x14ac:dyDescent="0.3">
      <c r="A17" s="211" t="s">
        <v>202</v>
      </c>
      <c r="B17" s="211"/>
      <c r="C17" s="211"/>
      <c r="D17" s="211"/>
      <c r="E17" s="234">
        <v>100000000</v>
      </c>
      <c r="F17" s="233"/>
      <c r="G17" s="211"/>
      <c r="H17" s="211"/>
      <c r="I17" s="211"/>
      <c r="J17" s="211"/>
      <c r="K17" s="211"/>
      <c r="L17" s="211"/>
      <c r="M17" s="211"/>
    </row>
    <row r="18" spans="1:13" x14ac:dyDescent="0.3">
      <c r="A18" s="211" t="s">
        <v>189</v>
      </c>
      <c r="B18" s="211"/>
      <c r="C18" s="211"/>
      <c r="D18" s="211"/>
      <c r="E18" s="211"/>
      <c r="F18" s="216">
        <f>SUM(F11:F17)</f>
        <v>-2182215063.0136986</v>
      </c>
      <c r="G18" s="211"/>
    </row>
    <row r="19" spans="1:13" x14ac:dyDescent="0.3">
      <c r="A19" s="211"/>
      <c r="B19" s="211"/>
      <c r="C19" s="211"/>
      <c r="D19" s="211"/>
      <c r="E19" s="211"/>
      <c r="F19" s="211"/>
      <c r="G19" s="211"/>
    </row>
    <row r="20" spans="1:13" x14ac:dyDescent="0.3">
      <c r="A20" s="211" t="s">
        <v>211</v>
      </c>
      <c r="B20" s="211"/>
      <c r="C20" s="211"/>
      <c r="D20" s="211"/>
      <c r="E20" s="211"/>
      <c r="F20" s="211"/>
      <c r="G20" s="211"/>
    </row>
    <row r="21" spans="1:13" x14ac:dyDescent="0.3">
      <c r="A21" s="211" t="s">
        <v>204</v>
      </c>
      <c r="B21" s="221">
        <v>46313</v>
      </c>
      <c r="C21" s="221">
        <v>46450</v>
      </c>
      <c r="D21" s="236">
        <f>C21-B21</f>
        <v>137</v>
      </c>
      <c r="E21" s="235">
        <v>283050000</v>
      </c>
      <c r="F21" s="216">
        <f>E21/365*D21</f>
        <v>106240684.93150686</v>
      </c>
      <c r="G21" s="211"/>
    </row>
    <row r="22" spans="1:13" x14ac:dyDescent="0.3">
      <c r="A22" s="211" t="s">
        <v>204</v>
      </c>
      <c r="B22" s="221">
        <v>46451</v>
      </c>
      <c r="C22" s="221">
        <v>48138</v>
      </c>
      <c r="D22" s="236">
        <f t="shared" ref="D22:D26" si="2">C22-B22</f>
        <v>1687</v>
      </c>
      <c r="E22" s="235">
        <f>E21*85%</f>
        <v>240592500</v>
      </c>
      <c r="F22" s="216">
        <f t="shared" ref="F22:F26" si="3">E22/365*D22</f>
        <v>1111998760.2739725</v>
      </c>
      <c r="G22" s="211"/>
    </row>
    <row r="23" spans="1:13" x14ac:dyDescent="0.3">
      <c r="A23" s="211" t="s">
        <v>203</v>
      </c>
      <c r="B23" s="221">
        <v>46313</v>
      </c>
      <c r="C23" s="227">
        <v>46677</v>
      </c>
      <c r="D23" s="236">
        <f t="shared" si="2"/>
        <v>364</v>
      </c>
      <c r="E23" s="235">
        <v>460500000</v>
      </c>
      <c r="F23" s="216">
        <f t="shared" si="3"/>
        <v>459238356.16438359</v>
      </c>
      <c r="G23" s="211"/>
    </row>
    <row r="24" spans="1:13" x14ac:dyDescent="0.3">
      <c r="A24" s="211" t="s">
        <v>203</v>
      </c>
      <c r="B24" s="221">
        <v>46678</v>
      </c>
      <c r="C24" s="221">
        <v>48138</v>
      </c>
      <c r="D24" s="236">
        <f t="shared" si="2"/>
        <v>1460</v>
      </c>
      <c r="E24" s="235">
        <f>E23*85%</f>
        <v>391425000</v>
      </c>
      <c r="F24" s="216">
        <f t="shared" si="3"/>
        <v>1565700000</v>
      </c>
      <c r="G24" s="211"/>
    </row>
    <row r="25" spans="1:13" x14ac:dyDescent="0.3">
      <c r="A25" s="211" t="s">
        <v>208</v>
      </c>
      <c r="B25" s="221">
        <v>46313</v>
      </c>
      <c r="C25" s="227">
        <v>46548</v>
      </c>
      <c r="D25" s="236">
        <f t="shared" si="2"/>
        <v>235</v>
      </c>
      <c r="E25" s="235">
        <v>452143200</v>
      </c>
      <c r="F25" s="216">
        <f t="shared" si="3"/>
        <v>291105895.89041096</v>
      </c>
      <c r="G25" s="211"/>
    </row>
    <row r="26" spans="1:13" x14ac:dyDescent="0.3">
      <c r="A26" s="211" t="s">
        <v>208</v>
      </c>
      <c r="B26" s="221">
        <v>46549</v>
      </c>
      <c r="C26" s="221">
        <v>48138</v>
      </c>
      <c r="D26" s="236">
        <f t="shared" si="2"/>
        <v>1589</v>
      </c>
      <c r="E26" s="235">
        <f>E25*85%</f>
        <v>384321720</v>
      </c>
      <c r="F26" s="216">
        <f t="shared" si="3"/>
        <v>1673115652.2739725</v>
      </c>
      <c r="G26" s="211"/>
    </row>
    <row r="27" spans="1:13" x14ac:dyDescent="0.3">
      <c r="A27" s="211" t="s">
        <v>191</v>
      </c>
      <c r="B27" s="221">
        <v>46313</v>
      </c>
      <c r="C27" s="221">
        <v>48138</v>
      </c>
      <c r="D27" s="236">
        <f t="shared" ref="D27:D29" si="4">C27-B27</f>
        <v>1825</v>
      </c>
      <c r="E27" s="235">
        <v>460000000</v>
      </c>
      <c r="F27" s="216">
        <f>-E27/365*D27</f>
        <v>-2300000000</v>
      </c>
      <c r="G27" s="211"/>
      <c r="H27" s="211"/>
      <c r="I27" s="211"/>
      <c r="J27" s="211"/>
      <c r="K27" s="211"/>
      <c r="L27" s="211"/>
      <c r="M27" s="211"/>
    </row>
    <row r="28" spans="1:13" x14ac:dyDescent="0.3">
      <c r="A28" s="211" t="s">
        <v>190</v>
      </c>
      <c r="B28" s="221">
        <v>46313</v>
      </c>
      <c r="C28" s="221">
        <v>48138</v>
      </c>
      <c r="D28" s="236">
        <f t="shared" si="4"/>
        <v>1825</v>
      </c>
      <c r="E28" s="235">
        <v>51760000</v>
      </c>
      <c r="F28" s="216">
        <f>-E28/365*D28</f>
        <v>-258800000</v>
      </c>
      <c r="G28" s="211"/>
      <c r="H28" s="211"/>
      <c r="I28" s="211"/>
      <c r="J28" s="211"/>
      <c r="K28" s="211"/>
      <c r="L28" s="211"/>
      <c r="M28" s="211"/>
    </row>
    <row r="29" spans="1:13" x14ac:dyDescent="0.3">
      <c r="A29" s="211" t="s">
        <v>209</v>
      </c>
      <c r="B29" s="221">
        <v>46313</v>
      </c>
      <c r="C29" s="221">
        <v>48138</v>
      </c>
      <c r="D29" s="236">
        <f t="shared" si="4"/>
        <v>1825</v>
      </c>
      <c r="E29" s="235">
        <v>96000000</v>
      </c>
      <c r="F29" s="216">
        <f>-E29/365*D29</f>
        <v>-479999999.99999994</v>
      </c>
      <c r="G29" s="211"/>
      <c r="H29" s="211"/>
      <c r="I29" s="211"/>
      <c r="J29" s="211"/>
      <c r="K29" s="211"/>
      <c r="L29" s="211"/>
      <c r="M29" s="211"/>
    </row>
    <row r="30" spans="1:13" x14ac:dyDescent="0.3">
      <c r="A30" s="211" t="s">
        <v>202</v>
      </c>
      <c r="B30" s="211"/>
      <c r="C30" s="211"/>
      <c r="D30" s="211"/>
      <c r="E30" s="234">
        <v>100000000</v>
      </c>
      <c r="F30" s="233"/>
      <c r="G30" s="211"/>
      <c r="H30" s="211"/>
      <c r="I30" s="211"/>
      <c r="J30" s="211"/>
      <c r="K30" s="211"/>
      <c r="L30" s="211"/>
      <c r="M30" s="211"/>
    </row>
    <row r="31" spans="1:13" x14ac:dyDescent="0.3">
      <c r="A31" s="211" t="s">
        <v>189</v>
      </c>
      <c r="B31" s="211"/>
      <c r="C31" s="211"/>
      <c r="D31" s="211"/>
      <c r="E31" s="211"/>
      <c r="F31" s="216">
        <f>SUM(F21:F30)</f>
        <v>2168599349.5342464</v>
      </c>
      <c r="G31" s="211"/>
    </row>
    <row r="32" spans="1:13" x14ac:dyDescent="0.3">
      <c r="A32" s="211"/>
      <c r="B32" s="211"/>
      <c r="C32" s="211"/>
      <c r="D32" s="211"/>
      <c r="E32" s="211"/>
      <c r="F32" s="211"/>
      <c r="G32" s="211"/>
    </row>
    <row r="35" spans="8:15" x14ac:dyDescent="0.3">
      <c r="H35" s="232" t="s">
        <v>201</v>
      </c>
      <c r="I35" s="232"/>
      <c r="J35" s="232"/>
      <c r="K35" s="232"/>
      <c r="L35" s="232"/>
      <c r="M35" s="232"/>
    </row>
    <row r="36" spans="8:15" x14ac:dyDescent="0.3">
      <c r="H36" s="231" t="s">
        <v>200</v>
      </c>
      <c r="I36" s="231" t="s">
        <v>199</v>
      </c>
      <c r="J36" s="231" t="s">
        <v>198</v>
      </c>
    </row>
    <row r="37" spans="8:15" x14ac:dyDescent="0.3">
      <c r="H37" s="230" t="s">
        <v>197</v>
      </c>
      <c r="I37" s="227">
        <v>44138</v>
      </c>
      <c r="J37" s="227">
        <v>44928</v>
      </c>
      <c r="K37" s="226"/>
      <c r="L37" s="229"/>
      <c r="M37" s="229"/>
    </row>
    <row r="38" spans="8:15" x14ac:dyDescent="0.3">
      <c r="H38" s="228" t="s">
        <v>196</v>
      </c>
      <c r="I38" s="227">
        <v>44378</v>
      </c>
      <c r="J38" s="227">
        <v>45838</v>
      </c>
      <c r="K38" s="226"/>
    </row>
    <row r="40" spans="8:15" x14ac:dyDescent="0.3">
      <c r="H40" s="225" t="s">
        <v>195</v>
      </c>
      <c r="I40" s="211"/>
      <c r="J40" s="211"/>
      <c r="K40" s="211"/>
      <c r="L40" s="211"/>
      <c r="M40" s="211"/>
    </row>
    <row r="41" spans="8:15" x14ac:dyDescent="0.3">
      <c r="H41" s="211"/>
      <c r="I41" s="211"/>
      <c r="J41" s="211"/>
      <c r="K41" s="211"/>
      <c r="L41" s="223" t="s">
        <v>194</v>
      </c>
      <c r="M41" s="224"/>
      <c r="N41" s="223" t="s">
        <v>193</v>
      </c>
      <c r="O41" s="222"/>
    </row>
    <row r="42" spans="8:15" x14ac:dyDescent="0.3">
      <c r="H42" s="211" t="s">
        <v>192</v>
      </c>
      <c r="I42" s="221">
        <v>44378</v>
      </c>
      <c r="J42" s="221">
        <f>C4</f>
        <v>46450</v>
      </c>
      <c r="K42" s="220">
        <f>J42-I42</f>
        <v>2072</v>
      </c>
      <c r="L42" s="218">
        <v>148257000</v>
      </c>
      <c r="M42" s="216" t="e">
        <f>L42*#REF!/365</f>
        <v>#REF!</v>
      </c>
      <c r="N42" s="218">
        <v>148257000</v>
      </c>
      <c r="O42" s="216">
        <f>N42*K42/365</f>
        <v>841612339.72602737</v>
      </c>
    </row>
    <row r="43" spans="8:15" x14ac:dyDescent="0.3">
      <c r="H43" s="211" t="s">
        <v>191</v>
      </c>
      <c r="I43" s="221">
        <v>44378</v>
      </c>
      <c r="J43" s="221">
        <f>C4</f>
        <v>46450</v>
      </c>
      <c r="K43" s="220">
        <f>J43-I43</f>
        <v>2072</v>
      </c>
      <c r="L43" s="218">
        <v>58300000</v>
      </c>
      <c r="M43" s="216" t="e">
        <f>-L43*#REF!/365</f>
        <v>#REF!</v>
      </c>
      <c r="N43" s="218">
        <f>308000000/4</f>
        <v>77000000</v>
      </c>
      <c r="O43" s="216">
        <f>-N43*K43/365</f>
        <v>-437106849.31506848</v>
      </c>
    </row>
    <row r="44" spans="8:15" x14ac:dyDescent="0.3">
      <c r="H44" s="211" t="s">
        <v>190</v>
      </c>
      <c r="I44" s="221">
        <v>44378</v>
      </c>
      <c r="J44" s="221">
        <f>C4</f>
        <v>46450</v>
      </c>
      <c r="K44" s="220">
        <f>J44-I44</f>
        <v>2072</v>
      </c>
      <c r="L44" s="218">
        <v>32880000</v>
      </c>
      <c r="M44" s="216" t="e">
        <f>-L44*#REF!/365</f>
        <v>#REF!</v>
      </c>
      <c r="N44" s="218">
        <v>32880000</v>
      </c>
      <c r="O44" s="216">
        <f>-N44*K44/365</f>
        <v>-186650301.369863</v>
      </c>
    </row>
    <row r="45" spans="8:15" x14ac:dyDescent="0.3">
      <c r="H45" s="211"/>
      <c r="I45" s="211"/>
      <c r="J45" s="211"/>
      <c r="K45" s="211"/>
      <c r="L45" s="219"/>
      <c r="M45" s="217"/>
      <c r="N45" s="218"/>
      <c r="O45" s="217">
        <f>-N45</f>
        <v>0</v>
      </c>
    </row>
    <row r="46" spans="8:15" x14ac:dyDescent="0.3">
      <c r="I46" s="211"/>
      <c r="J46" s="211"/>
      <c r="K46" s="211"/>
      <c r="L46" s="211" t="s">
        <v>189</v>
      </c>
      <c r="M46" s="216" t="e">
        <f>SUM(M42:M45)</f>
        <v>#REF!</v>
      </c>
      <c r="N46" s="211"/>
      <c r="O46" s="216">
        <f>SUM(O42:O45)</f>
        <v>217855189.04109588</v>
      </c>
    </row>
    <row r="47" spans="8:15" x14ac:dyDescent="0.3">
      <c r="H47" s="211"/>
      <c r="I47" s="211"/>
      <c r="J47" s="211"/>
      <c r="K47" s="211"/>
      <c r="L47" s="212" t="s">
        <v>188</v>
      </c>
      <c r="M47" s="215">
        <v>0.63</v>
      </c>
      <c r="N47" s="211"/>
      <c r="O47" s="214" t="e">
        <f>#REF!</f>
        <v>#REF!</v>
      </c>
    </row>
    <row r="48" spans="8:15" x14ac:dyDescent="0.3">
      <c r="H48" s="211"/>
      <c r="I48" s="211"/>
      <c r="J48" s="211"/>
      <c r="K48" s="211"/>
      <c r="L48" s="212" t="s">
        <v>187</v>
      </c>
      <c r="M48" s="210">
        <v>799481126.20298266</v>
      </c>
      <c r="N48" s="211"/>
      <c r="O48" s="210" t="e">
        <f>#REF!</f>
        <v>#REF!</v>
      </c>
    </row>
    <row r="49" spans="8:15" x14ac:dyDescent="0.3">
      <c r="H49" s="211"/>
      <c r="I49" s="211"/>
      <c r="J49" s="211"/>
      <c r="K49" s="211"/>
      <c r="L49" s="212" t="s">
        <v>186</v>
      </c>
      <c r="M49" s="212" t="s">
        <v>185</v>
      </c>
      <c r="N49" s="211"/>
      <c r="O49" s="213" t="e">
        <f>#REF!</f>
        <v>#REF!</v>
      </c>
    </row>
    <row r="50" spans="8:15" x14ac:dyDescent="0.3">
      <c r="H50" s="211"/>
      <c r="I50" s="211"/>
      <c r="J50" s="211"/>
      <c r="K50" s="211"/>
      <c r="L50" s="212" t="s">
        <v>184</v>
      </c>
      <c r="M50" s="210">
        <v>136282887.67123282</v>
      </c>
      <c r="N50" s="211"/>
      <c r="O50" s="210" t="e">
        <f>#REF!</f>
        <v>#REF!</v>
      </c>
    </row>
  </sheetData>
  <mergeCells count="4">
    <mergeCell ref="A2:F2"/>
    <mergeCell ref="H35:M35"/>
    <mergeCell ref="L41:M41"/>
    <mergeCell ref="N41:O41"/>
  </mergeCells>
  <pageMargins left="0.46" right="0.16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4</vt:i4>
      </vt:variant>
    </vt:vector>
  </HeadingPairs>
  <TitlesOfParts>
    <vt:vector size="10" baseType="lpstr">
      <vt:lpstr>Summary</vt:lpstr>
      <vt:lpstr>IRR</vt:lpstr>
      <vt:lpstr>Book Value</vt:lpstr>
      <vt:lpstr>PARAMETER</vt:lpstr>
      <vt:lpstr>Summary Review</vt:lpstr>
      <vt:lpstr>Analisa</vt:lpstr>
      <vt:lpstr>Analisa!Print_Area</vt:lpstr>
      <vt:lpstr>IRR!Print_Area</vt:lpstr>
      <vt:lpstr>Summary!Print_Area</vt:lpstr>
      <vt:lpstr>'Summary Review'!Print_Area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Setiadi</dc:creator>
  <cp:lastModifiedBy>Subianto Kasmun</cp:lastModifiedBy>
  <cp:lastPrinted>2025-07-15T11:44:05Z</cp:lastPrinted>
  <dcterms:created xsi:type="dcterms:W3CDTF">2020-06-08T08:40:20Z</dcterms:created>
  <dcterms:modified xsi:type="dcterms:W3CDTF">2025-07-15T11:46:29Z</dcterms:modified>
</cp:coreProperties>
</file>